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8"/>
  <fileSharing readOnlyRecommended="1"/>
  <workbookPr filterPrivacy="1" codeName="ThisWorkbook"/>
  <xr:revisionPtr revIDLastSave="0" documentId="8_{01108319-AF31-45E9-868C-9E849BCF2654}" xr6:coauthVersionLast="47" xr6:coauthVersionMax="47" xr10:uidLastSave="{00000000-0000-0000-0000-000000000000}"/>
  <bookViews>
    <workbookView xWindow="-120" yWindow="-120" windowWidth="29040" windowHeight="15720" tabRatio="822" firstSheet="8" activeTab="8" xr2:uid="{00000000-000D-0000-FFFF-FFFF00000000}"/>
  </bookViews>
  <sheets>
    <sheet name="CLEAR_SHEET" sheetId="122" state="hidden" r:id="rId1"/>
    <sheet name="Introduction" sheetId="98" r:id="rId2"/>
    <sheet name="Cover (tables)" sheetId="1" r:id="rId3"/>
    <sheet name="Validation summary" sheetId="108" r:id="rId4"/>
    <sheet name="Section 3 &gt;&gt;" sheetId="25"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PC lists" sheetId="83" state="hidden" r:id="rId21"/>
    <sheet name="Validation" sheetId="88" state="hidden" r:id="rId22"/>
    <sheet name="InpOverride" sheetId="116" r:id="rId23"/>
    <sheet name="Override_Additional info" sheetId="121" r:id="rId24"/>
    <sheet name="InpCompany" sheetId="89" r:id="rId25"/>
    <sheet name="Company_PC_inputs" sheetId="90" r:id="rId26"/>
    <sheet name="Ofwat_PC_Interventions" sheetId="91" r:id="rId27"/>
    <sheet name="Accrued ODI payments" sheetId="114" r:id="rId28"/>
    <sheet name="PCC_Payments" sheetId="126" r:id="rId29"/>
    <sheet name="App1" sheetId="81" r:id="rId30"/>
    <sheet name="App1b" sheetId="82" r:id="rId31"/>
    <sheet name="InpPerformance" sheetId="92" r:id="rId32"/>
    <sheet name="Performance" sheetId="93" r:id="rId33"/>
    <sheet name="Sharing mechanism" sheetId="94" r:id="rId34"/>
    <sheet name="Aggregate calculations" sheetId="95" r:id="rId35"/>
    <sheet name="Model outputs - PC level" sheetId="96" r:id="rId36"/>
    <sheet name="Model outputs - Interventions" sheetId="112" r:id="rId37"/>
    <sheet name="Model outputs - Aggregate level" sheetId="97" r:id="rId38"/>
    <sheet name="Accrued ODI outputs" sheetId="113" r:id="rId39"/>
    <sheet name="F_Outputs (IPD)" sheetId="120" r:id="rId40"/>
    <sheet name="F_Outputs (BYR25)" sheetId="119" r:id="rId41"/>
    <sheet name="PR19 data changes" sheetId="127" r:id="rId42"/>
    <sheet name="App1 change log" sheetId="110" r:id="rId43"/>
    <sheet name="App1b change log" sheetId="111" r:id="rId44"/>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9" hidden="1">'App1'!$A$6:$DE$778</definedName>
    <definedName name="_xlnm._FilterDatabase" localSheetId="42" hidden="1">'App1 change log'!$A$9:$M$508</definedName>
    <definedName name="_xlnm._FilterDatabase" localSheetId="30" hidden="1">App1b!$A$9:$DW$679</definedName>
    <definedName name="_xlnm._FilterDatabase" localSheetId="43" hidden="1">'App1b change log'!$A$9:$M$459</definedName>
    <definedName name="_Order1" hidden="1">255</definedName>
    <definedName name="_Order2" hidden="1">255</definedName>
    <definedName name="Acronyms_DD" localSheetId="29">'App1'!$A$7:$A$683</definedName>
    <definedName name="Acronyms_IIT" localSheetId="29">'App1'!$A$7:$A$683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9">'App1'!$L$7:$L$683</definedName>
    <definedName name="BusinessRet_DD" localSheetId="29">'App1'!$N$7:$N$683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9">'App1'!$Z$7:$Z$683</definedName>
    <definedName name="Enhanced_Cap_DD" localSheetId="29">'App1'!$CP$7:$CT$683</definedName>
    <definedName name="Enhanced_Collar_DD" localSheetId="29">'App1'!$BQ$7:$BU$683</definedName>
    <definedName name="EnhancedRate_Out_DD" localSheetId="29">'App1'!$DB$7:$DB$683</definedName>
    <definedName name="EnhancedRate_Under_DD" localSheetId="29">'App1'!$CX$7:$CX$683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29" hidden="1">{"bal",#N/A,FALSE,"working papers";"income",#N/A,FALSE,"working papers"}</definedName>
    <definedName name="F" localSheetId="30" hidden="1">{"bal",#N/A,FALSE,"working papers";"income",#N/A,FALSE,"working papers"}</definedName>
    <definedName name="F" localSheetId="40" hidden="1">{"bal",#N/A,FALSE,"working papers";"income",#N/A,FALSE,"working papers"}</definedName>
    <definedName name="F" localSheetId="39" hidden="1">{"bal",#N/A,FALSE,"working papers";"income",#N/A,FALSE,"working papers"}</definedName>
    <definedName name="F" localSheetId="22" hidden="1">{"bal",#N/A,FALSE,"working papers";"income",#N/A,FALSE,"working papers"}</definedName>
    <definedName name="F" localSheetId="36" hidden="1">{"bal",#N/A,FALSE,"working papers";"income",#N/A,FALSE,"working papers"}</definedName>
    <definedName name="F" localSheetId="23" hidden="1">{"bal",#N/A,FALSE,"working papers";"income",#N/A,FALSE,"working papers"}</definedName>
    <definedName name="F" localSheetId="41"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29" hidden="1">{"bal",#N/A,FALSE,"working papers";"income",#N/A,FALSE,"working papers"}</definedName>
    <definedName name="fdraf" localSheetId="30" hidden="1">{"bal",#N/A,FALSE,"working papers";"income",#N/A,FALSE,"working papers"}</definedName>
    <definedName name="fdraf" localSheetId="40" hidden="1">{"bal",#N/A,FALSE,"working papers";"income",#N/A,FALSE,"working papers"}</definedName>
    <definedName name="fdraf" localSheetId="39" hidden="1">{"bal",#N/A,FALSE,"working papers";"income",#N/A,FALSE,"working papers"}</definedName>
    <definedName name="fdraf" localSheetId="22" hidden="1">{"bal",#N/A,FALSE,"working papers";"income",#N/A,FALSE,"working papers"}</definedName>
    <definedName name="fdraf" localSheetId="36" hidden="1">{"bal",#N/A,FALSE,"working papers";"income",#N/A,FALSE,"working papers"}</definedName>
    <definedName name="fdraf" localSheetId="23" hidden="1">{"bal",#N/A,FALSE,"working papers";"income",#N/A,FALSE,"working papers"}</definedName>
    <definedName name="fdraf" localSheetId="41"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29" hidden="1">{"bal",#N/A,FALSE,"working papers";"income",#N/A,FALSE,"working papers"}</definedName>
    <definedName name="Fdraft" localSheetId="30" hidden="1">{"bal",#N/A,FALSE,"working papers";"income",#N/A,FALSE,"working papers"}</definedName>
    <definedName name="Fdraft" localSheetId="40" hidden="1">{"bal",#N/A,FALSE,"working papers";"income",#N/A,FALSE,"working papers"}</definedName>
    <definedName name="Fdraft" localSheetId="39" hidden="1">{"bal",#N/A,FALSE,"working papers";"income",#N/A,FALSE,"working papers"}</definedName>
    <definedName name="Fdraft" localSheetId="22" hidden="1">{"bal",#N/A,FALSE,"working papers";"income",#N/A,FALSE,"working papers"}</definedName>
    <definedName name="Fdraft" localSheetId="36" hidden="1">{"bal",#N/A,FALSE,"working papers";"income",#N/A,FALSE,"working papers"}</definedName>
    <definedName name="Fdraft" localSheetId="23" hidden="1">{"bal",#N/A,FALSE,"working papers";"income",#N/A,FALSE,"working papers"}</definedName>
    <definedName name="Fdraft" localSheetId="4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9">'App1'!$B$7:$B$683</definedName>
    <definedName name="LineRefs_FD_POSTINT">'App1'!$B$7:$B$683</definedName>
    <definedName name="LongTimeline_DD" localSheetId="29">'App1'!$AG$6:$BK$6</definedName>
    <definedName name="MU_DD_App1" localSheetId="29">'App1'!$W$7:$W$683</definedName>
    <definedName name="ODI_Out_DD_IIT" localSheetId="29">'App1'!$CY$7:$CY$683</definedName>
    <definedName name="ODI_Under_DD_App1" localSheetId="29">'App1'!$CU$7:$CU$683</definedName>
    <definedName name="ODI_Under_DD_IIT" localSheetId="29">'App1'!$CU$7:$CU$683</definedName>
    <definedName name="ODICalc_Check_DD" localSheetId="29">'App1'!$DC$7:$DC$683</definedName>
    <definedName name="ODIOperand_Check_DD" localSheetId="29">'App1'!$DD$7:$DD$683</definedName>
    <definedName name="ODIRate_Out_App1b" localSheetId="30">App1b!$DQ$10:$DQ$678</definedName>
    <definedName name="ODIRate_Under_App1b" localSheetId="30">App1b!$DM$10:$DM$678</definedName>
    <definedName name="ODIType_DD_App1" localSheetId="29">'App1'!$R$7:$R$683</definedName>
    <definedName name="Out_Deadband_DD" localSheetId="29">'App1'!$CF$7:$CJ$683</definedName>
    <definedName name="PCCpayments_FD24">PCC_Payments!$D$8:$K$26</definedName>
    <definedName name="PCData_App1_DD" localSheetId="29">'App1'!$AG$7:$BK$683</definedName>
    <definedName name="PCDescriptions" localSheetId="29">'App1'!$H$7:$H$683</definedName>
    <definedName name="PCDescriptions" localSheetId="30">App1b!$Z$10:$Z$678</definedName>
    <definedName name="PCNames" localSheetId="29">'App1'!$G$7:$G$683</definedName>
    <definedName name="PCNames" localSheetId="30">App1b!$Y$10:$Y$678</definedName>
    <definedName name="PCNames_DD" localSheetId="29">'App1'!$G$7:$G$683</definedName>
    <definedName name="PCNames_FD_POSTINT">'App1'!$G$7:$G$683</definedName>
    <definedName name="PCNames_POSTINT" localSheetId="29">'App1'!$G$7:$G$683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'3F'!$B$1:$Q$58</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4">'Aggregate calculations'!$A$1:$I$133</definedName>
    <definedName name="_xlnm.Print_Area" localSheetId="42">'App1 change log'!$A$1:$M$358</definedName>
    <definedName name="_xlnm.Print_Area" localSheetId="43">'App1b change log'!$A$1:$M$437</definedName>
    <definedName name="_xlnm.Print_Area" localSheetId="25">Company_PC_inputs!$A$1:$BC$76</definedName>
    <definedName name="_xlnm.Print_Area" localSheetId="17">'Cover (ODI model)'!$A$1:$E$75</definedName>
    <definedName name="_xlnm.Print_Area" localSheetId="2">'Cover (tables)'!$B$1:$C$61</definedName>
    <definedName name="_xlnm.Print_Area" localSheetId="24">InpCompany!$A$1:$H$32</definedName>
    <definedName name="_xlnm.Print_Area" localSheetId="31">InpPerformance!$A$1:$BC$76</definedName>
    <definedName name="_xlnm.Print_Area" localSheetId="1">Introduction!$B$1:$D$28</definedName>
    <definedName name="_xlnm.Print_Area" localSheetId="35">'Model outputs - PC level'!$A$1:$BS$28</definedName>
    <definedName name="_xlnm.Print_Area" localSheetId="26">Ofwat_PC_Interventions!$A$1:$BC$76</definedName>
    <definedName name="_xlnm.Print_Area" localSheetId="32">Performance!$A$1:$BS$335</definedName>
    <definedName name="_xlnm.Print_Area" localSheetId="33">'Sharing mechanism'!$A$1:$L$240</definedName>
    <definedName name="_xlnm.Print_Area" localSheetId="19">ToC!$A$1:$WVB$65</definedName>
    <definedName name="_xlnm.Print_Area" localSheetId="21">Validation!$A$1:$N$32</definedName>
    <definedName name="_xlnm.Print_Area" localSheetId="3">'Validation summary'!$B$1:$E$18</definedName>
    <definedName name="ProfileInps">Validation!$P$5:$X$9</definedName>
    <definedName name="ResidentialRet_DD" localSheetId="29">'App1'!$M$7:$M$683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9" hidden="1">7</definedName>
    <definedName name="RiskHasSettings" localSheetId="30"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9">'App1'!$CK$7:$CO$683</definedName>
    <definedName name="Standard_Collar_DD" localSheetId="29">'App1'!$BV$7:$BZ$683</definedName>
    <definedName name="Under_Deadband_DD" localSheetId="29">'App1'!$CA$7:$CE$683</definedName>
    <definedName name="UniqueIDs_DD" localSheetId="29">'App1'!$C$7:$C$683</definedName>
    <definedName name="UniqueIDs_DD_POSTINT">'App1'!$C$7:$C$683</definedName>
    <definedName name="UniqueIDs_FD_POSTINT">'App1'!$C$7:$C$683</definedName>
    <definedName name="UniqueIDs_FDPOSTINT_App1b">App1b!$U$10:$U$678</definedName>
    <definedName name="UniqueIDs_POSTINT" localSheetId="29">'App1'!$C$7:$C$683</definedName>
    <definedName name="WastewaterNP_DD" localSheetId="29">'App1'!$K$7:$K$683</definedName>
    <definedName name="WaterNP_DD" localSheetId="29">'App1'!$J$7:$J$683</definedName>
    <definedName name="WaterResources_DD" localSheetId="29">'App1'!$I$7:$I$683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29" hidden="1">{"bal",#N/A,FALSE,"working papers";"income",#N/A,FALSE,"working papers"}</definedName>
    <definedName name="wrn.papersdraft" localSheetId="30" hidden="1">{"bal",#N/A,FALSE,"working papers";"income",#N/A,FALSE,"working papers"}</definedName>
    <definedName name="wrn.papersdraft" localSheetId="40" hidden="1">{"bal",#N/A,FALSE,"working papers";"income",#N/A,FALSE,"working papers"}</definedName>
    <definedName name="wrn.papersdraft" localSheetId="39" hidden="1">{"bal",#N/A,FALSE,"working papers";"income",#N/A,FALSE,"working papers"}</definedName>
    <definedName name="wrn.papersdraft" localSheetId="22" hidden="1">{"bal",#N/A,FALSE,"working papers";"income",#N/A,FALSE,"working papers"}</definedName>
    <definedName name="wrn.papersdraft" localSheetId="36" hidden="1">{"bal",#N/A,FALSE,"working papers";"income",#N/A,FALSE,"working papers"}</definedName>
    <definedName name="wrn.papersdraft" localSheetId="23" hidden="1">{"bal",#N/A,FALSE,"working papers";"income",#N/A,FALSE,"working papers"}</definedName>
    <definedName name="wrn.papersdraft" localSheetId="41"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29" hidden="1">{"bal",#N/A,FALSE,"working papers";"income",#N/A,FALSE,"working papers"}</definedName>
    <definedName name="wrn.wpapers." localSheetId="30" hidden="1">{"bal",#N/A,FALSE,"working papers";"income",#N/A,FALSE,"working papers"}</definedName>
    <definedName name="wrn.wpapers." localSheetId="40" hidden="1">{"bal",#N/A,FALSE,"working papers";"income",#N/A,FALSE,"working papers"}</definedName>
    <definedName name="wrn.wpapers." localSheetId="39" hidden="1">{"bal",#N/A,FALSE,"working papers";"income",#N/A,FALSE,"working papers"}</definedName>
    <definedName name="wrn.wpapers." localSheetId="22" hidden="1">{"bal",#N/A,FALSE,"working papers";"income",#N/A,FALSE,"working papers"}</definedName>
    <definedName name="wrn.wpapers." localSheetId="1" hidden="1">{"bal",#N/A,FALSE,"working papers";"income",#N/A,FALSE,"working papers"}</definedName>
    <definedName name="wrn.wpapers." localSheetId="36" hidden="1">{"bal",#N/A,FALSE,"working papers";"income",#N/A,FALSE,"working papers"}</definedName>
    <definedName name="wrn.wpapers." localSheetId="23" hidden="1">{"bal",#N/A,FALSE,"working papers";"income",#N/A,FALSE,"working papers"}</definedName>
    <definedName name="wrn.wpapers." localSheetId="41" hidden="1">{"bal",#N/A,FALSE,"working papers";"income",#N/A,FALSE,"working papers"}</definedName>
    <definedName name="wrn.wpapers." hidden="1">{"bal",#N/A,FALSE,"working papers";"income",#N/A,FALSE,"working papers"}</definedName>
    <definedName name="Y1_DD_App1" localSheetId="29">'App1'!$AQ$7:$AQ$683</definedName>
    <definedName name="Y1_SCap_DD" localSheetId="29">'App1'!$CK$7:$CK$683</definedName>
    <definedName name="Y1_SCollar_DD" localSheetId="29">'App1'!$BV$7:$BV$683</definedName>
    <definedName name="Y2_DD_App1" localSheetId="29">'App1'!$AR$7:$AR$683</definedName>
    <definedName name="Y2_Scap_DD" localSheetId="29">'App1'!$CL$7:$CL$683</definedName>
    <definedName name="Y2_SCollar_DD" localSheetId="29">'App1'!$BW$7:$BW$683</definedName>
    <definedName name="Y3_DD_App1" localSheetId="29">'App1'!$AS$7:$AS$683</definedName>
    <definedName name="Y3_Scap_DD" localSheetId="29">'App1'!$CM$7:$CM$683</definedName>
    <definedName name="Y3_SCollar_DD" localSheetId="29">'App1'!$BX$7:$BX$683</definedName>
    <definedName name="Y4_DD_App1" localSheetId="29">'App1'!$AT$7:$AT$683</definedName>
    <definedName name="Y4_SCap_DD" localSheetId="29">'App1'!$CN$7:$CN$683</definedName>
    <definedName name="Y4_Scollar_DD" localSheetId="29">'App1'!$BY$7:$BY$683</definedName>
    <definedName name="Y5_DD_App1" localSheetId="29">'App1'!$AU$7:$AU$683</definedName>
    <definedName name="Y5_SCap_DD" localSheetId="29">'App1'!$CO$7:$CO$683</definedName>
    <definedName name="Y5_SCollar_DD" localSheetId="29">'App1'!$BZ$7:$BZ$683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'3F'!$B$1:$N$48</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29" hidden="1">'App1'!$D$6:$DE$370</definedName>
    <definedName name="Z_3751A3F7_A765_4A4D_A6F4_92205CA8297F_.wvu.FilterData" localSheetId="30"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26" l="1"/>
  <c r="M18" i="31"/>
  <c r="G12" i="31"/>
  <c r="E28" i="3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D14" i="26" l="1"/>
  <c r="C10" i="26"/>
  <c r="P58" i="12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AI10" i="26"/>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I22" i="96"/>
  <c r="AI23" i="9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G25" i="120" l="1"/>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32"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AK5" i="93"/>
  <c r="AJ73" i="93"/>
  <c r="AJ117" i="93"/>
  <c r="AJ120" i="93" s="1"/>
  <c r="AJ97" i="93"/>
  <c r="AK11" i="92"/>
  <c r="AK148" i="93" s="1"/>
  <c r="AK149" i="93" s="1"/>
  <c r="AK9" i="93"/>
  <c r="AK15" i="93" s="1"/>
  <c r="AK17" i="93" s="1"/>
  <c r="AH38" i="93"/>
  <c r="AH41" i="93" s="1"/>
  <c r="AH45" i="93" s="1"/>
  <c r="AH152" i="93" s="1"/>
  <c r="AH171" i="93" s="1"/>
  <c r="AH174" i="93" s="1"/>
  <c r="AH56" i="93"/>
  <c r="AH59" i="93" s="1"/>
  <c r="H18" i="27" l="1"/>
  <c r="H17" i="27"/>
  <c r="AE17" i="27" s="1"/>
  <c r="H25" i="27"/>
  <c r="AE25" i="27" s="1"/>
  <c r="H24" i="27"/>
  <c r="AE24" i="27" s="1"/>
  <c r="H22" i="27"/>
  <c r="AE22" i="27" s="1"/>
  <c r="H21" i="27"/>
  <c r="AE21" i="27" s="1"/>
  <c r="H20" i="27"/>
  <c r="AE20" i="27" s="1"/>
  <c r="H23" i="27"/>
  <c r="H19" i="27"/>
  <c r="AE19" i="27" s="1"/>
  <c r="H11" i="27"/>
  <c r="AE11" i="27" s="1"/>
  <c r="H15" i="27"/>
  <c r="AE15" i="27" s="1"/>
  <c r="H10" i="27"/>
  <c r="AE10" i="27" s="1"/>
  <c r="H12" i="27"/>
  <c r="AE12"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O48" i="113" s="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19" i="113" l="1"/>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<sst xmlns="http://schemas.openxmlformats.org/spreadsheetml/2006/main" count="63659" uniqueCount="5653">
  <si>
    <t>FOUNTAIN_INSTANCE_URL</t>
  </si>
  <si>
    <t>FountainLive</t>
  </si>
  <si>
    <t>externalModelId</t>
  </si>
  <si>
    <t>EXTERNAL_MODEL_NAME</t>
  </si>
  <si>
    <t>PR24PD01 FD ODI performance model 2024-2</t>
  </si>
  <si>
    <t>EXTERNAL_MODEL_CODE</t>
  </si>
  <si>
    <t>EXTMDL_7536</t>
  </si>
  <si>
    <t>EXTERNAL_MODEL_FAMILY</t>
  </si>
  <si>
    <t>EXTERNAL</t>
  </si>
  <si>
    <t>companyId</t>
  </si>
  <si>
    <t>companyName</t>
  </si>
  <si>
    <t>Anglian Water Services</t>
  </si>
  <si>
    <t>F_Outputs_Report_ID</t>
  </si>
  <si>
    <t>F_Outputs_TEAM</t>
  </si>
  <si>
    <t>IPL</t>
  </si>
  <si>
    <t>F_Outputs_USER</t>
  </si>
  <si>
    <t>OFWAT\paul.fox</t>
  </si>
  <si>
    <t>F_Outputs_TITLE</t>
  </si>
  <si>
    <t>PR24PD01 FD ODI performance model 2024-2_Fout</t>
  </si>
  <si>
    <t>outputRunId</t>
  </si>
  <si>
    <t>outputRunName</t>
  </si>
  <si>
    <t>Run 11 - PR24 FD Data</t>
  </si>
  <si>
    <t>outputSheetLastSent</t>
  </si>
  <si>
    <t>06 Nov 2024 08:52:33</t>
  </si>
  <si>
    <t>2024-25 Annual Performance Report (APR)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</si>
  <si>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</si>
  <si>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</si>
  <si>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</si>
  <si>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</si>
  <si>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</si>
  <si>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</si>
  <si>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</si>
  <si>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</si>
  <si>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</si>
  <si>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</si>
  <si>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</si>
  <si>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</si>
  <si>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</si>
  <si>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</si>
  <si>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</si>
  <si>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</si>
  <si>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</si>
  <si>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</si>
  <si>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</si>
  <si>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</si>
  <si>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</si>
  <si>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IN 25/XX Expectations for monopoly company annual performance reporting 2024-25 </t>
    </r>
    <r>
      <rPr>
        <sz val="11"/>
        <color rgb="FFC00000"/>
        <rFont val="Calibri"/>
        <family val="2"/>
      </rPr>
      <t>[add number and link, then delete]</t>
    </r>
  </si>
  <si>
    <r>
      <t xml:space="preserve">RAG 4.13 - Guideline for the table definitions in the annual performance report </t>
    </r>
    <r>
      <rPr>
        <sz val="11"/>
        <color rgb="FFC00000"/>
        <rFont val="Calibri"/>
        <family val="2"/>
      </rPr>
      <t>[add link, then delete]</t>
    </r>
  </si>
  <si>
    <t>Final determinations models - Ofwat</t>
  </si>
  <si>
    <t>PR24 final determinations: Accounting for past delivery - Ofwat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</si>
  <si>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</si>
  <si>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</si>
  <si>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</si>
  <si>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</si>
  <si>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</si>
  <si>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</si>
  <si>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</si>
  <si>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</si>
  <si>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</si>
  <si>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</si>
  <si>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</si>
  <si>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</si>
  <si>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</si>
  <si>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</si>
  <si>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</si>
  <si>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</si>
  <si>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</si>
  <si>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</si>
  <si>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</si>
  <si>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</si>
  <si>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</si>
  <si>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</si>
  <si>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</si>
  <si>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</si>
  <si>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</si>
  <si>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</si>
  <si>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</si>
  <si>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</si>
  <si>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</si>
  <si>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</si>
  <si>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</si>
  <si>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</si>
  <si>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</si>
  <si>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</si>
  <si>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</si>
  <si>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</si>
  <si>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</si>
  <si>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</si>
  <si>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</si>
  <si>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</si>
  <si>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</si>
  <si>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</si>
  <si>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</si>
  <si>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</si>
  <si>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</si>
  <si>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</si>
  <si>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</si>
  <si>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</si>
  <si>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</si>
  <si>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</si>
  <si>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</si>
  <si>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</si>
  <si>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</si>
  <si>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</si>
  <si>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</si>
  <si>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</si>
  <si>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</si>
  <si>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</si>
  <si>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</si>
  <si>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</si>
  <si>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</si>
  <si>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</si>
  <si>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</si>
  <si>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</si>
  <si>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</si>
  <si>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</si>
  <si>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</si>
  <si>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</si>
  <si>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</si>
  <si>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</si>
  <si>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</si>
  <si>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</si>
  <si>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</si>
  <si>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</si>
  <si>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Removed 'greying out' and reinstated the APR reporting format and structure of the tables to allow the report of supporting data for APR25.</t>
  </si>
  <si>
    <t>Proforma 3F</t>
  </si>
  <si>
    <t>Included new reporting requirements for APR25 covering a breakdown of water supply interruption performance by duration band.</t>
  </si>
  <si>
    <t>Removed 'Forecast of' from column I heading so it now reads 'Total 2020-25 outperformance or underperformance payment' as the tables report performance for the last reporting year of the current price control period 2020-25.</t>
  </si>
  <si>
    <t>Data validation checks</t>
  </si>
  <si>
    <t>2024-25</t>
  </si>
  <si>
    <t>Select the 12 months ended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</si>
  <si>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</si>
  <si>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</si>
  <si>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</si>
  <si>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</si>
  <si>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</si>
  <si>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</si>
  <si>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</si>
  <si>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</si>
  <si>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</si>
  <si>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</si>
  <si>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</si>
  <si>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</si>
  <si>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</si>
  <si>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</si>
  <si>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</si>
  <si>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</si>
  <si>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</si>
  <si>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</si>
  <si>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</si>
  <si>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</si>
  <si>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</si>
  <si>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</si>
  <si>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</si>
  <si>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</si>
  <si>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</si>
  <si>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</si>
  <si>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</si>
  <si>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</si>
  <si>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</si>
  <si>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</si>
  <si>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</si>
  <si>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</si>
  <si>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</si>
  <si>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</si>
  <si>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</si>
  <si>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</si>
  <si>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</si>
  <si>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</si>
  <si>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</si>
  <si>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</si>
  <si>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</si>
  <si>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</si>
  <si>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</si>
  <si>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</si>
  <si>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</si>
  <si>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</si>
  <si>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</si>
  <si>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</si>
  <si>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</si>
  <si>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</si>
  <si>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</si>
  <si>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</si>
  <si>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</si>
  <si>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</si>
  <si>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</si>
  <si>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</si>
  <si>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</si>
  <si>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</si>
  <si>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</si>
  <si>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</si>
  <si>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</si>
  <si>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</si>
  <si>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</si>
  <si>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</si>
  <si>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</si>
  <si>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</si>
  <si>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</si>
  <si>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</si>
  <si>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</si>
  <si>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</si>
  <si>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</si>
  <si>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</si>
  <si>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</si>
  <si>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</si>
  <si>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</si>
  <si>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</si>
  <si>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</si>
  <si>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</si>
  <si>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</si>
  <si>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</si>
  <si>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</si>
  <si>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</si>
  <si>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</si>
  <si>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</si>
  <si>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</si>
  <si>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</si>
  <si>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</si>
  <si>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</si>
  <si>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</si>
  <si>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</si>
  <si>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</si>
  <si>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</si>
  <si>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</si>
  <si>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</si>
  <si>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</si>
  <si>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</si>
  <si>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</si>
  <si>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</si>
  <si>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</si>
  <si>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</si>
  <si>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</si>
  <si>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</si>
  <si>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</si>
  <si>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</si>
  <si>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</si>
  <si>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</si>
  <si>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</si>
  <si>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</si>
  <si>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</si>
  <si>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</si>
  <si>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</si>
  <si>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</si>
  <si>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</si>
  <si>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</si>
  <si>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</si>
  <si>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</si>
  <si>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</si>
  <si>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</si>
  <si>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</si>
  <si>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</si>
  <si>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</si>
  <si>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</si>
  <si>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</si>
  <si>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</si>
  <si>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</si>
  <si>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</si>
  <si>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</si>
  <si>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</si>
  <si>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</si>
  <si>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</si>
  <si>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</si>
  <si>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</si>
  <si>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</si>
  <si>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</si>
  <si>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</si>
  <si>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</si>
  <si>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</si>
  <si>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</si>
  <si>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</si>
  <si>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</si>
  <si>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</si>
  <si>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</si>
  <si>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</si>
  <si>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</si>
  <si>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</si>
  <si>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</si>
  <si>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</si>
  <si>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</si>
  <si>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</si>
  <si>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</si>
  <si>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</si>
  <si>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</si>
  <si>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</si>
  <si>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</si>
  <si>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</si>
  <si>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</si>
  <si>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</si>
  <si>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</si>
  <si>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</si>
  <si>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</si>
  <si>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</si>
  <si>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</si>
  <si>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</si>
  <si>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</si>
  <si>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</si>
  <si>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</si>
  <si>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</si>
  <si>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</si>
  <si>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</si>
  <si>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</si>
  <si>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</si>
  <si>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</si>
  <si>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</si>
  <si>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</si>
  <si>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</si>
  <si>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</si>
  <si>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</si>
  <si>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</si>
  <si>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</si>
  <si>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</si>
  <si>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</si>
  <si>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</si>
  <si>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</si>
  <si>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</si>
  <si>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</si>
  <si>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</si>
  <si>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</si>
  <si>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</si>
  <si>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</si>
  <si>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</si>
  <si>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</si>
  <si>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</si>
  <si>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</si>
  <si>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</si>
  <si>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</si>
  <si>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</si>
  <si>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</si>
  <si>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</si>
  <si>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</si>
  <si>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</si>
  <si>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</si>
  <si>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4.13 -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</si>
  <si>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</si>
  <si>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</si>
  <si>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</si>
  <si>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</si>
  <si>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</si>
  <si>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</si>
  <si>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</si>
  <si>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</si>
  <si>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</si>
  <si>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</si>
  <si>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</si>
  <si>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</si>
  <si>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</si>
  <si>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</si>
  <si>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</si>
  <si>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</si>
  <si>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</si>
  <si>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</si>
  <si>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</si>
  <si>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</si>
  <si>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</si>
  <si>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</si>
  <si>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</si>
  <si>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</si>
  <si>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</si>
  <si>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</si>
  <si>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</si>
  <si>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</si>
  <si>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</si>
  <si>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</si>
  <si>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</si>
  <si>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</si>
  <si>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</si>
  <si>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</si>
  <si>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</si>
  <si>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</si>
  <si>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</si>
  <si>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</si>
  <si>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</si>
  <si>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</si>
  <si>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</si>
  <si>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</si>
  <si>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</si>
  <si>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</si>
  <si>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</si>
  <si>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</si>
  <si>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</si>
  <si>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</si>
  <si>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</si>
  <si>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</si>
  <si>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</si>
  <si>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</si>
  <si>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</si>
  <si>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</si>
  <si>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</si>
  <si>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</si>
  <si>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</si>
  <si>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</si>
  <si>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</si>
  <si>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</si>
  <si>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</si>
  <si>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</si>
  <si>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</si>
  <si>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</si>
  <si>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</si>
  <si>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</si>
  <si>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</si>
  <si>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</si>
  <si>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</si>
  <si>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</si>
  <si>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</si>
  <si>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</si>
  <si>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</si>
  <si>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</si>
  <si>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</si>
  <si>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</si>
  <si>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</si>
  <si>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</si>
  <si>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</si>
  <si>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</si>
  <si>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</si>
  <si>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</si>
  <si>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</si>
  <si>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</si>
  <si>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</si>
  <si>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</si>
  <si>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</si>
  <si>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</si>
  <si>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</si>
  <si>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</si>
  <si>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</si>
  <si>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</si>
  <si>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</si>
  <si>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</si>
  <si>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</si>
  <si>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</si>
  <si>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</si>
  <si>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</si>
  <si>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</si>
  <si>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</si>
  <si>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</si>
  <si>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</si>
  <si>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</si>
  <si>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</si>
  <si>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</si>
  <si>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</si>
  <si>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</si>
  <si>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</si>
  <si>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</si>
  <si>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</si>
  <si>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</si>
  <si>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</si>
  <si>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</si>
  <si>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</si>
  <si>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</si>
  <si>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</si>
  <si>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</si>
  <si>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</si>
  <si>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</si>
  <si>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</si>
  <si>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</si>
  <si>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</si>
  <si>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</si>
  <si>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</si>
  <si>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</si>
  <si>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</si>
  <si>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</si>
  <si>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</si>
  <si>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</si>
  <si>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</si>
  <si>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</si>
  <si>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</si>
  <si>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</si>
  <si>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</si>
  <si>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</si>
  <si>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</si>
  <si>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</si>
  <si>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</si>
  <si>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</si>
  <si>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</si>
  <si>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</si>
  <si>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</si>
  <si>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</si>
  <si>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</si>
  <si>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</si>
  <si>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</si>
  <si>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</si>
  <si>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</si>
  <si>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</si>
  <si>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</si>
  <si>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</si>
  <si>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S1.1 Pre-development enquiry – reports issued within target</t>
  </si>
  <si>
    <t>3D.W1</t>
  </si>
  <si>
    <t>S7.1 Adoption legal agreement – draft agreements issued within target</t>
  </si>
  <si>
    <t>3D.W2</t>
  </si>
  <si>
    <t>SAM - 3/1 Execute Adoption Agreement (Stage 3) – Sewerage Company – SAM – 3/1 – Update draft Agreement</t>
  </si>
  <si>
    <t>3D.W3</t>
  </si>
  <si>
    <t>SAM - 4/1 Customer notifies of construction start date and requests inspections (Stage 4) – Sewerage Company – SAM – 4/1 Inspections &amp; construction period</t>
  </si>
  <si>
    <t>3D.W4</t>
  </si>
  <si>
    <t>SLPM – S1/2 POC (Stage 1C) – Water Company – SLPM – S1/2 – Review PoC proposal</t>
  </si>
  <si>
    <t>3D.W5</t>
  </si>
  <si>
    <t>SLPM - S2/2a Design Self-Laid Main (Stage 2) – Water Company – SLPM - S2/2a – Provide design</t>
  </si>
  <si>
    <t>3D.W6</t>
  </si>
  <si>
    <t>SLPM - S2/2b Design Self-Laid Main (Stage 2) – Water Company – SLPM - S2/2b – Water Company to Provide design acceptance</t>
  </si>
  <si>
    <t>3D.W7</t>
  </si>
  <si>
    <t>SLPM – S3 Execute Water Adoption Agreement (Stage 3) – Water Company – SLPM – S3 – Review / revise Water Adoption Agreement</t>
  </si>
  <si>
    <t>3D.W8</t>
  </si>
  <si>
    <t>SLPM – S4/1 Delivery Date (Stage 3 / 4) – Water Company – SLPM – S4/1 – Source of Water Delivery Date</t>
  </si>
  <si>
    <t>3D.W9</t>
  </si>
  <si>
    <t>SLPM – S5/1a Connect Self-Laid Main – (Stage 5) – Water Company – SLPM – S5/1a – Review request and carry out Final Connection</t>
  </si>
  <si>
    <t>3D.W10</t>
  </si>
  <si>
    <t>SLPM – S7/1 Make Service Connections (Stage 7 – Part 2) – Water Company – SLPM – S7/1 – Validate notification and provide consent to progress with connection</t>
  </si>
  <si>
    <t>3D.W11</t>
  </si>
  <si>
    <t>W1.1 Pre-development enquiry – reports issued within target</t>
  </si>
  <si>
    <t>3D.W12</t>
  </si>
  <si>
    <t>W17.1 Mains diversions (without constraints) - quotations within target</t>
  </si>
  <si>
    <t>3D.W13</t>
  </si>
  <si>
    <t>W17.2 Mains diversions (with constraints) - quotations within target</t>
  </si>
  <si>
    <t>3D.W14</t>
  </si>
  <si>
    <t>W18.1 Mains diversions - construction/commissioning within target</t>
  </si>
  <si>
    <t>3D.W15</t>
  </si>
  <si>
    <t>W3.1 s45 quotations - within target</t>
  </si>
  <si>
    <t>3D.W16</t>
  </si>
  <si>
    <t>W4.1 s45 service pipe connections - within target</t>
  </si>
  <si>
    <t>3D.W17</t>
  </si>
  <si>
    <t>W6.1 Mains design &lt;500 plots - quotations within target</t>
  </si>
  <si>
    <t>3D.W18</t>
  </si>
  <si>
    <t>W7.1 Mains design &gt;500 plots - quotations within target</t>
  </si>
  <si>
    <t>3D.W19</t>
  </si>
  <si>
    <t>W8.1 Mains construction within target</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</si>
  <si>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</si>
  <si>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</si>
  <si>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</si>
  <si>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</si>
  <si>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</si>
  <si>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</si>
  <si>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</si>
  <si>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</si>
  <si>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</si>
  <si>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</si>
  <si>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</si>
  <si>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</si>
  <si>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</si>
  <si>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</si>
  <si>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</si>
  <si>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</si>
  <si>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</si>
  <si>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</si>
  <si>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</si>
  <si>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</si>
  <si>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</si>
  <si>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</si>
  <si>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</si>
  <si>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</si>
  <si>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</si>
  <si>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</si>
  <si>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</si>
  <si>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</si>
  <si>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</si>
  <si>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</si>
  <si>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</si>
  <si>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</si>
  <si>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</si>
  <si>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</si>
  <si>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</si>
  <si>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</si>
  <si>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</si>
  <si>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</si>
  <si>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</si>
  <si>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</si>
  <si>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</si>
  <si>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</si>
  <si>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</si>
  <si>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</si>
  <si>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</si>
  <si>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</si>
  <si>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</si>
  <si>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</si>
  <si>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</si>
  <si>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</si>
  <si>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</si>
  <si>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</si>
  <si>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</si>
  <si>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</si>
  <si>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</si>
  <si>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</si>
  <si>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</si>
  <si>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</si>
  <si>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</si>
  <si>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</si>
  <si>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</si>
  <si>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</si>
  <si>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</si>
  <si>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</si>
  <si>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</si>
  <si>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</si>
  <si>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</si>
  <si>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</si>
  <si>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</si>
  <si>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</si>
  <si>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</si>
  <si>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</si>
  <si>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</si>
  <si>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</si>
  <si>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</si>
  <si>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</si>
  <si>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</si>
  <si>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</si>
  <si>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</si>
  <si>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</si>
  <si>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</si>
  <si>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</si>
  <si>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Maintained</t>
  </si>
  <si>
    <t>3E.12</t>
  </si>
  <si>
    <t>APR3E_18</t>
  </si>
  <si>
    <t>APR3E_41</t>
  </si>
  <si>
    <t>3E.13</t>
  </si>
  <si>
    <t>APR3E_19</t>
  </si>
  <si>
    <t>APR3E_42</t>
  </si>
  <si>
    <t>3E.14</t>
  </si>
  <si>
    <t>APR3E_20</t>
  </si>
  <si>
    <t>APR3E_43</t>
  </si>
  <si>
    <t>Not met</t>
  </si>
  <si>
    <t>3E.15</t>
  </si>
  <si>
    <t>APR3E_21</t>
  </si>
  <si>
    <t>APR3E_44</t>
  </si>
  <si>
    <t>3E.16</t>
  </si>
  <si>
    <t>APR3E_22</t>
  </si>
  <si>
    <t>APR3E_45</t>
  </si>
  <si>
    <t>3E.17</t>
  </si>
  <si>
    <t>APR3E_23</t>
  </si>
  <si>
    <t>APR3E_46</t>
  </si>
  <si>
    <t>3E.18</t>
  </si>
  <si>
    <t>APR3E_24</t>
  </si>
  <si>
    <t>APR3E_47</t>
  </si>
  <si>
    <t>Pass</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</si>
  <si>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</si>
  <si>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</si>
  <si>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</si>
  <si>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</si>
  <si>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</si>
  <si>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</si>
  <si>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</si>
  <si>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</si>
  <si>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</si>
  <si>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</si>
  <si>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</si>
  <si>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</si>
  <si>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</si>
  <si>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</si>
  <si>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</si>
  <si>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</si>
  <si>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</si>
  <si>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</si>
  <si>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</si>
  <si>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</si>
  <si>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</si>
  <si>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</si>
  <si>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</si>
  <si>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</si>
  <si>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</si>
  <si>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</si>
  <si>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</si>
  <si>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</si>
  <si>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</si>
  <si>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</si>
  <si>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</si>
  <si>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</si>
  <si>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</si>
  <si>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</si>
  <si>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</si>
  <si>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</si>
  <si>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</si>
  <si>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</si>
  <si>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</si>
  <si>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</si>
  <si>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</si>
  <si>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</si>
  <si>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</si>
  <si>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</si>
  <si>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</si>
  <si>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</si>
  <si>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</si>
  <si>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</si>
  <si>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</si>
  <si>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</si>
  <si>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</si>
  <si>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</si>
  <si>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</si>
  <si>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</si>
  <si>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</si>
  <si>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</si>
  <si>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</si>
  <si>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</si>
  <si>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</si>
  <si>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</si>
  <si>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</si>
  <si>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</si>
  <si>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</si>
  <si>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</si>
  <si>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</si>
  <si>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</si>
  <si>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</si>
  <si>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</si>
  <si>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</si>
  <si>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</si>
  <si>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</si>
  <si>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</si>
  <si>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</si>
  <si>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</si>
  <si>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</si>
  <si>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</si>
  <si>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</si>
  <si>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</si>
  <si>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</si>
  <si>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</si>
  <si>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</si>
  <si>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</si>
  <si>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</si>
  <si>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</si>
  <si>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</si>
  <si>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</si>
  <si>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</si>
  <si>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</si>
  <si>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</si>
  <si>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r>
      <t xml:space="preserve">Water supply interruptions
</t>
    </r>
    <r>
      <rPr>
        <sz val="10"/>
        <color rgb="FF000000"/>
        <rFont val="Arial"/>
        <family val="2"/>
      </rPr>
      <t>≥</t>
    </r>
    <r>
      <rPr>
        <sz val="10"/>
        <color rgb="FF000000"/>
        <rFont val="Calibri"/>
        <family val="2"/>
      </rPr>
      <t xml:space="preserve"> 3 hours</t>
    </r>
  </si>
  <si>
    <t>Average number of minutes lost per property per year</t>
  </si>
  <si>
    <t>Number of properties (thousands)</t>
  </si>
  <si>
    <t>3F.7</t>
  </si>
  <si>
    <t>APR3F_13</t>
  </si>
  <si>
    <t>APR3F_14</t>
  </si>
  <si>
    <r>
      <t xml:space="preserve">Water supply interruptions
</t>
    </r>
    <r>
      <rPr>
        <sz val="10"/>
        <color rgb="FF000000"/>
        <rFont val="Arial"/>
        <family val="2"/>
      </rPr>
      <t>≥</t>
    </r>
    <r>
      <rPr>
        <sz val="10"/>
        <color rgb="FF000000"/>
        <rFont val="Calibri"/>
        <family val="2"/>
      </rPr>
      <t xml:space="preserve"> 6 hours</t>
    </r>
  </si>
  <si>
    <t>3F.7a</t>
  </si>
  <si>
    <t>APR3F_13a</t>
  </si>
  <si>
    <t>APR3F_14a</t>
  </si>
  <si>
    <t>APR3A_02a</t>
  </si>
  <si>
    <r>
      <t xml:space="preserve">Water supply interruptions
</t>
    </r>
    <r>
      <rPr>
        <sz val="10"/>
        <color rgb="FF000000"/>
        <rFont val="Arial"/>
        <family val="2"/>
      </rPr>
      <t>≥</t>
    </r>
    <r>
      <rPr>
        <sz val="10"/>
        <color rgb="FF000000"/>
        <rFont val="Calibri"/>
        <family val="2"/>
      </rPr>
      <t xml:space="preserve"> 12 hours</t>
    </r>
  </si>
  <si>
    <t>3F.7b</t>
  </si>
  <si>
    <t>APR3F_13b</t>
  </si>
  <si>
    <t>APR3F_14b</t>
  </si>
  <si>
    <t>APR3A_02b</t>
  </si>
  <si>
    <r>
      <t xml:space="preserve">Water supply interruptions
</t>
    </r>
    <r>
      <rPr>
        <sz val="10"/>
        <color rgb="FF000000"/>
        <rFont val="Arial"/>
        <family val="2"/>
      </rPr>
      <t>≥</t>
    </r>
    <r>
      <rPr>
        <sz val="10"/>
        <color rgb="FF000000"/>
        <rFont val="Calibri"/>
        <family val="2"/>
      </rPr>
      <t xml:space="preserve"> 24 hours</t>
    </r>
  </si>
  <si>
    <t>3F.7c</t>
  </si>
  <si>
    <t>APR3F_13c</t>
  </si>
  <si>
    <t>APR3F_14c</t>
  </si>
  <si>
    <t>APR3A_02c</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</si>
  <si>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</si>
  <si>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</si>
  <si>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</si>
  <si>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</si>
  <si>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</si>
  <si>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</si>
  <si>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</si>
  <si>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</si>
  <si>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</si>
  <si>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</si>
  <si>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</si>
  <si>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</si>
  <si>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</si>
  <si>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</si>
  <si>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</si>
  <si>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</si>
  <si>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</si>
  <si>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</si>
  <si>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</si>
  <si>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</si>
  <si>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</si>
  <si>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</si>
  <si>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</si>
  <si>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See RAG Guidance</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</si>
  <si>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</si>
  <si>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</si>
  <si>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</si>
  <si>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</si>
  <si>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</si>
  <si>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</si>
  <si>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</si>
  <si>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</si>
  <si>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</si>
  <si>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</si>
  <si>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</si>
  <si>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</si>
  <si>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</si>
  <si>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</si>
  <si>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</si>
  <si>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</si>
  <si>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</si>
  <si>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</si>
  <si>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</si>
  <si>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</si>
  <si>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</si>
  <si>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</si>
  <si>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</si>
  <si>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</si>
  <si>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</si>
  <si>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</si>
  <si>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</si>
  <si>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</si>
  <si>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</si>
  <si>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</si>
  <si>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</si>
  <si>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</si>
  <si>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</si>
  <si>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</si>
  <si>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</si>
  <si>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</si>
  <si>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</si>
  <si>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</si>
  <si>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</si>
  <si>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</si>
  <si>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</si>
  <si>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</si>
  <si>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</si>
  <si>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</si>
  <si>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</si>
  <si>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</si>
  <si>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</si>
  <si>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</si>
  <si>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</si>
  <si>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</si>
  <si>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</si>
  <si>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</si>
  <si>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</si>
  <si>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</si>
  <si>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</si>
  <si>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</si>
  <si>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</si>
  <si>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</si>
  <si>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</si>
  <si>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</si>
  <si>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</si>
  <si>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</si>
  <si>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</si>
  <si>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</si>
  <si>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</si>
  <si>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</si>
  <si>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</si>
  <si>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</si>
  <si>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</si>
  <si>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</si>
  <si>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</si>
  <si>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</si>
  <si>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</si>
  <si>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</si>
  <si>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</si>
  <si>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</si>
  <si>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</si>
  <si>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</si>
  <si>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</si>
  <si>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</si>
  <si>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</si>
  <si>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</si>
  <si>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</si>
  <si>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</si>
  <si>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</si>
  <si>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</si>
  <si>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</si>
  <si>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</si>
  <si>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</si>
  <si>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</si>
  <si>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</si>
  <si>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</si>
  <si>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</si>
  <si>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</si>
  <si>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</si>
  <si>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</si>
  <si>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</si>
  <si>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</si>
  <si>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</si>
  <si>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</si>
  <si>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</si>
  <si>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</si>
  <si>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</si>
  <si>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</si>
  <si>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</si>
  <si>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</si>
  <si>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</si>
  <si>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</si>
  <si>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</si>
  <si>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</si>
  <si>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</si>
  <si>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</si>
  <si>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</si>
  <si>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</si>
  <si>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</si>
  <si>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</si>
  <si>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</si>
  <si>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</si>
  <si>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</si>
  <si>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</si>
  <si>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</si>
  <si>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</si>
  <si>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</si>
  <si>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</si>
  <si>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</si>
  <si>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</si>
  <si>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</si>
  <si>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</si>
  <si>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</si>
  <si>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</si>
  <si>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</si>
  <si>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</si>
  <si>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</si>
  <si>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</si>
  <si>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</si>
  <si>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</si>
  <si>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</si>
  <si>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</si>
  <si>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</si>
  <si>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</si>
  <si>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</si>
  <si>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</si>
  <si>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</si>
  <si>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</si>
  <si>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 ODI performance model</t>
  </si>
  <si>
    <t>Version:</t>
  </si>
  <si>
    <t>Filename:</t>
  </si>
  <si>
    <t>PR19IPD01_ODI-performance-model-v1.12 for 2024-25</t>
  </si>
  <si>
    <t>Date:</t>
  </si>
  <si>
    <t>Author:</t>
  </si>
  <si>
    <t>Ofwat</t>
  </si>
  <si>
    <t>Author contact information:</t>
  </si>
  <si>
    <t>paul.fox@ofwat.gov.uk</t>
  </si>
  <si>
    <t>Summary of workbook:</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</si>
  <si>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</si>
  <si>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</si>
  <si>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</si>
  <si>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Instructions: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</si>
  <si>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</si>
  <si>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</si>
  <si>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</si>
  <si>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</si>
  <si>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</si>
  <si>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</si>
  <si>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</si>
  <si>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</si>
  <si>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</si>
  <si>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</si>
  <si>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</si>
  <si>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</si>
  <si>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</si>
  <si>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</si>
  <si>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</si>
  <si>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</si>
  <si>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</si>
  <si>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</si>
  <si>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</si>
  <si>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</si>
  <si>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</si>
  <si>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</si>
  <si>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</si>
  <si>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</si>
  <si>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</si>
  <si>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</si>
  <si>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</si>
  <si>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</si>
  <si>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</si>
  <si>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</si>
  <si>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</si>
  <si>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</si>
  <si>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</si>
  <si>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</si>
  <si>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</si>
  <si>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</si>
  <si>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</si>
  <si>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</si>
  <si>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</si>
  <si>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</si>
  <si>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</si>
  <si>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</si>
  <si>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</si>
  <si>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</si>
  <si>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</si>
  <si>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</si>
  <si>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</si>
  <si>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</si>
  <si>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</si>
  <si>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</si>
  <si>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</si>
  <si>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</si>
  <si>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</si>
  <si>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</si>
  <si>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</si>
  <si>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</si>
  <si>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</si>
  <si>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</si>
  <si>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</si>
  <si>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</si>
  <si>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</si>
  <si>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</si>
  <si>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</si>
  <si>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</si>
  <si>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</si>
  <si>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</si>
  <si>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</si>
  <si>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</si>
  <si>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</si>
  <si>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</si>
  <si>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</si>
  <si>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</si>
  <si>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</si>
  <si>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</si>
  <si>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</si>
  <si>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</si>
  <si>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Removed formulae under company view and amended the model output payment formula to include the end of period PC payments. This ensures the end of period payments for individual PCs are included in the F_Outputs sheets.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</si>
  <si>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</si>
  <si>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</si>
  <si>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</si>
  <si>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</si>
  <si>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</si>
  <si>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</si>
  <si>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</si>
  <si>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</si>
  <si>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</si>
  <si>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</si>
  <si>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</si>
  <si>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</si>
  <si>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</si>
  <si>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</si>
  <si>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</si>
  <si>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</si>
  <si>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</si>
  <si>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</si>
  <si>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</si>
  <si>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</si>
  <si>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</si>
  <si>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</si>
  <si>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</si>
  <si>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</si>
  <si>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</si>
  <si>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</si>
  <si>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</si>
  <si>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</si>
  <si>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</si>
  <si>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</si>
  <si>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</si>
  <si>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</si>
  <si>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</si>
  <si>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</si>
  <si>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</si>
  <si>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</si>
  <si>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</si>
  <si>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</si>
  <si>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</si>
  <si>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 For Ofwat use.</t>
  </si>
  <si>
    <t>Takes from Company_PC_Inputs unless Ofwat makes an intervention</t>
  </si>
  <si>
    <t>Provides outputs at a PC level before any sharing adjustments are made</t>
  </si>
  <si>
    <t>Style Guide</t>
  </si>
  <si>
    <t>Override_Additional info</t>
  </si>
  <si>
    <t>Model outputs - Interventions</t>
  </si>
  <si>
    <t>Explanation of different formatting types.</t>
  </si>
  <si>
    <t>Additional information on Ofwat's interventions in per capita consumption performance for the impact of COVID-19. For Ofwat use.</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</si>
  <si>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</si>
  <si>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</si>
  <si>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</si>
  <si>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</si>
  <si>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</si>
  <si>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</si>
  <si>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</si>
  <si>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PC lists</t>
  </si>
  <si>
    <t>Company_PC_Inputs</t>
  </si>
  <si>
    <t>Aggregate calculations</t>
  </si>
  <si>
    <t>Accrued ODI outputs</t>
  </si>
  <si>
    <t>Sorts the PCs for use in tables 3A, 3B and 3E.</t>
  </si>
  <si>
    <t>Net ODI payments (in-period, revenue and RCV).</t>
  </si>
  <si>
    <t>A summary of the accrued ODI payments relating to end of period PCs calculated for the selected</t>
  </si>
  <si>
    <t>reporting year. For Ofwat use.</t>
  </si>
  <si>
    <t>Validation</t>
  </si>
  <si>
    <t>Ofwat_PC_Interventions</t>
  </si>
  <si>
    <t>F_Outputs (IPD)</t>
  </si>
  <si>
    <t>Validation data.</t>
  </si>
  <si>
    <t>Sheet to provide for Ofwat to make interventions if necessary. For Ofwat use.</t>
  </si>
  <si>
    <t>F_Output sheet for Ofwat use.</t>
  </si>
  <si>
    <t>App1 change log</t>
  </si>
  <si>
    <t>Accrued ODI payments</t>
  </si>
  <si>
    <t>F_Outputs (BYR)</t>
  </si>
  <si>
    <t>Log of changes to PR19 data for bespoke PCs.</t>
  </si>
  <si>
    <t>A summary of the accrued payments to date by PC and price control as</t>
  </si>
  <si>
    <t>F_Output sheet for Ofwat use in the 2025 Blind Year.</t>
  </si>
  <si>
    <t>published in the In-Period and PR24 Final Determination ODI models.</t>
  </si>
  <si>
    <t>App1b change log</t>
  </si>
  <si>
    <t>Log of changes to PR19 data for common PCs.</t>
  </si>
  <si>
    <t>PCC_Payments</t>
  </si>
  <si>
    <t>Contains PCC ODI payments for years 2020-21, 2021-22, 2022-23 and 2023-24</t>
  </si>
  <si>
    <t>based on reported / restated performance without any adjustments for COVID-19.</t>
  </si>
  <si>
    <t>App1</t>
  </si>
  <si>
    <t>Contains information for each of the PR19 bespoke performance commitments.</t>
  </si>
  <si>
    <t>App1b</t>
  </si>
  <si>
    <t>Contains information for each of the PR19 common performance commitments.</t>
  </si>
  <si>
    <t>END</t>
  </si>
  <si>
    <t>Common PC unique references lookups</t>
  </si>
  <si>
    <t>Per capita consumption</t>
  </si>
  <si>
    <t>Treatment works compliance</t>
  </si>
  <si>
    <t>Total number of common PCs per company</t>
  </si>
  <si>
    <t>Total number of common financial PCs per company</t>
  </si>
  <si>
    <t>Total number of common non-financial PCs per company</t>
  </si>
  <si>
    <t>PR19AFW_W-A1</t>
  </si>
  <si>
    <t>PR19AFW_W-D1</t>
  </si>
  <si>
    <t>PR19AFW_W-B1</t>
  </si>
  <si>
    <t>PR19AFW_R-B1</t>
  </si>
  <si>
    <t>PR19AFW_W-D4</t>
  </si>
  <si>
    <t>PR19AFW_W-D3</t>
  </si>
  <si>
    <t>PR19ANH_7</t>
  </si>
  <si>
    <t>PR19ANH_8</t>
  </si>
  <si>
    <t>PR19ANH_13</t>
  </si>
  <si>
    <t>PR19ANH_14</t>
  </si>
  <si>
    <t>PR19AFW_W-D2</t>
  </si>
  <si>
    <t>PR19AFW_R-N3</t>
  </si>
  <si>
    <t>PR19ANH_10</t>
  </si>
  <si>
    <t>ANH</t>
  </si>
  <si>
    <t>PR19ANH_3</t>
  </si>
  <si>
    <t>PR19ANH_4</t>
  </si>
  <si>
    <t>PR19ANH_5</t>
  </si>
  <si>
    <t>PR19ANH_6</t>
  </si>
  <si>
    <t>PR19ANH_11</t>
  </si>
  <si>
    <t>PR19ANH_12</t>
  </si>
  <si>
    <t>PR19HDD_E1</t>
  </si>
  <si>
    <t>PR19HDD_E2</t>
  </si>
  <si>
    <t>PR19HDD_E5</t>
  </si>
  <si>
    <t>PR19HDD_C4</t>
  </si>
  <si>
    <t>PR19ANH_9</t>
  </si>
  <si>
    <t>PR19ANH_22</t>
  </si>
  <si>
    <t>PR19HDD_E4</t>
  </si>
  <si>
    <t>WSH</t>
  </si>
  <si>
    <t>PR19BRL_PC01</t>
  </si>
  <si>
    <t>PR19BRL_PC02</t>
  </si>
  <si>
    <t>PR19BRL_PC18</t>
  </si>
  <si>
    <t>PR19BRL_PC19</t>
  </si>
  <si>
    <t>PR19BRL_PC03</t>
  </si>
  <si>
    <t>PR19BRL_PC04</t>
  </si>
  <si>
    <t>PR19NES_COM08</t>
  </si>
  <si>
    <t>PR19NES_COM09</t>
  </si>
  <si>
    <t>PR19NES_COM14</t>
  </si>
  <si>
    <t>PR19NES_COM15</t>
  </si>
  <si>
    <t>PR19BRL_PC05</t>
  </si>
  <si>
    <t>PR19BRL_PC27</t>
  </si>
  <si>
    <t>PR19NES_COM11</t>
  </si>
  <si>
    <t>HDD</t>
  </si>
  <si>
    <t>PR19HDD_A1</t>
  </si>
  <si>
    <t>PR19HDD_B1</t>
  </si>
  <si>
    <t>PR19HDD_B2</t>
  </si>
  <si>
    <t>PR19HDD_B3</t>
  </si>
  <si>
    <t>PR19HDD_B5</t>
  </si>
  <si>
    <t>PR19HDD_B6</t>
  </si>
  <si>
    <t>PR19SRN_WWN01</t>
  </si>
  <si>
    <t>PR19SRN_WWN04</t>
  </si>
  <si>
    <t>PR19SRN_WWN05</t>
  </si>
  <si>
    <t>PR19HDD_B4</t>
  </si>
  <si>
    <t>PR19HDD_H1</t>
  </si>
  <si>
    <t>PR19SRN_WWN03</t>
  </si>
  <si>
    <t>NES</t>
  </si>
  <si>
    <t>PR19NES_COM03</t>
  </si>
  <si>
    <t>PR19NES_COM04</t>
  </si>
  <si>
    <t>PR19NES_COM05</t>
  </si>
  <si>
    <t>PR19NES_COM07</t>
  </si>
  <si>
    <t>PR19NES_COM12</t>
  </si>
  <si>
    <t>PR19NES_COM13</t>
  </si>
  <si>
    <t>PR19SVE_F01</t>
  </si>
  <si>
    <t>PR19SRN_WWN02</t>
  </si>
  <si>
    <t>PR19SVE_F03</t>
  </si>
  <si>
    <t>PR19SVE_C01</t>
  </si>
  <si>
    <t>PR19NES_COM10</t>
  </si>
  <si>
    <t>PR19NES_COM16</t>
  </si>
  <si>
    <t>PR19SVE_F04</t>
  </si>
  <si>
    <t>SVE</t>
  </si>
  <si>
    <t>PR19PRT_PRT-Network Plus-01</t>
  </si>
  <si>
    <t>PR19PRT_PRT-Network Plus-02</t>
  </si>
  <si>
    <t>PR19NES_COM06</t>
  </si>
  <si>
    <t>PR19PRT_PRT-Water Resources 03</t>
  </si>
  <si>
    <t>PR19PRT_PRT-Network Plus-03</t>
  </si>
  <si>
    <t>PR19PRT_PRT-Network Plus-04</t>
  </si>
  <si>
    <t>PR19SWB_PC B1</t>
  </si>
  <si>
    <t>PR19SVE_F02</t>
  </si>
  <si>
    <t>PR19SWB_PC B3</t>
  </si>
  <si>
    <t>PR19SWB_PC B6</t>
  </si>
  <si>
    <t>PR19PRT_PRT-Water Resources-04</t>
  </si>
  <si>
    <t>PR19PRT_PRT-Retail-05</t>
  </si>
  <si>
    <t>PR19SWB_PC D2</t>
  </si>
  <si>
    <t>SWB</t>
  </si>
  <si>
    <t>PR19SES_A.4</t>
  </si>
  <si>
    <t>PR19SES_A.1</t>
  </si>
  <si>
    <t>PR19PRT_PRT-Network Plus-07</t>
  </si>
  <si>
    <t>PR19SES_E.1</t>
  </si>
  <si>
    <t>PR19SES_A.2</t>
  </si>
  <si>
    <t>PR19SES_C.3</t>
  </si>
  <si>
    <t>PR19TMS_CS03</t>
  </si>
  <si>
    <t>PR19SWB_PC F1</t>
  </si>
  <si>
    <t>PR19TMS_CS02</t>
  </si>
  <si>
    <t>PR19TMS_CS01</t>
  </si>
  <si>
    <t>PR19SES_C.1</t>
  </si>
  <si>
    <t>PR19SES_B.5</t>
  </si>
  <si>
    <t>PR19TMS_DS01</t>
  </si>
  <si>
    <t>SRN</t>
  </si>
  <si>
    <t>PR19SEW_A.1</t>
  </si>
  <si>
    <t>PR19SEW_B.1</t>
  </si>
  <si>
    <t>PR19SES_C.4</t>
  </si>
  <si>
    <t>PR19SEW_E.1</t>
  </si>
  <si>
    <t>PR19SEW_B.2</t>
  </si>
  <si>
    <t>PR19SEW_B.3</t>
  </si>
  <si>
    <t>PR19UUW_G02-WWN</t>
  </si>
  <si>
    <t>PR19TMS_ES01</t>
  </si>
  <si>
    <t>PR19UUW_F01-WWN</t>
  </si>
  <si>
    <t>PR19UUW_C02-CF</t>
  </si>
  <si>
    <t>PR19SEW_G.1</t>
  </si>
  <si>
    <t>PR19SEW_J.1</t>
  </si>
  <si>
    <t>PR19UUW_G01-WWN</t>
  </si>
  <si>
    <t>TMS</t>
  </si>
  <si>
    <t>PR19SRN_WN02</t>
  </si>
  <si>
    <t>PR19SRN_WN03</t>
  </si>
  <si>
    <t>PR19SEW_D.1</t>
  </si>
  <si>
    <t>PR19SRN_WR01</t>
  </si>
  <si>
    <t>PR19SRN_WN05</t>
  </si>
  <si>
    <t>PR19SRN_WN06</t>
  </si>
  <si>
    <t>PR19WSH_Rt1</t>
  </si>
  <si>
    <t>PR19UUW_C01-WWN</t>
  </si>
  <si>
    <t>PR19WSH_Rt3</t>
  </si>
  <si>
    <t>PR19WSH_En1</t>
  </si>
  <si>
    <t>PR19SRN_WR02</t>
  </si>
  <si>
    <t>PR19SRN_RR08</t>
  </si>
  <si>
    <t>PR19WSH_Ft2</t>
  </si>
  <si>
    <t>UUW</t>
  </si>
  <si>
    <t>PR19SSC_D1</t>
  </si>
  <si>
    <t>PR19SSC_D2</t>
  </si>
  <si>
    <t>PR19SRN_WN04</t>
  </si>
  <si>
    <t>PR19SSC_C3</t>
  </si>
  <si>
    <t>PR19SSC_D4</t>
  </si>
  <si>
    <t>PR19SSC_D5</t>
  </si>
  <si>
    <t>PR19WSX_F1</t>
  </si>
  <si>
    <t>PR19WSH_En3</t>
  </si>
  <si>
    <t>PR19WSX_R6</t>
  </si>
  <si>
    <t>PR19WSX_E1</t>
  </si>
  <si>
    <t>PR19SSC_D3</t>
  </si>
  <si>
    <t>PR19SSC_B4</t>
  </si>
  <si>
    <t>PR19WSX_R3</t>
  </si>
  <si>
    <t>WSX</t>
  </si>
  <si>
    <t>PR19SVE_H01</t>
  </si>
  <si>
    <t>PR19SVE_G01</t>
  </si>
  <si>
    <t>PR19SSC_C1</t>
  </si>
  <si>
    <t>PR19SSC_C4</t>
  </si>
  <si>
    <t>PR19SVE_G04</t>
  </si>
  <si>
    <t>PR19SVE_G05</t>
  </si>
  <si>
    <t>PR19YKY_31</t>
  </si>
  <si>
    <t>PR19WSX_E2</t>
  </si>
  <si>
    <t>PR19YKY_33</t>
  </si>
  <si>
    <t>PR19YKY_32</t>
  </si>
  <si>
    <t>PR19SVE_G06</t>
  </si>
  <si>
    <t>PR19SVE_E02</t>
  </si>
  <si>
    <t>PR19YKY_34</t>
  </si>
  <si>
    <t>YKY</t>
  </si>
  <si>
    <t>PR19SWB_PC A1</t>
  </si>
  <si>
    <t>PR19SWB_PC A2</t>
  </si>
  <si>
    <t>PR19SSC_C2</t>
  </si>
  <si>
    <t>PR19SVE_G03</t>
  </si>
  <si>
    <t>PR19SWB_PC A3</t>
  </si>
  <si>
    <t>PR19SWB_PC A4</t>
  </si>
  <si>
    <t>PR19YKY_30</t>
  </si>
  <si>
    <t>PR19SWB_PC D1</t>
  </si>
  <si>
    <t>PR19SWB_PC E6</t>
  </si>
  <si>
    <t>AFW</t>
  </si>
  <si>
    <t>PR19TMS_BW06a</t>
  </si>
  <si>
    <t>PR19TMS_BW03</t>
  </si>
  <si>
    <t>PR19SVE_G02</t>
  </si>
  <si>
    <t>PR19SWB_PC C3</t>
  </si>
  <si>
    <t>PR19TMS_BW01</t>
  </si>
  <si>
    <t>PR19TMS_BW02</t>
  </si>
  <si>
    <t>PR19TMS_DW01</t>
  </si>
  <si>
    <t>PR19TMS_AR06</t>
  </si>
  <si>
    <t>BRL</t>
  </si>
  <si>
    <t>PR19UUW_A01-CF</t>
  </si>
  <si>
    <t>PR19UUW_B03-WN</t>
  </si>
  <si>
    <t>PR19SWB_PC C2</t>
  </si>
  <si>
    <t>PR19TMS_BW05</t>
  </si>
  <si>
    <t>PR19UUW_B02-WN</t>
  </si>
  <si>
    <t>PR19UUW_B04-CF</t>
  </si>
  <si>
    <t>PR19UUW_B06-CF</t>
  </si>
  <si>
    <t>PR19UUW_D03-HH</t>
  </si>
  <si>
    <t>PRT</t>
  </si>
  <si>
    <t>PR19WSH_Wt1</t>
  </si>
  <si>
    <t>PR19WSH_Wt2</t>
  </si>
  <si>
    <t>PR19TMS_BW04</t>
  </si>
  <si>
    <t>PR19UUW_B05-WN</t>
  </si>
  <si>
    <t>PR19WSH_Wt4</t>
  </si>
  <si>
    <t>PR19WSH_Wt5</t>
  </si>
  <si>
    <t>PR19WSH_Ft1</t>
  </si>
  <si>
    <t>PR19WSH_Sv5</t>
  </si>
  <si>
    <t>SEW</t>
  </si>
  <si>
    <t>PR19WSX_Q1</t>
  </si>
  <si>
    <t>PR19WSX_R1</t>
  </si>
  <si>
    <t>PR19UUW_B01-WN</t>
  </si>
  <si>
    <t>PR19WSH_En5</t>
  </si>
  <si>
    <t>PR19WSX_R4</t>
  </si>
  <si>
    <t>PR19WSX_R5</t>
  </si>
  <si>
    <t>PR19WSX_R2</t>
  </si>
  <si>
    <t>PR19WSX_C1</t>
  </si>
  <si>
    <t>SSC</t>
  </si>
  <si>
    <t>PR19YKY_20</t>
  </si>
  <si>
    <t>PR19YKY_21</t>
  </si>
  <si>
    <t>PR19WSH_En4</t>
  </si>
  <si>
    <t>PR19WSX_W2</t>
  </si>
  <si>
    <t>PR19YKY_24</t>
  </si>
  <si>
    <t>PR19YKY_23</t>
  </si>
  <si>
    <t>PR19YKY_38</t>
  </si>
  <si>
    <t>PR19YKY_42</t>
  </si>
  <si>
    <t>SES</t>
  </si>
  <si>
    <t>PR19WSX_W1</t>
  </si>
  <si>
    <t>PR19YKY_25</t>
  </si>
  <si>
    <t>Total</t>
  </si>
  <si>
    <t>PR19YKY_22</t>
  </si>
  <si>
    <t>Bespoke water and retail financial PC unique references (excludes PCs where the allocation to wastewater or bioresources is over 50%) and excludes C-Mex and D-Mex PCs</t>
  </si>
  <si>
    <t>Reduction from a baseline</t>
  </si>
  <si>
    <t>Lookup</t>
  </si>
  <si>
    <t>PR19AFW_W-B2</t>
  </si>
  <si>
    <t>PR19ANH_15</t>
  </si>
  <si>
    <t>PR19BRL_PC06</t>
  </si>
  <si>
    <t>PR19HDD_A2</t>
  </si>
  <si>
    <t>PR19NES_BES04</t>
  </si>
  <si>
    <t>PR19PRT_PRT-Network Plus-06</t>
  </si>
  <si>
    <t>PR19SES_A.3</t>
  </si>
  <si>
    <t>PR19SEW_A.2</t>
  </si>
  <si>
    <t>PR19SRN_WN07</t>
  </si>
  <si>
    <t>PR19SSC_B1</t>
  </si>
  <si>
    <t>PR19SVE_A01</t>
  </si>
  <si>
    <t>PR19SWB_PC A5</t>
  </si>
  <si>
    <t>PR19TMS_BW07</t>
  </si>
  <si>
    <t>PR19UUW_A02-WN</t>
  </si>
  <si>
    <t>PR19WSH_Wt3</t>
  </si>
  <si>
    <t>PR19WSX_A1</t>
  </si>
  <si>
    <t>PR19YKY_1</t>
  </si>
  <si>
    <t>PR19AFW_R-C4</t>
  </si>
  <si>
    <t>PR19ANH_16</t>
  </si>
  <si>
    <t>PR19BRL_PC07</t>
  </si>
  <si>
    <t>PR19HDD_A3</t>
  </si>
  <si>
    <t>PR19NES_BES08</t>
  </si>
  <si>
    <t>PR19PRT_PRT-Network Plus-05</t>
  </si>
  <si>
    <t>PR19SES_B.1</t>
  </si>
  <si>
    <t>PR19SEW_A.3</t>
  </si>
  <si>
    <t>PR19SRN_WN08</t>
  </si>
  <si>
    <t>PR19SSC_B2</t>
  </si>
  <si>
    <t>PR19SVE_A03</t>
  </si>
  <si>
    <t>PR19SWB_PC C1</t>
  </si>
  <si>
    <t>PR19TMS_BW08</t>
  </si>
  <si>
    <t>PR19UUW_A03-WN</t>
  </si>
  <si>
    <t>PR19WSH_Wt8</t>
  </si>
  <si>
    <t>PR19WSX_A3</t>
  </si>
  <si>
    <t>PR19YKY_2</t>
  </si>
  <si>
    <t>PR19AFW_W-B3</t>
  </si>
  <si>
    <t>PR19ANH_20</t>
  </si>
  <si>
    <t>PR19BRL_PC08</t>
  </si>
  <si>
    <t>PR19HDD_B7</t>
  </si>
  <si>
    <t>PR19NES_BES09</t>
  </si>
  <si>
    <t>PR19PRT_PRT-Network Plus-08</t>
  </si>
  <si>
    <t>PR19SES_B.4</t>
  </si>
  <si>
    <t>PR19SEW_L.2</t>
  </si>
  <si>
    <t>PR19SRN_WR05</t>
  </si>
  <si>
    <t>PR19SSC_B3</t>
  </si>
  <si>
    <t>PR19SVE_B01</t>
  </si>
  <si>
    <t>PR19SWB_PC D4</t>
  </si>
  <si>
    <t>PR19TMS_BW09</t>
  </si>
  <si>
    <t>PR19UUW_A04-WN</t>
  </si>
  <si>
    <t>PR19WSH_Sv4</t>
  </si>
  <si>
    <t>PR19WSX_A4</t>
  </si>
  <si>
    <t>PR19YKY_7</t>
  </si>
  <si>
    <t>PR19AFW_W-B4</t>
  </si>
  <si>
    <t>PR19ANH_23</t>
  </si>
  <si>
    <t>PR19BRL_PC09</t>
  </si>
  <si>
    <t>PR19HDD_C2</t>
  </si>
  <si>
    <t>PR19NES_BES11</t>
  </si>
  <si>
    <t>PR19PRT_PRT-Water Resources-02</t>
  </si>
  <si>
    <t>PR19SES_D.1</t>
  </si>
  <si>
    <t>PR19SEW_L.3</t>
  </si>
  <si>
    <t>PR19SRN_RR02</t>
  </si>
  <si>
    <t>PR19SSC_C5</t>
  </si>
  <si>
    <t>PR19SVE_C03</t>
  </si>
  <si>
    <t>PR19SWB_PC E2</t>
  </si>
  <si>
    <t>PR19TMS_BW10</t>
  </si>
  <si>
    <t>PR19UUW_A05-WN</t>
  </si>
  <si>
    <t>PR19WSH_Bl4</t>
  </si>
  <si>
    <t>PR19WSX_C3</t>
  </si>
  <si>
    <t>PR19YKY_17</t>
  </si>
  <si>
    <t>PR19AFW_W-B5</t>
  </si>
  <si>
    <t>PR19ANH_34</t>
  </si>
  <si>
    <t>PR19BRL_PC10</t>
  </si>
  <si>
    <t>PR19HDD_F1</t>
  </si>
  <si>
    <t>PR19NES_BES12</t>
  </si>
  <si>
    <t>PR19PRT_PRT-Water Resources-01</t>
  </si>
  <si>
    <t>PR19SES_E.2</t>
  </si>
  <si>
    <t>PR19SEW_B.4</t>
  </si>
  <si>
    <t>PR19SRN_RR03</t>
  </si>
  <si>
    <t>PR19SSC_C7</t>
  </si>
  <si>
    <t>PR19SVE_G07</t>
  </si>
  <si>
    <t>PR19SWB_PC F2</t>
  </si>
  <si>
    <t>PR19TMS_DW02</t>
  </si>
  <si>
    <t>PR19UUW_B07-WN</t>
  </si>
  <si>
    <t>PR19WSH_Ft11</t>
  </si>
  <si>
    <t>PR19WSX_W3</t>
  </si>
  <si>
    <t>PR19YKY_18</t>
  </si>
  <si>
    <t>PR19AFW_W-D5b</t>
  </si>
  <si>
    <t>PR19ANH_38</t>
  </si>
  <si>
    <t>PR19BRL_PC17</t>
  </si>
  <si>
    <t>PR19HDD_G3</t>
  </si>
  <si>
    <t>PR19NES_BES13</t>
  </si>
  <si>
    <t>PR19PRT_PRT-Water Resources-06</t>
  </si>
  <si>
    <t>PR19SES_E.6</t>
  </si>
  <si>
    <t>PR19SEW_B.6</t>
  </si>
  <si>
    <t>PR19SRN_WN09</t>
  </si>
  <si>
    <t>PR19SSC_D6</t>
  </si>
  <si>
    <t>PR19SVE_G08</t>
  </si>
  <si>
    <t>PR19SWB_PC F5</t>
  </si>
  <si>
    <t>PR19TMS_DWS01</t>
  </si>
  <si>
    <t>PR19UUW_B08-WN</t>
  </si>
  <si>
    <t>PR19WSH_Bl6</t>
  </si>
  <si>
    <t>PR19WSX_Q2</t>
  </si>
  <si>
    <t>PR19YKY_26</t>
  </si>
  <si>
    <t>PR19AFW_W-C2</t>
  </si>
  <si>
    <t>PR19ANH_39</t>
  </si>
  <si>
    <t>PR19BRL_PC20</t>
  </si>
  <si>
    <t>PR19HDD_B8</t>
  </si>
  <si>
    <t>PR19NES_BES14</t>
  </si>
  <si>
    <t>PR19PRT_PRT-Retail-02</t>
  </si>
  <si>
    <t>PR19SES_A.5</t>
  </si>
  <si>
    <t>PR19SEW_H.1</t>
  </si>
  <si>
    <t>PR19SRN_WN11</t>
  </si>
  <si>
    <t>PR19SSC_D7</t>
  </si>
  <si>
    <t>PR19SVE_G09</t>
  </si>
  <si>
    <t>PR19SWB_PC H2</t>
  </si>
  <si>
    <t>PR19TMS_DWS02</t>
  </si>
  <si>
    <t>PR19UUW_B09-DP</t>
  </si>
  <si>
    <t>PR19WSH_Bl8</t>
  </si>
  <si>
    <t>PR19WSX_Q3</t>
  </si>
  <si>
    <t>PR19YKY_27</t>
  </si>
  <si>
    <t>PR19AFW_W-N1</t>
  </si>
  <si>
    <t>PR19ANH_41</t>
  </si>
  <si>
    <t>PR19BRL_PC21</t>
  </si>
  <si>
    <t>PR19NES_BES18</t>
  </si>
  <si>
    <t>PR19PRT_PRT-Retail-03</t>
  </si>
  <si>
    <t>PR19SES_C.2</t>
  </si>
  <si>
    <t>PR19SEW_H.2</t>
  </si>
  <si>
    <t>PR19SRN_WN13</t>
  </si>
  <si>
    <t>PR19SSC_D8</t>
  </si>
  <si>
    <t>PR19SVE_G10</t>
  </si>
  <si>
    <t>PR19SWB_PCA6</t>
  </si>
  <si>
    <t>PR19TMS_DWS03</t>
  </si>
  <si>
    <t>PR19UUW_B10-WR</t>
  </si>
  <si>
    <t>PR19WSH_BI10</t>
  </si>
  <si>
    <t>PR19WSX_Q4</t>
  </si>
  <si>
    <t>PR19YKY_28</t>
  </si>
  <si>
    <t>PR19AFW_W-N2</t>
  </si>
  <si>
    <t>PR19ANH_47</t>
  </si>
  <si>
    <t>PR19BRL_PC22</t>
  </si>
  <si>
    <t>PR19NES_BES20</t>
  </si>
  <si>
    <t>PR19PRT_NEP02</t>
  </si>
  <si>
    <t>PR19SEW_H.3</t>
  </si>
  <si>
    <t>PR19SRN_WR07</t>
  </si>
  <si>
    <t>PR19SSC_E2</t>
  </si>
  <si>
    <t>PR19SVE_G11</t>
  </si>
  <si>
    <t>PR19SWB_PCA7</t>
  </si>
  <si>
    <t>PR19TMS_ER01</t>
  </si>
  <si>
    <t>PR19UUW_B11-WN</t>
  </si>
  <si>
    <t>PR19WSH_VIS01</t>
  </si>
  <si>
    <t>PR19WSX_R7</t>
  </si>
  <si>
    <t>PR19YKY_29</t>
  </si>
  <si>
    <t>PR19ANH_48</t>
  </si>
  <si>
    <t>PR19BRL_PC23</t>
  </si>
  <si>
    <t>PR19NES_BES21</t>
  </si>
  <si>
    <t>PR19PRT_15</t>
  </si>
  <si>
    <t>PR19SEW_H.5</t>
  </si>
  <si>
    <t>PR19SVE_G12</t>
  </si>
  <si>
    <t>PR19SWB_PCD5</t>
  </si>
  <si>
    <t>PR19TMS_ER02</t>
  </si>
  <si>
    <t>PR19UUW_C03-WR</t>
  </si>
  <si>
    <t>PR19WSH_DPC01</t>
  </si>
  <si>
    <t>PR19WSX_E3</t>
  </si>
  <si>
    <t>PR19BRL_PC24</t>
  </si>
  <si>
    <t>PR19NES_BES24</t>
  </si>
  <si>
    <t>PR19SEW_H.7</t>
  </si>
  <si>
    <t>PR19SVE_G13</t>
  </si>
  <si>
    <t>PR19TMS_EW01</t>
  </si>
  <si>
    <t>PR19UUW_C04-WR</t>
  </si>
  <si>
    <t>PR19WSH_DPC02</t>
  </si>
  <si>
    <t>PR19WSX_E4</t>
  </si>
  <si>
    <t>PR19BRL_PC25</t>
  </si>
  <si>
    <t>PR19NES_BES25</t>
  </si>
  <si>
    <t>PR19SVE_H02</t>
  </si>
  <si>
    <t>PR19TMS_EWS08</t>
  </si>
  <si>
    <t>PR19UUW_E01-HH</t>
  </si>
  <si>
    <t>PR19WSX_E12</t>
  </si>
  <si>
    <t>PR19BRL_PC26</t>
  </si>
  <si>
    <t>PR19NES_BES26</t>
  </si>
  <si>
    <t>PR19SVE_H03</t>
  </si>
  <si>
    <t>PR19TMS_M01</t>
  </si>
  <si>
    <t>PR19UUW_E10-HH</t>
  </si>
  <si>
    <t>PR19WSX_SEC</t>
  </si>
  <si>
    <t>PR19BRL_PC28</t>
  </si>
  <si>
    <t>PR19NES_BES28</t>
  </si>
  <si>
    <t>PR19SVE_H04</t>
  </si>
  <si>
    <t>PR19TMS_M02</t>
  </si>
  <si>
    <t>PR19UUW_E03-CF</t>
  </si>
  <si>
    <t>PR19TMS_LWI01</t>
  </si>
  <si>
    <t>PR19UUW_E04-CF</t>
  </si>
  <si>
    <t>PR19UUW_E05-HH</t>
  </si>
  <si>
    <t>PR19UUW_E07-DP</t>
  </si>
  <si>
    <t>Bespoke wastewater financial PC unique references excluding C-Mex and D-Mex PCs</t>
  </si>
  <si>
    <t>PR19ANH_17</t>
  </si>
  <si>
    <t>PR19HDD_C1</t>
  </si>
  <si>
    <t>PR19NES_BES15</t>
  </si>
  <si>
    <t>PR19SRN_WWN07</t>
  </si>
  <si>
    <t>PR19SVE_C02</t>
  </si>
  <si>
    <t>PR19SWB_PC B2</t>
  </si>
  <si>
    <t>PR19TMS_CS04</t>
  </si>
  <si>
    <t>PR19UUW_C05-WWN</t>
  </si>
  <si>
    <t>PR19WSH_En6</t>
  </si>
  <si>
    <t>PR19WSX_F2</t>
  </si>
  <si>
    <t>PR19YKY_4</t>
  </si>
  <si>
    <t>PR19ANH_19</t>
  </si>
  <si>
    <t>PR19HDD_C3</t>
  </si>
  <si>
    <t>PR19NES_BES16</t>
  </si>
  <si>
    <t>PR19SRN_BIO01</t>
  </si>
  <si>
    <t>PR19SVE_C04</t>
  </si>
  <si>
    <t>PR19SWB_PC B4</t>
  </si>
  <si>
    <t>PR19TMS_CS05</t>
  </si>
  <si>
    <t>PR19UUW_C06-WWN</t>
  </si>
  <si>
    <t>PR19WSH_En7</t>
  </si>
  <si>
    <t>PR19WSX_F3</t>
  </si>
  <si>
    <t>PR19YKY_6a</t>
  </si>
  <si>
    <t>PR19ANH_32</t>
  </si>
  <si>
    <t>PR19HDD_E3</t>
  </si>
  <si>
    <t>PR19NES_BES17</t>
  </si>
  <si>
    <t>PR19SRN_BIO02</t>
  </si>
  <si>
    <t>PR19SVE_C05</t>
  </si>
  <si>
    <t>PR19SWB_PC B5</t>
  </si>
  <si>
    <t>PR19TMS_DS02</t>
  </si>
  <si>
    <t>PR19UUW_C08-CF</t>
  </si>
  <si>
    <t>PR19WSH_En8</t>
  </si>
  <si>
    <t>PR19WSX_F4</t>
  </si>
  <si>
    <t>PR19YKY_9</t>
  </si>
  <si>
    <t>PR19ANH_42</t>
  </si>
  <si>
    <t>PR19NES_BES19</t>
  </si>
  <si>
    <t>PR19SRN_WWN09</t>
  </si>
  <si>
    <t>PR19SVE_F05</t>
  </si>
  <si>
    <t>PR19SWB_PC B7</t>
  </si>
  <si>
    <t>PR19TMS_ES02</t>
  </si>
  <si>
    <t>PR19UUW_C09-BR</t>
  </si>
  <si>
    <t>PR19WSH_Rt2</t>
  </si>
  <si>
    <t>PR19WSX_E5</t>
  </si>
  <si>
    <t>PR19YKY_35</t>
  </si>
  <si>
    <t>PR19CMA_ANH-01</t>
  </si>
  <si>
    <t>PR19NES_BES27</t>
  </si>
  <si>
    <t>PR19SRN_WWN11</t>
  </si>
  <si>
    <t>PR19SVE_F06</t>
  </si>
  <si>
    <t>PR19SWB_PC B9</t>
  </si>
  <si>
    <t>PR19TMS_ES03</t>
  </si>
  <si>
    <t>PR19UUW_C10-BR</t>
  </si>
  <si>
    <t>PR19WSH_Rt4</t>
  </si>
  <si>
    <t>PR19WSX_E6</t>
  </si>
  <si>
    <t>PR19YKY_36</t>
  </si>
  <si>
    <t>PR19NES_BES31</t>
  </si>
  <si>
    <t>PR19SRN_WWN12</t>
  </si>
  <si>
    <t>PR19SVE_F07</t>
  </si>
  <si>
    <t>PR19SWB_PC D3</t>
  </si>
  <si>
    <t>PR19TMS_ET01</t>
  </si>
  <si>
    <t>PR19UUW_F02-WWN</t>
  </si>
  <si>
    <t>PR19WSH_Ft4</t>
  </si>
  <si>
    <t>PR19WSX_E7</t>
  </si>
  <si>
    <t>PR19YKY_37</t>
  </si>
  <si>
    <t>PR19NES_BES29</t>
  </si>
  <si>
    <t>PR19SRN_WWN13</t>
  </si>
  <si>
    <t>PR19SVE_F08</t>
  </si>
  <si>
    <t>PR19SWB_PC E3</t>
  </si>
  <si>
    <t>PR19TMS_ET04</t>
  </si>
  <si>
    <t>PR19UUW_G03-WWN</t>
  </si>
  <si>
    <t>PR19WSH_Ft10</t>
  </si>
  <si>
    <t>PR19WSX_E8</t>
  </si>
  <si>
    <t>PR19YKY_40</t>
  </si>
  <si>
    <t>PR19SRN_WWN06</t>
  </si>
  <si>
    <t>PR19SVE_F09</t>
  </si>
  <si>
    <t>PR19SWB_PC F6</t>
  </si>
  <si>
    <t>PR19TMS_EWS01</t>
  </si>
  <si>
    <t>PR19UUW_G04-WWN</t>
  </si>
  <si>
    <t>PR19WSH_En9</t>
  </si>
  <si>
    <t>PR19WSX_E9</t>
  </si>
  <si>
    <t>PR19CMA_YKY-01</t>
  </si>
  <si>
    <t>PR19SRN_WWN08</t>
  </si>
  <si>
    <t>PR19SVE_C06</t>
  </si>
  <si>
    <t>PR19SWB_PC H1</t>
  </si>
  <si>
    <t>PR19TMS_EWS02</t>
  </si>
  <si>
    <t>PR19UUW_G05-WWN</t>
  </si>
  <si>
    <t>PR19WSX_E10</t>
  </si>
  <si>
    <t>PR19SRN_WWN16</t>
  </si>
  <si>
    <t>PR19TMS_EWS03</t>
  </si>
  <si>
    <t>PR19UUW_G06-WWN</t>
  </si>
  <si>
    <t>PR19WSX_E11</t>
  </si>
  <si>
    <t>PR19TMS_ET07</t>
  </si>
  <si>
    <t>PR19WSX_E13</t>
  </si>
  <si>
    <t>Bespoke non-financial PC unique references</t>
  </si>
  <si>
    <t>PR19AFW_W-D5a</t>
  </si>
  <si>
    <t>PR19ANH_18</t>
  </si>
  <si>
    <t>PR19BRL_PC14</t>
  </si>
  <si>
    <t>PR19HDD_D1</t>
  </si>
  <si>
    <t>PR19NES_BES01</t>
  </si>
  <si>
    <t>PR19PRT_PRT-Network Plus-12</t>
  </si>
  <si>
    <t>PR19SES_B.2</t>
  </si>
  <si>
    <t>PR19SEW_C.2</t>
  </si>
  <si>
    <t>PR19SRN_WR03</t>
  </si>
  <si>
    <t>PR19SSC_A3</t>
  </si>
  <si>
    <t>PR19SVE_A02</t>
  </si>
  <si>
    <t>PR19SWB_PC B8</t>
  </si>
  <si>
    <t>PR19TMS_AR05</t>
  </si>
  <si>
    <t>PR19UUW_D04-CF</t>
  </si>
  <si>
    <t>PR19WSH_Wt6</t>
  </si>
  <si>
    <t>PR19WSX_A2</t>
  </si>
  <si>
    <t>PR19YKY_3</t>
  </si>
  <si>
    <t>PR19AFW_R-C2</t>
  </si>
  <si>
    <t>PR19ANH_21</t>
  </si>
  <si>
    <t>PR19BRL_PC15</t>
  </si>
  <si>
    <t>PR19HDD_G4</t>
  </si>
  <si>
    <t>PR19NES_BES02</t>
  </si>
  <si>
    <t>PR19PRT_PRT-Water Resources-05</t>
  </si>
  <si>
    <t>PR19SES_B.3</t>
  </si>
  <si>
    <t>PR19SEW_C.3</t>
  </si>
  <si>
    <t>PR19SRN_WR04</t>
  </si>
  <si>
    <t>PR19SSC_C6</t>
  </si>
  <si>
    <t>PR19SVE_A04</t>
  </si>
  <si>
    <t>PR19SWB_PC E5</t>
  </si>
  <si>
    <t>PR19TMS_AWS02</t>
  </si>
  <si>
    <t>PR19UUW_D05-HH</t>
  </si>
  <si>
    <t>PR19WSH_Wt7</t>
  </si>
  <si>
    <t>PR19WSX_X3</t>
  </si>
  <si>
    <t>PR19YKY_5</t>
  </si>
  <si>
    <t>PR19AFW_R-C3</t>
  </si>
  <si>
    <t>PR19ANH_24</t>
  </si>
  <si>
    <t>PR19BRL_PC16</t>
  </si>
  <si>
    <t>PR19HDD_H2</t>
  </si>
  <si>
    <t>PR19NES_BES03</t>
  </si>
  <si>
    <t>PR19PRT_PRT-Network Plus-09</t>
  </si>
  <si>
    <t>PR19SES_E.3</t>
  </si>
  <si>
    <t>PR19SEW_C.4</t>
  </si>
  <si>
    <t>PR19SRN_RR04</t>
  </si>
  <si>
    <t>PR19SSC_C8</t>
  </si>
  <si>
    <t>PR19SVE_E01</t>
  </si>
  <si>
    <t>PR19SWB_PC E7</t>
  </si>
  <si>
    <t>PR19TMS_BW11</t>
  </si>
  <si>
    <t>PR19UUW_E06-CF</t>
  </si>
  <si>
    <t>PR19WSH_En2</t>
  </si>
  <si>
    <t>PR19WSX_C2</t>
  </si>
  <si>
    <t>PR19YKY_6b</t>
  </si>
  <si>
    <t>PR19AFW_R-N4</t>
  </si>
  <si>
    <t>PR19ANH_25</t>
  </si>
  <si>
    <t>PR19BRL_NEP01</t>
  </si>
  <si>
    <t>PR19HDD_H3</t>
  </si>
  <si>
    <t>PR19NES_BES05</t>
  </si>
  <si>
    <t>PR19PRT_PRT-Retail-04</t>
  </si>
  <si>
    <t>PR19SES_E.4</t>
  </si>
  <si>
    <t>PR19SEW_C.5</t>
  </si>
  <si>
    <t>PR19SRN_RR05</t>
  </si>
  <si>
    <t>PR19SSC_E1</t>
  </si>
  <si>
    <t>PR19SWB_PC E8</t>
  </si>
  <si>
    <t>PR19TMS_ER03</t>
  </si>
  <si>
    <t>PR19UUW_E09-HH</t>
  </si>
  <si>
    <t>PR19WSH_Sv3</t>
  </si>
  <si>
    <t>PR19WSX_W4</t>
  </si>
  <si>
    <t>PR19YKY_8</t>
  </si>
  <si>
    <t>PR19AFW_R-N6</t>
  </si>
  <si>
    <t>PR19ANH_30</t>
  </si>
  <si>
    <t>PR19BRL_PC29</t>
  </si>
  <si>
    <t>PR19HDD_H4</t>
  </si>
  <si>
    <t>PR19NES_BES06</t>
  </si>
  <si>
    <t>PR19PRT_PRT-Network Plus-10</t>
  </si>
  <si>
    <t>PR19SES_E.5</t>
  </si>
  <si>
    <t>PR19SEW_C.6</t>
  </si>
  <si>
    <t>PR19SRN_N01</t>
  </si>
  <si>
    <t>PR19SSC_E3</t>
  </si>
  <si>
    <t>PR19SWB_PC F3</t>
  </si>
  <si>
    <t>PR19TMS_ET02</t>
  </si>
  <si>
    <t>PR19WSH_Sv6</t>
  </si>
  <si>
    <t>PR19WSX_Q5</t>
  </si>
  <si>
    <t>PR19YKY_11</t>
  </si>
  <si>
    <t>PR19AFW_R-N7</t>
  </si>
  <si>
    <t>PR19ANH_35</t>
  </si>
  <si>
    <t>PR19HDD_NEP01</t>
  </si>
  <si>
    <t>PR19NES_BES07</t>
  </si>
  <si>
    <t>PR19PRT_NEP01</t>
  </si>
  <si>
    <t>PR19SES_B.6</t>
  </si>
  <si>
    <t>PR19SEW_C.7</t>
  </si>
  <si>
    <t>PR19SRN_N02</t>
  </si>
  <si>
    <t>PR19SSC_E4</t>
  </si>
  <si>
    <t>PR19SWB_PC F4</t>
  </si>
  <si>
    <t>PR19TMS_ET05</t>
  </si>
  <si>
    <t>PR19WSH_Rt5</t>
  </si>
  <si>
    <t>PR19WSX_NEP01</t>
  </si>
  <si>
    <t>PR19YKY_12</t>
  </si>
  <si>
    <t>PR19AFW_R-N8</t>
  </si>
  <si>
    <t>PR19ANH_36</t>
  </si>
  <si>
    <t>PR19NES_BES22</t>
  </si>
  <si>
    <t>PR19SES_NEP01</t>
  </si>
  <si>
    <t>PR19SEW_C.8</t>
  </si>
  <si>
    <t xml:space="preserve">PR19SRN_WN10 </t>
  </si>
  <si>
    <t>PR19SSC_F1</t>
  </si>
  <si>
    <t>PR19SWB_PC G1</t>
  </si>
  <si>
    <t>PR19TMS_ET06</t>
  </si>
  <si>
    <t>PR19WSH_Rt6</t>
  </si>
  <si>
    <t>PR19WSX_DWMP</t>
  </si>
  <si>
    <t>PR19YKY_13</t>
  </si>
  <si>
    <t>PR19AFW_R-N9</t>
  </si>
  <si>
    <t>PR19ANH_37</t>
  </si>
  <si>
    <t>PR19NES_BES01a</t>
  </si>
  <si>
    <t>PR19SEW_C.9</t>
  </si>
  <si>
    <t xml:space="preserve">PR19SRN_WWN10 </t>
  </si>
  <si>
    <t>PR19SSC_F2</t>
  </si>
  <si>
    <t>PR19SWB_PC G2</t>
  </si>
  <si>
    <t>PR19TMS_EWS04</t>
  </si>
  <si>
    <t>PR19WSH_Bl1</t>
  </si>
  <si>
    <t>PR19YKY_14</t>
  </si>
  <si>
    <t>PR19AFW_NEP01</t>
  </si>
  <si>
    <t>PR19ANH_40</t>
  </si>
  <si>
    <t>PR19NES_BES02a</t>
  </si>
  <si>
    <t>PR19SEW_C.10</t>
  </si>
  <si>
    <t>PR19SRN_WWN15</t>
  </si>
  <si>
    <t>PR19SSC_NEP01</t>
  </si>
  <si>
    <t>PR19SWB_PC G3</t>
  </si>
  <si>
    <t>PR19TMS_AR07</t>
  </si>
  <si>
    <t>PR19WSH_Bl2</t>
  </si>
  <si>
    <t>PR19YKY_15</t>
  </si>
  <si>
    <t>PR19ANH_NEP01</t>
  </si>
  <si>
    <t>PR19NES_BES23</t>
  </si>
  <si>
    <t>PR19SEW_I.1</t>
  </si>
  <si>
    <t>PR19SRN_RR06</t>
  </si>
  <si>
    <t>PR19SWB_PC G4</t>
  </si>
  <si>
    <t>PR19TMS_NEP01</t>
  </si>
  <si>
    <t>PR19WSH_Bl3</t>
  </si>
  <si>
    <t>PR19YKY_16</t>
  </si>
  <si>
    <t>PR19ANH_43</t>
  </si>
  <si>
    <t>PR19NES_BES30</t>
  </si>
  <si>
    <t>PR19SEW_J.2</t>
  </si>
  <si>
    <t>PR19SRN_WN12</t>
  </si>
  <si>
    <t>PR19TMS_DWMP</t>
  </si>
  <si>
    <t>PR19WSH_Bl5</t>
  </si>
  <si>
    <t>PR19YKY_41</t>
  </si>
  <si>
    <t>PR19ANH_44</t>
  </si>
  <si>
    <t>PR19NES_NEP01</t>
  </si>
  <si>
    <t>PR19SEW_L.1</t>
  </si>
  <si>
    <t>PR19SRN_RR07</t>
  </si>
  <si>
    <t>PR19TMS_CC</t>
  </si>
  <si>
    <t>PR19WSH_Ft3</t>
  </si>
  <si>
    <t>PR19YKY_NEP01</t>
  </si>
  <si>
    <t>PR19ANH_45</t>
  </si>
  <si>
    <t>PR19NES_BES32</t>
  </si>
  <si>
    <t>PR19SEW_B.5</t>
  </si>
  <si>
    <t>PR19SRN_NEP01</t>
  </si>
  <si>
    <t>PR19TMS_LWI02</t>
  </si>
  <si>
    <t>PR19WSH_Ft5</t>
  </si>
  <si>
    <t>PR19ANH_46</t>
  </si>
  <si>
    <t>PR19SEW_H.4</t>
  </si>
  <si>
    <t>PR19TMS_LWI03</t>
  </si>
  <si>
    <t>PR19WSH_Ft6</t>
  </si>
  <si>
    <t>PR19SEW_H.6</t>
  </si>
  <si>
    <t>PR19WSH_Ft7</t>
  </si>
  <si>
    <t>PR19SEW_C.11</t>
  </si>
  <si>
    <t>PR19WSH_Ft8</t>
  </si>
  <si>
    <t>PR19SEW_NEP01</t>
  </si>
  <si>
    <t>PR19WSH_Ft9</t>
  </si>
  <si>
    <t>PR19WSH_Co1</t>
  </si>
  <si>
    <t>PR19WSH_Co2</t>
  </si>
  <si>
    <t>PR19WSH_Co3</t>
  </si>
  <si>
    <t>PR19WSH_NEP01</t>
  </si>
  <si>
    <t>PR19WSH_DWMP</t>
  </si>
  <si>
    <t>C-Mex and D-Mex PCs</t>
  </si>
  <si>
    <t>PR19AFW_R-C1</t>
  </si>
  <si>
    <t>PR19ANH_1</t>
  </si>
  <si>
    <t>PR19BRL_PC12</t>
  </si>
  <si>
    <t>PR19HDD_G1</t>
  </si>
  <si>
    <t>PR19NES_COM01</t>
  </si>
  <si>
    <t>PR19PRT_PRT-Retail-01</t>
  </si>
  <si>
    <t>PR19SES_D.2</t>
  </si>
  <si>
    <t>PR19SEW_C.1</t>
  </si>
  <si>
    <t>PR19SRN_RR01</t>
  </si>
  <si>
    <t>PR19SSC_A1</t>
  </si>
  <si>
    <t>PR19SVE_D01</t>
  </si>
  <si>
    <t>PR19SWB_PC E4</t>
  </si>
  <si>
    <t>PR19TMS_AR01</t>
  </si>
  <si>
    <t>PR19UUW_D02-CF</t>
  </si>
  <si>
    <t>PR19WSH_Sv1</t>
  </si>
  <si>
    <t>PR19WSX_X2</t>
  </si>
  <si>
    <t>PR19YKY_10</t>
  </si>
  <si>
    <t>PR19AFW_W-C1</t>
  </si>
  <si>
    <t>PR19ANH_2</t>
  </si>
  <si>
    <t>PR19BRL_PC13</t>
  </si>
  <si>
    <t>PR19HDD_G2</t>
  </si>
  <si>
    <t>PR19NES_COM02</t>
  </si>
  <si>
    <t>PR19PRT_PRT-Network Plus-11</t>
  </si>
  <si>
    <t>PR19SES_D.3</t>
  </si>
  <si>
    <t>PR19SEW_F.1</t>
  </si>
  <si>
    <t>PR19SRN_WN01</t>
  </si>
  <si>
    <t>PR19SSC_A2</t>
  </si>
  <si>
    <t>PR19SVE_D02</t>
  </si>
  <si>
    <t>PR19SWB_PC E1</t>
  </si>
  <si>
    <t>PR19TMS_AWS01</t>
  </si>
  <si>
    <t>PR19UUW_D01-HH</t>
  </si>
  <si>
    <t>PR19WSH_Sv2</t>
  </si>
  <si>
    <t>PR19WSX_X1</t>
  </si>
  <si>
    <t>PR19YKY_19</t>
  </si>
  <si>
    <t>Total nr of PR19 PCs</t>
  </si>
  <si>
    <t>Diff</t>
  </si>
  <si>
    <t>Total from filtering summary</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</si>
  <si>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</si>
  <si>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</si>
  <si>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</si>
  <si>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</si>
  <si>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</si>
  <si>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</si>
  <si>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</si>
  <si>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</si>
  <si>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</si>
  <si>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</si>
  <si>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</si>
  <si>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</si>
  <si>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</si>
  <si>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</si>
  <si>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</si>
  <si>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</si>
  <si>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</si>
  <si>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</si>
  <si>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</si>
  <si>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</si>
  <si>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</si>
  <si>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</si>
  <si>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Table number / Model worksheet</t>
  </si>
  <si>
    <t>Change category</t>
  </si>
  <si>
    <t>DD or FD</t>
  </si>
  <si>
    <t>Select year</t>
  </si>
  <si>
    <t>Select company</t>
  </si>
  <si>
    <t>WaSC</t>
  </si>
  <si>
    <t>0</t>
  </si>
  <si>
    <t>NFI</t>
  </si>
  <si>
    <t>Revenue</t>
  </si>
  <si>
    <t>In-period</t>
  </si>
  <si>
    <t>Up</t>
  </si>
  <si>
    <t>Water</t>
  </si>
  <si>
    <t>2020-21</t>
  </si>
  <si>
    <t>APR_3A</t>
  </si>
  <si>
    <t>Ofwat intervention</t>
  </si>
  <si>
    <t>DD</t>
  </si>
  <si>
    <t>HH:MM:SS</t>
  </si>
  <si>
    <t>Out</t>
  </si>
  <si>
    <t>RCV</t>
  </si>
  <si>
    <t>End of period</t>
  </si>
  <si>
    <t>Down</t>
  </si>
  <si>
    <t>Wastewater</t>
  </si>
  <si>
    <t>2021-22</t>
  </si>
  <si>
    <t>APR_3B</t>
  </si>
  <si>
    <t>Company error correction</t>
  </si>
  <si>
    <t>FD</t>
  </si>
  <si>
    <t>Dŵr Cymru</t>
  </si>
  <si>
    <t>Months</t>
  </si>
  <si>
    <t>Under</t>
  </si>
  <si>
    <t>2022-23</t>
  </si>
  <si>
    <t>APR_3C</t>
  </si>
  <si>
    <t>Ofwat error correction</t>
  </si>
  <si>
    <t>Hafren Dyfrdwy</t>
  </si>
  <si>
    <t>time</t>
  </si>
  <si>
    <t>Out &amp; under</t>
  </si>
  <si>
    <t>2023-24</t>
  </si>
  <si>
    <t>APR_3D</t>
  </si>
  <si>
    <t>Change for modelling purposes</t>
  </si>
  <si>
    <t>Northumbrian Water</t>
  </si>
  <si>
    <t>nr</t>
  </si>
  <si>
    <t>APR_3E</t>
  </si>
  <si>
    <t>Severn Trent Water</t>
  </si>
  <si>
    <t>km</t>
  </si>
  <si>
    <t>APR_3F</t>
  </si>
  <si>
    <t>Southern Water</t>
  </si>
  <si>
    <t>KtCO2e</t>
  </si>
  <si>
    <t>APR_3F.1</t>
  </si>
  <si>
    <t>South West Water</t>
  </si>
  <si>
    <t>l/p/d</t>
  </si>
  <si>
    <t>hours:mins:secs</t>
  </si>
  <si>
    <t>APR_3F.2</t>
  </si>
  <si>
    <t>Thames Water</t>
  </si>
  <si>
    <t>m3</t>
  </si>
  <si>
    <t>na</t>
  </si>
  <si>
    <t>Pollution incidents (categories 1, 2 and 3)</t>
  </si>
  <si>
    <t>APR_3G</t>
  </si>
  <si>
    <t>United Utilities</t>
  </si>
  <si>
    <t>minutes</t>
  </si>
  <si>
    <t>TBC</t>
  </si>
  <si>
    <t>APR_3I</t>
  </si>
  <si>
    <t>Wessex Water</t>
  </si>
  <si>
    <t>Ml/annum</t>
  </si>
  <si>
    <t>Yorkshire Water</t>
  </si>
  <si>
    <t>Affinity Water</t>
  </si>
  <si>
    <t>WoC</t>
  </si>
  <si>
    <t>Ha</t>
  </si>
  <si>
    <t>Bristol Water</t>
  </si>
  <si>
    <t>hectare</t>
  </si>
  <si>
    <t>Priority services for customers in vulnerable circumstances (PSR)</t>
  </si>
  <si>
    <t>Portsmouth Water</t>
  </si>
  <si>
    <t>Customer measure of experience (C-MeX)</t>
  </si>
  <si>
    <t>SES Water</t>
  </si>
  <si>
    <t>text</t>
  </si>
  <si>
    <t>Developer services measure of experience (D-MeX)</t>
  </si>
  <si>
    <t>South East Water</t>
  </si>
  <si>
    <t>other</t>
  </si>
  <si>
    <t>South Staffs Water</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</si>
  <si>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</si>
  <si>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</si>
  <si>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</si>
  <si>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</si>
  <si>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</si>
  <si>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</si>
  <si>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</si>
  <si>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</si>
  <si>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</si>
  <si>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</si>
  <si>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</si>
  <si>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</si>
  <si>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</si>
  <si>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DD / FD</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</si>
  <si>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</si>
  <si>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</si>
  <si>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</si>
  <si>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</si>
  <si>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</si>
  <si>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</si>
  <si>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</si>
  <si>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</si>
  <si>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</si>
  <si>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</si>
  <si>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</si>
  <si>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</si>
  <si>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</si>
  <si>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</si>
  <si>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</si>
  <si>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</si>
  <si>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</si>
  <si>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</si>
  <si>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</si>
  <si>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</si>
  <si>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</si>
  <si>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</si>
  <si>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</si>
  <si>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</si>
  <si>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</si>
  <si>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</si>
  <si>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</si>
  <si>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</si>
  <si>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</si>
  <si>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</si>
  <si>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</si>
  <si>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</si>
  <si>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</si>
  <si>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</si>
  <si>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</si>
  <si>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</si>
  <si>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</si>
  <si>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</si>
  <si>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</si>
  <si>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</si>
  <si>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</si>
  <si>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</si>
  <si>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</si>
  <si>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</si>
  <si>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</si>
  <si>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</si>
  <si>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</si>
  <si>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</si>
  <si>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</si>
  <si>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</si>
  <si>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rounded to 1dp (table 3F.1 for South Staffs Water)</t>
  </si>
  <si>
    <t>Baseline performance (average 2017-18 to 2019-20)</t>
  </si>
  <si>
    <t>Calculated to 1dp</t>
  </si>
  <si>
    <t>ODI payments calculated to date</t>
  </si>
  <si>
    <t>These are the latest view of PCC ODI payments based on latest reported performance and with the year 5 actual included from table 3A</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</si>
  <si>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</si>
  <si>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</si>
  <si>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</si>
  <si>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</si>
  <si>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</si>
  <si>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</si>
  <si>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</si>
  <si>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</si>
  <si>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</si>
  <si>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</si>
  <si>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</si>
  <si>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</si>
  <si>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</si>
  <si>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</si>
  <si>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</si>
  <si>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</si>
  <si>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</si>
  <si>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</si>
  <si>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</si>
  <si>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</si>
  <si>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</si>
  <si>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</si>
  <si>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</si>
  <si>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</si>
  <si>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</si>
  <si>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</si>
  <si>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</si>
  <si>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</si>
  <si>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</si>
  <si>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</si>
  <si>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</si>
  <si>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</si>
  <si>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</si>
  <si>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</si>
  <si>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</si>
  <si>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</si>
  <si>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</si>
  <si>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The analysis below is only relevant for South Staffs Water</t>
  </si>
  <si>
    <t>Copied from table 3F.2, rounded to 1dp (for South Staffs Water only)</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</si>
  <si>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</si>
  <si>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</si>
  <si>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</si>
  <si>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</si>
  <si>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</si>
  <si>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</si>
  <si>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</si>
  <si>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</si>
  <si>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</si>
  <si>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</si>
  <si>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</si>
  <si>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</si>
  <si>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</si>
  <si>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</si>
  <si>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</si>
  <si>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</si>
  <si>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</si>
  <si>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</si>
  <si>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</si>
  <si>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</si>
  <si>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</si>
  <si>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</si>
  <si>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</si>
  <si>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</si>
  <si>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</si>
  <si>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</si>
  <si>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</si>
  <si>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</si>
  <si>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</si>
  <si>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</si>
  <si>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</si>
  <si>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</si>
  <si>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</si>
  <si>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</si>
  <si>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</si>
  <si>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</si>
  <si>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</si>
  <si>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</si>
  <si>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</si>
  <si>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</si>
  <si>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</si>
  <si>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</si>
  <si>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</si>
  <si>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</si>
  <si>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</si>
  <si>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</si>
  <si>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</si>
  <si>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</si>
  <si>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</si>
  <si>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</si>
  <si>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</si>
  <si>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</si>
  <si>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</si>
  <si>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</si>
  <si>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</si>
  <si>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</si>
  <si>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</si>
  <si>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</si>
  <si>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</si>
  <si>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</si>
  <si>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</si>
  <si>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</si>
  <si>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</si>
  <si>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</si>
  <si>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</si>
  <si>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</si>
  <si>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</si>
  <si>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</si>
  <si>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</si>
  <si>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</si>
  <si>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and PR24 Final Determination ODI performance models</t>
  </si>
  <si>
    <t>2017-18 prices</t>
  </si>
  <si>
    <t>Total accrued ODI payments</t>
  </si>
  <si>
    <t>PC name</t>
  </si>
  <si>
    <t>Unique ID</t>
  </si>
  <si>
    <t>Internal interconnection delivery</t>
  </si>
  <si>
    <t>km of river improved</t>
  </si>
  <si>
    <t>Length of river water quality improved</t>
  </si>
  <si>
    <t>Delivery wastewater resilience enhancement programme</t>
  </si>
  <si>
    <t>Water restrictions placed on customers</t>
  </si>
  <si>
    <t>Biodiversity - Enhancement</t>
  </si>
  <si>
    <t xml:space="preserve">Revenue </t>
  </si>
  <si>
    <t>Bathing water quality</t>
  </si>
  <si>
    <t>Thanet Sewers</t>
  </si>
  <si>
    <t>Managing early handback of Tideway project land</t>
  </si>
  <si>
    <t>Manchester and Pennine resilience</t>
  </si>
  <si>
    <t>Protecting the environment from the impact of growth and new development</t>
  </si>
  <si>
    <t>Successful delivery of direct procurement of Manchester and Pennine resilience</t>
  </si>
  <si>
    <t>Voids – business properties</t>
  </si>
  <si>
    <t>Per capita consumption South Staffs region</t>
  </si>
  <si>
    <t>Per capita consumption Cambridge region</t>
  </si>
  <si>
    <t>Sector (accrued ODI payments for PCC)</t>
  </si>
  <si>
    <t>Sector (accrued ODI payments for all bespoke PCs)</t>
  </si>
  <si>
    <t>Sector (total accrued ODI payments)</t>
  </si>
  <si>
    <t>Notes concerning the above table:</t>
  </si>
  <si>
    <t>a) This table shows the accrued payments to date for Per Capita Consumption that would be taken forward into the calculation of the overall end of period payment. However, we have set these payments to zero for all companies</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</si>
  <si>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</si>
  <si>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</si>
  <si>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</si>
  <si>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t>caps and standard underperformance collars from 2021-22 to 2024-25 as a result of the Green Economic Recovery.</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</si>
  <si>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</si>
  <si>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</si>
  <si>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b) For information only, this APR24 ODI performance model model replicates the PR24 Final Determination analysis using companies' actual PCC performance in 2024-25 rather than forecast performance at the time of the</t>
  </si>
  <si>
    <t>in 2024-25 only.</t>
  </si>
  <si>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</si>
  <si>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</si>
  <si>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</si>
  <si>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</si>
  <si>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</si>
  <si>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t>f) Where the value of outperformance (and underperformance for Hafren Dyfrdwy) has exceeded the aggregate sharing threshold as indicated in rows 6 and 7 above, the ODI payments</t>
  </si>
  <si>
    <t>may need to reflect the value shared with customers.</t>
  </si>
  <si>
    <t>Accrued ODI payments by price control from the Final Determination in-period and PR24 Final Determination ODI performance models</t>
  </si>
  <si>
    <t>Notes concerning the tables below:</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</si>
  <si>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</si>
  <si>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</si>
  <si>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</si>
  <si>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d) Accrued payments for PCC are excluded.</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</si>
  <si>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</si>
  <si>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</si>
  <si>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</si>
  <si>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</si>
  <si>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</si>
  <si>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</si>
  <si>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</si>
  <si>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</si>
  <si>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</si>
  <si>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</si>
  <si>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</si>
  <si>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</si>
  <si>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</si>
  <si>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</si>
  <si>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</si>
  <si>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</si>
  <si>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</si>
  <si>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</si>
  <si>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</si>
  <si>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</si>
  <si>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</si>
  <si>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</si>
  <si>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</si>
  <si>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These are the latest view of PCC ODI payments based on latest reported performance and companies business plan forecasts for 2024-25 included in the PR24 Final Determination.</t>
  </si>
  <si>
    <t>Actual</t>
  </si>
  <si>
    <t>Forecast</t>
  </si>
  <si>
    <t>SSC_SST</t>
  </si>
  <si>
    <t>SSC_CAM</t>
  </si>
  <si>
    <t>Sector</t>
  </si>
  <si>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</si>
  <si>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</si>
  <si>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</si>
  <si>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</si>
  <si>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</si>
  <si>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</si>
  <si>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</si>
  <si>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</si>
  <si>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</si>
  <si>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</si>
  <si>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</si>
  <si>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</si>
  <si>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</si>
  <si>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</si>
  <si>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</si>
  <si>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</si>
  <si>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</si>
  <si>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</si>
  <si>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</si>
  <si>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</si>
  <si>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</si>
  <si>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</si>
  <si>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</si>
  <si>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</si>
  <si>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</si>
  <si>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</si>
  <si>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</si>
  <si>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</si>
  <si>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</si>
  <si>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</si>
  <si>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</si>
  <si>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</si>
  <si>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</si>
  <si>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</si>
  <si>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</si>
  <si>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</si>
  <si>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</si>
  <si>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</si>
  <si>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</si>
  <si>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</si>
  <si>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</si>
  <si>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</si>
  <si>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</si>
  <si>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</si>
  <si>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</si>
  <si>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</si>
  <si>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</si>
  <si>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</si>
  <si>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</si>
  <si>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</si>
  <si>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</si>
  <si>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</si>
  <si>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</si>
  <si>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</si>
  <si>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</si>
  <si>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</si>
  <si>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</si>
  <si>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</si>
  <si>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</si>
  <si>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</si>
  <si>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</si>
  <si>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</si>
  <si>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</si>
  <si>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</si>
  <si>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</si>
  <si>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</si>
  <si>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</si>
  <si>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</si>
  <si>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</si>
  <si>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</si>
  <si>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</si>
  <si>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</si>
  <si>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</si>
  <si>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</si>
  <si>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</si>
  <si>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</si>
  <si>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</si>
  <si>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</si>
  <si>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</si>
  <si>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</si>
  <si>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</si>
  <si>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</si>
  <si>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 new</t>
  </si>
  <si>
    <t>W-D2</t>
  </si>
  <si>
    <t>Percentage of the population the company serves, that would experience severe supply restrictions (e.g. standpipes or rota cuts) in a 1 in 200 year drought.</t>
  </si>
  <si>
    <t>Resilience</t>
  </si>
  <si>
    <t>% of population at risk 1:200</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</si>
  <si>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</si>
  <si>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</si>
  <si>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</si>
  <si>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</si>
  <si>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W-D4</t>
  </si>
  <si>
    <t>Definition of mains bursts currently included in Discover Water  -  number of repairs for every 1,000km of pipe for the latest year.</t>
  </si>
  <si>
    <t>Asset/equipment failure</t>
  </si>
  <si>
    <t>No. of burst mains per 1,000 km of pipe (per year)</t>
  </si>
  <si>
    <t>Supplying high quality water you can trust</t>
  </si>
  <si>
    <t>W-A1</t>
  </si>
  <si>
    <t>DWI’s Compliance Risk Index (CRI).</t>
  </si>
  <si>
    <t>Water quality compliance</t>
  </si>
  <si>
    <t>Score</t>
  </si>
  <si>
    <t>Providing a great service that you value</t>
  </si>
  <si>
    <t>R-C1</t>
  </si>
  <si>
    <t>C-MeX: Customer measure of experience</t>
  </si>
  <si>
    <t>Ofwat measure of customer experience</t>
  </si>
  <si>
    <t>W-C1</t>
  </si>
  <si>
    <t>D-MeX: Developer services measure of experience</t>
  </si>
  <si>
    <t>Ofwat measure of developer experience</t>
  </si>
  <si>
    <t>W-D5a</t>
  </si>
  <si>
    <t>Average time properties experience low pressure</t>
  </si>
  <si>
    <t>Improving water pressure for customers (in areas below 15m head)</t>
  </si>
  <si>
    <t>Hours per property per year</t>
  </si>
  <si>
    <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</si>
  <si>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</si>
  <si>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</si>
  <si>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</si>
  <si>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</si>
  <si>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</si>
  <si>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R-C3</t>
  </si>
  <si>
    <t>Customers in vulnerable circumstances who found us easy to deal with (receiving financial help)</t>
  </si>
  <si>
    <t>Customers receiving financial assistance that found Affinity easy to deal with.</t>
  </si>
  <si>
    <t>W-B2</t>
  </si>
  <si>
    <t>Environmental innovation - delivery of community projects</t>
  </si>
  <si>
    <t>Completing environmentally focussed pilot projects in our communities.</t>
  </si>
  <si>
    <t>Number of projects units completed</t>
  </si>
  <si>
    <t>R-C4</t>
  </si>
  <si>
    <t>Reducing the total number of void properties by identifying false voids</t>
  </si>
  <si>
    <t>Metering</t>
  </si>
  <si>
    <t>Voids as % of total billed residential properties</t>
  </si>
  <si>
    <t>W-B3</t>
  </si>
  <si>
    <t>River restoration</t>
  </si>
  <si>
    <t>Number of river restoration schemes completed</t>
  </si>
  <si>
    <t>Catchment management</t>
  </si>
  <si>
    <t>Number of morphological schemes completed</t>
  </si>
  <si>
    <t>no</t>
  </si>
  <si>
    <t>W-B4</t>
  </si>
  <si>
    <t>Abstraction reduction</t>
  </si>
  <si>
    <t>Reduce or cease abstraction from groundwater sources (Ml/d)</t>
  </si>
  <si>
    <t>Cumulative Ml/d reduction over AMP</t>
  </si>
  <si>
    <t>W-B5</t>
  </si>
  <si>
    <t>Number of sources operating under the Abstraction Incentive Mechanism</t>
  </si>
  <si>
    <t>Reducing impact of abstracting water at environmentally sensitive sites in low flow periods (i.e. droughts) in line with AIM.</t>
  </si>
  <si>
    <t>Water resources/ abstraction</t>
  </si>
  <si>
    <t>Ml</t>
  </si>
  <si>
    <t>W-D5b</t>
  </si>
  <si>
    <t>Properties at risk of receiving low pressure</t>
  </si>
  <si>
    <t>Improving water pressure for customers on DG2 register</t>
  </si>
  <si>
    <t>Water pressure</t>
  </si>
  <si>
    <t>DG2 properties per 10,000 connections</t>
  </si>
  <si>
    <t>Low pressure</t>
  </si>
  <si>
    <t>W-C2</t>
  </si>
  <si>
    <t>Number of occupied properties not billed (Gap sites)</t>
  </si>
  <si>
    <t>Total gaps identified</t>
  </si>
  <si>
    <t>W-N1</t>
  </si>
  <si>
    <t>Unplanned interruptions to supply over 12 hours</t>
  </si>
  <si>
    <t>Number of properties subject to unplanned supply interruptions greater than 12 hours</t>
  </si>
  <si>
    <t>No. of properties</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</si>
  <si>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</si>
  <si>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</si>
  <si>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</si>
  <si>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</si>
  <si>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</si>
  <si>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R-N3</t>
  </si>
  <si>
    <t>Number of customers on PSR as percentage of total household connections</t>
  </si>
  <si>
    <t>% of customers on PSR</t>
  </si>
  <si>
    <t>R-N4</t>
  </si>
  <si>
    <t>BSI accreditation</t>
  </si>
  <si>
    <t>Maintenance of BSI certification</t>
  </si>
  <si>
    <t>Pass/fail</t>
  </si>
  <si>
    <t>R-N6</t>
  </si>
  <si>
    <t>IT resilience</t>
  </si>
  <si>
    <t>Minimising disruption to customers and employees because of unplanned interruptions to IT Services, assessed via Impact Score</t>
  </si>
  <si>
    <t>Impact score</t>
  </si>
  <si>
    <t>R-N7</t>
  </si>
  <si>
    <t>Customers in vulnerable circumstances satisfied with our service (not receiving financial help)</t>
  </si>
  <si>
    <t>Customers registered on PSR but not receiving financial assistance that are satisfied with the service they have received.</t>
  </si>
  <si>
    <t>R-N8</t>
  </si>
  <si>
    <t>Customers in vulnerable circumstances who found us easy to deal with (not receiving financial help)</t>
  </si>
  <si>
    <t>Customers registered on PSR, but not receiving financial assistance, that found Affinity easy to deal with.</t>
  </si>
  <si>
    <t>R-N9</t>
  </si>
  <si>
    <t>Value for Money Survey</t>
  </si>
  <si>
    <t>Affordability/vulnerability</t>
  </si>
  <si>
    <t>Score out of 10</t>
  </si>
  <si>
    <t>NEP01</t>
  </si>
  <si>
    <t>WINEP Delivery</t>
  </si>
  <si>
    <t>WINEP requirements met or not met in each year</t>
  </si>
  <si>
    <t>Met</t>
  </si>
  <si>
    <t>Delighted Customers</t>
  </si>
  <si>
    <t>This measures customer satisfaction about the service they receive from us. It involves taking data from a number of different sources such as surveys of household customers.</t>
  </si>
  <si>
    <t>C-MeX score</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</si>
  <si>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</si>
  <si>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</si>
  <si>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</si>
  <si>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</si>
  <si>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Planned or unplanned interruptions to your water supply for periods of three or more hours. Performance is measured in minutes and seconds.</t>
  </si>
  <si>
    <t>Minutes / property / year</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</si>
  <si>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</si>
  <si>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</si>
  <si>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</si>
  <si>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</si>
  <si>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</si>
  <si>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</si>
  <si>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</si>
  <si>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</si>
  <si>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</si>
  <si>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</si>
  <si>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</si>
  <si>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</si>
  <si>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</si>
  <si>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</si>
  <si>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</si>
  <si>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</si>
  <si>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</si>
  <si>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Investing for Tomorrow</t>
  </si>
  <si>
    <t>The total number of mains bursts per 1,000 km of pipes.</t>
  </si>
  <si>
    <t>Water mains bursts</t>
  </si>
  <si>
    <t>No. mains bursts per 1,000 kilometres of pipe</t>
  </si>
  <si>
    <t>This measures the number of unplanned outages to provide a picture of the long term resilience of water treatment works.</t>
  </si>
  <si>
    <t>Proportion of unplanned outage of the total company production capacity</t>
  </si>
  <si>
    <t>The number of sewer collapses per 1,000 km of pipes.</t>
  </si>
  <si>
    <t>Sewer blockages/collapses</t>
  </si>
  <si>
    <t>No. Sewer Collapses per 1,000 kilometres of sewer</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</si>
  <si>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</si>
  <si>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</si>
  <si>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</si>
  <si>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</si>
  <si>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</si>
  <si>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</si>
  <si>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</si>
  <si>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</si>
  <si>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</si>
  <si>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</si>
  <si>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</si>
  <si>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</si>
  <si>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Reactive Mains Bursts</t>
  </si>
  <si>
    <t xml:space="preserve">Number of reactive mains bursts.
This measure will differ from the common measure in that only reactive bursts will be reported
</t>
  </si>
  <si>
    <t>No. mains bursts</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</si>
  <si>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</si>
  <si>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</si>
  <si>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</si>
  <si>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</si>
  <si>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</si>
  <si>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</si>
  <si>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</si>
  <si>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</si>
  <si>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</si>
  <si>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</si>
  <si>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</si>
  <si>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</si>
  <si>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</si>
  <si>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</si>
  <si>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</si>
  <si>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</si>
  <si>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</si>
  <si>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</si>
  <si>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</si>
  <si>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</si>
  <si>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</si>
  <si>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</si>
  <si>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</si>
  <si>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</si>
  <si>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</si>
  <si>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</si>
  <si>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</si>
  <si>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</si>
  <si>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</si>
  <si>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</si>
  <si>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</si>
  <si>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</si>
  <si>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</si>
  <si>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</si>
  <si>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</si>
  <si>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</si>
  <si>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</si>
  <si>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</si>
  <si>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Event Risk Index (ERI)</t>
  </si>
  <si>
    <t>The Event Risk Index (ERI) is a measure of the risk arising from the duration and severity of water quality events.</t>
  </si>
  <si>
    <t>ERI score</t>
  </si>
  <si>
    <t>British Standards Institution - Standard for Inclusive Service</t>
  </si>
  <si>
    <t xml:space="preserve">Each year we will be measured based on whether we comply or do not comply with the BSI standard for Inclusive Service Provision. </t>
  </si>
  <si>
    <t>Compliant or not compliant</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</si>
  <si>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</si>
  <si>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</si>
  <si>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</si>
  <si>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Smart metering delivery</t>
  </si>
  <si>
    <t>Scheme specific</t>
  </si>
  <si>
    <t>Nr of meters</t>
  </si>
  <si>
    <t>Cumulative Ml/d</t>
  </si>
  <si>
    <t>Value for Money</t>
  </si>
  <si>
    <t>Cyber Security</t>
  </si>
  <si>
    <t>Partnership working on pluvial and fluvial flood risk</t>
  </si>
  <si>
    <t>number</t>
  </si>
  <si>
    <t>Number of schemes</t>
  </si>
  <si>
    <t>Community investment</t>
  </si>
  <si>
    <t>Customer trust</t>
  </si>
  <si>
    <t>Natural capital impact</t>
  </si>
  <si>
    <t>On track</t>
  </si>
  <si>
    <t>Regional collaboration</t>
  </si>
  <si>
    <t>Underperformance incentive for Elsham treatment works and transfer scheme</t>
  </si>
  <si>
    <t>TBA</t>
  </si>
  <si>
    <t>Outperformance payment for Elsham treatment works and transfer scheme</t>
  </si>
  <si>
    <t xml:space="preserve">Out </t>
  </si>
  <si>
    <t>Contract signed</t>
  </si>
  <si>
    <t>Safe and Reliable Supply of  Water</t>
  </si>
  <si>
    <t>PC01</t>
  </si>
  <si>
    <t>Common definition for water quality compliance as published on the Ofwat website</t>
  </si>
  <si>
    <t>Compliance risk index</t>
  </si>
  <si>
    <t>PC02</t>
  </si>
  <si>
    <t>Common definition for supply interruptions as published on the Ofwat website</t>
  </si>
  <si>
    <t>PC03</t>
  </si>
  <si>
    <t>Common definition for mains bursts as published on the Ofwat website</t>
  </si>
  <si>
    <t>Mains bursts per 1,000km</t>
  </si>
  <si>
    <t>PC04</t>
  </si>
  <si>
    <t>Common definition for unplanned outage  in a drought as published on the Ofwat website</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</si>
  <si>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</si>
  <si>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</si>
  <si>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</si>
  <si>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PC06</t>
  </si>
  <si>
    <t>Customer contacts about water quality – appearance</t>
  </si>
  <si>
    <t>The number of times Bristol Water was contacted by customers about the appearance of their tap water (per 1,000 people supplied) in the calendar year.</t>
  </si>
  <si>
    <t>Contacts per 1,000 people</t>
  </si>
  <si>
    <t>PC07</t>
  </si>
  <si>
    <t>Customer contacts about water quality – taste and smell</t>
  </si>
  <si>
    <t>The number of times Bristol Water was contacted by customers about their water’s taste/ smell (per 1,000 people supplied) in the calendar year.</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</si>
  <si>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</si>
  <si>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</si>
  <si>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</si>
  <si>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</si>
  <si>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</si>
  <si>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</si>
  <si>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</si>
  <si>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PC10</t>
  </si>
  <si>
    <t>Unplanned maintenance – non-infrastructure</t>
  </si>
  <si>
    <t>The total unplanned non-infrastructure maintenance jobs, required as a result of equipment failure or reduced asset performance.</t>
  </si>
  <si>
    <t>Repair and maintenance</t>
  </si>
  <si>
    <t>No. of jobs</t>
  </si>
  <si>
    <t>Excellent Customer Experiences</t>
  </si>
  <si>
    <t>PC12</t>
  </si>
  <si>
    <t>Common definition for C-MeX as published on the Ofwat website</t>
  </si>
  <si>
    <t>PC13</t>
  </si>
  <si>
    <t>Common definition for D-MeX as published on the Ofwat website</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</si>
  <si>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</si>
  <si>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</si>
  <si>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</si>
  <si>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</si>
  <si>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PC15</t>
  </si>
  <si>
    <t>Value for money</t>
  </si>
  <si>
    <t>The percentage of customers within our supply area who consider that we provide good value-for-money.</t>
  </si>
  <si>
    <t>% respondents to survey</t>
  </si>
  <si>
    <t>PC16</t>
  </si>
  <si>
    <t>Percentage of satisfied vulnerable customers</t>
  </si>
  <si>
    <t>The percentage of customers within our supply area receiving vulnerability assistance who are satisfied with the assistance given.</t>
  </si>
  <si>
    <t>% customer satisfaction</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</si>
  <si>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</si>
  <si>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</si>
  <si>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</si>
  <si>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</si>
  <si>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</si>
  <si>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</si>
  <si>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</si>
  <si>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</si>
  <si>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</si>
  <si>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</si>
  <si>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</si>
  <si>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PC20</t>
  </si>
  <si>
    <t>Meter penetration</t>
  </si>
  <si>
    <t>The proportion of total billed household properties that are charged for water on a measured basis.</t>
  </si>
  <si>
    <t xml:space="preserve">% metered supplies </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</si>
  <si>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</si>
  <si>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</si>
  <si>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</si>
  <si>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</si>
  <si>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</si>
  <si>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</si>
  <si>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</si>
  <si>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</si>
  <si>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</si>
  <si>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</si>
  <si>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</si>
  <si>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</si>
  <si>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</si>
  <si>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</si>
  <si>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</si>
  <si>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</si>
  <si>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</si>
  <si>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</si>
  <si>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</si>
  <si>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</si>
  <si>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</si>
  <si>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</si>
  <si>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</si>
  <si>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</si>
  <si>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</si>
  <si>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</si>
  <si>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</si>
  <si>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</si>
  <si>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PC27</t>
  </si>
  <si>
    <t>The percentage of domestic households reflected on our Priority Services Register (PSR)</t>
  </si>
  <si>
    <t>PC28</t>
  </si>
  <si>
    <t>Glastonbury Street Network Resilience</t>
  </si>
  <si>
    <t>Expected months of delays</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</si>
  <si>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</si>
  <si>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</si>
  <si>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</si>
  <si>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</si>
  <si>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</si>
  <si>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</si>
  <si>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</si>
  <si>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</si>
  <si>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</si>
  <si>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</si>
  <si>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</si>
  <si>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</si>
  <si>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A2</t>
  </si>
  <si>
    <t xml:space="preserve">Number of complaints about drinking water quality </t>
  </si>
  <si>
    <t>Total number of complaints about appearance, taste and odour per year.</t>
  </si>
  <si>
    <t>Number of customer contacts</t>
  </si>
  <si>
    <t>A3</t>
  </si>
  <si>
    <t>Number of lead pipes replaced</t>
  </si>
  <si>
    <t>Number of lead communication and supply pipes replaced</t>
  </si>
  <si>
    <t>*** new primary category required ***</t>
  </si>
  <si>
    <t>Number of lead pipes</t>
  </si>
  <si>
    <t>Water always there</t>
  </si>
  <si>
    <t>B1</t>
  </si>
  <si>
    <t xml:space="preserve">Average supply interruption greater than, or equal to, three hours (minutes per property) </t>
  </si>
  <si>
    <t>Minutes</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</si>
  <si>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</si>
  <si>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</si>
  <si>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</si>
  <si>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</si>
  <si>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</si>
  <si>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B4</t>
  </si>
  <si>
    <t>Percentage of the population that would experience severe supply restrictions (e.g. standpipes or rota cuts) in a 1-in-200 year drought</t>
  </si>
  <si>
    <t>Percentage at risk of level 4 drought</t>
  </si>
  <si>
    <t>B5</t>
  </si>
  <si>
    <t>The number of mains bursts per thousand kilometres of total length of mains</t>
  </si>
  <si>
    <t>Number of mains bursts (normalised to number per 1,000km of mains)</t>
  </si>
  <si>
    <t>B6</t>
  </si>
  <si>
    <t xml:space="preserve">Unplanned outage. The annualised unavailable flow, based on the peak week production capacity (or PWPC). </t>
  </si>
  <si>
    <t>Percentage outage compared to company peak week production capacity (PWPC)</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</si>
  <si>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</si>
  <si>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</si>
  <si>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</si>
  <si>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</si>
  <si>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</si>
  <si>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</si>
  <si>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</si>
  <si>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</si>
  <si>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</si>
  <si>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</si>
  <si>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</si>
  <si>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C3</t>
  </si>
  <si>
    <t>Satisfactory sludge disposal</t>
  </si>
  <si>
    <t>Compliance with sludge use and disposal standards as part of the Environment Agency EPA requirements.</t>
  </si>
  <si>
    <t>Percentage of total sludge</t>
  </si>
  <si>
    <t>C4</t>
  </si>
  <si>
    <t>Water and wastewater treatment works compliance as per Environmental Performance Assessment (EPA) definition</t>
  </si>
  <si>
    <t>Percentage of compliance</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</si>
  <si>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</si>
  <si>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</si>
  <si>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</si>
  <si>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</si>
  <si>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</si>
  <si>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</si>
  <si>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</si>
  <si>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</si>
  <si>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</si>
  <si>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</si>
  <si>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E2</t>
  </si>
  <si>
    <t>The number of category 1 - 3 pollution incidents per 10,000km of wastewater network, as reported to the Environment Agency and Natural Resources Wales</t>
  </si>
  <si>
    <t>Number of incidents (normalised to number per 10,000 sewerage network)</t>
  </si>
  <si>
    <t>E3</t>
  </si>
  <si>
    <t xml:space="preserve">Sewer blockages </t>
  </si>
  <si>
    <t>The total number of sewer blockages on Hafren Dyfrdwy's network (including sewers transferred in 2011)</t>
  </si>
  <si>
    <t>Number of blockages</t>
  </si>
  <si>
    <t>Sewer blockages</t>
  </si>
  <si>
    <t>E4</t>
  </si>
  <si>
    <t>Percentage of the population served that are at risk of sewer flooding in a 1-in-50 year storm, split into 5 vulnerability bands</t>
  </si>
  <si>
    <t>% of total population served</t>
  </si>
  <si>
    <t>E5</t>
  </si>
  <si>
    <t>The number of sewer collapses per thousand kilometres of all sewers causing a reported impact on service to customers or the environment</t>
  </si>
  <si>
    <t>Number of incidents (normalised to number per 1,000km of sewers)</t>
  </si>
  <si>
    <t>Lowest possible bills</t>
  </si>
  <si>
    <t>F1</t>
  </si>
  <si>
    <t>Reduction in the number of void supply points</t>
  </si>
  <si>
    <t>The reduction in the number of residential and business void supply points.</t>
  </si>
  <si>
    <t>% of properties classified as void</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</si>
  <si>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</si>
  <si>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</si>
  <si>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</si>
  <si>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</si>
  <si>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</si>
  <si>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</si>
  <si>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</si>
  <si>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G3</t>
  </si>
  <si>
    <t>Non household customer experience</t>
  </si>
  <si>
    <t>Non household customer satisfaction, as measured by a tracker survey.</t>
  </si>
  <si>
    <t>Satisfaction score</t>
  </si>
  <si>
    <t>G4</t>
  </si>
  <si>
    <t>Welsh language services</t>
  </si>
  <si>
    <t>Percentage compliance with the Hafren Dyfrdwy Welsh language scheme.</t>
  </si>
  <si>
    <t>Percentage compliance</t>
  </si>
  <si>
    <t>A service for everyone</t>
  </si>
  <si>
    <t>H1</t>
  </si>
  <si>
    <t>The percentage of household customers in vulnerable circumstances (CIVC) who are registered on our Priority Service Register (PSR).</t>
  </si>
  <si>
    <t>Percentage of household customers</t>
  </si>
  <si>
    <t>H2</t>
  </si>
  <si>
    <t>Help to pay when you need it</t>
  </si>
  <si>
    <t>The percentage of struggling to pay customers supported through tailored schemes.</t>
  </si>
  <si>
    <t>Percentage of customers</t>
  </si>
  <si>
    <t>H3</t>
  </si>
  <si>
    <t>Effectiveness of the affordability support</t>
  </si>
  <si>
    <t>The percentage of customers who stay out of debt the 12 month period after they received payment support.</t>
  </si>
  <si>
    <t>Percentage improvement</t>
  </si>
  <si>
    <t>H4</t>
  </si>
  <si>
    <t>Priority services during an incident</t>
  </si>
  <si>
    <t>B8</t>
  </si>
  <si>
    <t>Improving reservoir resilience</t>
  </si>
  <si>
    <t>Cumulative percentage completed</t>
  </si>
  <si>
    <t xml:space="preserve">Our customers tell us we provide excellent customer service and resolve issues quickly. </t>
  </si>
  <si>
    <t>COM01</t>
  </si>
  <si>
    <t>Ofwat common definition</t>
  </si>
  <si>
    <t>COM02</t>
  </si>
  <si>
    <t>Our drinking water is clean, clear and tastes good.</t>
  </si>
  <si>
    <t>COM03</t>
  </si>
  <si>
    <t>DWI's Compliance Risk Index (CRI)</t>
  </si>
  <si>
    <t>CRI Index Score</t>
  </si>
  <si>
    <t>We always provide a reliable supply of water.</t>
  </si>
  <si>
    <t>COM04</t>
  </si>
  <si>
    <t>Minutes per property</t>
  </si>
  <si>
    <t>COM05</t>
  </si>
  <si>
    <t>Leakage (NW region)</t>
  </si>
  <si>
    <t>Leakage in megalitres per day (Ml/d), three-year average</t>
  </si>
  <si>
    <t>Megalitres per day (Ml/d), three year average</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</si>
  <si>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</si>
  <si>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</si>
  <si>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</si>
  <si>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</si>
  <si>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</si>
  <si>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</si>
  <si>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</si>
  <si>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</si>
  <si>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</si>
  <si>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</si>
  <si>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</si>
  <si>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</si>
  <si>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</si>
  <si>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</si>
  <si>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</si>
  <si>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</si>
  <si>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</si>
  <si>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</si>
  <si>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</si>
  <si>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</si>
  <si>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</si>
  <si>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COM12</t>
  </si>
  <si>
    <t>Mains repairs per 1,000km</t>
  </si>
  <si>
    <t>Number of bursts per 1,000km of pipe network</t>
  </si>
  <si>
    <t>COM13</t>
  </si>
  <si>
    <t>Unplanned outage is a temporary loss of maximum production capacity.</t>
  </si>
  <si>
    <t>% of maximum sustainable production capacity</t>
  </si>
  <si>
    <t>COM14</t>
  </si>
  <si>
    <t>Sewer collapses per 1,000km</t>
  </si>
  <si>
    <t>Number of collapses per 1000km of sewer</t>
  </si>
  <si>
    <t>COM15</t>
  </si>
  <si>
    <t>Environment Agency Environmental Performance Assessment Methodology - % of treatment works complying with discharge permits</t>
  </si>
  <si>
    <t>WTW discharge consents</t>
  </si>
  <si>
    <t>% of treatment works complying with discharge permits</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</si>
  <si>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</si>
  <si>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</si>
  <si>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</si>
  <si>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</si>
  <si>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</si>
  <si>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</si>
  <si>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</si>
  <si>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</si>
  <si>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</si>
  <si>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</si>
  <si>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</si>
  <si>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</si>
  <si>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</si>
  <si>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</si>
  <si>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</si>
  <si>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</si>
  <si>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</si>
  <si>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</si>
  <si>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</si>
  <si>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</si>
  <si>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</si>
  <si>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</si>
  <si>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</si>
  <si>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BES06</t>
  </si>
  <si>
    <t>Percentage of households in water poverty</t>
  </si>
  <si>
    <t xml:space="preserve">Percentage of households spending more than 3% of their disposable income on their water and sewerage charges. </t>
  </si>
  <si>
    <t>Percentage of households in water poverty (reporting year).</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</si>
  <si>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</si>
  <si>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</si>
  <si>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</si>
  <si>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</si>
  <si>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</si>
  <si>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</si>
  <si>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</si>
  <si>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</si>
  <si>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</si>
  <si>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</si>
  <si>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</si>
  <si>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</si>
  <si>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</si>
  <si>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</si>
  <si>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</si>
  <si>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</si>
  <si>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</si>
  <si>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</si>
  <si>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</si>
  <si>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</si>
  <si>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</si>
  <si>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</si>
  <si>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</si>
  <si>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</si>
  <si>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</si>
  <si>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</si>
  <si>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</si>
  <si>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</si>
  <si>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</si>
  <si>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</si>
  <si>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</si>
  <si>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</si>
  <si>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</si>
  <si>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</si>
  <si>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</si>
  <si>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</si>
  <si>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</si>
  <si>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</si>
  <si>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</si>
  <si>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</si>
  <si>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</si>
  <si>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</si>
  <si>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</si>
  <si>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</si>
  <si>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</si>
  <si>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</si>
  <si>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</si>
  <si>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</si>
  <si>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</si>
  <si>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</si>
  <si>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</si>
  <si>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</si>
  <si>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</si>
  <si>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</si>
  <si>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</si>
  <si>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</si>
  <si>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</si>
  <si>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</si>
  <si>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</si>
  <si>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</si>
  <si>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BES01a</t>
  </si>
  <si>
    <t>Satisfaction of Customers who receive additional financial support</t>
  </si>
  <si>
    <t>The customer satisfaction score of those customers who receive additional financial support. This measure is for households only and is a calendar year.</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</si>
  <si>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</si>
  <si>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</si>
  <si>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</si>
  <si>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</si>
  <si>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</si>
  <si>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</si>
  <si>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</si>
  <si>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BES23</t>
  </si>
  <si>
    <t>British Standards Institution Award for Inclusive Services</t>
  </si>
  <si>
    <t xml:space="preserve">To achieve the British Standards Institution for inclusive services. </t>
  </si>
  <si>
    <t>To achieve the BSI award for inclusive services</t>
  </si>
  <si>
    <t>BES24</t>
  </si>
  <si>
    <t>Delivery of water resilience enhanced programme</t>
  </si>
  <si>
    <t xml:space="preserve">The on time delivery of our water resilience enhancement programme in line with table in the business plan appendix. </t>
  </si>
  <si>
    <t>Percentage of scheme complete (%)</t>
  </si>
  <si>
    <t>BES25</t>
  </si>
  <si>
    <t>Delivery of lead enhancement programme</t>
  </si>
  <si>
    <t xml:space="preserve">The on time delivery of our lead enhancement programme in line with table in the business plan appendix. </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</si>
  <si>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</si>
  <si>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</si>
  <si>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</si>
  <si>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</si>
  <si>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</si>
  <si>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</si>
  <si>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</si>
  <si>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BES28</t>
  </si>
  <si>
    <t>Delivery of cyber resilience enhancement programme</t>
  </si>
  <si>
    <t xml:space="preserve">The on time delivery of our cyber resilience enhancement programme in line with table in the business plan appendix. </t>
  </si>
  <si>
    <t>BES30</t>
  </si>
  <si>
    <t>NWL Independent value for money survey</t>
  </si>
  <si>
    <t xml:space="preserve">This is a survey to ask customers about their overall satisfaction with the service </t>
  </si>
  <si>
    <t>BES31</t>
  </si>
  <si>
    <t>Cumulative number of schemes completed</t>
  </si>
  <si>
    <t>BES32</t>
  </si>
  <si>
    <t>Delivery of DWMPs</t>
  </si>
  <si>
    <t>The cumulative percentage of catchments</t>
  </si>
  <si>
    <t>BES29</t>
  </si>
  <si>
    <t>Delivery of Howdon STW enhancement</t>
  </si>
  <si>
    <t>months</t>
  </si>
  <si>
    <t>Months delivered late</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</si>
  <si>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</si>
  <si>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</si>
  <si>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</si>
  <si>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</si>
  <si>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</si>
  <si>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</si>
  <si>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</si>
  <si>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</si>
  <si>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</si>
  <si>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</si>
  <si>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</si>
  <si>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PRT-Network Plus-02</t>
  </si>
  <si>
    <t>The time customers have experienced an interruption to supply in any year. Interruptions less than three hours are excluded from this measure. It is set relative to all properties connected at the year end.</t>
  </si>
  <si>
    <t>minutes : seconds</t>
  </si>
  <si>
    <t>PRT-Network Plus-03</t>
  </si>
  <si>
    <t>Number of mains bursts per thousand kilometres of total length of mains. Mains bursts include all physical repair work to mains from which water is lost in any year.</t>
  </si>
  <si>
    <t>nr of repairs per 1,000km</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</si>
  <si>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</si>
  <si>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</si>
  <si>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</si>
  <si>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</si>
  <si>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</si>
  <si>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</si>
  <si>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PRT-Network Plus-05</t>
  </si>
  <si>
    <t>The number of customers who receive, or are at risk of receiving, pressure below the minimum standard as defined by The Water Industry Act 1991.</t>
  </si>
  <si>
    <t>nr of customers at risk of low pressure</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</si>
  <si>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</si>
  <si>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</si>
  <si>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</si>
  <si>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</si>
  <si>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</si>
  <si>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</si>
  <si>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</si>
  <si>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PRT-Water Resources-01</t>
  </si>
  <si>
    <t>Biodiversity (reward)</t>
  </si>
  <si>
    <t>The Company will offer a grant scheme to third parties for projects which enhance biodiversity</t>
  </si>
  <si>
    <t>Out &amp; Under</t>
  </si>
  <si>
    <t>value of grants awarded</t>
  </si>
  <si>
    <t>PRT-Water Resources-06</t>
  </si>
  <si>
    <t>Biodiversity (penalty)</t>
  </si>
  <si>
    <t>The Company will make a payment if it fails to maintain its sites appropriately</t>
  </si>
  <si>
    <t>Status of sites</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</si>
  <si>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</si>
  <si>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</si>
  <si>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</si>
  <si>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</si>
  <si>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</si>
  <si>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</si>
  <si>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</si>
  <si>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</si>
  <si>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</si>
  <si>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</si>
  <si>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</si>
  <si>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</si>
  <si>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</si>
  <si>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</si>
  <si>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</si>
  <si>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</si>
  <si>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</si>
  <si>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</si>
  <si>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</si>
  <si>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PRT-Water Resources-04</t>
  </si>
  <si>
    <t>The Company will ensure that it will have sufficient water for its customers in the event of a severe drought, as defined by a 1 in 200 year event.</t>
  </si>
  <si>
    <t>Ability to meet a 1 : 200 year event</t>
  </si>
  <si>
    <t>PRT-Water Resources-05</t>
  </si>
  <si>
    <t>Avoidance of water supply restrictions</t>
  </si>
  <si>
    <t>The Company will ensure that it will have sufficient water for its customers in the event of a drought, as defined by a 1 in 20 year event.</t>
  </si>
  <si>
    <t>Ability to meet a 1 : 20 year event</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</si>
  <si>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</si>
  <si>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</si>
  <si>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</si>
  <si>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</si>
  <si>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</si>
  <si>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</si>
  <si>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</si>
  <si>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</si>
  <si>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</si>
  <si>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</si>
  <si>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</si>
  <si>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</si>
  <si>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</si>
  <si>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</si>
  <si>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</si>
  <si>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</si>
  <si>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PRT-Retail-05</t>
  </si>
  <si>
    <t>The Company commits to increasing the number of customers on its PSR and to check at least 90% of entries on a two year rolling basis</t>
  </si>
  <si>
    <t>NEP02</t>
  </si>
  <si>
    <t>Cumulative number of schemes</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</si>
  <si>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</si>
  <si>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</si>
  <si>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High quality water, all day every day</t>
  </si>
  <si>
    <t>A.1</t>
  </si>
  <si>
    <t>We confirm we are adopting the standard definitions and reporting guidance for the common performance commitments.</t>
  </si>
  <si>
    <t>Minutes per property per year</t>
  </si>
  <si>
    <t>A.2</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</si>
  <si>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</si>
  <si>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</si>
  <si>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</si>
  <si>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A.4</t>
  </si>
  <si>
    <t>Score as calculated by the DWI</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</si>
  <si>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</si>
  <si>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</si>
  <si>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</si>
  <si>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</si>
  <si>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</si>
  <si>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</si>
  <si>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</si>
  <si>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</si>
  <si>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</si>
  <si>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</si>
  <si>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</si>
  <si>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</si>
  <si>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</si>
  <si>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</si>
  <si>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B.5</t>
  </si>
  <si>
    <t>Household properties on register as a percentage of all household properties at year-end</t>
  </si>
  <si>
    <t>A service that is fit now and for the future</t>
  </si>
  <si>
    <t>C.1</t>
  </si>
  <si>
    <t>Percentage of the population at risk</t>
  </si>
  <si>
    <t>C.3</t>
  </si>
  <si>
    <t>Unplanned outage as a proportion of total production capacity</t>
  </si>
  <si>
    <t>C.4</t>
  </si>
  <si>
    <t>Megalitres a day based on a three-year average</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</si>
  <si>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</si>
  <si>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</si>
  <si>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</si>
  <si>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</si>
  <si>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</si>
  <si>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D.2</t>
  </si>
  <si>
    <t>C-Mex scores</t>
  </si>
  <si>
    <t>D.3</t>
  </si>
  <si>
    <t>Support a thriving environment we can all rely upon</t>
  </si>
  <si>
    <t>E.1</t>
  </si>
  <si>
    <t>Litres per person per day based on a three-year average</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</si>
  <si>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</si>
  <si>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</si>
  <si>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</si>
  <si>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</si>
  <si>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</si>
  <si>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</si>
  <si>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</si>
  <si>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</si>
  <si>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</si>
  <si>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</si>
  <si>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</si>
  <si>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</si>
  <si>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</si>
  <si>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</si>
  <si>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</si>
  <si>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</si>
  <si>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</si>
  <si>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</si>
  <si>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A.5</t>
  </si>
  <si>
    <t>Water Softening</t>
  </si>
  <si>
    <t>This PC measures the days a water softening site does not provide softened water to customers</t>
  </si>
  <si>
    <t xml:space="preserve">The number of mg/l </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</si>
  <si>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</si>
  <si>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</si>
  <si>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</si>
  <si>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C.2</t>
  </si>
  <si>
    <t>Risk of supply failures</t>
  </si>
  <si>
    <t>Percentage of properties that can be supplied by more than one  treatment works</t>
  </si>
  <si>
    <t>Our customers are happy with the service we provide</t>
  </si>
  <si>
    <t>Satisfaction of residential customers with their customer experience</t>
  </si>
  <si>
    <t xml:space="preserve">TBC following pilot </t>
  </si>
  <si>
    <t>Developers rate the service we provide to them</t>
  </si>
  <si>
    <t>F.1</t>
  </si>
  <si>
    <t>Satisfaction of developer services customers with their customer experience</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</si>
  <si>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</si>
  <si>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</si>
  <si>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</si>
  <si>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 xml:space="preserve">Our water supply network is resilient for this generation and the next </t>
  </si>
  <si>
    <t xml:space="preserve">Supply interruptions greater than three hours (average minutes per property)
</t>
  </si>
  <si>
    <t>Average minutes per property</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</si>
  <si>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</si>
  <si>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</si>
  <si>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</si>
  <si>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</si>
  <si>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</si>
  <si>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</si>
  <si>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Our water supplies are maintained during more severe droughts</t>
  </si>
  <si>
    <t>G.1</t>
  </si>
  <si>
    <t>Supply restrictions</t>
  </si>
  <si>
    <t>Percentage of population</t>
  </si>
  <si>
    <t xml:space="preserve">Mains repairs per 1,000km of water mains </t>
  </si>
  <si>
    <t>Number of mains repairs per 1,000km</t>
  </si>
  <si>
    <t>A temporary loss of maximum production capacity</t>
  </si>
  <si>
    <t>% water lost due to unplanned outage</t>
  </si>
  <si>
    <t>Segmented satisfaction of household customers - segment 1</t>
  </si>
  <si>
    <t>Overall customer satisfaction of our household customer segment 1 as measured through satisfaction tracking research, as a score out of 5</t>
  </si>
  <si>
    <t>Satisfaction score out of 5</t>
  </si>
  <si>
    <t>Segmented satisfaction of household customers - segment 2</t>
  </si>
  <si>
    <t>Overall customer satisfaction of our household customer segment 2 as measured through satisfaction tracking research, as a score out of 5</t>
  </si>
  <si>
    <t>Segmented satisfaction of household customers - segment 3</t>
  </si>
  <si>
    <t>Overall customer satisfaction of our household customer segment 3 as measured through satisfaction tracking research, as a score out of 5</t>
  </si>
  <si>
    <t>C.5</t>
  </si>
  <si>
    <t>Segmented satisfaction of household customers - segment 4</t>
  </si>
  <si>
    <t>Overall customer satisfaction of our household customer segment 4 as measured through satisfaction tracking research, as a score out of 5</t>
  </si>
  <si>
    <t>C.6</t>
  </si>
  <si>
    <t>Segmented satisfaction of household customers - segment 5</t>
  </si>
  <si>
    <t>Overall customer satisfaction of our household customer segment 5 as measured through satisfaction tracking research, as a score out of 5</t>
  </si>
  <si>
    <t>C.7</t>
  </si>
  <si>
    <t>Segmented satisfaction of household customers - segment 6</t>
  </si>
  <si>
    <t>Overall customer satisfaction of our household customer segment 6 as measured through satisfaction tracking research, as a score out of 5</t>
  </si>
  <si>
    <t>C.8</t>
  </si>
  <si>
    <t>Satisfaction of household customers who are experiencing payment difficulties</t>
  </si>
  <si>
    <t>Overall customer satisfaction of household customers who are identified as struggling to pay, as measured through satisfaction tracking research, as a score out of 5.</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</si>
  <si>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</si>
  <si>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</si>
  <si>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</si>
  <si>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</si>
  <si>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</si>
  <si>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</si>
  <si>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</si>
  <si>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Appearance of tap water</t>
  </si>
  <si>
    <t xml:space="preserve">The number of contacts, per 1,000 population, that South East Water receives from customers regarding the appearance of their tap water.  </t>
  </si>
  <si>
    <t xml:space="preserve">Number of contacts per 1,000 people supplied </t>
  </si>
  <si>
    <t>Taste and odour of tap water</t>
  </si>
  <si>
    <t xml:space="preserve">The number of contacts, per 1,000 population, that South East Water receives from customers regarding the taste and odour of their tap water.  </t>
  </si>
  <si>
    <t xml:space="preserve">We help customers out of water poverty </t>
  </si>
  <si>
    <t>I.1</t>
  </si>
  <si>
    <t xml:space="preserve">Household customers receiving financial support </t>
  </si>
  <si>
    <t>The number of household customers who are on a South East Water financial support tariff</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</si>
  <si>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</si>
  <si>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</si>
  <si>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</si>
  <si>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</si>
  <si>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</si>
  <si>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</si>
  <si>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</si>
  <si>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</si>
  <si>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</si>
  <si>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</si>
  <si>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</si>
  <si>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</si>
  <si>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</si>
  <si>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</si>
  <si>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</si>
  <si>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</si>
  <si>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</si>
  <si>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Company sites protected from risk of flooding</t>
  </si>
  <si>
    <t>The number of our sites that have been protected from the risk of flooding.</t>
  </si>
  <si>
    <t>Number of sites protected</t>
  </si>
  <si>
    <t>The Event Risk Index (ERI) is a score used to illustrate the risk arising from water quality events, we will be consistent with the Drinking Water Inspectorate (DWI) definition</t>
  </si>
  <si>
    <t>The number of properties, per 10,000 connections, at risk of experiencing water pressure below the industry standard (i.e. as recorded on the former DG2 serviceability indicator).</t>
  </si>
  <si>
    <t>Number of properties, per 10,000 connections</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</si>
  <si>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</si>
  <si>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</si>
  <si>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</si>
  <si>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</si>
  <si>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</si>
  <si>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</si>
  <si>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</si>
  <si>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</si>
  <si>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</si>
  <si>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H.3</t>
  </si>
  <si>
    <t xml:space="preserve">Water Industry National Environment Programme </t>
  </si>
  <si>
    <t>We will deliver all elements of work that are required under the Water Industry National Environment Programme (WINEP)</t>
  </si>
  <si>
    <t>H.4</t>
  </si>
  <si>
    <t>The amount of greenhouse gas emissions we produce per megalitre of treated water (a megalitre is 1,000,000 litres)</t>
  </si>
  <si>
    <t>kgCO2e equivalent per megalitre of water supplied</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</si>
  <si>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</si>
  <si>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</si>
  <si>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</si>
  <si>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</si>
  <si>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</si>
  <si>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</si>
  <si>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</si>
  <si>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</si>
  <si>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C.11</t>
  </si>
  <si>
    <t xml:space="preserve">Satisfaction with value for money </t>
  </si>
  <si>
    <t>Satisfaction of household customers with value for money, as measured through satisfaction tracking research, score out of 5</t>
  </si>
  <si>
    <t>H.7</t>
  </si>
  <si>
    <t>Strategic main Wellwood to Potters Corner</t>
  </si>
  <si>
    <t>Number of month delivered early or late</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</si>
  <si>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</si>
  <si>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</si>
  <si>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</si>
  <si>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</si>
  <si>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</si>
  <si>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</si>
  <si>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</si>
  <si>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</si>
  <si>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</si>
  <si>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</si>
  <si>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</si>
  <si>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</si>
  <si>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</si>
  <si>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</si>
  <si>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</si>
  <si>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</si>
  <si>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</si>
  <si>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</si>
  <si>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</si>
  <si>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</si>
  <si>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</si>
  <si>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 xml:space="preserve">PR19 new </t>
  </si>
  <si>
    <t>WN08</t>
  </si>
  <si>
    <t>Drinking water taste and Odour</t>
  </si>
  <si>
    <t xml:space="preserve">Customer contacts regarding the taste &amp; odour of their drinking water, reported in line with Drinking Water Inspectorate guidance </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</si>
  <si>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</si>
  <si>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</si>
  <si>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</si>
  <si>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</si>
  <si>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</si>
  <si>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</si>
  <si>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</si>
  <si>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</si>
  <si>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</si>
  <si>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</si>
  <si>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</si>
  <si>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</si>
  <si>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</si>
  <si>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</si>
  <si>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</si>
  <si>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</si>
  <si>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</si>
  <si>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</si>
  <si>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</si>
  <si>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</si>
  <si>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</si>
  <si>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</si>
  <si>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</si>
  <si>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</si>
  <si>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</si>
  <si>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</si>
  <si>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</si>
  <si>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</si>
  <si>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</si>
  <si>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</si>
  <si>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</si>
  <si>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</si>
  <si>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</si>
  <si>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</si>
  <si>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</si>
  <si>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</si>
  <si>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</si>
  <si>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</si>
  <si>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</si>
  <si>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</si>
  <si>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</si>
  <si>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</si>
  <si>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</si>
  <si>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</si>
  <si>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</si>
  <si>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</si>
  <si>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</si>
  <si>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</si>
  <si>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</si>
  <si>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</si>
  <si>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</si>
  <si>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</si>
  <si>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</si>
  <si>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</si>
  <si>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</si>
  <si>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</si>
  <si>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</si>
  <si>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</si>
  <si>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</si>
  <si>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</si>
  <si>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</si>
  <si>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</si>
  <si>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</si>
  <si>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</si>
  <si>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</si>
  <si>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</si>
  <si>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</si>
  <si>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</si>
  <si>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</si>
  <si>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</si>
  <si>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</si>
  <si>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</si>
  <si>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</si>
  <si>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</si>
  <si>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</si>
  <si>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</si>
  <si>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</si>
  <si>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</si>
  <si>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</si>
  <si>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</si>
  <si>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</si>
  <si>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</si>
  <si>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</si>
  <si>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</si>
  <si>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</si>
  <si>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</si>
  <si>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</si>
  <si>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</si>
  <si>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</si>
  <si>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</si>
  <si>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</si>
  <si>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</si>
  <si>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</si>
  <si>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</si>
  <si>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</si>
  <si>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</si>
  <si>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</si>
  <si>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</si>
  <si>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</si>
  <si>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</si>
  <si>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</si>
  <si>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</si>
  <si>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</si>
  <si>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</si>
  <si>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</si>
  <si>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</si>
  <si>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</si>
  <si>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</si>
  <si>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</si>
  <si>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</si>
  <si>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</si>
  <si>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</si>
  <si>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</si>
  <si>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</si>
  <si>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</si>
  <si>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</si>
  <si>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</si>
  <si>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WN06</t>
  </si>
  <si>
    <t xml:space="preserve">Unplanned outage is an Ofwat common definition. Defined by Ofwat in: https://www.ofwat.gov.uk/wp-content/uploads/2018/03/Reporting-guidance-unplanned-outage.pdf   </t>
  </si>
  <si>
    <t xml:space="preserve">Water outage </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</si>
  <si>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</si>
  <si>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</si>
  <si>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</si>
  <si>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</si>
  <si>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</si>
  <si>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</si>
  <si>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</si>
  <si>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</si>
  <si>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</si>
  <si>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</si>
  <si>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</si>
  <si>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</si>
  <si>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 xml:space="preserve">PR14 continuation </t>
  </si>
  <si>
    <t>WN11</t>
  </si>
  <si>
    <t xml:space="preserve">Number of properties on the DG2 low water pressure register.  </t>
  </si>
  <si>
    <t xml:space="preserve">Water pressure </t>
  </si>
  <si>
    <t xml:space="preserve">Number of properties on the DG2 register.  </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</si>
  <si>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</si>
  <si>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</si>
  <si>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</si>
  <si>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</si>
  <si>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</si>
  <si>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</si>
  <si>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</si>
  <si>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</si>
  <si>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</si>
  <si>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</si>
  <si>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</si>
  <si>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</si>
  <si>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</si>
  <si>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</si>
  <si>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</si>
  <si>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</si>
  <si>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</si>
  <si>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</si>
  <si>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WN12</t>
  </si>
  <si>
    <t>Distribution input</t>
  </si>
  <si>
    <t xml:space="preserve">The average daily amount (Ml/d) of potable water entering the distribution system in a year </t>
  </si>
  <si>
    <t>RR07</t>
  </si>
  <si>
    <t>The proportion of customers that state they are satisfied with the value for money of water and sewerage services in their area. A measure of the value for money of services provided. </t>
  </si>
  <si>
    <t>% of customers that state either ‘very’ or ‘fairly’ satisfied</t>
  </si>
  <si>
    <t>RR08</t>
  </si>
  <si>
    <t>the percentage of households that the company supplies with water and/or wastewater services which have at least one individual registered on the company’s PSR.</t>
  </si>
  <si>
    <t>% of households with at least one individual registered on Southerns PSR</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</si>
  <si>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</si>
  <si>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</si>
  <si>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</si>
  <si>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WR07</t>
  </si>
  <si>
    <t>Impounding reservoirs</t>
  </si>
  <si>
    <t>% scheme delivery</t>
  </si>
  <si>
    <t>Our customers</t>
  </si>
  <si>
    <t>Level of satisfaction of residential customers.</t>
  </si>
  <si>
    <t>C-MEX score</t>
  </si>
  <si>
    <t>Level of satisfaction of developer services customers.</t>
  </si>
  <si>
    <t>D-MEX score</t>
  </si>
  <si>
    <t>Retailer measure of experience</t>
  </si>
  <si>
    <t>A measure of our performance as a wholesaler operating in the business market, incorporating the existing market and operational performance standards and a satisfaction measure.</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</si>
  <si>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</si>
  <si>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</si>
  <si>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</si>
  <si>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</si>
  <si>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</si>
  <si>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</si>
  <si>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Education activity</t>
  </si>
  <si>
    <t>Number of people who have received our education services.</t>
  </si>
  <si>
    <t>Number of people on priority services register and proportion validated every two years.</t>
  </si>
  <si>
    <t>% of residential customers on PSR/proportion validated</t>
  </si>
  <si>
    <t>Our environment</t>
  </si>
  <si>
    <t>Leakage South Staffs region</t>
  </si>
  <si>
    <t>Leakage level in the South Staffs supply region.</t>
  </si>
  <si>
    <t>Megalitres per day, 3 yr average</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</si>
  <si>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</si>
  <si>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</si>
  <si>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</si>
  <si>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</si>
  <si>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</si>
  <si>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C5</t>
  </si>
  <si>
    <t>Environmentally sensitive water abstraction</t>
  </si>
  <si>
    <t>Compliance with pre-defined water abstraction thresholds for our designated abstraction incentive mechanism (AIM) sites.</t>
  </si>
  <si>
    <t>Score derived from AIM calculation</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</si>
  <si>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</si>
  <si>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</si>
  <si>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</si>
  <si>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</si>
  <si>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C7</t>
  </si>
  <si>
    <t>Protecting wildlife, plants, habitats and catchments</t>
  </si>
  <si>
    <t>The area of land that we actively manage to protect wildlife, plants, habitats and catchments.</t>
  </si>
  <si>
    <t>Hectares</t>
  </si>
  <si>
    <t>C8</t>
  </si>
  <si>
    <t>Carbon emissions</t>
  </si>
  <si>
    <t>The amount of direct or indirect operational carbon emissions as a result of our operations, per connected property.</t>
  </si>
  <si>
    <t>Kilograms per connected property</t>
  </si>
  <si>
    <t>Our service</t>
  </si>
  <si>
    <t>Compliance with drinking water quality regulations, as measured using the DWI's compliance risk index metric.</t>
  </si>
  <si>
    <t>Score as per DWI CRI calculation</t>
  </si>
  <si>
    <t>D2</t>
  </si>
  <si>
    <t>Average minutes of interruption each connected property experiences for interruptions of 3 hours or greater.</t>
  </si>
  <si>
    <t>hours:minutes:seconds</t>
  </si>
  <si>
    <t>D3</t>
  </si>
  <si>
    <t>Risk index score for the 25 year risk of severe supply restrictions in a 1:200 year drought scenario.</t>
  </si>
  <si>
    <t>D4</t>
  </si>
  <si>
    <t>Number of burst mains.</t>
  </si>
  <si>
    <t>Number per 1000 km of main</t>
  </si>
  <si>
    <t>D5</t>
  </si>
  <si>
    <t>Water production capacity lost through unplanned outage.</t>
  </si>
  <si>
    <t>D6</t>
  </si>
  <si>
    <t>Customer contact about water quality</t>
  </si>
  <si>
    <t>The number of customer contacts we get each year about the appearance, taste and odour of water, or perceived illness.</t>
  </si>
  <si>
    <t>Contacts per 1000 population</t>
  </si>
  <si>
    <t>D7</t>
  </si>
  <si>
    <t>The number of days that we take to repair 90% of visible leaks on our network, measured from the time the leak is found or reported.</t>
  </si>
  <si>
    <t>90% complete within N days</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</si>
  <si>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</si>
  <si>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</si>
  <si>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</si>
  <si>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</si>
  <si>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Our business</t>
  </si>
  <si>
    <t>Bad debt level</t>
  </si>
  <si>
    <t xml:space="preserve">The level of bad debt charge that we incur each year, expressed as percentage of total revenue. </t>
  </si>
  <si>
    <t>Residential void properties and gap sites</t>
  </si>
  <si>
    <t>The proportion of residential voids we have validated each year, along with the completion of our gap site identification activity.</t>
  </si>
  <si>
    <t>Employee engagement</t>
  </si>
  <si>
    <t>Achievement of Investors in People accreditation and an annual employee survey.</t>
  </si>
  <si>
    <t>Company employees</t>
  </si>
  <si>
    <t>Net promotor score</t>
  </si>
  <si>
    <t>Treating our suppliers fairly</t>
  </si>
  <si>
    <t>Complying with the Department for Business, Energy and Industrial Strategy prompt payment code; and measuring the percentage of small businesses we pay within 30 day terms.</t>
  </si>
  <si>
    <t>Company suppliers</t>
  </si>
  <si>
    <t>Our core promise</t>
  </si>
  <si>
    <t>Trust</t>
  </si>
  <si>
    <t>The level of trust that our customers have in us, using a combination of our own tracker survey and a survey conducted by CCWater.</t>
  </si>
  <si>
    <t>Number from 1 to 10</t>
  </si>
  <si>
    <t>F2</t>
  </si>
  <si>
    <t>The percentage satisfaction with our value for money,  using a combination of our own tracker survey and a survey conducted by CCWater.</t>
  </si>
  <si>
    <t>A01</t>
  </si>
  <si>
    <t>Reducing residential void properties</t>
  </si>
  <si>
    <t>The reduction in the number of residential void properties</t>
  </si>
  <si>
    <t>Number of residential void properties</t>
  </si>
  <si>
    <t>A02</t>
  </si>
  <si>
    <t>Reducing residential gap sites</t>
  </si>
  <si>
    <t>The number of residential gap sites brought into charge</t>
  </si>
  <si>
    <t>Number of residential gap sites brought into charge</t>
  </si>
  <si>
    <t>A03</t>
  </si>
  <si>
    <t>Reducing business void and gap site supply points</t>
  </si>
  <si>
    <t>The  number of business void and gap site supply points brought into charge</t>
  </si>
  <si>
    <t>The number of supply points</t>
  </si>
  <si>
    <t>A04</t>
  </si>
  <si>
    <t>The percentage of customers rating Severn Trent’s services as good or very good value for money as measured by its independently conducted quarterly Customer Satisfaction Survey</t>
  </si>
  <si>
    <t>Percentage of customer base</t>
  </si>
  <si>
    <t>A positive difference</t>
  </si>
  <si>
    <t>B01</t>
  </si>
  <si>
    <t>The number of people who have agreed to change their behaviour as a result of our educational activities</t>
  </si>
  <si>
    <t>C01</t>
  </si>
  <si>
    <t>Overall company percentage compliance of both water and wastewater treatment works as per Environmental Performance Assessment (EPA) definition</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</si>
  <si>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</si>
  <si>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</si>
  <si>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</si>
  <si>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</si>
  <si>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C03</t>
  </si>
  <si>
    <t>Biodiversity (Water)</t>
  </si>
  <si>
    <t>The number of hectares of land managed using an approved biodiversity action plan or a Severn Trent funded grant scheme that enhances biodiversity through a series of pre-agreed measures</t>
  </si>
  <si>
    <t>C04</t>
  </si>
  <si>
    <t>Biodiversity (Waste)</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</si>
  <si>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</si>
  <si>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</si>
  <si>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</si>
  <si>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</si>
  <si>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An outstanding experience</t>
  </si>
  <si>
    <t>D01</t>
  </si>
  <si>
    <t>D02</t>
  </si>
  <si>
    <t>E01</t>
  </si>
  <si>
    <t>The percentage of struggling to pay customers supported through tailored schemes</t>
  </si>
  <si>
    <t>E02</t>
  </si>
  <si>
    <t>The percentage of households that the company supplies with water and/or wastewater services which have at least one individual registered on the company’s PSR.</t>
  </si>
  <si>
    <t>F01</t>
  </si>
  <si>
    <t>Number of incidents (normalised per 10,000 sewer connections)</t>
  </si>
  <si>
    <t>F02</t>
  </si>
  <si>
    <t>Number of incidents in each category (normalised per 10,000km of waste network)</t>
  </si>
  <si>
    <t>F03</t>
  </si>
  <si>
    <t>Number of incidents (normalised per 1,000 km of sewer length)</t>
  </si>
  <si>
    <t>F04</t>
  </si>
  <si>
    <t>Percentage of total population served at risk of internal sewer flooding in a 1-in-50 year storm - population split into five vulnerability bands</t>
  </si>
  <si>
    <t>F05</t>
  </si>
  <si>
    <t>The number of external sewer flooding incidents per year</t>
  </si>
  <si>
    <t>Number of incidents</t>
  </si>
  <si>
    <t>F06</t>
  </si>
  <si>
    <t>The total number of sewer blockages on Severn Trent Water's network (including sewers transferred in 2011)</t>
  </si>
  <si>
    <t>F07</t>
  </si>
  <si>
    <t>Public sewer flooding</t>
  </si>
  <si>
    <t>The number of sewer flooding incidents caused by equipment failures, blockages or collapses (collectively grouped as other causes) affecting public highways and footpaths</t>
  </si>
  <si>
    <t>F08</t>
  </si>
  <si>
    <t>Green communities</t>
  </si>
  <si>
    <t>The amount of natural and social capital value that we create for local communities through the construction of sustainable drainage and water management features.</t>
  </si>
  <si>
    <t>£millions</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</si>
  <si>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</si>
  <si>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</si>
  <si>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</si>
  <si>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</si>
  <si>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G01</t>
  </si>
  <si>
    <t>G02</t>
  </si>
  <si>
    <t>G03</t>
  </si>
  <si>
    <t>PR19 continuation</t>
  </si>
  <si>
    <t>G04</t>
  </si>
  <si>
    <t>Number of mains bursts (normalised per 1,000km of company mains)</t>
  </si>
  <si>
    <t>G05</t>
  </si>
  <si>
    <t>G06</t>
  </si>
  <si>
    <t>Overall company percentage at risk of level 4 drought restrictions during a 1-in-200 year drought event</t>
  </si>
  <si>
    <t>G07</t>
  </si>
  <si>
    <t>Speed of response to visible leaks</t>
  </si>
  <si>
    <t>The time taken to fix customer reported significant visible leaks on Severn Trent Water’s network.</t>
  </si>
  <si>
    <t>Days</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</si>
  <si>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</si>
  <si>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</si>
  <si>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</si>
  <si>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</si>
  <si>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G09</t>
  </si>
  <si>
    <t>Reducing water abstraction at environmentally sensitive sites to prevent environmental deterioration.</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</si>
  <si>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</si>
  <si>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</si>
  <si>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</si>
  <si>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</si>
  <si>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G11</t>
  </si>
  <si>
    <t>Resolution of low pressure complaints</t>
  </si>
  <si>
    <t>The percentage of customers who report a low pressure or poor supply issue and have their complaint resolved without having to contact us for a second time</t>
  </si>
  <si>
    <t>G12</t>
  </si>
  <si>
    <t>Increasing water supply capacity</t>
  </si>
  <si>
    <t>The increase in sustainable water supply capacity needed to maintain our projected end AMP8 supply / demand balance (SDB)</t>
  </si>
  <si>
    <t>G13</t>
  </si>
  <si>
    <t>Number of water meters installed</t>
  </si>
  <si>
    <t>The number of customer water meters installed</t>
  </si>
  <si>
    <t>The total number of selective and optant meters installed</t>
  </si>
  <si>
    <t>H01</t>
  </si>
  <si>
    <t>H02</t>
  </si>
  <si>
    <t>Water quality complaints</t>
  </si>
  <si>
    <t>The number of consumer complaints about the appearance, taste or odour of their drinking water quality.</t>
  </si>
  <si>
    <t>Number of customer contacts regarding water quality</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</si>
  <si>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</si>
  <si>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</si>
  <si>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</si>
  <si>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</si>
  <si>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H04</t>
  </si>
  <si>
    <t>Protecting our schools from lead</t>
  </si>
  <si>
    <t>The number of schools and nurseries in our region where we have taken action to minimise the risk of lead in their supply of drinking water</t>
  </si>
  <si>
    <t>Number of schools (primary and nurseries)</t>
  </si>
  <si>
    <t>Clean, Safe and Reliable Supply of Drinking Water</t>
  </si>
  <si>
    <t>PC A1</t>
  </si>
  <si>
    <t>Water companies test the quality of tap water at customers’ taps and through the network. This drinking water quality measure assesses compliance against the standards set.</t>
  </si>
  <si>
    <t>PC A2</t>
  </si>
  <si>
    <t>Occasionally supplies of tap water can be disrupted. This measures the average duration of supply interruption per property (for interruptions greater than three hours).</t>
  </si>
  <si>
    <t>Hrs:mins:secs per property per year</t>
  </si>
  <si>
    <t>PC A3</t>
  </si>
  <si>
    <t>Water mains can start to leak or burst. This can be due to problems with pipes or joints, cold weather, or changes in ground conditions. This measure is the total number of bursts and leaks across the network.</t>
  </si>
  <si>
    <t>Mains burst per 1,000km mains</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</si>
  <si>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</si>
  <si>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</si>
  <si>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</si>
  <si>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</si>
  <si>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</si>
  <si>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</si>
  <si>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</si>
  <si>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</si>
  <si>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</si>
  <si>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</si>
  <si>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</si>
  <si>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</si>
  <si>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</si>
  <si>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</si>
  <si>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</si>
  <si>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</si>
  <si>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</si>
  <si>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</si>
  <si>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</si>
  <si>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</si>
  <si>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</si>
  <si>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</si>
  <si>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PC B3</t>
  </si>
  <si>
    <t>Sewers can collapse, for example when they are old or damaged by tree roots. This causes the ground above the sewer to fall into the sewer, blocking the flow of sewage.</t>
  </si>
  <si>
    <t>Collapses per 1,000km sewers</t>
  </si>
  <si>
    <t>PC B4</t>
  </si>
  <si>
    <t>Sewers can block when items such as wet wipes, nappies, cotton buds, fats and oils are flushed into drains. They cause sewers to clog and block, restricting the flow of sewage.</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</si>
  <si>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</si>
  <si>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</si>
  <si>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</si>
  <si>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</si>
  <si>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</si>
  <si>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</si>
  <si>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</si>
  <si>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</si>
  <si>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</si>
  <si>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</si>
  <si>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</si>
  <si>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</si>
  <si>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</si>
  <si>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</si>
  <si>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</si>
  <si>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</si>
  <si>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</si>
  <si>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</si>
  <si>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</si>
  <si>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</si>
  <si>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</si>
  <si>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</si>
  <si>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</si>
  <si>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</si>
  <si>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</si>
  <si>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</si>
  <si>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</si>
  <si>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</si>
  <si>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</si>
  <si>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Responsive to Customers</t>
  </si>
  <si>
    <t>PC E1</t>
  </si>
  <si>
    <t>This is the mechanism to incentivise companies to provide an excellent customer experience for residential customers.</t>
  </si>
  <si>
    <t>C-Mex Score</t>
  </si>
  <si>
    <t>PC E2</t>
  </si>
  <si>
    <t>Operational contacts resolved first time - water</t>
  </si>
  <si>
    <t>The percentage of wholesale water operational customer contacts that are resolved first time. (Includes all written and telephone contacts).</t>
  </si>
  <si>
    <t>Customer contacts - other</t>
  </si>
  <si>
    <t>PC E3</t>
  </si>
  <si>
    <t>Operational contacts resolved first time - wastewater</t>
  </si>
  <si>
    <t>The percentage of wholesale wastewater operational customer contacts that are resolved first time. (Includes all written and telephone contacts).</t>
  </si>
  <si>
    <t>PC E4</t>
  </si>
  <si>
    <t>This is the mechanism to incentivise water companies to provide an excellent customer experience for developer services (new connections) customers.</t>
  </si>
  <si>
    <t>D-Mex Score</t>
  </si>
  <si>
    <t>PC E5</t>
  </si>
  <si>
    <t>Customer satisfaction with value for money</t>
  </si>
  <si>
    <t>The average percentage of household customers satisfied, extremely or very satisfied with the value for money of South West Water’s services in the financial year.</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</si>
  <si>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</si>
  <si>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</si>
  <si>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PC E7</t>
  </si>
  <si>
    <t xml:space="preserve">British Standard for inclusive service provision </t>
  </si>
  <si>
    <t>This measures the company's ability to attain and retain the British Standard for inclusive service provision.</t>
  </si>
  <si>
    <t>Achieve</t>
  </si>
  <si>
    <t>Maintain</t>
  </si>
  <si>
    <t>PC E8</t>
  </si>
  <si>
    <t>Overall satisfaction of services received on the PSR</t>
  </si>
  <si>
    <t>The average percentage of customers satisfied, extremely or very satisfied with the services they receive through the Priority Services Register (PSR).</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</si>
  <si>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</si>
  <si>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</si>
  <si>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</si>
  <si>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</si>
  <si>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</si>
  <si>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</si>
  <si>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</si>
  <si>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</si>
  <si>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</si>
  <si>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</si>
  <si>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</si>
  <si>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</si>
  <si>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</si>
  <si>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</si>
  <si>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</si>
  <si>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</si>
  <si>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</si>
  <si>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</si>
  <si>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</si>
  <si>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</si>
  <si>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</si>
  <si>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</si>
  <si>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</si>
  <si>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</si>
  <si>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</si>
  <si>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</si>
  <si>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</si>
  <si>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</si>
  <si>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PC G2</t>
  </si>
  <si>
    <t>Number of customers on one of our support tariffs</t>
  </si>
  <si>
    <t>We offer financial support for customers struggling to pay their bill. This measures the number of customers on one of our support tariffs.</t>
  </si>
  <si>
    <t>PC G3</t>
  </si>
  <si>
    <t xml:space="preserve">Voids for residential retail </t>
  </si>
  <si>
    <t>This is the percentage of properties classified as void. Void properties are defined as chargeable premises which are recorded as vacant with no charges levied.</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</si>
  <si>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</si>
  <si>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</si>
  <si>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</si>
  <si>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PCA6</t>
  </si>
  <si>
    <t>Efficient delivery of the new Knapp Mill WTW</t>
  </si>
  <si>
    <t>Completion of the Knapp Mill WTW scheme</t>
  </si>
  <si>
    <t>PCA7</t>
  </si>
  <si>
    <t>Efficient delivery of the new Alderney WTW</t>
  </si>
  <si>
    <t xml:space="preserve">On track delivery of the Alderney Scheme </t>
  </si>
  <si>
    <t>PCD5</t>
  </si>
  <si>
    <t>Resilient water and wastewater services on the Isles of Scilly</t>
  </si>
  <si>
    <t>Appointed and operating on the Isles of Scilly</t>
  </si>
  <si>
    <t>Appointed</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</si>
  <si>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</si>
  <si>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</si>
  <si>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</si>
  <si>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</si>
  <si>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AR05</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</si>
  <si>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</si>
  <si>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</si>
  <si>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</si>
  <si>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</si>
  <si>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</si>
  <si>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</si>
  <si>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</si>
  <si>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</si>
  <si>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</si>
  <si>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</si>
  <si>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</si>
  <si>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</si>
  <si>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</si>
  <si>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</si>
  <si>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</si>
  <si>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</si>
  <si>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</si>
  <si>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</si>
  <si>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</si>
  <si>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</si>
  <si>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</si>
  <si>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</si>
  <si>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</si>
  <si>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</si>
  <si>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</si>
  <si>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</si>
  <si>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</si>
  <si>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</si>
  <si>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</si>
  <si>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</si>
  <si>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</si>
  <si>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</si>
  <si>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</si>
  <si>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</si>
  <si>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</si>
  <si>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</si>
  <si>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</si>
  <si>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</si>
  <si>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</si>
  <si>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</si>
  <si>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</si>
  <si>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</si>
  <si>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</si>
  <si>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</si>
  <si>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</si>
  <si>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</si>
  <si>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</si>
  <si>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</si>
  <si>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</si>
  <si>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</si>
  <si>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</si>
  <si>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</si>
  <si>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CS02</t>
  </si>
  <si>
    <t xml:space="preserve">Number of sewer collapses per thousand kilometres of all sewers causing an impact on service to customers or the environment. </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</si>
  <si>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</si>
  <si>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</si>
  <si>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</si>
  <si>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</si>
  <si>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</si>
  <si>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</si>
  <si>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</si>
  <si>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</si>
  <si>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</si>
  <si>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D - Plan for the future</t>
  </si>
  <si>
    <t>DS01</t>
  </si>
  <si>
    <t>The percentage of population at risk of sewer flooding in a 1-in-50 year storm.</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</si>
  <si>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</si>
  <si>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</si>
  <si>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</si>
  <si>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</si>
  <si>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</si>
  <si>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</si>
  <si>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</si>
  <si>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</si>
  <si>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</si>
  <si>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</si>
  <si>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</si>
  <si>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</si>
  <si>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</si>
  <si>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</si>
  <si>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</si>
  <si>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</si>
  <si>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</si>
  <si>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DWS03</t>
  </si>
  <si>
    <t>SEMD - Securing our sites (legacy projects)</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</si>
  <si>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</si>
  <si>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</si>
  <si>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</si>
  <si>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</si>
  <si>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</si>
  <si>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</si>
  <si>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</si>
  <si>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</si>
  <si>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</si>
  <si>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</si>
  <si>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</si>
  <si>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</si>
  <si>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</si>
  <si>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</si>
  <si>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</si>
  <si>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</si>
  <si>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ES02</t>
  </si>
  <si>
    <t>Environmental measures delivered</t>
  </si>
  <si>
    <t>Number of green WINEP schemes delivered</t>
  </si>
  <si>
    <t>ES03</t>
  </si>
  <si>
    <t>Sludge treated before disposal</t>
  </si>
  <si>
    <t xml:space="preserve">Sludge treated before disposal. Treatment includes chemical, biological and thermal processes. </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</si>
  <si>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</si>
  <si>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</si>
  <si>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</si>
  <si>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</si>
  <si>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</si>
  <si>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</si>
  <si>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</si>
  <si>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</si>
  <si>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</si>
  <si>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</si>
  <si>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</si>
  <si>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</si>
  <si>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ET05</t>
  </si>
  <si>
    <t>Establish an effective system operator for the London Tideway Tunnels</t>
  </si>
  <si>
    <t>Percentage completion</t>
  </si>
  <si>
    <t>ET06</t>
  </si>
  <si>
    <t>Maximising the value of Tideway project land sales</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</si>
  <si>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</si>
  <si>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</si>
  <si>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</si>
  <si>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</si>
  <si>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</si>
  <si>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</si>
  <si>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</si>
  <si>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</si>
  <si>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</si>
  <si>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</si>
  <si>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</si>
  <si>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</si>
  <si>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</si>
  <si>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</si>
  <si>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</si>
  <si>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</si>
  <si>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</si>
  <si>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</si>
  <si>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</si>
  <si>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</si>
  <si>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</si>
  <si>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</si>
  <si>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</si>
  <si>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</si>
  <si>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</si>
  <si>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</si>
  <si>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</si>
  <si>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</si>
  <si>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</si>
  <si>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</si>
  <si>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M01</t>
  </si>
  <si>
    <t>Installing new smart meters in London</t>
  </si>
  <si>
    <t>M02</t>
  </si>
  <si>
    <t>Replacing existing meters with smart meters in London</t>
  </si>
  <si>
    <t>DWMP</t>
  </si>
  <si>
    <t>CC</t>
  </si>
  <si>
    <t>Understanding the risk of flooding in the Counters Creek catchment</t>
  </si>
  <si>
    <t>met</t>
  </si>
  <si>
    <t>ET07</t>
  </si>
  <si>
    <t>Your drinking water is safe and clean</t>
  </si>
  <si>
    <t>A01-CF</t>
  </si>
  <si>
    <t>As per Ofwat definition</t>
  </si>
  <si>
    <t>CRI Index score</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</si>
  <si>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</si>
  <si>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</si>
  <si>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</si>
  <si>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</si>
  <si>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</si>
  <si>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</si>
  <si>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</si>
  <si>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</si>
  <si>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</si>
  <si>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</si>
  <si>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</si>
  <si>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</si>
  <si>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</si>
  <si>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</si>
  <si>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</si>
  <si>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</si>
  <si>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You have a reliable supply of water now and in the future</t>
  </si>
  <si>
    <t>B01-WN</t>
  </si>
  <si>
    <t>Percentage reduction from baseline using 3 year average (baseline set backcast from FY18, FY19, FY20 based on new reporting methodology)</t>
  </si>
  <si>
    <t>B02-WN</t>
  </si>
  <si>
    <t>Number of qualifying mains repairs per 1,000km of pipe</t>
  </si>
  <si>
    <t>B03-WN</t>
  </si>
  <si>
    <t>Average supply interruption greater than three hours (minutes:seconds per property per year)</t>
  </si>
  <si>
    <t>B04-CF</t>
  </si>
  <si>
    <t>Total unplanned outage (%)</t>
  </si>
  <si>
    <t>B05-WN</t>
  </si>
  <si>
    <t>B06-CF</t>
  </si>
  <si>
    <t>The percentage of customers at risk of experiencing severe supply restrictions during a 1 in 200 year event, on average over 25 years</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</si>
  <si>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</si>
  <si>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</si>
  <si>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</si>
  <si>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</si>
  <si>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</si>
  <si>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</si>
  <si>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</si>
  <si>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</si>
  <si>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</si>
  <si>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</si>
  <si>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</si>
  <si>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</si>
  <si>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</si>
  <si>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</si>
  <si>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</si>
  <si>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</si>
  <si>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</si>
  <si>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</si>
  <si>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B11-WN</t>
  </si>
  <si>
    <t>Thirlmere transfer into West Cumbria (AMP7)</t>
  </si>
  <si>
    <t>The percentage to which the Thirlmere transfer to West Cumbria is complete</t>
  </si>
  <si>
    <t>% project complete</t>
  </si>
  <si>
    <t>The natural environment is protected and improved in the way we deliver our services</t>
  </si>
  <si>
    <t>C01-WWN</t>
  </si>
  <si>
    <t>Number of Category 1 – 3 pollution incidents per 10,000km of sewerage network, as reported to the Environment Agency</t>
  </si>
  <si>
    <t>C02-CF</t>
  </si>
  <si>
    <t>Percentage of treatment works compliant (as per Environmental Performance Assessment) in a calendar year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</si>
  <si>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</si>
  <si>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</si>
  <si>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</si>
  <si>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</si>
  <si>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</si>
  <si>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</si>
  <si>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</si>
  <si>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</si>
  <si>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</si>
  <si>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</si>
  <si>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</si>
  <si>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</si>
  <si>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</si>
  <si>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</si>
  <si>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</si>
  <si>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</si>
  <si>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</si>
  <si>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</si>
  <si>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</si>
  <si>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</si>
  <si>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</si>
  <si>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</si>
  <si>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</si>
  <si>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</si>
  <si>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</si>
  <si>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</si>
  <si>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You’re highly satisfied with our service and find it easy to do business with us</t>
  </si>
  <si>
    <t>D01-HH</t>
  </si>
  <si>
    <t>D02-CF</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</si>
  <si>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</si>
  <si>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</si>
  <si>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</si>
  <si>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</si>
  <si>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</si>
  <si>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</si>
  <si>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</si>
  <si>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</si>
  <si>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</si>
  <si>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</si>
  <si>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</si>
  <si>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</si>
  <si>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</si>
  <si>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</si>
  <si>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</si>
  <si>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</si>
  <si>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E10-HH</t>
  </si>
  <si>
    <t xml:space="preserve">Percentage of the connected household property base that has been verified as void at year end. </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</si>
  <si>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</si>
  <si>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</si>
  <si>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</si>
  <si>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</si>
  <si>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</si>
  <si>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</si>
  <si>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</si>
  <si>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</si>
  <si>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</si>
  <si>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</si>
  <si>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</si>
  <si>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</si>
  <si>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</si>
  <si>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</si>
  <si>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</si>
  <si>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</si>
  <si>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</si>
  <si>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</si>
  <si>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</si>
  <si>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</si>
  <si>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</si>
  <si>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</si>
  <si>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</si>
  <si>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We collect and recycle your wastewater</t>
  </si>
  <si>
    <t>F01-WWN</t>
  </si>
  <si>
    <t>Number of sewer collapses per 1,000km of sewer</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</si>
  <si>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</si>
  <si>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</si>
  <si>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</si>
  <si>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The risk of sewer flooding for homes and businesses is reduced</t>
  </si>
  <si>
    <t>G01-WWN</t>
  </si>
  <si>
    <t>Percentage of population at risk of hydraulic internal sewer flooding in a 1-in-50 year storm</t>
  </si>
  <si>
    <t>G02-WWN</t>
  </si>
  <si>
    <t>Number of internal flooding incidents that have occurred in each financial year</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</si>
  <si>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</si>
  <si>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</si>
  <si>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</si>
  <si>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</si>
  <si>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</si>
  <si>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</si>
  <si>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</si>
  <si>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</si>
  <si>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</si>
  <si>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</si>
  <si>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</si>
  <si>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</si>
  <si>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</si>
  <si>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</si>
  <si>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</si>
  <si>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Safe, clean water for all</t>
  </si>
  <si>
    <t>Wt1</t>
  </si>
  <si>
    <t>The DWI's Compliance Risk Index</t>
  </si>
  <si>
    <t>Wt2</t>
  </si>
  <si>
    <t>Supply interruptions greater than three hours (expressed in minutes per property).</t>
  </si>
  <si>
    <t>Wt3</t>
  </si>
  <si>
    <t>Acceptability of drinking water</t>
  </si>
  <si>
    <t>The number of contacts received from customers in the calendar year regarding the appearance, taste or odour of drinking water, per 1,000 population served.</t>
  </si>
  <si>
    <t>Contacts per 1,000 population served</t>
  </si>
  <si>
    <t>Wt4</t>
  </si>
  <si>
    <t>The number of bursts of water mains per 1000km.</t>
  </si>
  <si>
    <t>Bursts per 1,00km of mains</t>
  </si>
  <si>
    <t>Wt5</t>
  </si>
  <si>
    <t>The company’s total unplanned outage as a proportion of the company’s total production capacity (%); where unplanned outage is a temporary loss of maximum production capacity.</t>
  </si>
  <si>
    <t>Wt6</t>
  </si>
  <si>
    <t>Tap water quality event risk index</t>
  </si>
  <si>
    <t>The quality of tap water supplied as defined by the Drinking Water Inspectorate’s Event Risk Index (ERI).</t>
  </si>
  <si>
    <t>Wt7</t>
  </si>
  <si>
    <t>Water catchments improved</t>
  </si>
  <si>
    <t>The number of our Water Treatment Works with catchments designated as Safeguard Zones under the Water Framework Directive.</t>
  </si>
  <si>
    <t>Wt8</t>
  </si>
  <si>
    <t>Lead pipes replaced</t>
  </si>
  <si>
    <t>Number of lead pipes replaced (cumulative over an AMP).</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</si>
  <si>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</si>
  <si>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</si>
  <si>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</si>
  <si>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En2</t>
  </si>
  <si>
    <t xml:space="preserve">Wastewater treatment works 'look-up table' compliance </t>
  </si>
  <si>
    <t>En3</t>
  </si>
  <si>
    <t>Category 1 - 3 pollution incidents per 10,000km of sewer, as reported to the Environment Agency and Natural Resources Wales.</t>
  </si>
  <si>
    <t>Pollution incidents per 10,000 km of sewers</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</si>
  <si>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</si>
  <si>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</si>
  <si>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</si>
  <si>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</si>
  <si>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</si>
  <si>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</si>
  <si>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</si>
  <si>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</si>
  <si>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</si>
  <si>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</si>
  <si>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</si>
  <si>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En8</t>
  </si>
  <si>
    <t>Bioresources disposal compliance</t>
  </si>
  <si>
    <t>The percentage of wastewater sludge disposed of satisfactorily.</t>
  </si>
  <si>
    <t>Personal service that's right for you</t>
  </si>
  <si>
    <t>Sv1</t>
  </si>
  <si>
    <t>Customer Experience Measure of satisfaction</t>
  </si>
  <si>
    <t>Sv2</t>
  </si>
  <si>
    <t>Developer Services Experience Measure of satisfaction</t>
  </si>
  <si>
    <t>Sv3</t>
  </si>
  <si>
    <t>The customer trust score is calculated from the CCWater’s survey question: “How much do you trust your water and sewerage company?”.</t>
  </si>
  <si>
    <t>Sv4</t>
  </si>
  <si>
    <t>Business customer satisfaction</t>
  </si>
  <si>
    <t>The average customer score out of 5 from four quarterly business customer satisfaction surveys.</t>
  </si>
  <si>
    <t>Score out of 5</t>
  </si>
  <si>
    <t>Sv5</t>
  </si>
  <si>
    <t>Sv6</t>
  </si>
  <si>
    <t xml:space="preserve">Customers on Welsh language register </t>
  </si>
  <si>
    <t>Number of customers registered for our Welsh language services (e.g. proactive text alert/correspondence, etc.).</t>
  </si>
  <si>
    <t>Put things right if they go wrong</t>
  </si>
  <si>
    <t>Rt1</t>
  </si>
  <si>
    <t>The number of internal flooding incidents per year, including sewer flooding due to severe weather events</t>
  </si>
  <si>
    <t>Rt2</t>
  </si>
  <si>
    <t>Sewer flooding on customer property (external)</t>
  </si>
  <si>
    <t>The number of external flooding incidents per year within property curtilage.</t>
  </si>
  <si>
    <t>Rt3</t>
  </si>
  <si>
    <t>The number of collapses on sewers per 1000km.</t>
  </si>
  <si>
    <t>Collapses per 1,00km</t>
  </si>
  <si>
    <t>Rt4</t>
  </si>
  <si>
    <t>Total complaints</t>
  </si>
  <si>
    <t>The number of household written and telephone complaints per 10,000 customers.</t>
  </si>
  <si>
    <t>Complaints per 10,000 connections</t>
  </si>
  <si>
    <t>Rt5</t>
  </si>
  <si>
    <t>Worst served customer for water service</t>
  </si>
  <si>
    <t>The number of customers that have had repeat incidents of low water pressure or interruptions to water supply.</t>
  </si>
  <si>
    <t>Rt6</t>
  </si>
  <si>
    <t>Worst served customer for wastewater service</t>
  </si>
  <si>
    <t>The number of properties at risk of repeat internal or serious external flooding.</t>
  </si>
  <si>
    <t>Fair bills for everyone</t>
  </si>
  <si>
    <t>Bl1</t>
  </si>
  <si>
    <t>Change in average household bill</t>
  </si>
  <si>
    <t>The percentage annual increase in the average household bill.</t>
  </si>
  <si>
    <t>&lt;CPIH</t>
  </si>
  <si>
    <t>Bl2</t>
  </si>
  <si>
    <t>Vulnerable customers on social tariffs</t>
  </si>
  <si>
    <t xml:space="preserve">The unique number of customers who are benefiting from our financial assistance schemes. </t>
  </si>
  <si>
    <t>Bl3</t>
  </si>
  <si>
    <t xml:space="preserve">Company level of bad debt </t>
  </si>
  <si>
    <t>The annual doubtful debt charge as a proportion of total revenue.</t>
  </si>
  <si>
    <t>Bl4</t>
  </si>
  <si>
    <t>Unbilled properties</t>
  </si>
  <si>
    <t>The percentage of connected properties (both household and non-household) that are void. Voids are vacant properties which are not billed for water and/or waste water services.</t>
  </si>
  <si>
    <t>Bl5</t>
  </si>
  <si>
    <t xml:space="preserve">Financial resilience </t>
  </si>
  <si>
    <t>Our overall financial resilience as reflected in the credit ratings given by the three main credit rating agencies: Moody’s, Standard &amp; Poor’s (S&amp;P) and Fitch.</t>
  </si>
  <si>
    <t>Create a better future for all our communities</t>
  </si>
  <si>
    <t>Ft1</t>
  </si>
  <si>
    <t>Percentage of the population the company serves, that would experience severe supply restrictions (e.g. standpipes or rota cuts) in a 1-in-200 year drought.</t>
  </si>
  <si>
    <t>Ft2</t>
  </si>
  <si>
    <t>Percentage of population at risk of sewer flooding in a 1-in-50 year storm.</t>
  </si>
  <si>
    <t>% customers</t>
  </si>
  <si>
    <t>Ft3</t>
  </si>
  <si>
    <t>Energy self-sufficiency</t>
  </si>
  <si>
    <t xml:space="preserve">Electricity generated and gas injected to grid as a percentage of all electricity and gas consumed (gas expressed as an electricity equivalent). </t>
  </si>
  <si>
    <t>Ft4</t>
  </si>
  <si>
    <t>Surface water removed from sewers</t>
  </si>
  <si>
    <t>The volume of surface water removed from the sewers (measured in metres cubed)</t>
  </si>
  <si>
    <t>per m3 of water removed from sewers</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</si>
  <si>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</si>
  <si>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</si>
  <si>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</si>
  <si>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</si>
  <si>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</si>
  <si>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</si>
  <si>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</si>
  <si>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</si>
  <si>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</si>
  <si>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</si>
  <si>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</si>
  <si>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</si>
  <si>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</si>
  <si>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</si>
  <si>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</si>
  <si>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Ft10</t>
  </si>
  <si>
    <t>Community education</t>
  </si>
  <si>
    <t>The total number of children and adults who have participated in our educational activities.</t>
  </si>
  <si>
    <t>Ft11</t>
  </si>
  <si>
    <t>Visitors to recreational facilities</t>
  </si>
  <si>
    <t>The number of visitors to our recreational sites across Wales.</t>
  </si>
  <si>
    <t>Colleague Promises</t>
  </si>
  <si>
    <t>PR14 new</t>
  </si>
  <si>
    <t>Co1</t>
  </si>
  <si>
    <t>Reportable injuries</t>
  </si>
  <si>
    <t>The number of RIDDOR (Reporting of Injuries, Diseases and Dangerous Occurrences Regulations) injuries recorded per year.</t>
  </si>
  <si>
    <t>Co2</t>
  </si>
  <si>
    <t>Employee training and expertise</t>
  </si>
  <si>
    <t>The percentage of our employees who are evaluated as having the necessary skills, experience and knowledge to carry out their specific role safely.</t>
  </si>
  <si>
    <t>Co3</t>
  </si>
  <si>
    <t>Employee Engagement</t>
  </si>
  <si>
    <t>The employee engagement score derived from an annual survey of colleague sentiment.</t>
  </si>
  <si>
    <t>Bl6</t>
  </si>
  <si>
    <t>Delivery of our reservoirs enhancement programme</t>
  </si>
  <si>
    <t>The cumulative total of schemes delivered in our impounding reservoirs enhancement programme.</t>
  </si>
  <si>
    <t>Bl8</t>
  </si>
  <si>
    <t>Delivery of our water network improvement programme</t>
  </si>
  <si>
    <t xml:space="preserve">The totex value spent against our programme to improve the performance of our water networks in response to the DWI notices. </t>
  </si>
  <si>
    <t>En9</t>
  </si>
  <si>
    <t>Combined sewer overflow storage systems</t>
  </si>
  <si>
    <t>Cubic metres of equivalent storage volume</t>
  </si>
  <si>
    <t>BI10</t>
  </si>
  <si>
    <t>Delivery of our South Wales Grid water supply resilience scheme</t>
  </si>
  <si>
    <t>Cumulative proportion of total expenditure</t>
  </si>
  <si>
    <t>VIS01</t>
  </si>
  <si>
    <t xml:space="preserve">Delivery of our new visitor centre </t>
  </si>
  <si>
    <t>Delivered</t>
  </si>
  <si>
    <t>DPC01</t>
  </si>
  <si>
    <t>Cwm Taf Water Supply Strategy Scheme (Underperformance)</t>
  </si>
  <si>
    <t>Number of control points delivered</t>
  </si>
  <si>
    <t>DPC02</t>
  </si>
  <si>
    <t>Cwm Taf Water Supply Strategy Scheme (Outperformance)</t>
  </si>
  <si>
    <t>Appointment of third party provider where the direct procurement for customers scheme meets the qualifying criteria</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</si>
  <si>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</si>
  <si>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</si>
  <si>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</si>
  <si>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</si>
  <si>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Successful applications for assistance received by the independent advice sector/third parties</t>
  </si>
  <si>
    <t>Number of successful applications for assistance received by the independent advice sector/third parties that are funded</t>
  </si>
  <si>
    <t>Number of applications</t>
  </si>
  <si>
    <t>Void sites</t>
  </si>
  <si>
    <t>Percentage of all connected properties that are void</t>
  </si>
  <si>
    <t>Percentage of properties</t>
  </si>
  <si>
    <t>A4</t>
  </si>
  <si>
    <t>Number of properties newly billed over the year that were connected to our water supply and/or sewerage systems more than two financial years previously</t>
  </si>
  <si>
    <t>Number of gap sites discovered</t>
  </si>
  <si>
    <t>Excellent service for customers</t>
  </si>
  <si>
    <t>X1</t>
  </si>
  <si>
    <t>X2</t>
  </si>
  <si>
    <t>D-MeX Score</t>
  </si>
  <si>
    <t>X3</t>
  </si>
  <si>
    <t>The percentage of customers rating overall service as good value for money when asked in an annual tracking telephone survey</t>
  </si>
  <si>
    <t>Percentage rating the service as good value for money</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</si>
  <si>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</si>
  <si>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</si>
  <si>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</si>
  <si>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</si>
  <si>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</si>
  <si>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</si>
  <si>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Number of children/students engaged</t>
  </si>
  <si>
    <t xml:space="preserve">Number of children/students directly engaged on subjects that will help us achieve our other objectives e.g. water efficiency and sewer misuse. </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</si>
  <si>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</si>
  <si>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</si>
  <si>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</si>
  <si>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</si>
  <si>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</si>
  <si>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</si>
  <si>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</si>
  <si>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W3</t>
  </si>
  <si>
    <t>Customer reported leaks fixed within a day</t>
  </si>
  <si>
    <t>Percentage of customer reported leaks fixed by the end of the next working day (on water mains - excludes service pipes)</t>
  </si>
  <si>
    <t>Percentage of leaks fixed</t>
  </si>
  <si>
    <t>W4</t>
  </si>
  <si>
    <t>Volume of water saved by water efficiency engagement</t>
  </si>
  <si>
    <t>Volume of water saved by helping customers reduce the amount of water they use because of our engagement programme</t>
  </si>
  <si>
    <t>Megalitres per day - cumulative</t>
  </si>
  <si>
    <t>Excellent drinking water quality</t>
  </si>
  <si>
    <t>Q1</t>
  </si>
  <si>
    <t>The DWI's Compliance Risk Index (CRI)</t>
  </si>
  <si>
    <t>Q2</t>
  </si>
  <si>
    <t>Water quality customer contacts (appearance, taste and odour)</t>
  </si>
  <si>
    <t>Number of times companies contact us about the appearance, taste or odour of their tap water</t>
  </si>
  <si>
    <t>Number of contacts per 1,000 population</t>
  </si>
  <si>
    <t>Q3</t>
  </si>
  <si>
    <t>Tackling water quality at home and in the work place</t>
  </si>
  <si>
    <t>Inspections and customer lead pipe replacement aimed at improvement of water quality</t>
  </si>
  <si>
    <t>Index - cumulative</t>
  </si>
  <si>
    <t>Q4</t>
  </si>
  <si>
    <t>Lead communication service pipes replaced (Wessex Water assets)</t>
  </si>
  <si>
    <t>Number of lead communication pipes replaced, including galvanised and other metallic pipes that include lead</t>
  </si>
  <si>
    <t>Number of lead pipes replaced each year</t>
  </si>
  <si>
    <t>Q5</t>
  </si>
  <si>
    <t>Event risk index (Wessex Water) (ERI WW)</t>
  </si>
  <si>
    <t>The DWI's Event Risk Index (ERI)</t>
  </si>
  <si>
    <t>Minimise sewer flooding</t>
  </si>
  <si>
    <t>The number of internal flooding incidents per year, including all incident causes and sewer flooding due to severe weather events per 10,000 sewer connections</t>
  </si>
  <si>
    <t>Number of incidents per 10,000 sewer connections</t>
  </si>
  <si>
    <t>Customer property sewer flooding (external)</t>
  </si>
  <si>
    <t>The number of external sewer flooding incidents, including all incident causes and flooding due to severe weather events per 10,000 sewer connections (in line with Ofwat shadow reporting)</t>
  </si>
  <si>
    <t>F3</t>
  </si>
  <si>
    <t>Sewer flooding risk</t>
  </si>
  <si>
    <t>Overall risk of flooding as measured by sewer flooding risk grid</t>
  </si>
  <si>
    <t>F4</t>
  </si>
  <si>
    <t>North Bristol Sewer Scheme - Trym catchment</t>
  </si>
  <si>
    <t>Delivery of additional capacity for the Trym catchment by 2022/23 in line with the agreed North Bristol Sewerage strategy</t>
  </si>
  <si>
    <t>Months of delays</t>
  </si>
  <si>
    <t>Resilient services</t>
  </si>
  <si>
    <t>R1</t>
  </si>
  <si>
    <t>Number of minutes lost per property with supply interruptions greater than three hours including planned, unplanned and third party interruptions</t>
  </si>
  <si>
    <t>R2</t>
  </si>
  <si>
    <t>Percentage of the population the company serves, that would experience severe supply restrictions (e.g. standpipes or rota cuts) in a 1-in-200 year drought</t>
  </si>
  <si>
    <t>R3</t>
  </si>
  <si>
    <t>Percentage of population at risk of sewer flooding in a 1-in-50 year storm</t>
  </si>
  <si>
    <t>R4</t>
  </si>
  <si>
    <t>Number of mains bursts/repairs on water mains per year (water mains only - excludes service pipes)</t>
  </si>
  <si>
    <t>Number of bursts per 1,000km mains</t>
  </si>
  <si>
    <t>R5</t>
  </si>
  <si>
    <t>Annualised unavailable output, based on the peak week production capacity (or PWPC)</t>
  </si>
  <si>
    <t>Percentage of production capacity</t>
  </si>
  <si>
    <t>R6</t>
  </si>
  <si>
    <t>Number of sewer collapses per thousand kilometres of all sewers causing an impact on service to customers or the environment</t>
  </si>
  <si>
    <t>Sewer collapses per 1,000km of sewers</t>
  </si>
  <si>
    <t>R7</t>
  </si>
  <si>
    <t>Restrictions on water use (hosepipe bans)</t>
  </si>
  <si>
    <t>The number of temporary use (hosepipe) bans imposed on customer to restrict their water use</t>
  </si>
  <si>
    <t>Number of hosepipe bans</t>
  </si>
  <si>
    <t>Protecting and enhancing the environment</t>
  </si>
  <si>
    <t>Percentage of sewage treatment works and water treatment works that are compliant with their discharge permit as reported to the Environment Agency</t>
  </si>
  <si>
    <t>Percentage of works that are compliant</t>
  </si>
  <si>
    <t>Category 1-3 pollution incidents per 10,000km of wastewater network, as reported to the Environment Agency</t>
  </si>
  <si>
    <t>Incidents per 10,000 km of sewers</t>
  </si>
  <si>
    <t>Abstraction Incentive Mechanism (Mere)</t>
  </si>
  <si>
    <t>The volume of water abstracted from the Mere source and exported from the catchment over the course of the year when river flows are low</t>
  </si>
  <si>
    <t>Megalitres per year</t>
  </si>
  <si>
    <t>Natural capital: improve Sites of Special Scientific Interest (SSSI sites)</t>
  </si>
  <si>
    <t>Percentage of actions delivered to improve SSSI sites on Wessex Water landholding as agreed with Natural England</t>
  </si>
  <si>
    <t>Percentage of agreed actions delivered - cumulative</t>
  </si>
  <si>
    <t>Annual gross greenhouse gas emissions from operational services</t>
  </si>
  <si>
    <t>Kiloton of CO2 equivalent (KtCO2e)</t>
  </si>
  <si>
    <t>E6</t>
  </si>
  <si>
    <t>Working with communities to improve bathing water experience</t>
  </si>
  <si>
    <t>Number of beaches with community projects that have been agreed by the Catchment Panel which improves bathing water experience</t>
  </si>
  <si>
    <t>Number of beaches - cumulative</t>
  </si>
  <si>
    <t>E7</t>
  </si>
  <si>
    <t>Working with catchment partners to improve natural capital</t>
  </si>
  <si>
    <t>Number of schemes working with catchment partners to improve natural capital on non-Wessex Water landholding (excluding SSSI sites)</t>
  </si>
  <si>
    <t>Number of schemes - cumulative</t>
  </si>
  <si>
    <t>E8</t>
  </si>
  <si>
    <t>Percentage of sludge disposed that complies with appropriate legislation and regulation, as reported to the Environment Agency</t>
  </si>
  <si>
    <t>Percentage of sludge</t>
  </si>
  <si>
    <t>E9</t>
  </si>
  <si>
    <t>Reduce frequent spilling overflows (non-WINEP)</t>
  </si>
  <si>
    <t>Number of combined sewer overflows (CSO) improvements achieved in addition to WINEP requirements</t>
  </si>
  <si>
    <t>E10</t>
  </si>
  <si>
    <t>Length of river with improved water quality through WINEP delivery</t>
  </si>
  <si>
    <t>Kilometre (Km) of river improved - cumulative</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</si>
  <si>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</si>
  <si>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</si>
  <si>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</si>
  <si>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</si>
  <si>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E12</t>
  </si>
  <si>
    <t>Abstraction Incentive Mechanism (Stubhampton)</t>
  </si>
  <si>
    <t>The volume of water abstracted from the Stubhampton source over the course of the year when river flows are low</t>
  </si>
  <si>
    <t>Ml/a</t>
  </si>
  <si>
    <t>SEC</t>
  </si>
  <si>
    <t>Delivery of security (non-SEMD)</t>
  </si>
  <si>
    <t>cumulative number of deliverables delivered</t>
  </si>
  <si>
    <t>E13</t>
  </si>
  <si>
    <t>WINEP requirements (Bristol (Avonmouth) STW)</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</si>
  <si>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</si>
  <si>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</si>
  <si>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</si>
  <si>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</si>
  <si>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</si>
  <si>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</si>
  <si>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</si>
  <si>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</si>
  <si>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Integrated catchment management</t>
  </si>
  <si>
    <t>The percentage of catchments in which Yorkshire Water operates, where, working with stakeholders, we implement the Natural Capital Operator approach in practice.</t>
  </si>
  <si>
    <t>% of catchments</t>
  </si>
  <si>
    <t>Length of river improved</t>
  </si>
  <si>
    <t xml:space="preserve">The number of kilometres of river improved in the Yorkshire Water region </t>
  </si>
  <si>
    <t>Km of River</t>
  </si>
  <si>
    <t>Biosecurity implementation</t>
  </si>
  <si>
    <t>The number of pathways of invasive species spread, where biosecurity interventions have reduced the risk of that spread</t>
  </si>
  <si>
    <t>Number of pathways</t>
  </si>
  <si>
    <t>6a</t>
  </si>
  <si>
    <t>Operational Carbon</t>
  </si>
  <si>
    <t>The reduction in our total carbon footprint (CO2e)</t>
  </si>
  <si>
    <t>6b</t>
  </si>
  <si>
    <t>Capital carbon and emissions arising from owned land</t>
  </si>
  <si>
    <t>% reduction in capital carbon and emissions arising from owned land from a 2019-20 baseline</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</si>
  <si>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</si>
  <si>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</si>
  <si>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</si>
  <si>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</si>
  <si>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Creating value from waste</t>
  </si>
  <si>
    <t>The additional environment, social and financial benefit we create from resources currently under-used or classified as waste</t>
  </si>
  <si>
    <t>£ Benefit (net economic value)</t>
  </si>
  <si>
    <t>Water recycling</t>
  </si>
  <si>
    <t xml:space="preserve">The volume of water recycled in our clean and wastewater treatment sites, reducing the volume of water abstracted from the environment. 
</t>
  </si>
  <si>
    <t>Megalitres (Ml) per day</t>
  </si>
  <si>
    <t>Customers: we will develop the deepest possible understanding of our customers’ needs and wants and ensure that we develop a service tailored and personalised to meet those needs.</t>
  </si>
  <si>
    <t>Score based on Developer Services Measure</t>
  </si>
  <si>
    <t>Affordability of bills</t>
  </si>
  <si>
    <t>The percentage of residential customers who find their water and sewage bill affordable</t>
  </si>
  <si>
    <t xml:space="preserve">% of customers </t>
  </si>
  <si>
    <t>Direct support given to customers</t>
  </si>
  <si>
    <t>The number of our residential customers who receive financial support through one of our approved schemes each year.</t>
  </si>
  <si>
    <t>Number of customers receiving financial support</t>
  </si>
  <si>
    <t>Cost of bad debt</t>
  </si>
  <si>
    <t>The cost of unrecovered residential customers bills (‘bad debt’) to all customers, expressed as a proportion of the average annual bill.</t>
  </si>
  <si>
    <t>% of the bill per customer resulting from bad debt</t>
  </si>
  <si>
    <t>Priority services awareness</t>
  </si>
  <si>
    <t>The percentage of customers that are aware of the services provided under the Priority Services Register</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</si>
  <si>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</si>
  <si>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</si>
  <si>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</si>
  <si>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Inclusive customer service</t>
  </si>
  <si>
    <t xml:space="preserve">The percentage improvement in the services provided to customers in vulnerable circumstances, as reviewed and assessed by a panel of independent third-party organisations and charities. </t>
  </si>
  <si>
    <t>% improvement</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</si>
  <si>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</si>
  <si>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</si>
  <si>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The percentage of residential properties in the Yorkshire Water region verified as voids</t>
  </si>
  <si>
    <t>% of properties showing as empty, that are verified as voids</t>
  </si>
  <si>
    <t>Score based on Customer Experience Measure</t>
  </si>
  <si>
    <t>The score achieved for Water Quality Compliance against the DWI's Compliance Risk Index (CRI)</t>
  </si>
  <si>
    <t>Compliance Risk Index (CRI) Score</t>
  </si>
  <si>
    <t>The number of minutes lost per property with supply interruptions of three hours or longer (including planned, unplanned and caused by a third party).</t>
  </si>
  <si>
    <t>Customer Minutes lost per property</t>
  </si>
  <si>
    <t>The Ml of water lost from water pipes</t>
  </si>
  <si>
    <t>Ml of Leakage - yearly average</t>
  </si>
  <si>
    <t xml:space="preserve">The temporary loss of maximum production capacity. Reported as lost capacity (flow rate) as a proportion of total company maximum production capacity. </t>
  </si>
  <si>
    <t>Ml of Outage (weighted) as a percentage of the total maximum production capacity (Ml/d)</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</si>
  <si>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</si>
  <si>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</si>
  <si>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</si>
  <si>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</si>
  <si>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 xml:space="preserve">Drinking water contacts </t>
  </si>
  <si>
    <t xml:space="preserve">The number  of contacts received about drinking water  (taste and odour, and appearance) </t>
  </si>
  <si>
    <t>Number  of contacts received about drinking water aesthetics / 10,000 population</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</si>
  <si>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</si>
  <si>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</si>
  <si>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</si>
  <si>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Number of properties receiving low water pressure</t>
  </si>
  <si>
    <t xml:space="preserve">The number of properties below the low pressure standard. </t>
  </si>
  <si>
    <t>Repairing or replacing customer owned pipes</t>
  </si>
  <si>
    <t>The total number of residential supply pipe repairs and renewals carried out by us each year.</t>
  </si>
  <si>
    <t>Number of residential supply pipe repairs and renewals</t>
  </si>
  <si>
    <t xml:space="preserve">The number of pollution incidents resulting from Yorkshire Water sewage assets
</t>
  </si>
  <si>
    <t>Number of Pollution Incidents</t>
  </si>
  <si>
    <t xml:space="preserve">The number of incidents of internal sewer flooding of homes and businesses in the year. </t>
  </si>
  <si>
    <t>Number of internal sewer flooding incidents</t>
  </si>
  <si>
    <t>The performance of our water and wastewater assets to treat and dispose of wastewater in line with the discharge permit conditions.</t>
  </si>
  <si>
    <t>% treatment work compliance</t>
  </si>
  <si>
    <t xml:space="preserve">The number of sewer collapses per thousand kilometres of all sewers. </t>
  </si>
  <si>
    <t xml:space="preserve">Number of sewer collapses per 1000 kilometres of all sewers. </t>
  </si>
  <si>
    <t xml:space="preserve">The population vulnerable to sewer flooding in a 1:50 year rainfall event. </t>
  </si>
  <si>
    <t>% of population vulnerable to flooding</t>
  </si>
  <si>
    <t xml:space="preserve">The number of external flooding incidents per year caused by the escape of water originating from public sewers, affecting properties or single curtilages.
</t>
  </si>
  <si>
    <t>Number of external sewer flooding incidents</t>
  </si>
  <si>
    <t xml:space="preserve">The number of designated bathing waters where we exceed European Union Bathing Water Directive requirements. </t>
  </si>
  <si>
    <t>Number of Bathing Waters</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</si>
  <si>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</si>
  <si>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</si>
  <si>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</si>
  <si>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</si>
  <si>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Quality agricultural products</t>
  </si>
  <si>
    <t>The percentage of biosolids sent to agricultural land that achieves Biosolids Assurance Scheme (BAS) certification.</t>
  </si>
  <si>
    <t xml:space="preserve">% of biosolids achieving BAS accreditation </t>
  </si>
  <si>
    <t xml:space="preserve">Renewable energy generation </t>
  </si>
  <si>
    <t xml:space="preserve">The gigawatt- hours of energy generated from the biogas we produce. </t>
  </si>
  <si>
    <t>GWh</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</si>
  <si>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</si>
  <si>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</si>
  <si>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</si>
  <si>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</si>
  <si>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</si>
  <si>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</si>
  <si>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Additional sludge treatment capacity at Whitlingham</t>
  </si>
  <si>
    <t>% capacity delivered</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</si>
  <si>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</si>
  <si>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</si>
  <si>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</si>
  <si>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</si>
  <si>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</si>
  <si>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</si>
  <si>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</si>
  <si>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</si>
  <si>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</si>
  <si>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</si>
  <si>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</si>
  <si>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</si>
  <si>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</si>
  <si>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</si>
  <si>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</si>
  <si>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</si>
  <si>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</si>
  <si>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</si>
  <si>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</si>
  <si>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</si>
  <si>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</si>
  <si>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</si>
  <si>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</si>
  <si>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</si>
  <si>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</si>
  <si>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</si>
  <si>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</si>
  <si>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</si>
  <si>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</si>
  <si>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</si>
  <si>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</si>
  <si>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</si>
  <si>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</si>
  <si>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</si>
  <si>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</si>
  <si>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</si>
  <si>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</si>
  <si>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</si>
  <si>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</si>
  <si>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</si>
  <si>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</si>
  <si>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</si>
  <si>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</si>
  <si>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</si>
  <si>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</si>
  <si>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</si>
  <si>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</si>
  <si>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</si>
  <si>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</si>
  <si>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</si>
  <si>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</si>
  <si>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</si>
  <si>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</si>
  <si>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</si>
  <si>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</si>
  <si>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</si>
  <si>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</si>
  <si>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</si>
  <si>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</si>
  <si>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</si>
  <si>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</si>
  <si>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</si>
  <si>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</si>
  <si>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</si>
  <si>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</si>
  <si>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</si>
  <si>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</si>
  <si>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</si>
  <si>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</si>
  <si>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</si>
  <si>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</si>
  <si>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</si>
  <si>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</si>
  <si>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</si>
  <si>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</si>
  <si>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</si>
  <si>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</si>
  <si>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</si>
  <si>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</si>
  <si>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</si>
  <si>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</si>
  <si>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</si>
  <si>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</si>
  <si>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</si>
  <si>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</si>
  <si>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</si>
  <si>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</si>
  <si>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</si>
  <si>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</si>
  <si>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</si>
  <si>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</si>
  <si>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</si>
  <si>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</si>
  <si>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</si>
  <si>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</si>
  <si>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</si>
  <si>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</si>
  <si>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</si>
  <si>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</si>
  <si>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</si>
  <si>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</si>
  <si>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</si>
  <si>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</si>
  <si>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</si>
  <si>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</si>
  <si>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</si>
  <si>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</si>
  <si>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</si>
  <si>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</si>
  <si>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</si>
  <si>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</si>
  <si>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</si>
  <si>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</si>
  <si>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</si>
  <si>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</si>
  <si>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</si>
  <si>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</si>
  <si>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</si>
  <si>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</si>
  <si>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</si>
  <si>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</si>
  <si>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</si>
  <si>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</si>
  <si>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</si>
  <si>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</si>
  <si>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</si>
  <si>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</si>
  <si>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</si>
  <si>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</si>
  <si>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</si>
  <si>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</si>
  <si>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</si>
  <si>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</si>
  <si>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</si>
  <si>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</si>
  <si>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</si>
  <si>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</si>
  <si>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</si>
  <si>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</si>
  <si>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</si>
  <si>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</si>
  <si>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</si>
  <si>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</si>
  <si>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</si>
  <si>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</si>
  <si>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</si>
  <si>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</si>
  <si>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</si>
  <si>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</si>
  <si>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</si>
  <si>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</si>
  <si>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</si>
  <si>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</si>
  <si>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</si>
  <si>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</si>
  <si>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</si>
  <si>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</si>
  <si>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</si>
  <si>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</si>
  <si>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</si>
  <si>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</si>
  <si>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</si>
  <si>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</si>
  <si>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</si>
  <si>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</si>
  <si>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</si>
  <si>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</si>
  <si>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</si>
  <si>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</si>
  <si>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</si>
  <si>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</si>
  <si>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</si>
  <si>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</si>
  <si>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</si>
  <si>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</si>
  <si>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</si>
  <si>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</si>
  <si>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</si>
  <si>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</si>
  <si>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</si>
  <si>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</si>
  <si>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</si>
  <si>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</si>
  <si>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</si>
  <si>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</si>
  <si>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</si>
  <si>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</si>
  <si>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</si>
  <si>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</si>
  <si>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</si>
  <si>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</si>
  <si>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</si>
  <si>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</si>
  <si>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</si>
  <si>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</si>
  <si>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</si>
  <si>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</si>
  <si>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</si>
  <si>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</si>
  <si>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</si>
  <si>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</si>
  <si>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</si>
  <si>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</si>
  <si>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</si>
  <si>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</si>
  <si>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</si>
  <si>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</si>
  <si>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</si>
  <si>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</si>
  <si>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</si>
  <si>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</si>
  <si>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</si>
  <si>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</si>
  <si>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</si>
  <si>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</si>
  <si>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</si>
  <si>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</si>
  <si>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</si>
  <si>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</si>
  <si>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</si>
  <si>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</si>
  <si>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</si>
  <si>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</si>
  <si>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</si>
  <si>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</si>
  <si>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</si>
  <si>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</si>
  <si>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</si>
  <si>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</si>
  <si>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</si>
  <si>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</si>
  <si>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</si>
  <si>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</si>
  <si>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</si>
  <si>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</si>
  <si>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</si>
  <si>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</si>
  <si>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</si>
  <si>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</si>
  <si>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</si>
  <si>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</si>
  <si>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</si>
  <si>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</si>
  <si>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</si>
  <si>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</si>
  <si>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</si>
  <si>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</si>
  <si>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</si>
  <si>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</si>
  <si>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</si>
  <si>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</si>
  <si>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</si>
  <si>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</si>
  <si>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</si>
  <si>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</si>
  <si>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</si>
  <si>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</si>
  <si>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</si>
  <si>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</si>
  <si>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</si>
  <si>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</si>
  <si>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</si>
  <si>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</si>
  <si>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</si>
  <si>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</si>
  <si>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</si>
  <si>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</si>
  <si>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</si>
  <si>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</si>
  <si>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</si>
  <si>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</si>
  <si>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</si>
  <si>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</si>
  <si>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</si>
  <si>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</si>
  <si>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</si>
  <si>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</si>
  <si>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</si>
  <si>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</si>
  <si>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</si>
  <si>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</si>
  <si>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</si>
  <si>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</si>
  <si>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</si>
  <si>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</si>
  <si>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</si>
  <si>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</si>
  <si>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</si>
  <si>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</si>
  <si>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</si>
  <si>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</si>
  <si>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</si>
  <si>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</si>
  <si>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</si>
  <si>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</si>
  <si>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</si>
  <si>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</si>
  <si>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</si>
  <si>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</si>
  <si>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</si>
  <si>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</si>
  <si>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</si>
  <si>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</si>
  <si>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</si>
  <si>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</si>
  <si>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</si>
  <si>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</si>
  <si>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</si>
  <si>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</si>
  <si>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</si>
  <si>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</si>
  <si>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</si>
  <si>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</si>
  <si>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</si>
  <si>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</si>
  <si>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</si>
  <si>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</si>
  <si>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</si>
  <si>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</si>
  <si>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</si>
  <si>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</si>
  <si>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</si>
  <si>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</si>
  <si>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</si>
  <si>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</si>
  <si>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</si>
  <si>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</si>
  <si>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</si>
  <si>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</si>
  <si>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</si>
  <si>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</si>
  <si>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</si>
  <si>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</si>
  <si>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</si>
  <si>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</si>
  <si>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</si>
  <si>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</si>
  <si>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</si>
  <si>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</si>
  <si>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</si>
  <si>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</si>
  <si>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</si>
  <si>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</si>
  <si>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</si>
  <si>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</si>
  <si>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</si>
  <si>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</si>
  <si>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</si>
  <si>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</si>
  <si>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</si>
  <si>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</si>
  <si>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</si>
  <si>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</si>
  <si>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</si>
  <si>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</si>
  <si>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</si>
  <si>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</si>
  <si>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</si>
  <si>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</si>
  <si>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</si>
  <si>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</si>
  <si>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</si>
  <si>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</si>
  <si>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</si>
  <si>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</si>
  <si>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</si>
  <si>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</si>
  <si>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</si>
  <si>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</si>
  <si>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</si>
  <si>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</si>
  <si>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</si>
  <si>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</si>
  <si>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</si>
  <si>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</si>
  <si>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</si>
  <si>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</si>
  <si>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</si>
  <si>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</si>
  <si>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</si>
  <si>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</si>
  <si>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</si>
  <si>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</si>
  <si>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</si>
  <si>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</si>
  <si>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</si>
  <si>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</si>
  <si>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</si>
  <si>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</si>
  <si>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</si>
  <si>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</si>
  <si>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</si>
  <si>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</si>
  <si>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</si>
  <si>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</si>
  <si>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</si>
  <si>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</si>
  <si>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</si>
  <si>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</si>
  <si>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</si>
  <si>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</si>
  <si>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</si>
  <si>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</si>
  <si>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</si>
  <si>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</si>
  <si>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</si>
  <si>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</si>
  <si>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</si>
  <si>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</si>
  <si>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</si>
  <si>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</si>
  <si>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</si>
  <si>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</si>
  <si>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</si>
  <si>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</si>
  <si>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</si>
  <si>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</si>
  <si>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</si>
  <si>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</si>
  <si>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</si>
  <si>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</si>
  <si>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</si>
  <si>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</si>
  <si>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</si>
  <si>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</si>
  <si>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</si>
  <si>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</si>
  <si>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</si>
  <si>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</si>
  <si>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</si>
  <si>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</si>
  <si>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</si>
  <si>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</si>
  <si>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</si>
  <si>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</si>
  <si>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</si>
  <si>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</si>
  <si>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</si>
  <si>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</si>
  <si>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</si>
  <si>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</si>
  <si>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</si>
  <si>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</si>
  <si>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</si>
  <si>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</si>
  <si>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</si>
  <si>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</si>
  <si>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</si>
  <si>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</si>
  <si>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</si>
  <si>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</si>
  <si>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</si>
  <si>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</si>
  <si>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</si>
  <si>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</si>
  <si>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</si>
  <si>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</si>
  <si>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</si>
  <si>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</si>
  <si>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</si>
  <si>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</si>
  <si>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</si>
  <si>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</si>
  <si>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</si>
  <si>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</si>
  <si>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</si>
  <si>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</si>
  <si>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</si>
  <si>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</si>
  <si>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</si>
  <si>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</si>
  <si>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</si>
  <si>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</si>
  <si>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</si>
  <si>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</si>
  <si>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</si>
  <si>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</si>
  <si>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</si>
  <si>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</si>
  <si>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</si>
  <si>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</si>
  <si>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</si>
  <si>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</si>
  <si>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</si>
  <si>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</si>
  <si>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</si>
  <si>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</si>
  <si>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</si>
  <si>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</si>
  <si>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</si>
  <si>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</si>
  <si>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</si>
  <si>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</si>
  <si>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</si>
  <si>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</si>
  <si>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</si>
  <si>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</si>
  <si>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</si>
  <si>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</si>
  <si>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</si>
  <si>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</si>
  <si>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</si>
  <si>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</si>
  <si>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</si>
  <si>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</si>
  <si>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</si>
  <si>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</si>
  <si>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</si>
  <si>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</si>
  <si>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</si>
  <si>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</si>
  <si>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</si>
  <si>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</si>
  <si>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</si>
  <si>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</si>
  <si>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</si>
  <si>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</si>
  <si>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</si>
  <si>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</si>
  <si>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</si>
  <si>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</si>
  <si>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</si>
  <si>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</si>
  <si>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</si>
  <si>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</si>
  <si>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</si>
  <si>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</si>
  <si>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</si>
  <si>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</si>
  <si>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</si>
  <si>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</si>
  <si>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</si>
  <si>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</si>
  <si>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</si>
  <si>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</si>
  <si>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</si>
  <si>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</si>
  <si>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</si>
  <si>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</si>
  <si>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</si>
  <si>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</si>
  <si>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</si>
  <si>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</si>
  <si>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</si>
  <si>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</si>
  <si>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</si>
  <si>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</si>
  <si>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</si>
  <si>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</si>
  <si>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</si>
  <si>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</si>
  <si>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</si>
  <si>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</si>
  <si>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</si>
  <si>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</si>
  <si>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</si>
  <si>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</si>
  <si>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</si>
  <si>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</si>
  <si>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</si>
  <si>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</si>
  <si>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</si>
  <si>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</si>
  <si>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</si>
  <si>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</si>
  <si>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</si>
  <si>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</si>
  <si>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</si>
  <si>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</si>
  <si>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</si>
  <si>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</si>
  <si>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</si>
  <si>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</si>
  <si>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</si>
  <si>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</si>
  <si>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</si>
  <si>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</si>
  <si>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</si>
  <si>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</si>
  <si>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</si>
  <si>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</si>
  <si>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</si>
  <si>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</si>
  <si>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</si>
  <si>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</si>
  <si>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</si>
  <si>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</si>
  <si>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</si>
  <si>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</si>
  <si>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</si>
  <si>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</si>
  <si>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</si>
  <si>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</si>
  <si>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</si>
  <si>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</si>
  <si>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</si>
  <si>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</si>
  <si>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</si>
  <si>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</si>
  <si>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</si>
  <si>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</si>
  <si>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</si>
  <si>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</si>
  <si>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</si>
  <si>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</si>
  <si>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</si>
  <si>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</si>
  <si>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</si>
  <si>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</si>
  <si>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</si>
  <si>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</si>
  <si>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</si>
  <si>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</si>
  <si>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</si>
  <si>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</si>
  <si>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</si>
  <si>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</si>
  <si>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</si>
  <si>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</si>
  <si>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</si>
  <si>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</si>
  <si>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</si>
  <si>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</si>
  <si>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</si>
  <si>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</si>
  <si>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</si>
  <si>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</si>
  <si>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</si>
  <si>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</si>
  <si>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</si>
  <si>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</si>
  <si>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</si>
  <si>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</si>
  <si>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</si>
  <si>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</si>
  <si>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</si>
  <si>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</si>
  <si>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</si>
  <si>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</si>
  <si>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</si>
  <si>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</si>
  <si>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</si>
  <si>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</si>
  <si>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</si>
  <si>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</si>
  <si>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</si>
  <si>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</si>
  <si>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</si>
  <si>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</si>
  <si>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</si>
  <si>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</si>
  <si>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</si>
  <si>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</si>
  <si>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</si>
  <si>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</si>
  <si>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</si>
  <si>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</si>
  <si>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</si>
  <si>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</si>
  <si>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</si>
  <si>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</si>
  <si>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</si>
  <si>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</si>
  <si>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</si>
  <si>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</si>
  <si>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</si>
  <si>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</si>
  <si>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</si>
  <si>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</si>
  <si>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</si>
  <si>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</si>
  <si>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</si>
  <si>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</si>
  <si>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</si>
  <si>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</si>
  <si>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</si>
  <si>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</si>
  <si>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</si>
  <si>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</si>
  <si>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</si>
  <si>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</si>
  <si>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</si>
  <si>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</si>
  <si>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</si>
  <si>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</si>
  <si>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</si>
  <si>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</si>
  <si>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</si>
  <si>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</si>
  <si>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</si>
  <si>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</si>
  <si>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</si>
  <si>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</si>
  <si>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</si>
  <si>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</si>
  <si>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</si>
  <si>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</si>
  <si>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</si>
  <si>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</si>
  <si>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</si>
  <si>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</si>
  <si>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</si>
  <si>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</si>
  <si>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</si>
  <si>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</si>
  <si>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</si>
  <si>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</si>
  <si>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</si>
  <si>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</si>
  <si>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</si>
  <si>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</si>
  <si>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</si>
  <si>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</si>
  <si>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</si>
  <si>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</si>
  <si>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</si>
  <si>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</si>
  <si>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</si>
  <si>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</si>
  <si>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</si>
  <si>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</si>
  <si>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</si>
  <si>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</si>
  <si>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</si>
  <si>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</si>
  <si>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</si>
  <si>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</si>
  <si>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</si>
  <si>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</si>
  <si>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</si>
  <si>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</si>
  <si>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</si>
  <si>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</si>
  <si>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</si>
  <si>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</si>
  <si>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</si>
  <si>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</si>
  <si>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</si>
  <si>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</si>
  <si>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</si>
  <si>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</si>
  <si>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</si>
  <si>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</si>
  <si>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</si>
  <si>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</si>
  <si>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</si>
  <si>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</si>
  <si>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</si>
  <si>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</si>
  <si>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</si>
  <si>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</si>
  <si>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</si>
  <si>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</si>
  <si>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</si>
  <si>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</si>
  <si>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</si>
  <si>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</si>
  <si>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</si>
  <si>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</si>
  <si>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</si>
  <si>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</si>
  <si>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</si>
  <si>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</si>
  <si>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</si>
  <si>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</si>
  <si>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</si>
  <si>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</si>
  <si>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</si>
  <si>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</si>
  <si>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</si>
  <si>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</si>
  <si>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</si>
  <si>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</si>
  <si>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</si>
  <si>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</si>
  <si>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</si>
  <si>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</si>
  <si>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</si>
  <si>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</si>
  <si>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</si>
  <si>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</si>
  <si>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</si>
  <si>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</si>
  <si>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</si>
  <si>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</si>
  <si>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</si>
  <si>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</si>
  <si>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</si>
  <si>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</si>
  <si>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</si>
  <si>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</si>
  <si>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</si>
  <si>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</si>
  <si>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</si>
  <si>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</si>
  <si>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</si>
  <si>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</si>
  <si>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</si>
  <si>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</si>
  <si>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</si>
  <si>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</si>
  <si>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</si>
  <si>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</si>
  <si>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</si>
  <si>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</si>
  <si>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</si>
  <si>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</si>
  <si>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</si>
  <si>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</si>
  <si>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</si>
  <si>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</si>
  <si>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</si>
  <si>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</si>
  <si>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</si>
  <si>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</si>
  <si>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</si>
  <si>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</si>
  <si>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</si>
  <si>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</si>
  <si>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</si>
  <si>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</si>
  <si>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</si>
  <si>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</si>
  <si>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</si>
  <si>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</si>
  <si>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</si>
  <si>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</si>
  <si>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</si>
  <si>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</si>
  <si>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</si>
  <si>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</si>
  <si>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</si>
  <si>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</si>
  <si>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</si>
  <si>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</si>
  <si>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</si>
  <si>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</si>
  <si>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</si>
  <si>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</si>
  <si>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</si>
  <si>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</si>
  <si>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</si>
  <si>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</si>
  <si>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</si>
  <si>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</si>
  <si>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</si>
  <si>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</si>
  <si>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</si>
  <si>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</si>
  <si>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</si>
  <si>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</si>
  <si>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</si>
  <si>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</si>
  <si>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</si>
  <si>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</si>
  <si>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</si>
  <si>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</si>
  <si>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</si>
  <si>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</si>
  <si>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</si>
  <si>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</si>
  <si>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</si>
  <si>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</si>
  <si>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</si>
  <si>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</si>
  <si>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</si>
  <si>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</si>
  <si>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</si>
  <si>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</si>
  <si>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</si>
  <si>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</si>
  <si>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</si>
  <si>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</si>
  <si>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</si>
  <si>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</si>
  <si>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</si>
  <si>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</si>
  <si>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</si>
  <si>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</si>
  <si>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</si>
  <si>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</si>
  <si>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</si>
  <si>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</si>
  <si>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</si>
  <si>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</si>
  <si>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</si>
  <si>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</si>
  <si>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</si>
  <si>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</si>
  <si>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</si>
  <si>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</si>
  <si>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</si>
  <si>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</si>
  <si>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</si>
  <si>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</si>
  <si>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</si>
  <si>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</si>
  <si>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</si>
  <si>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</si>
  <si>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</si>
  <si>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</si>
  <si>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</si>
  <si>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</si>
  <si>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</si>
  <si>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</si>
  <si>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</si>
  <si>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</si>
  <si>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</si>
  <si>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</si>
  <si>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</si>
  <si>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</si>
  <si>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</si>
  <si>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</si>
  <si>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</si>
  <si>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</si>
  <si>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</si>
  <si>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</si>
  <si>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</si>
  <si>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</si>
  <si>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</si>
  <si>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</si>
  <si>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</si>
  <si>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</si>
  <si>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</si>
  <si>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</si>
  <si>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</si>
  <si>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</si>
  <si>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</si>
  <si>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</si>
  <si>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</si>
  <si>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</si>
  <si>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</si>
  <si>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</si>
  <si>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</si>
  <si>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</si>
  <si>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</si>
  <si>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</si>
  <si>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</si>
  <si>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</si>
  <si>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</si>
  <si>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</si>
  <si>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</si>
  <si>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</si>
  <si>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</si>
  <si>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</si>
  <si>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</si>
  <si>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</si>
  <si>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</si>
  <si>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</si>
  <si>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</si>
  <si>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</si>
  <si>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</si>
  <si>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</si>
  <si>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</si>
  <si>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</si>
  <si>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</si>
  <si>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</si>
  <si>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</si>
  <si>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</si>
  <si>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</si>
  <si>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</si>
  <si>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</si>
  <si>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</si>
  <si>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</si>
  <si>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</si>
  <si>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</si>
  <si>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</si>
  <si>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</si>
  <si>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</si>
  <si>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</si>
  <si>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</si>
  <si>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</si>
  <si>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</si>
  <si>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</si>
  <si>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</si>
  <si>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</si>
  <si>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</si>
  <si>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</si>
  <si>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</si>
  <si>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</si>
  <si>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</si>
  <si>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</si>
  <si>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</si>
  <si>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</si>
  <si>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</si>
  <si>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</si>
  <si>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</si>
  <si>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</si>
  <si>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</si>
  <si>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</si>
  <si>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</si>
  <si>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</si>
  <si>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</si>
  <si>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</si>
  <si>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</si>
  <si>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</si>
  <si>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</si>
  <si>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</si>
  <si>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</si>
  <si>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</si>
  <si>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</si>
  <si>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</si>
  <si>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</si>
  <si>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2024 Final Determination</t>
  </si>
  <si>
    <t>Co</t>
  </si>
  <si>
    <t>PC Name</t>
  </si>
  <si>
    <t>Source of change</t>
  </si>
  <si>
    <t>Worksheet</t>
  </si>
  <si>
    <t>Table Column Ref</t>
  </si>
  <si>
    <t>Table Column heading</t>
  </si>
  <si>
    <t>Year</t>
  </si>
  <si>
    <t>From</t>
  </si>
  <si>
    <t>To</t>
  </si>
  <si>
    <t>Reason</t>
  </si>
  <si>
    <t>Date Changed</t>
  </si>
  <si>
    <t>Compliance Risk Index</t>
  </si>
  <si>
    <t>CMA</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</si>
  <si>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</si>
  <si>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</si>
  <si>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</si>
  <si>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</si>
  <si>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</si>
  <si>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</si>
  <si>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</si>
  <si>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</si>
  <si>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</si>
  <si>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</si>
  <si>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</si>
  <si>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</si>
  <si>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</si>
  <si>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</si>
  <si>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</si>
  <si>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</si>
  <si>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</si>
  <si>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</si>
  <si>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</si>
  <si>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</si>
  <si>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</si>
  <si>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</si>
  <si>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</si>
  <si>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</si>
  <si>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</si>
  <si>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</si>
  <si>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</si>
  <si>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</si>
  <si>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</si>
  <si>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</si>
  <si>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</si>
  <si>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</si>
  <si>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</si>
  <si>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</si>
  <si>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</si>
  <si>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</si>
  <si>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</si>
  <si>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</si>
  <si>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</si>
  <si>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</si>
  <si>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</si>
  <si>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</si>
  <si>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</si>
  <si>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</si>
  <si>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</si>
  <si>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</si>
  <si>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</si>
  <si>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</si>
  <si>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</si>
  <si>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</si>
  <si>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</si>
  <si>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</si>
  <si>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</si>
  <si>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</si>
  <si>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</si>
  <si>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</si>
  <si>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</si>
  <si>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</si>
  <si>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</si>
  <si>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</si>
  <si>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</si>
  <si>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</si>
  <si>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</si>
  <si>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</si>
  <si>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</si>
  <si>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</si>
  <si>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</si>
  <si>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</si>
  <si>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</si>
  <si>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</si>
  <si>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</si>
  <si>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</si>
  <si>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</si>
  <si>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</si>
  <si>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</si>
  <si>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</si>
  <si>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</si>
  <si>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</si>
  <si>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</si>
  <si>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</si>
  <si>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</si>
  <si>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</si>
  <si>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</si>
  <si>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</si>
  <si>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</si>
  <si>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</si>
  <si>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</si>
  <si>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</si>
  <si>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</si>
  <si>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</si>
  <si>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</si>
  <si>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</si>
  <si>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</si>
  <si>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</si>
  <si>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</si>
  <si>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</si>
  <si>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</si>
  <si>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</si>
  <si>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</si>
  <si>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</si>
  <si>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</si>
  <si>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</si>
  <si>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</si>
  <si>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</si>
  <si>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</si>
  <si>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</si>
  <si>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</si>
  <si>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</si>
  <si>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</si>
  <si>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</si>
  <si>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</si>
  <si>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</si>
  <si>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</si>
  <si>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</si>
  <si>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</si>
  <si>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</si>
  <si>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</si>
  <si>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</si>
  <si>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</si>
  <si>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</si>
  <si>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</si>
  <si>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</si>
  <si>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</si>
  <si>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</si>
  <si>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</si>
  <si>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</si>
  <si>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</si>
  <si>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</si>
  <si>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</si>
  <si>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</si>
  <si>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</si>
  <si>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</si>
  <si>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</si>
  <si>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</si>
  <si>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</si>
  <si>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</si>
  <si>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</si>
  <si>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</si>
  <si>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</si>
  <si>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</si>
  <si>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</si>
  <si>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</si>
  <si>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</si>
  <si>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</si>
  <si>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</si>
  <si>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</si>
  <si>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</si>
  <si>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</si>
  <si>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</si>
  <si>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</si>
  <si>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</si>
  <si>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</si>
  <si>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</si>
  <si>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</si>
  <si>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</si>
  <si>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</si>
  <si>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</si>
  <si>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</si>
  <si>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</si>
  <si>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</si>
  <si>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</si>
  <si>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</si>
  <si>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</si>
  <si>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</si>
  <si>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</si>
  <si>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</si>
  <si>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</si>
  <si>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</si>
  <si>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</si>
  <si>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</si>
  <si>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</si>
  <si>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</si>
  <si>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</si>
  <si>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</si>
  <si>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</si>
  <si>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</si>
  <si>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</si>
  <si>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</si>
  <si>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</si>
  <si>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</si>
  <si>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</si>
  <si>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</si>
  <si>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</si>
  <si>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</si>
  <si>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</si>
  <si>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</si>
  <si>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</si>
  <si>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</si>
  <si>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</si>
  <si>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</si>
  <si>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</si>
  <si>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</si>
  <si>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</si>
  <si>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</si>
  <si>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CMA Changes from Ofwat FD (made pre 28 May 2021)</t>
  </si>
  <si>
    <t>Ofwat Changes pre 28 May 2021</t>
  </si>
  <si>
    <t>Ofwat Changes post 28 May 2021</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</si>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</sst>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 numFmtId="186" formatCode="###0"/>
  </numFmts>
  <fonts count="239">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
      <sz val="11"/>
      <color rgb="FFC00000"/>
      <name val="Calibri"/>
      <family val="2"/>
    </font>
  </fonts>
  <fills count="7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59">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86" fontId="0" fillId="0" borderId="0" xfId="0" applyNumberFormat="1"/>
    <xf numFmtId="0" fontId="29" fillId="0" borderId="0" xfId="0" applyFont="1" applyAlignment="1">
      <alignment horizontal="center"/>
    </xf>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0" fontId="34" fillId="5" borderId="105" xfId="0" applyFont="1" applyFill="1" applyBorder="1" applyAlignment="1">
      <alignment horizontal="center" vertical="center"/>
    </xf>
    <xf numFmtId="0" fontId="34" fillId="5" borderId="105" xfId="0" applyFont="1" applyFill="1" applyBorder="1" applyAlignment="1">
      <alignment vertical="center"/>
    </xf>
    <xf numFmtId="0" fontId="34" fillId="5" borderId="105" xfId="0" applyFont="1" applyFill="1" applyBorder="1" applyAlignment="1">
      <alignment vertical="center" wrapText="1"/>
    </xf>
    <xf numFmtId="0" fontId="34" fillId="5" borderId="105" xfId="0" applyFont="1" applyFill="1" applyBorder="1" applyAlignment="1">
      <alignment horizontal="center" vertical="center" wrapText="1"/>
    </xf>
    <xf numFmtId="14" fontId="34" fillId="5" borderId="105" xfId="0" applyNumberFormat="1" applyFont="1" applyFill="1" applyBorder="1" applyAlignment="1">
      <alignment vertical="center"/>
    </xf>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34" fillId="0" borderId="0" xfId="0" applyFont="1"/>
    <xf numFmtId="0" fontId="34" fillId="5" borderId="0" xfId="0" applyFont="1" applyFill="1"/>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1" fillId="5" borderId="99" xfId="0" applyFont="1" applyFill="1" applyBorder="1" applyAlignment="1">
      <alignment horizontal="center" vertical="center" wrapText="1"/>
    </xf>
    <xf numFmtId="0" fontId="30" fillId="5" borderId="0" xfId="0" applyFont="1" applyFill="1" applyAlignment="1">
      <alignment horizontal="center"/>
    </xf>
    <xf numFmtId="0" fontId="73" fillId="5" borderId="0" xfId="0" applyFont="1" applyFill="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xf numFmtId="178" fontId="33" fillId="58" borderId="90" xfId="0" applyNumberFormat="1" applyFont="1" applyFill="1" applyBorder="1" applyAlignment="1">
      <alignment horizontal="center" vertical="center"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3">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rgb="FFD9D9D9"/>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numFmt numFmtId="3" formatCode="#,##0"/>
    </dxf>
    <dxf>
      <numFmt numFmtId="171" formatCode="#,##0.0"/>
    </dxf>
    <dxf>
      <numFmt numFmtId="4" formatCode="#,##0.00"/>
    </dxf>
    <dxf>
      <numFmt numFmtId="173" formatCode="#,##0.000"/>
    </dxf>
    <dxf>
      <numFmt numFmtId="174" formatCode="#,##0.0000"/>
    </dxf>
    <dxf>
      <numFmt numFmtId="187"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7"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0078C9"/>
      <color rgb="FFCF2B01"/>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3.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4.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4.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4"/>
  <sheetViews>
    <sheetView workbookViewId="0"/>
  </sheetViews>
  <sheetFormatPr defaultRowHeight="14.25"/>
  <sheetData>
    <row r="1" spans="1:2">
      <c r="A1" t="s">
        <v>0</v>
      </c>
      <c r="B1" t="s">
        <v>1</v>
      </c>
    </row>
    <row r="2" spans="1:2">
      <c r="A2" t="s">
        <v>2</v>
      </c>
      <c r="B2" s="2138">
        <v>7536</v>
      </c>
    </row>
    <row r="3" spans="1:2">
      <c r="A3" t="s">
        <v>3</v>
      </c>
      <c r="B3" t="s">
        <v>4</v>
      </c>
    </row>
    <row r="4" spans="1:2">
      <c r="A4" t="s">
        <v>5</v>
      </c>
      <c r="B4" t="s">
        <v>6</v>
      </c>
    </row>
    <row r="5" spans="1:2">
      <c r="A5" t="s">
        <v>7</v>
      </c>
      <c r="B5" t="s">
        <v>8</v>
      </c>
    </row>
    <row r="6" spans="1:2">
      <c r="A6" t="s">
        <v>9</v>
      </c>
      <c r="B6" s="2138">
        <v>30</v>
      </c>
    </row>
    <row r="7" spans="1:2">
      <c r="A7" t="s">
        <v>10</v>
      </c>
      <c r="B7" t="s">
        <v>11</v>
      </c>
    </row>
    <row r="8" spans="1:2">
      <c r="A8" t="s">
        <v>12</v>
      </c>
      <c r="B8" s="2138">
        <v>28510</v>
      </c>
    </row>
    <row r="9" spans="1:2">
      <c r="A9" t="s">
        <v>13</v>
      </c>
      <c r="B9" t="s">
        <v>14</v>
      </c>
    </row>
    <row r="10" spans="1:2">
      <c r="A10" t="s">
        <v>15</v>
      </c>
      <c r="B10" t="s">
        <v>16</v>
      </c>
    </row>
    <row r="11" spans="1:2">
      <c r="A11" t="s">
        <v>17</v>
      </c>
      <c r="B11" t="s">
        <v>18</v>
      </c>
    </row>
    <row r="12" spans="1:2">
      <c r="A12" t="s">
        <v>19</v>
      </c>
      <c r="B12" s="2138">
        <v>202</v>
      </c>
    </row>
    <row r="13" spans="1:2">
      <c r="A13" t="s">
        <v>20</v>
      </c>
      <c r="B13" t="s">
        <v>21</v>
      </c>
    </row>
    <row r="14" spans="1:2">
      <c r="A14" t="s">
        <v>22</v>
      </c>
      <c r="B14" t="s">
        <v>23</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10" zoomScale="80" zoomScaleNormal="80" zoomScaleSheetLayoutView="100" workbookViewId="0">
      <selection activeCell="P23" sqref="P23"/>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6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2" s="1" customFormat="1" ht="35.25" customHeight="1">
      <c r="B1" s="40" t="s">
        <v>60</v>
      </c>
      <c r="C1" s="6"/>
      <c r="D1" s="6"/>
      <c r="E1" s="6"/>
      <c r="F1" s="5"/>
      <c r="G1" s="5"/>
      <c r="L1" s="1912"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564</v>
      </c>
      <c r="C3" s="289"/>
      <c r="D3" s="289"/>
      <c r="E3" s="289"/>
      <c r="F3" s="289"/>
      <c r="G3" s="299"/>
      <c r="H3" s="290"/>
      <c r="I3" s="301" t="str">
        <f>'Validation summary'!$B$3</f>
        <v>Anglian Water</v>
      </c>
      <c r="J3" s="291"/>
      <c r="K3" s="292" t="s">
        <v>150</v>
      </c>
      <c r="L3" s="292"/>
      <c r="M3" s="1332"/>
      <c r="N3" s="133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c r="AP3" s="1332"/>
    </row>
    <row r="4" spans="2:42" s="9" customFormat="1" ht="16.5" customHeight="1">
      <c r="B4" s="1329"/>
      <c r="C4" s="25">
        <v>1</v>
      </c>
      <c r="D4" s="25">
        <v>2</v>
      </c>
      <c r="E4" s="25" t="s">
        <v>152</v>
      </c>
      <c r="F4" s="25">
        <v>4</v>
      </c>
      <c r="G4" s="25">
        <v>5</v>
      </c>
      <c r="H4" s="35"/>
      <c r="I4" s="13"/>
      <c r="J4" s="1332"/>
      <c r="K4" s="1332"/>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c r="AP4" s="1332"/>
    </row>
    <row r="5" spans="2:42" s="9" customFormat="1" ht="33" customHeight="1">
      <c r="B5" s="2382" t="s">
        <v>153</v>
      </c>
      <c r="C5" s="2381" t="s">
        <v>154</v>
      </c>
      <c r="D5" s="2381" t="s">
        <v>155</v>
      </c>
      <c r="E5" s="2381" t="s">
        <v>156</v>
      </c>
      <c r="F5" s="2384" t="s">
        <v>157</v>
      </c>
      <c r="G5" s="2381" t="s">
        <v>158</v>
      </c>
      <c r="H5" s="274"/>
      <c r="I5" s="2381" t="s">
        <v>161</v>
      </c>
      <c r="J5" s="15"/>
      <c r="K5" s="2375" t="s">
        <v>162</v>
      </c>
      <c r="L5" s="2375" t="s">
        <v>163</v>
      </c>
      <c r="M5" s="1332"/>
      <c r="N5" s="1332"/>
      <c r="O5" s="1332"/>
      <c r="P5" s="1332"/>
      <c r="Q5" s="1332"/>
      <c r="R5" s="1332"/>
      <c r="S5" s="1332"/>
      <c r="T5" s="1332"/>
      <c r="U5" s="1333"/>
      <c r="V5" s="1332" t="s">
        <v>162</v>
      </c>
      <c r="W5" s="1332"/>
      <c r="X5" s="1332"/>
      <c r="Y5" s="1332"/>
      <c r="Z5" s="1332"/>
      <c r="AA5" s="1333"/>
      <c r="AB5" s="1332" t="s">
        <v>163</v>
      </c>
      <c r="AC5" s="1332"/>
      <c r="AD5" s="1332"/>
      <c r="AE5" s="1332"/>
      <c r="AF5" s="1333"/>
      <c r="AG5" s="1332"/>
      <c r="AH5" s="2382" t="s">
        <v>153</v>
      </c>
      <c r="AI5" s="2381" t="s">
        <v>154</v>
      </c>
      <c r="AJ5" s="2381" t="s">
        <v>155</v>
      </c>
      <c r="AK5" s="2381" t="s">
        <v>156</v>
      </c>
      <c r="AL5" s="2384" t="s">
        <v>157</v>
      </c>
      <c r="AM5" s="2381" t="s">
        <v>158</v>
      </c>
      <c r="AN5" s="274"/>
      <c r="AO5" s="1332"/>
      <c r="AP5" s="1332"/>
    </row>
    <row r="6" spans="2:42" s="9" customFormat="1" ht="60" customHeight="1">
      <c r="B6" s="2382"/>
      <c r="C6" s="2381"/>
      <c r="D6" s="2381"/>
      <c r="E6" s="2383"/>
      <c r="F6" s="2385"/>
      <c r="G6" s="2381"/>
      <c r="H6" s="274"/>
      <c r="I6" s="2381"/>
      <c r="J6" s="15"/>
      <c r="K6" s="2375"/>
      <c r="L6" s="2375"/>
      <c r="M6" s="1332"/>
      <c r="N6" s="1332"/>
      <c r="O6" s="1332"/>
      <c r="P6" s="1332"/>
      <c r="Q6" s="1332"/>
      <c r="R6" s="1332"/>
      <c r="S6" s="1332"/>
      <c r="T6" s="1332"/>
      <c r="U6" s="1333"/>
      <c r="V6" s="320" t="s">
        <v>166</v>
      </c>
      <c r="W6" s="1332"/>
      <c r="X6" s="1332"/>
      <c r="Y6" s="1332"/>
      <c r="Z6" s="1332"/>
      <c r="AA6" s="1333"/>
      <c r="AB6" s="320" t="s">
        <v>167</v>
      </c>
      <c r="AC6" s="320" t="s">
        <v>565</v>
      </c>
      <c r="AD6" s="320"/>
      <c r="AE6" s="1332"/>
      <c r="AF6" s="1333"/>
      <c r="AG6" s="1332"/>
      <c r="AH6" s="2382"/>
      <c r="AI6" s="2381"/>
      <c r="AJ6" s="2381"/>
      <c r="AK6" s="2383"/>
      <c r="AL6" s="2385"/>
      <c r="AM6" s="2381"/>
      <c r="AN6" s="274"/>
      <c r="AO6" s="1332"/>
      <c r="AP6" s="1332"/>
    </row>
    <row r="7" spans="2:42" s="9" customFormat="1" ht="16.5" customHeight="1">
      <c r="B7" s="1329"/>
      <c r="C7" s="1329"/>
      <c r="D7" s="1329"/>
      <c r="E7" s="1329"/>
      <c r="F7" s="1329"/>
      <c r="G7" s="1329"/>
      <c r="H7" s="35"/>
      <c r="I7" s="13"/>
      <c r="J7" s="1332"/>
      <c r="K7" s="1332"/>
      <c r="L7" s="1332"/>
      <c r="M7" s="1332"/>
      <c r="N7" s="1332"/>
      <c r="O7" s="1332"/>
      <c r="P7" s="1332"/>
      <c r="Q7" s="1332"/>
      <c r="R7" s="1332"/>
      <c r="S7" s="1332"/>
      <c r="T7" s="1332"/>
      <c r="U7" s="1333"/>
      <c r="V7" s="1332" t="s">
        <v>169</v>
      </c>
      <c r="W7" s="1332"/>
      <c r="X7" s="1332"/>
      <c r="Y7" s="1332"/>
      <c r="Z7" s="1332"/>
      <c r="AA7" s="1333"/>
      <c r="AB7" s="1332"/>
      <c r="AC7" s="1332"/>
      <c r="AD7" s="1332"/>
      <c r="AE7" s="1332"/>
      <c r="AF7" s="1333"/>
      <c r="AG7" s="1332"/>
      <c r="AH7" s="1332"/>
      <c r="AI7" s="1332"/>
      <c r="AJ7" s="1332"/>
      <c r="AK7" s="1332"/>
      <c r="AL7" s="1332"/>
      <c r="AM7" s="1332"/>
      <c r="AN7" s="1332"/>
      <c r="AO7" s="1332"/>
      <c r="AP7" s="1332"/>
    </row>
    <row r="8" spans="2:42" s="9" customFormat="1" ht="15.75">
      <c r="B8" s="303" t="s">
        <v>566</v>
      </c>
      <c r="C8" s="12"/>
      <c r="D8" s="1329"/>
      <c r="E8" s="1329"/>
      <c r="F8" s="1329"/>
      <c r="G8" s="1329"/>
      <c r="H8" s="35"/>
      <c r="I8" s="13"/>
      <c r="J8" s="1332"/>
      <c r="K8" s="1332"/>
      <c r="L8" s="1332"/>
      <c r="M8" s="1332"/>
      <c r="N8" s="1332"/>
      <c r="O8" s="1332"/>
      <c r="P8" s="1332"/>
      <c r="Q8" s="1332"/>
      <c r="R8" s="1332"/>
      <c r="S8" s="1332"/>
      <c r="T8" s="1332"/>
      <c r="U8" s="1333"/>
      <c r="V8" s="317">
        <v>3</v>
      </c>
      <c r="W8" s="317">
        <v>4</v>
      </c>
      <c r="X8" s="317">
        <v>5</v>
      </c>
      <c r="Y8" s="317"/>
      <c r="Z8" s="317"/>
      <c r="AA8" s="321"/>
      <c r="AB8" s="317">
        <v>4</v>
      </c>
      <c r="AC8" s="317">
        <v>5</v>
      </c>
      <c r="AD8" s="317"/>
      <c r="AE8" s="317"/>
      <c r="AF8" s="1333"/>
      <c r="AG8" s="1332"/>
      <c r="AH8" s="303" t="s">
        <v>566</v>
      </c>
      <c r="AI8" s="12"/>
      <c r="AJ8" s="1329"/>
      <c r="AK8" s="1329"/>
      <c r="AL8" s="1329"/>
      <c r="AM8" s="1329"/>
      <c r="AN8" s="1332"/>
      <c r="AO8" s="1332"/>
      <c r="AP8" s="1332"/>
    </row>
    <row r="9" spans="2:42" s="9" customFormat="1" ht="28.5" customHeight="1">
      <c r="B9" s="282" t="s">
        <v>567</v>
      </c>
      <c r="C9" s="287" t="str">
        <f>IF($I$3="Select company","",VLOOKUP('3A'!$R$1,C_RSRinD,2,0))</f>
        <v>PR19ANH_9</v>
      </c>
      <c r="D9" s="300" t="str">
        <f>IF($I$3="Select company","",INDEX(App1bdata,MATCH($C9,App1bIDnrs,0),20))</f>
        <v>%</v>
      </c>
      <c r="E9" s="300">
        <f>IF($I$3="Select company","",INDEX(App1bdata,MATCH($C9,App1bIDnrs,0),22))</f>
        <v>1</v>
      </c>
      <c r="F9" s="2283">
        <v>4.5999999999999996</v>
      </c>
      <c r="G9" s="2260" t="s">
        <v>173</v>
      </c>
      <c r="H9" s="35"/>
      <c r="I9" s="286" t="s">
        <v>568</v>
      </c>
      <c r="J9" s="1332"/>
      <c r="K9" s="319">
        <f>IF(SUM($V9:$X9)=0,0,$V$6)</f>
        <v>0</v>
      </c>
      <c r="L9" s="331">
        <f>IF(SUM(AB9:AB9)&lt;&gt;0,$AB$6,0)</f>
        <v>0</v>
      </c>
      <c r="M9" s="1332"/>
      <c r="N9" s="1332"/>
      <c r="O9" s="1332"/>
      <c r="P9" s="1332"/>
      <c r="Q9" s="1332"/>
      <c r="R9" s="1332"/>
      <c r="S9" s="1332"/>
      <c r="T9" s="1332"/>
      <c r="U9" s="1333"/>
      <c r="V9" s="318"/>
      <c r="W9" s="318">
        <f>IF($C9="",0,IF(ISBLANK($F9)=TRUE,1,0))</f>
        <v>0</v>
      </c>
      <c r="X9" s="318">
        <f>IF($C9="",0,IF(ISBLANK($G9)=TRUE,1,0))</f>
        <v>0</v>
      </c>
      <c r="Y9" s="318"/>
      <c r="Z9" s="318"/>
      <c r="AA9" s="1333"/>
      <c r="AB9" s="322">
        <f>IF($F9&lt;0,1,0)</f>
        <v>0</v>
      </c>
      <c r="AC9" s="322"/>
      <c r="AD9" s="318"/>
      <c r="AE9" s="322"/>
      <c r="AF9" s="1333"/>
      <c r="AG9" s="1332"/>
      <c r="AH9" s="282" t="str">
        <f>B9</f>
        <v>Risk of severe restrictions in a drought</v>
      </c>
      <c r="AI9" s="282" t="str">
        <f t="shared" ref="AI9:AK13" si="0">C9</f>
        <v>PR19ANH_9</v>
      </c>
      <c r="AJ9" s="282" t="str">
        <f t="shared" si="0"/>
        <v>%</v>
      </c>
      <c r="AK9" s="282">
        <f t="shared" si="0"/>
        <v>1</v>
      </c>
      <c r="AL9" s="1438" t="s">
        <v>569</v>
      </c>
      <c r="AM9" s="1429" t="s">
        <v>570</v>
      </c>
      <c r="AN9" s="1332"/>
      <c r="AO9" s="1332"/>
      <c r="AP9" s="1332"/>
    </row>
    <row r="10" spans="2:42" s="9" customFormat="1" ht="28.5" customHeight="1">
      <c r="B10" s="282" t="s">
        <v>571</v>
      </c>
      <c r="C10" s="287" t="str">
        <f>IF($I$3="Select company","",VLOOKUP('3A'!$R$1,C_PSR,2,0))</f>
        <v>PR19ANH_22</v>
      </c>
      <c r="D10" s="287" t="str">
        <f>IF($I$3="Select company","",INDEX(App1bdata,MATCH($C10,App1bIDnrs,0),20))</f>
        <v>%</v>
      </c>
      <c r="E10" s="287">
        <f>IF($I$3="Select company","",INDEX(App1bdata,MATCH($C10,App1bIDnrs,0),22))</f>
        <v>1</v>
      </c>
      <c r="F10" s="1789">
        <f>'3F'!$E$46*100</f>
        <v>14.7</v>
      </c>
      <c r="G10" s="2260" t="s">
        <v>210</v>
      </c>
      <c r="H10" s="35"/>
      <c r="I10" s="286" t="s">
        <v>572</v>
      </c>
      <c r="J10" s="1332"/>
      <c r="K10" s="319">
        <f>IF(SUM($V10:$X10)=0,0,$V$6)</f>
        <v>0</v>
      </c>
      <c r="L10" s="331">
        <f>IF($AB10=0,0,$AC$6)</f>
        <v>0</v>
      </c>
      <c r="M10" s="1332"/>
      <c r="N10" s="1332"/>
      <c r="O10" s="1332"/>
      <c r="P10" s="1332"/>
      <c r="Q10" s="1332"/>
      <c r="R10" s="1332"/>
      <c r="S10" s="1332"/>
      <c r="T10" s="1332"/>
      <c r="U10" s="1333"/>
      <c r="V10" s="318"/>
      <c r="W10" s="318"/>
      <c r="X10" s="318">
        <f>IF($C10="",0,IF(ISBLANK($G10)=TRUE,1,0))</f>
        <v>0</v>
      </c>
      <c r="Y10" s="318"/>
      <c r="Z10" s="318"/>
      <c r="AA10" s="1333"/>
      <c r="AB10" s="322">
        <f>IF(ISERROR($F10)=TRUE,1,IF($F10&lt;0,1,0))</f>
        <v>0</v>
      </c>
      <c r="AC10" s="322"/>
      <c r="AD10" s="318"/>
      <c r="AE10" s="322"/>
      <c r="AF10" s="1333"/>
      <c r="AG10" s="1332"/>
      <c r="AH10" s="282" t="str">
        <f t="shared" ref="AH10:AH13" si="1">B10</f>
        <v>Priority services for customers in vulnerable circumstances - PSR reach</v>
      </c>
      <c r="AI10" s="282" t="str">
        <f t="shared" si="0"/>
        <v>PR19ANH_22</v>
      </c>
      <c r="AJ10" s="282" t="str">
        <f t="shared" si="0"/>
        <v>%</v>
      </c>
      <c r="AK10" s="282">
        <f t="shared" si="0"/>
        <v>1</v>
      </c>
      <c r="AL10" s="1420" t="s">
        <v>573</v>
      </c>
      <c r="AM10" s="1429" t="s">
        <v>574</v>
      </c>
      <c r="AN10" s="1332"/>
      <c r="AO10" s="1332"/>
      <c r="AP10" s="1332"/>
    </row>
    <row r="11" spans="2:42" s="9" customFormat="1" ht="28.5" customHeight="1">
      <c r="B11" s="282" t="s">
        <v>575</v>
      </c>
      <c r="C11" s="287" t="str">
        <f>IF($I$3="Select company","",VLOOKUP('3A'!$R$1,C_PSR,2,0))</f>
        <v>PR19ANH_22</v>
      </c>
      <c r="D11" s="287" t="str">
        <f>IF($I$3="Select company","",INDEX(App1bdata,MATCH($C11,App1bIDnrs,0),20))</f>
        <v>%</v>
      </c>
      <c r="E11" s="287">
        <f>IF($I$3="Select company","",INDEX(App1bdata,MATCH($C11,App1bIDnrs,0),22))</f>
        <v>1</v>
      </c>
      <c r="F11" s="1789">
        <f>'3F'!$H$46*100</f>
        <v>99.6</v>
      </c>
      <c r="G11" s="2260" t="s">
        <v>210</v>
      </c>
      <c r="H11" s="35"/>
      <c r="I11" s="286" t="s">
        <v>576</v>
      </c>
      <c r="J11" s="1332"/>
      <c r="K11" s="319">
        <f>IF(SUM($V11:$X11)=0,0,$V$6)</f>
        <v>0</v>
      </c>
      <c r="L11" s="331">
        <f>IF($AB11=0,0,$AC$6)</f>
        <v>0</v>
      </c>
      <c r="M11" s="1332"/>
      <c r="N11" s="1332"/>
      <c r="O11" s="1332"/>
      <c r="P11" s="1332"/>
      <c r="Q11" s="1332"/>
      <c r="R11" s="1332"/>
      <c r="S11" s="1332"/>
      <c r="T11" s="1332"/>
      <c r="U11" s="1333"/>
      <c r="V11" s="318"/>
      <c r="W11" s="318"/>
      <c r="X11" s="318">
        <f>IF($C11="",0,IF(ISBLANK($G11)=TRUE,1,0))</f>
        <v>0</v>
      </c>
      <c r="Y11" s="318"/>
      <c r="Z11" s="318"/>
      <c r="AA11" s="1333"/>
      <c r="AB11" s="322">
        <f>IF(ISERROR($F11)=TRUE,1,IF($F11&lt;0,1,0))</f>
        <v>0</v>
      </c>
      <c r="AC11" s="322"/>
      <c r="AD11" s="318"/>
      <c r="AE11" s="322"/>
      <c r="AF11" s="1333"/>
      <c r="AG11" s="1332"/>
      <c r="AH11" s="282" t="str">
        <f t="shared" si="1"/>
        <v>Priority services for customers in vulnerable circumstances - Attempted contacts</v>
      </c>
      <c r="AI11" s="282" t="str">
        <f t="shared" si="0"/>
        <v>PR19ANH_22</v>
      </c>
      <c r="AJ11" s="282" t="str">
        <f t="shared" si="0"/>
        <v>%</v>
      </c>
      <c r="AK11" s="282">
        <f t="shared" si="0"/>
        <v>1</v>
      </c>
      <c r="AL11" s="1420" t="s">
        <v>577</v>
      </c>
      <c r="AM11" s="1429" t="s">
        <v>578</v>
      </c>
      <c r="AN11" s="1332"/>
      <c r="AO11" s="1332"/>
      <c r="AP11" s="1332"/>
    </row>
    <row r="12" spans="2:42" s="9" customFormat="1" ht="28.5" customHeight="1">
      <c r="B12" s="282" t="s">
        <v>579</v>
      </c>
      <c r="C12" s="287" t="str">
        <f>IF($I$3="Select company","",VLOOKUP('3A'!$R$1,C_PSR,2,0))</f>
        <v>PR19ANH_22</v>
      </c>
      <c r="D12" s="287" t="str">
        <f>IF($I$3="Select company","",INDEX(App1bdata,MATCH($C12,App1bIDnrs,0),20))</f>
        <v>%</v>
      </c>
      <c r="E12" s="287">
        <f>IF($I$3="Select company","",INDEX(App1bdata,MATCH($C12,App1bIDnrs,0),22))</f>
        <v>1</v>
      </c>
      <c r="F12" s="1789">
        <f>'3F'!$J$46*100</f>
        <v>58.099999999999994</v>
      </c>
      <c r="G12" s="2260" t="s">
        <v>210</v>
      </c>
      <c r="H12" s="35"/>
      <c r="I12" s="286" t="s">
        <v>580</v>
      </c>
      <c r="J12" s="1332"/>
      <c r="K12" s="319">
        <f>IF(SUM($V12:$X12)=0,0,$V$6)</f>
        <v>0</v>
      </c>
      <c r="L12" s="331">
        <f>IF($AB12=0,0,$AC$6)</f>
        <v>0</v>
      </c>
      <c r="M12" s="1332"/>
      <c r="N12" s="1332"/>
      <c r="O12" s="1332"/>
      <c r="P12" s="1332"/>
      <c r="Q12" s="1332"/>
      <c r="R12" s="1332"/>
      <c r="S12" s="1332"/>
      <c r="T12" s="1332"/>
      <c r="U12" s="1333"/>
      <c r="V12" s="318"/>
      <c r="W12" s="318"/>
      <c r="X12" s="318">
        <f>IF($C12="",0,IF(ISBLANK($G12)=TRUE,1,0))</f>
        <v>0</v>
      </c>
      <c r="Y12" s="318"/>
      <c r="Z12" s="318"/>
      <c r="AA12" s="1333"/>
      <c r="AB12" s="322">
        <f>IF(ISERROR($F12)=TRUE,1,IF($F12&lt;0,1,0))</f>
        <v>0</v>
      </c>
      <c r="AC12" s="322"/>
      <c r="AD12" s="318"/>
      <c r="AE12" s="322"/>
      <c r="AF12" s="1333"/>
      <c r="AG12" s="1332"/>
      <c r="AH12" s="282" t="str">
        <f t="shared" si="1"/>
        <v>Priority services for customers in vulnerable circumstances - Actual contacts</v>
      </c>
      <c r="AI12" s="282" t="str">
        <f t="shared" si="0"/>
        <v>PR19ANH_22</v>
      </c>
      <c r="AJ12" s="282" t="str">
        <f t="shared" si="0"/>
        <v>%</v>
      </c>
      <c r="AK12" s="282">
        <f t="shared" si="0"/>
        <v>1</v>
      </c>
      <c r="AL12" s="1420" t="s">
        <v>581</v>
      </c>
      <c r="AM12" s="1429" t="s">
        <v>582</v>
      </c>
      <c r="AN12" s="1332"/>
      <c r="AO12" s="1332"/>
      <c r="AP12" s="1332"/>
    </row>
    <row r="13" spans="2:42" s="9" customFormat="1" ht="28.5" customHeight="1">
      <c r="B13" s="282" t="str">
        <f>IF('Validation summary'!$F$3="Woc","","Risk of sewer flooding in a storm")</f>
        <v>Risk of sewer flooding in a storm</v>
      </c>
      <c r="C13" s="287" t="str">
        <f>IF(OR($I$3="Select company",'Validation summary'!$F$3="WoC"),"",VLOOKUP('3A'!$R$1,C_RSFinS,2,0))</f>
        <v>PR19ANH_10</v>
      </c>
      <c r="D13" s="287" t="str">
        <f>IF(OR($I$3="Select company",'Validation summary'!$F$3="WoC"),"",INDEX(App1bdata,MATCH($C13,App1bIDnrs,0),20))</f>
        <v>%</v>
      </c>
      <c r="E13" s="287">
        <f>IF(OR($I$3="Select company",'Validation summary'!$F$3="WoC"),"",INDEX(App1bdata,MATCH($C13,App1bIDnrs,0),22))</f>
        <v>2</v>
      </c>
      <c r="F13" s="2284">
        <v>0.76</v>
      </c>
      <c r="G13" s="2260" t="s">
        <v>210</v>
      </c>
      <c r="H13" s="1332"/>
      <c r="I13" s="286" t="s">
        <v>583</v>
      </c>
      <c r="J13" s="1332"/>
      <c r="K13" s="319">
        <f>IF(SUM($V13:$X13)=0,0,$V$6)</f>
        <v>0</v>
      </c>
      <c r="L13" s="331">
        <f>IF(SUM(AB13:AB13)&lt;&gt;0,$AB$6,0)</f>
        <v>0</v>
      </c>
      <c r="M13" s="1332"/>
      <c r="N13" s="1332"/>
      <c r="O13" s="1332"/>
      <c r="P13" s="1332"/>
      <c r="Q13" s="1332"/>
      <c r="R13" s="1332"/>
      <c r="S13" s="1332"/>
      <c r="T13" s="1332"/>
      <c r="U13" s="1333"/>
      <c r="V13" s="318"/>
      <c r="W13" s="318">
        <f>IF($C13="",0,IF(ISBLANK($F13)=TRUE,1,0))</f>
        <v>0</v>
      </c>
      <c r="X13" s="318">
        <f>IF($C13="",0,IF(ISBLANK($G13)=TRUE,1,0))</f>
        <v>0</v>
      </c>
      <c r="Y13" s="318"/>
      <c r="Z13" s="318"/>
      <c r="AA13" s="1333"/>
      <c r="AB13" s="322">
        <f>IF($F13&lt;0,1,0)</f>
        <v>0</v>
      </c>
      <c r="AC13" s="322"/>
      <c r="AD13" s="318"/>
      <c r="AE13" s="322"/>
      <c r="AF13" s="1333"/>
      <c r="AG13" s="1332"/>
      <c r="AH13" s="282" t="str">
        <f t="shared" si="1"/>
        <v>Risk of sewer flooding in a storm</v>
      </c>
      <c r="AI13" s="282" t="str">
        <f t="shared" si="0"/>
        <v>PR19ANH_10</v>
      </c>
      <c r="AJ13" s="282" t="str">
        <f t="shared" si="0"/>
        <v>%</v>
      </c>
      <c r="AK13" s="282">
        <f t="shared" si="0"/>
        <v>2</v>
      </c>
      <c r="AL13" s="1439" t="s">
        <v>584</v>
      </c>
      <c r="AM13" s="1429" t="s">
        <v>585</v>
      </c>
      <c r="AN13" s="1332"/>
      <c r="AO13" s="1332"/>
      <c r="AP13" s="1332"/>
    </row>
    <row r="14" spans="2:42" s="9" customFormat="1" ht="16.5" customHeight="1">
      <c r="B14" s="1329"/>
      <c r="C14" s="1329"/>
      <c r="D14" s="1329"/>
      <c r="E14" s="1329"/>
      <c r="F14" s="1329"/>
      <c r="G14" s="1329"/>
      <c r="H14" s="1332"/>
      <c r="I14" s="1332"/>
      <c r="J14" s="1332"/>
      <c r="K14" s="1332"/>
      <c r="L14" s="1332"/>
      <c r="M14" s="1332"/>
      <c r="N14" s="1332"/>
      <c r="O14" s="1332"/>
      <c r="P14" s="1332"/>
      <c r="Q14" s="1332"/>
      <c r="R14" s="1332"/>
      <c r="S14" s="1332"/>
      <c r="T14" s="1332"/>
      <c r="U14" s="1333"/>
      <c r="V14" s="1332" t="s">
        <v>216</v>
      </c>
      <c r="W14" s="318"/>
      <c r="X14" s="318"/>
      <c r="Y14" s="318"/>
      <c r="Z14" s="318"/>
      <c r="AA14" s="1333"/>
      <c r="AB14" s="1332"/>
      <c r="AC14" s="1332"/>
      <c r="AD14" s="322"/>
      <c r="AE14" s="1332"/>
      <c r="AF14" s="1333"/>
      <c r="AG14" s="1332"/>
      <c r="AH14" s="1329"/>
      <c r="AI14" s="1329"/>
      <c r="AJ14" s="1329"/>
      <c r="AK14" s="1329"/>
      <c r="AL14" s="1329"/>
      <c r="AM14" s="1329"/>
      <c r="AN14" s="1332"/>
      <c r="AO14" s="1332"/>
      <c r="AP14" s="1332"/>
    </row>
    <row r="15" spans="2:42" s="9" customFormat="1" ht="18" customHeight="1">
      <c r="B15" s="303" t="s">
        <v>586</v>
      </c>
      <c r="C15" s="12"/>
      <c r="D15" s="1329"/>
      <c r="E15" s="1329"/>
      <c r="F15" s="1329"/>
      <c r="G15" s="1329"/>
      <c r="H15" s="1332"/>
      <c r="I15" s="1332"/>
      <c r="J15" s="1332"/>
      <c r="K15" s="1332"/>
      <c r="L15" s="1332"/>
      <c r="M15" s="1332"/>
      <c r="N15" s="1332"/>
      <c r="O15" s="1332"/>
      <c r="P15" s="1332"/>
      <c r="Q15" s="1332"/>
      <c r="R15" s="1332"/>
      <c r="S15" s="1332"/>
      <c r="T15" s="1332"/>
      <c r="U15" s="1333"/>
      <c r="V15" s="317">
        <v>3</v>
      </c>
      <c r="W15" s="317">
        <v>4</v>
      </c>
      <c r="X15" s="317">
        <v>5</v>
      </c>
      <c r="Y15" s="317"/>
      <c r="Z15" s="317"/>
      <c r="AA15" s="321"/>
      <c r="AB15" s="317">
        <v>4</v>
      </c>
      <c r="AC15" s="317">
        <v>5</v>
      </c>
      <c r="AD15" s="317"/>
      <c r="AE15" s="317"/>
      <c r="AF15" s="1333"/>
      <c r="AG15" s="1332"/>
      <c r="AH15" s="303" t="s">
        <v>586</v>
      </c>
      <c r="AI15" s="12"/>
      <c r="AJ15" s="1329"/>
      <c r="AK15" s="1329"/>
      <c r="AL15" s="1329"/>
      <c r="AM15" s="1329"/>
      <c r="AN15" s="1332"/>
      <c r="AO15" s="1332"/>
      <c r="AP15" s="1332"/>
    </row>
    <row r="16" spans="2:42" s="16" customFormat="1" ht="28.5" customHeight="1">
      <c r="B16" s="282" t="str">
        <f t="shared" ref="B16:B38" si="2">IF($I$3="Select company","",IF($C16="","",INDEX(App1data,MATCH($C16,App1IDnrs,0),5)))</f>
        <v>Reactive Mains Bursts</v>
      </c>
      <c r="C16" s="287" t="str">
        <f>IF($I$3="Select company","",IF(HLOOKUP('3A'!$R$1,B_NFIN_All,'PC lists'!$B79,0)="","",HLOOKUP('3A'!$R$1,B_NFIN_All,'PC lists'!$B79,0)))</f>
        <v>PR19ANH_18</v>
      </c>
      <c r="D16" s="287" t="str">
        <f t="shared" ref="D16:D38" si="3">IF($C16="","",INDEX(App1data,MATCH($C16,App1IDnrs,0),20))</f>
        <v>nr</v>
      </c>
      <c r="E16" s="287">
        <f t="shared" ref="E16:E38" si="4">IF($C16="","",INDEX(App1data,MATCH($C16,App1IDnrs,0),22))</f>
        <v>0</v>
      </c>
      <c r="F16" s="2285">
        <v>3842</v>
      </c>
      <c r="G16" s="2260" t="s">
        <v>173</v>
      </c>
      <c r="I16" s="286" t="s">
        <v>587</v>
      </c>
      <c r="K16" s="319">
        <f>IF(SUM($V16:$X16)=0,0,$V$6)</f>
        <v>0</v>
      </c>
      <c r="L16" s="331"/>
      <c r="U16" s="1333"/>
      <c r="V16" s="318"/>
      <c r="W16" s="318">
        <f t="shared" ref="W16:W38" si="5">IF($C16="",0,IF(ISBLANK($F16)=TRUE,1,0))</f>
        <v>0</v>
      </c>
      <c r="X16" s="318">
        <f t="shared" ref="X16:X38" si="6">IF($C16="",0,IF(ISBLANK($G16)=TRUE,1,0))</f>
        <v>0</v>
      </c>
      <c r="Y16" s="318"/>
      <c r="Z16" s="318"/>
      <c r="AA16" s="313"/>
      <c r="AD16" s="322"/>
      <c r="AF16" s="1333"/>
      <c r="AH16" s="282" t="str">
        <f t="shared" ref="AH16:AK38" si="7">B16</f>
        <v>Reactive Mains Bursts</v>
      </c>
      <c r="AI16" s="282" t="str">
        <f t="shared" si="7"/>
        <v>PR19ANH_18</v>
      </c>
      <c r="AJ16" s="282" t="str">
        <f t="shared" si="7"/>
        <v>nr</v>
      </c>
      <c r="AK16" s="282">
        <f t="shared" si="7"/>
        <v>0</v>
      </c>
      <c r="AL16" s="1440" t="s">
        <v>588</v>
      </c>
      <c r="AM16" s="1429" t="s">
        <v>589</v>
      </c>
      <c r="AO16" s="1332"/>
      <c r="AP16" s="1332"/>
    </row>
    <row r="17" spans="2:42" s="16" customFormat="1" ht="28.5" customHeight="1">
      <c r="B17" s="282" t="str">
        <f t="shared" si="2"/>
        <v>Customer awareness of the company's Priority Services Register</v>
      </c>
      <c r="C17" s="287" t="str">
        <f>IF($I$3="Select company","",IF(HLOOKUP('3A'!$R$1,B_NFIN_All,'PC lists'!$B80,0)="","",HLOOKUP('3A'!$R$1,B_NFIN_All,'PC lists'!$B80,0)))</f>
        <v>PR19ANH_21</v>
      </c>
      <c r="D17" s="287" t="str">
        <f t="shared" si="3"/>
        <v xml:space="preserve">% </v>
      </c>
      <c r="E17" s="287">
        <f t="shared" si="4"/>
        <v>1</v>
      </c>
      <c r="F17" s="2260">
        <v>66.8</v>
      </c>
      <c r="G17" s="2260" t="s">
        <v>210</v>
      </c>
      <c r="I17" s="286" t="s">
        <v>590</v>
      </c>
      <c r="K17" s="319">
        <f t="shared" ref="K17:K38" si="8">IF(SUM($V17:$X17)=0,0,$V$6)</f>
        <v>0</v>
      </c>
      <c r="L17" s="331"/>
      <c r="U17" s="1333"/>
      <c r="V17" s="318"/>
      <c r="W17" s="318">
        <f t="shared" si="5"/>
        <v>0</v>
      </c>
      <c r="X17" s="318">
        <f t="shared" si="6"/>
        <v>0</v>
      </c>
      <c r="Y17" s="318"/>
      <c r="Z17" s="318"/>
      <c r="AA17" s="313"/>
      <c r="AD17" s="322"/>
      <c r="AF17" s="1333"/>
      <c r="AH17" s="282" t="str">
        <f t="shared" si="7"/>
        <v>Customer awareness of the company's Priority Services Register</v>
      </c>
      <c r="AI17" s="282" t="str">
        <f t="shared" si="7"/>
        <v>PR19ANH_21</v>
      </c>
      <c r="AJ17" s="282" t="str">
        <f t="shared" si="7"/>
        <v xml:space="preserve">% </v>
      </c>
      <c r="AK17" s="282">
        <f t="shared" si="7"/>
        <v>1</v>
      </c>
      <c r="AL17" s="1440" t="s">
        <v>591</v>
      </c>
      <c r="AM17" s="1429" t="s">
        <v>592</v>
      </c>
      <c r="AO17" s="1332"/>
      <c r="AP17" s="1332"/>
    </row>
    <row r="18" spans="2:42" s="16" customFormat="1" ht="28.5" customHeight="1">
      <c r="B18" s="282" t="str">
        <f t="shared" si="2"/>
        <v>Operational carbon</v>
      </c>
      <c r="C18" s="287" t="str">
        <f>IF($I$3="Select company","",IF(HLOOKUP('3A'!$R$1,B_NFIN_All,'PC lists'!$B81,0)="","",HLOOKUP('3A'!$R$1,B_NFIN_All,'PC lists'!$B81,0)))</f>
        <v>PR19ANH_24</v>
      </c>
      <c r="D18" s="287" t="str">
        <f t="shared" si="3"/>
        <v>%</v>
      </c>
      <c r="E18" s="287">
        <f t="shared" si="4"/>
        <v>1</v>
      </c>
      <c r="F18" s="2260">
        <v>26.6</v>
      </c>
      <c r="G18" s="2260" t="s">
        <v>210</v>
      </c>
      <c r="I18" s="286" t="s">
        <v>593</v>
      </c>
      <c r="K18" s="319">
        <f t="shared" si="8"/>
        <v>0</v>
      </c>
      <c r="L18" s="331"/>
      <c r="U18" s="1333"/>
      <c r="V18" s="318"/>
      <c r="W18" s="318">
        <f t="shared" si="5"/>
        <v>0</v>
      </c>
      <c r="X18" s="318">
        <f t="shared" si="6"/>
        <v>0</v>
      </c>
      <c r="Y18" s="318"/>
      <c r="Z18" s="318"/>
      <c r="AA18" s="313"/>
      <c r="AD18" s="322"/>
      <c r="AF18" s="1333"/>
      <c r="AH18" s="282" t="str">
        <f t="shared" si="7"/>
        <v>Operational carbon</v>
      </c>
      <c r="AI18" s="282" t="str">
        <f t="shared" si="7"/>
        <v>PR19ANH_24</v>
      </c>
      <c r="AJ18" s="282" t="str">
        <f t="shared" si="7"/>
        <v>%</v>
      </c>
      <c r="AK18" s="282">
        <f t="shared" si="7"/>
        <v>1</v>
      </c>
      <c r="AL18" s="1440" t="s">
        <v>594</v>
      </c>
      <c r="AM18" s="1429" t="s">
        <v>595</v>
      </c>
      <c r="AO18" s="1332"/>
      <c r="AP18" s="1332"/>
    </row>
    <row r="19" spans="2:42" s="16" customFormat="1" ht="28.5" customHeight="1">
      <c r="B19" s="282" t="str">
        <f t="shared" si="2"/>
        <v>Capital carbon</v>
      </c>
      <c r="C19" s="287" t="str">
        <f>IF($I$3="Select company","",IF(HLOOKUP('3A'!$R$1,B_NFIN_All,'PC lists'!$B82,0)="","",HLOOKUP('3A'!$R$1,B_NFIN_All,'PC lists'!$B82,0)))</f>
        <v>PR19ANH_25</v>
      </c>
      <c r="D19" s="287" t="str">
        <f t="shared" si="3"/>
        <v>%</v>
      </c>
      <c r="E19" s="287">
        <f t="shared" si="4"/>
        <v>1</v>
      </c>
      <c r="F19" s="2261">
        <v>66.099999999999994</v>
      </c>
      <c r="G19" s="2260" t="s">
        <v>210</v>
      </c>
      <c r="I19" s="286" t="s">
        <v>596</v>
      </c>
      <c r="K19" s="319">
        <f t="shared" si="8"/>
        <v>0</v>
      </c>
      <c r="L19" s="331"/>
      <c r="U19" s="313"/>
      <c r="V19" s="318"/>
      <c r="W19" s="318">
        <f t="shared" si="5"/>
        <v>0</v>
      </c>
      <c r="X19" s="318">
        <f t="shared" si="6"/>
        <v>0</v>
      </c>
      <c r="Y19" s="318"/>
      <c r="Z19" s="318"/>
      <c r="AA19" s="313"/>
      <c r="AD19" s="322"/>
      <c r="AF19" s="313"/>
      <c r="AH19" s="282" t="str">
        <f t="shared" si="7"/>
        <v>Capital carbon</v>
      </c>
      <c r="AI19" s="282" t="str">
        <f t="shared" si="7"/>
        <v>PR19ANH_25</v>
      </c>
      <c r="AJ19" s="282" t="str">
        <f t="shared" si="7"/>
        <v>%</v>
      </c>
      <c r="AK19" s="282">
        <f t="shared" si="7"/>
        <v>1</v>
      </c>
      <c r="AL19" s="1440" t="s">
        <v>597</v>
      </c>
      <c r="AM19" s="1429" t="s">
        <v>598</v>
      </c>
      <c r="AO19" s="1332"/>
      <c r="AP19" s="1332"/>
    </row>
    <row r="20" spans="2:42" s="16" customFormat="1" ht="28.5" customHeight="1">
      <c r="B20" s="282" t="str">
        <f t="shared" si="2"/>
        <v>Non-household Retailer Satisfaction</v>
      </c>
      <c r="C20" s="287" t="str">
        <f>IF($I$3="Select company","",IF(HLOOKUP('3A'!$R$1,B_NFIN_All,'PC lists'!$B83,0)="","",HLOOKUP('3A'!$R$1,B_NFIN_All,'PC lists'!$B83,0)))</f>
        <v>PR19ANH_30</v>
      </c>
      <c r="D20" s="287" t="str">
        <f t="shared" si="3"/>
        <v>score</v>
      </c>
      <c r="E20" s="287">
        <f t="shared" si="4"/>
        <v>1</v>
      </c>
      <c r="F20" s="2260">
        <v>84.2</v>
      </c>
      <c r="G20" s="2260" t="s">
        <v>210</v>
      </c>
      <c r="I20" s="286" t="s">
        <v>599</v>
      </c>
      <c r="K20" s="319">
        <f t="shared" si="8"/>
        <v>0</v>
      </c>
      <c r="L20" s="331"/>
      <c r="U20" s="313"/>
      <c r="V20" s="318"/>
      <c r="W20" s="318">
        <f t="shared" si="5"/>
        <v>0</v>
      </c>
      <c r="X20" s="318">
        <f t="shared" si="6"/>
        <v>0</v>
      </c>
      <c r="Y20" s="318"/>
      <c r="Z20" s="318"/>
      <c r="AA20" s="313"/>
      <c r="AD20" s="322"/>
      <c r="AF20" s="313"/>
      <c r="AH20" s="282" t="str">
        <f t="shared" si="7"/>
        <v>Non-household Retailer Satisfaction</v>
      </c>
      <c r="AI20" s="282" t="str">
        <f t="shared" si="7"/>
        <v>PR19ANH_30</v>
      </c>
      <c r="AJ20" s="282" t="str">
        <f t="shared" si="7"/>
        <v>score</v>
      </c>
      <c r="AK20" s="282">
        <f t="shared" si="7"/>
        <v>1</v>
      </c>
      <c r="AL20" s="1440" t="s">
        <v>600</v>
      </c>
      <c r="AM20" s="1429" t="s">
        <v>601</v>
      </c>
      <c r="AO20" s="1332"/>
      <c r="AP20" s="1332"/>
    </row>
    <row r="21" spans="2:42" s="16" customFormat="1" ht="28.5" customHeight="1">
      <c r="B21" s="282" t="str">
        <f t="shared" si="2"/>
        <v>Event Risk Index (ERI)</v>
      </c>
      <c r="C21" s="287" t="str">
        <f>IF($I$3="Select company","",IF(HLOOKUP('3A'!$R$1,B_NFIN_All,'PC lists'!$B84,0)="","",HLOOKUP('3A'!$R$1,B_NFIN_All,'PC lists'!$B84,0)))</f>
        <v>PR19ANH_35</v>
      </c>
      <c r="D21" s="287" t="str">
        <f t="shared" si="3"/>
        <v>score</v>
      </c>
      <c r="E21" s="287">
        <f t="shared" si="4"/>
        <v>3</v>
      </c>
      <c r="F21" s="2260">
        <v>318.41000000000003</v>
      </c>
      <c r="G21" s="2260" t="s">
        <v>173</v>
      </c>
      <c r="I21" s="286" t="s">
        <v>602</v>
      </c>
      <c r="K21" s="319">
        <f t="shared" si="8"/>
        <v>0</v>
      </c>
      <c r="L21" s="331"/>
      <c r="U21" s="313"/>
      <c r="V21" s="318"/>
      <c r="W21" s="318">
        <f t="shared" si="5"/>
        <v>0</v>
      </c>
      <c r="X21" s="318">
        <f t="shared" si="6"/>
        <v>0</v>
      </c>
      <c r="Y21" s="318"/>
      <c r="Z21" s="318"/>
      <c r="AA21" s="313"/>
      <c r="AD21" s="322"/>
      <c r="AF21" s="313"/>
      <c r="AH21" s="282" t="str">
        <f t="shared" si="7"/>
        <v>Event Risk Index (ERI)</v>
      </c>
      <c r="AI21" s="282" t="str">
        <f t="shared" si="7"/>
        <v>PR19ANH_35</v>
      </c>
      <c r="AJ21" s="282" t="str">
        <f t="shared" si="7"/>
        <v>score</v>
      </c>
      <c r="AK21" s="282">
        <f t="shared" si="7"/>
        <v>3</v>
      </c>
      <c r="AL21" s="1440" t="s">
        <v>603</v>
      </c>
      <c r="AM21" s="1429" t="s">
        <v>604</v>
      </c>
      <c r="AO21" s="1332"/>
      <c r="AP21" s="1332"/>
    </row>
    <row r="22" spans="2:42" s="16" customFormat="1" ht="28.5" customHeight="1">
      <c r="B22" s="282" t="str">
        <f t="shared" si="2"/>
        <v>British Standards Institution - Standard for Inclusive Service</v>
      </c>
      <c r="C22" s="287" t="str">
        <f>IF($I$3="Select company","",IF(HLOOKUP('3A'!$R$1,B_NFIN_All,'PC lists'!$B85,0)="","",HLOOKUP('3A'!$R$1,B_NFIN_All,'PC lists'!$B85,0)))</f>
        <v>PR19ANH_36</v>
      </c>
      <c r="D22" s="287" t="str">
        <f t="shared" si="3"/>
        <v>text</v>
      </c>
      <c r="E22" s="287">
        <f t="shared" si="4"/>
        <v>0</v>
      </c>
      <c r="F22" s="2260" t="s">
        <v>605</v>
      </c>
      <c r="G22" s="2260" t="s">
        <v>210</v>
      </c>
      <c r="I22" s="286" t="s">
        <v>606</v>
      </c>
      <c r="K22" s="319">
        <f t="shared" si="8"/>
        <v>0</v>
      </c>
      <c r="L22" s="331"/>
      <c r="U22" s="313"/>
      <c r="V22" s="318"/>
      <c r="W22" s="318">
        <f t="shared" si="5"/>
        <v>0</v>
      </c>
      <c r="X22" s="318">
        <f t="shared" si="6"/>
        <v>0</v>
      </c>
      <c r="Y22" s="318"/>
      <c r="Z22" s="318"/>
      <c r="AA22" s="313"/>
      <c r="AD22" s="322"/>
      <c r="AF22" s="313"/>
      <c r="AH22" s="282" t="str">
        <f t="shared" si="7"/>
        <v>British Standards Institution - Standard for Inclusive Service</v>
      </c>
      <c r="AI22" s="282" t="str">
        <f t="shared" si="7"/>
        <v>PR19ANH_36</v>
      </c>
      <c r="AJ22" s="282" t="str">
        <f t="shared" si="7"/>
        <v>text</v>
      </c>
      <c r="AK22" s="282">
        <f t="shared" si="7"/>
        <v>0</v>
      </c>
      <c r="AL22" s="1440" t="s">
        <v>607</v>
      </c>
      <c r="AM22" s="1429" t="s">
        <v>608</v>
      </c>
      <c r="AO22" s="1332"/>
      <c r="AP22" s="1332"/>
    </row>
    <row r="23" spans="2:42" s="16" customFormat="1" ht="28.5" customHeight="1">
      <c r="B23" s="282" t="str">
        <f t="shared" si="2"/>
        <v>Helping those struggling to pay</v>
      </c>
      <c r="C23" s="287" t="str">
        <f>IF($I$3="Select company","",IF(HLOOKUP('3A'!$R$1,B_NFIN_All,'PC lists'!$B86,0)="","",HLOOKUP('3A'!$R$1,B_NFIN_All,'PC lists'!$B86,0)))</f>
        <v>PR19ANH_37</v>
      </c>
      <c r="D23" s="287" t="str">
        <f t="shared" si="3"/>
        <v>nr</v>
      </c>
      <c r="E23" s="287">
        <f t="shared" si="4"/>
        <v>1</v>
      </c>
      <c r="F23" s="2260">
        <v>405425</v>
      </c>
      <c r="G23" s="2260" t="s">
        <v>210</v>
      </c>
      <c r="I23" s="286" t="s">
        <v>609</v>
      </c>
      <c r="K23" s="319">
        <f t="shared" si="8"/>
        <v>0</v>
      </c>
      <c r="L23" s="331"/>
      <c r="U23" s="313"/>
      <c r="V23" s="318"/>
      <c r="W23" s="318">
        <f t="shared" si="5"/>
        <v>0</v>
      </c>
      <c r="X23" s="318">
        <f t="shared" si="6"/>
        <v>0</v>
      </c>
      <c r="Y23" s="318"/>
      <c r="Z23" s="318"/>
      <c r="AA23" s="313"/>
      <c r="AD23" s="322"/>
      <c r="AF23" s="313"/>
      <c r="AH23" s="282" t="str">
        <f t="shared" si="7"/>
        <v>Helping those struggling to pay</v>
      </c>
      <c r="AI23" s="282" t="str">
        <f t="shared" si="7"/>
        <v>PR19ANH_37</v>
      </c>
      <c r="AJ23" s="282" t="str">
        <f t="shared" si="7"/>
        <v>nr</v>
      </c>
      <c r="AK23" s="282">
        <f t="shared" si="7"/>
        <v>1</v>
      </c>
      <c r="AL23" s="1440" t="s">
        <v>610</v>
      </c>
      <c r="AM23" s="1429" t="s">
        <v>611</v>
      </c>
      <c r="AO23" s="1332"/>
      <c r="AP23" s="1332"/>
    </row>
    <row r="24" spans="2:42" s="16" customFormat="1" ht="28.5" customHeight="1">
      <c r="B24" s="282" t="str">
        <f t="shared" si="2"/>
        <v>Value for Money</v>
      </c>
      <c r="C24" s="287" t="str">
        <f>IF($I$3="Select company","",IF(HLOOKUP('3A'!$R$1,B_NFIN_All,'PC lists'!$B87,0)="","",HLOOKUP('3A'!$R$1,B_NFIN_All,'PC lists'!$B87,0)))</f>
        <v>PR19ANH_40</v>
      </c>
      <c r="D24" s="287" t="str">
        <f t="shared" si="3"/>
        <v>%</v>
      </c>
      <c r="E24" s="287">
        <f t="shared" si="4"/>
        <v>0</v>
      </c>
      <c r="F24" s="2260">
        <v>70</v>
      </c>
      <c r="G24" s="2260" t="s">
        <v>173</v>
      </c>
      <c r="I24" s="286" t="s">
        <v>612</v>
      </c>
      <c r="K24" s="319">
        <f t="shared" si="8"/>
        <v>0</v>
      </c>
      <c r="L24" s="331"/>
      <c r="U24" s="313"/>
      <c r="V24" s="318"/>
      <c r="W24" s="318">
        <f t="shared" si="5"/>
        <v>0</v>
      </c>
      <c r="X24" s="318">
        <f t="shared" si="6"/>
        <v>0</v>
      </c>
      <c r="Y24" s="318"/>
      <c r="Z24" s="318"/>
      <c r="AA24" s="313"/>
      <c r="AD24" s="322"/>
      <c r="AF24" s="313"/>
      <c r="AH24" s="282" t="str">
        <f t="shared" si="7"/>
        <v>Value for Money</v>
      </c>
      <c r="AI24" s="282" t="str">
        <f t="shared" si="7"/>
        <v>PR19ANH_40</v>
      </c>
      <c r="AJ24" s="282" t="str">
        <f t="shared" si="7"/>
        <v>%</v>
      </c>
      <c r="AK24" s="282">
        <f t="shared" si="7"/>
        <v>0</v>
      </c>
      <c r="AL24" s="1440" t="s">
        <v>613</v>
      </c>
      <c r="AM24" s="1429" t="s">
        <v>614</v>
      </c>
      <c r="AO24" s="1332"/>
      <c r="AP24" s="1332"/>
    </row>
    <row r="25" spans="2:42" s="16" customFormat="1" ht="28.5" customHeight="1">
      <c r="B25" s="282" t="str">
        <f t="shared" si="2"/>
        <v>WINEP Delivery</v>
      </c>
      <c r="C25" s="287" t="str">
        <f>IF($I$3="Select company","",IF(HLOOKUP('3A'!$R$1,B_NFIN_All,'PC lists'!$B88,0)="","",HLOOKUP('3A'!$R$1,B_NFIN_All,'PC lists'!$B88,0)))</f>
        <v>PR19ANH_NEP01</v>
      </c>
      <c r="D25" s="287" t="str">
        <f t="shared" si="3"/>
        <v>text</v>
      </c>
      <c r="E25" s="287">
        <f t="shared" si="4"/>
        <v>0</v>
      </c>
      <c r="F25" s="2260" t="s">
        <v>615</v>
      </c>
      <c r="G25" s="2260" t="s">
        <v>173</v>
      </c>
      <c r="I25" s="286" t="s">
        <v>616</v>
      </c>
      <c r="K25" s="319">
        <f t="shared" si="8"/>
        <v>0</v>
      </c>
      <c r="L25" s="331"/>
      <c r="U25" s="313"/>
      <c r="V25" s="318"/>
      <c r="W25" s="318">
        <f t="shared" si="5"/>
        <v>0</v>
      </c>
      <c r="X25" s="318">
        <f t="shared" si="6"/>
        <v>0</v>
      </c>
      <c r="Y25" s="318"/>
      <c r="Z25" s="318"/>
      <c r="AA25" s="313"/>
      <c r="AD25" s="322"/>
      <c r="AF25" s="313"/>
      <c r="AH25" s="282" t="str">
        <f t="shared" si="7"/>
        <v>WINEP Delivery</v>
      </c>
      <c r="AI25" s="282" t="str">
        <f t="shared" si="7"/>
        <v>PR19ANH_NEP01</v>
      </c>
      <c r="AJ25" s="282" t="str">
        <f t="shared" si="7"/>
        <v>text</v>
      </c>
      <c r="AK25" s="282">
        <f t="shared" si="7"/>
        <v>0</v>
      </c>
      <c r="AL25" s="1440" t="s">
        <v>617</v>
      </c>
      <c r="AM25" s="1429" t="s">
        <v>618</v>
      </c>
      <c r="AO25" s="1332"/>
      <c r="AP25" s="1332"/>
    </row>
    <row r="26" spans="2:42" s="16" customFormat="1" ht="28.5" customHeight="1">
      <c r="B26" s="282" t="str">
        <f t="shared" si="2"/>
        <v>Community investment</v>
      </c>
      <c r="C26" s="287" t="str">
        <f>IF($I$3="Select company","",IF(HLOOKUP('3A'!$R$1,B_NFIN_All,'PC lists'!$B89,0)="","",HLOOKUP('3A'!$R$1,B_NFIN_All,'PC lists'!$B89,0)))</f>
        <v>PR19ANH_43</v>
      </c>
      <c r="D26" s="287" t="str">
        <f t="shared" si="3"/>
        <v>%</v>
      </c>
      <c r="E26" s="287">
        <f t="shared" si="4"/>
        <v>1</v>
      </c>
      <c r="F26" s="2260">
        <v>135.78</v>
      </c>
      <c r="G26" s="2260" t="s">
        <v>210</v>
      </c>
      <c r="I26" s="286" t="s">
        <v>619</v>
      </c>
      <c r="K26" s="319">
        <f t="shared" si="8"/>
        <v>0</v>
      </c>
      <c r="L26" s="331"/>
      <c r="U26" s="313"/>
      <c r="V26" s="318"/>
      <c r="W26" s="318">
        <f t="shared" si="5"/>
        <v>0</v>
      </c>
      <c r="X26" s="318">
        <f t="shared" si="6"/>
        <v>0</v>
      </c>
      <c r="Y26" s="318"/>
      <c r="Z26" s="318"/>
      <c r="AA26" s="313"/>
      <c r="AD26" s="322"/>
      <c r="AF26" s="313"/>
      <c r="AH26" s="282" t="str">
        <f t="shared" si="7"/>
        <v>Community investment</v>
      </c>
      <c r="AI26" s="282" t="str">
        <f t="shared" si="7"/>
        <v>PR19ANH_43</v>
      </c>
      <c r="AJ26" s="282" t="str">
        <f t="shared" si="7"/>
        <v>%</v>
      </c>
      <c r="AK26" s="282">
        <f t="shared" si="7"/>
        <v>1</v>
      </c>
      <c r="AL26" s="1440" t="s">
        <v>620</v>
      </c>
      <c r="AM26" s="1429" t="s">
        <v>621</v>
      </c>
      <c r="AO26" s="1332"/>
      <c r="AP26" s="1332"/>
    </row>
    <row r="27" spans="2:42" s="16" customFormat="1" ht="28.5" customHeight="1">
      <c r="B27" s="282" t="str">
        <f t="shared" si="2"/>
        <v>Customer trust</v>
      </c>
      <c r="C27" s="287" t="str">
        <f>IF($I$3="Select company","",IF(HLOOKUP('3A'!$R$1,B_NFIN_All,'PC lists'!$B90,0)="","",HLOOKUP('3A'!$R$1,B_NFIN_All,'PC lists'!$B90,0)))</f>
        <v>PR19ANH_44</v>
      </c>
      <c r="D27" s="287" t="str">
        <f t="shared" si="3"/>
        <v>score</v>
      </c>
      <c r="E27" s="287">
        <f t="shared" si="4"/>
        <v>2</v>
      </c>
      <c r="F27" s="2260">
        <v>0.18</v>
      </c>
      <c r="G27" s="2260" t="s">
        <v>210</v>
      </c>
      <c r="I27" s="286" t="s">
        <v>622</v>
      </c>
      <c r="K27" s="319">
        <f t="shared" si="8"/>
        <v>0</v>
      </c>
      <c r="L27" s="331"/>
      <c r="U27" s="313"/>
      <c r="V27" s="318"/>
      <c r="W27" s="318">
        <f t="shared" si="5"/>
        <v>0</v>
      </c>
      <c r="X27" s="318">
        <f t="shared" si="6"/>
        <v>0</v>
      </c>
      <c r="Y27" s="318"/>
      <c r="Z27" s="318"/>
      <c r="AA27" s="313"/>
      <c r="AD27" s="322"/>
      <c r="AF27" s="313"/>
      <c r="AH27" s="282" t="str">
        <f t="shared" si="7"/>
        <v>Customer trust</v>
      </c>
      <c r="AI27" s="282" t="str">
        <f t="shared" si="7"/>
        <v>PR19ANH_44</v>
      </c>
      <c r="AJ27" s="282" t="str">
        <f t="shared" si="7"/>
        <v>score</v>
      </c>
      <c r="AK27" s="282">
        <f t="shared" si="7"/>
        <v>2</v>
      </c>
      <c r="AL27" s="1440" t="s">
        <v>623</v>
      </c>
      <c r="AM27" s="1429" t="s">
        <v>624</v>
      </c>
      <c r="AO27" s="1332"/>
      <c r="AP27" s="1332"/>
    </row>
    <row r="28" spans="2:42" s="16" customFormat="1" ht="28.5" customHeight="1">
      <c r="B28" s="282" t="str">
        <f t="shared" si="2"/>
        <v>Natural capital impact</v>
      </c>
      <c r="C28" s="287" t="str">
        <f>IF($I$3="Select company","",IF(HLOOKUP('3A'!$R$1,B_NFIN_All,'PC lists'!$B91,0)="","",HLOOKUP('3A'!$R$1,B_NFIN_All,'PC lists'!$B91,0)))</f>
        <v>PR19ANH_45</v>
      </c>
      <c r="D28" s="287" t="str">
        <f t="shared" si="3"/>
        <v>text</v>
      </c>
      <c r="E28" s="287">
        <f t="shared" si="4"/>
        <v>0</v>
      </c>
      <c r="F28" s="2260" t="s">
        <v>615</v>
      </c>
      <c r="G28" s="2260" t="s">
        <v>173</v>
      </c>
      <c r="I28" s="286" t="s">
        <v>625</v>
      </c>
      <c r="K28" s="319">
        <f t="shared" si="8"/>
        <v>0</v>
      </c>
      <c r="L28" s="331"/>
      <c r="U28" s="313"/>
      <c r="V28" s="318"/>
      <c r="W28" s="318">
        <f t="shared" si="5"/>
        <v>0</v>
      </c>
      <c r="X28" s="318">
        <f t="shared" si="6"/>
        <v>0</v>
      </c>
      <c r="Y28" s="318"/>
      <c r="Z28" s="318"/>
      <c r="AA28" s="313"/>
      <c r="AD28" s="322"/>
      <c r="AF28" s="313"/>
      <c r="AH28" s="282" t="str">
        <f t="shared" si="7"/>
        <v>Natural capital impact</v>
      </c>
      <c r="AI28" s="282" t="str">
        <f t="shared" si="7"/>
        <v>PR19ANH_45</v>
      </c>
      <c r="AJ28" s="282" t="str">
        <f t="shared" si="7"/>
        <v>text</v>
      </c>
      <c r="AK28" s="282">
        <f t="shared" si="7"/>
        <v>0</v>
      </c>
      <c r="AL28" s="1440" t="s">
        <v>626</v>
      </c>
      <c r="AM28" s="1429" t="s">
        <v>627</v>
      </c>
      <c r="AO28" s="1332"/>
      <c r="AP28" s="1332"/>
    </row>
    <row r="29" spans="2:42" s="16" customFormat="1" ht="28.5" customHeight="1">
      <c r="B29" s="282" t="str">
        <f t="shared" si="2"/>
        <v>Regional collaboration</v>
      </c>
      <c r="C29" s="287" t="str">
        <f>IF($I$3="Select company","",IF(HLOOKUP('3A'!$R$1,B_NFIN_All,'PC lists'!$B92,0)="","",HLOOKUP('3A'!$R$1,B_NFIN_All,'PC lists'!$B92,0)))</f>
        <v>PR19ANH_46</v>
      </c>
      <c r="D29" s="287" t="str">
        <f t="shared" si="3"/>
        <v>text</v>
      </c>
      <c r="E29" s="287">
        <f t="shared" si="4"/>
        <v>0</v>
      </c>
      <c r="F29" s="2260" t="s">
        <v>628</v>
      </c>
      <c r="G29" s="2260" t="s">
        <v>210</v>
      </c>
      <c r="I29" s="286" t="s">
        <v>629</v>
      </c>
      <c r="K29" s="319">
        <f t="shared" si="8"/>
        <v>0</v>
      </c>
      <c r="L29" s="331"/>
      <c r="U29" s="313"/>
      <c r="V29" s="318"/>
      <c r="W29" s="318">
        <f t="shared" si="5"/>
        <v>0</v>
      </c>
      <c r="X29" s="318">
        <f t="shared" si="6"/>
        <v>0</v>
      </c>
      <c r="Y29" s="318"/>
      <c r="Z29" s="318"/>
      <c r="AA29" s="313"/>
      <c r="AD29" s="322"/>
      <c r="AF29" s="313"/>
      <c r="AH29" s="282" t="str">
        <f t="shared" si="7"/>
        <v>Regional collaboration</v>
      </c>
      <c r="AI29" s="282" t="str">
        <f t="shared" si="7"/>
        <v>PR19ANH_46</v>
      </c>
      <c r="AJ29" s="282" t="str">
        <f t="shared" si="7"/>
        <v>text</v>
      </c>
      <c r="AK29" s="282">
        <f t="shared" si="7"/>
        <v>0</v>
      </c>
      <c r="AL29" s="1440" t="s">
        <v>630</v>
      </c>
      <c r="AM29" s="1429" t="s">
        <v>631</v>
      </c>
      <c r="AO29" s="1332"/>
      <c r="AP29" s="1332"/>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60"/>
      <c r="G30" s="2260"/>
      <c r="I30" s="286" t="s">
        <v>632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40" t="s">
        <v>633</v>
      </c>
      <c r="AM30" s="1429" t="s">
        <v>634</v>
      </c>
      <c r="AO30" s="1332"/>
      <c r="AP30" s="1332"/>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60"/>
      <c r="G31" s="2260"/>
      <c r="I31" s="286" t="s">
        <v>635</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40" t="s">
        <v>636</v>
      </c>
      <c r="AM31" s="1429" t="s">
        <v>637</v>
      </c>
      <c r="AO31" s="1332"/>
      <c r="AP31" s="1332"/>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60"/>
      <c r="G32" s="2260"/>
      <c r="I32" s="286" t="s">
        <v>638</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40" t="s">
        <v>639</v>
      </c>
      <c r="AM32" s="1429" t="s">
        <v>640</v>
      </c>
      <c r="AO32" s="1332"/>
      <c r="AP32" s="1332"/>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60"/>
      <c r="G33" s="2260"/>
      <c r="H33" s="16"/>
      <c r="I33" s="286" t="s">
        <v>641</v>
      </c>
      <c r="J33" s="1332"/>
      <c r="K33" s="319">
        <f t="shared" si="8"/>
        <v>0</v>
      </c>
      <c r="L33" s="331"/>
      <c r="M33" s="1332"/>
      <c r="N33" s="1332"/>
      <c r="O33" s="1332"/>
      <c r="P33" s="1332"/>
      <c r="Q33" s="1332"/>
      <c r="R33" s="1332"/>
      <c r="S33" s="1332"/>
      <c r="T33" s="1332"/>
      <c r="U33" s="313"/>
      <c r="V33" s="318"/>
      <c r="W33" s="318">
        <f t="shared" si="5"/>
        <v>0</v>
      </c>
      <c r="X33" s="318">
        <f t="shared" si="6"/>
        <v>0</v>
      </c>
      <c r="Y33" s="318"/>
      <c r="Z33" s="318"/>
      <c r="AA33" s="313"/>
      <c r="AB33" s="16"/>
      <c r="AC33" s="16"/>
      <c r="AD33" s="322"/>
      <c r="AE33" s="16"/>
      <c r="AF33" s="313"/>
      <c r="AG33" s="1332"/>
      <c r="AH33" s="282" t="str">
        <f t="shared" si="7"/>
        <v/>
      </c>
      <c r="AI33" s="282" t="str">
        <f t="shared" si="7"/>
        <v/>
      </c>
      <c r="AJ33" s="282" t="str">
        <f t="shared" si="7"/>
        <v/>
      </c>
      <c r="AK33" s="282" t="str">
        <f t="shared" si="7"/>
        <v/>
      </c>
      <c r="AL33" s="1440" t="s">
        <v>642</v>
      </c>
      <c r="AM33" s="1429" t="s">
        <v>643</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60"/>
      <c r="G34" s="2260"/>
      <c r="H34" s="16"/>
      <c r="I34" s="286" t="s">
        <v>644</v>
      </c>
      <c r="J34" s="1332"/>
      <c r="K34" s="319">
        <f t="shared" si="8"/>
        <v>0</v>
      </c>
      <c r="L34" s="331"/>
      <c r="M34" s="1332"/>
      <c r="N34" s="1332"/>
      <c r="O34" s="1332"/>
      <c r="P34" s="1332"/>
      <c r="Q34" s="1332"/>
      <c r="R34" s="1332"/>
      <c r="S34" s="1332"/>
      <c r="T34" s="1332"/>
      <c r="U34" s="313"/>
      <c r="V34" s="318"/>
      <c r="W34" s="318">
        <f t="shared" si="5"/>
        <v>0</v>
      </c>
      <c r="X34" s="318">
        <f t="shared" si="6"/>
        <v>0</v>
      </c>
      <c r="Y34" s="318"/>
      <c r="Z34" s="318"/>
      <c r="AA34" s="313"/>
      <c r="AB34" s="16"/>
      <c r="AC34" s="16"/>
      <c r="AD34" s="322"/>
      <c r="AE34" s="16"/>
      <c r="AF34" s="313"/>
      <c r="AG34" s="1332"/>
      <c r="AH34" s="282" t="str">
        <f t="shared" si="7"/>
        <v/>
      </c>
      <c r="AI34" s="282" t="str">
        <f t="shared" si="7"/>
        <v/>
      </c>
      <c r="AJ34" s="282" t="str">
        <f t="shared" si="7"/>
        <v/>
      </c>
      <c r="AK34" s="282" t="str">
        <f t="shared" si="7"/>
        <v/>
      </c>
      <c r="AL34" s="1440" t="s">
        <v>645</v>
      </c>
      <c r="AM34" s="1429" t="s">
        <v>646</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60"/>
      <c r="G35" s="2260"/>
      <c r="H35" s="16"/>
      <c r="I35" s="286" t="s">
        <v>647</v>
      </c>
      <c r="J35" s="1332"/>
      <c r="K35" s="319">
        <f t="shared" si="8"/>
        <v>0</v>
      </c>
      <c r="L35" s="331"/>
      <c r="M35" s="1332"/>
      <c r="N35" s="1332"/>
      <c r="O35" s="1332"/>
      <c r="P35" s="1332"/>
      <c r="Q35" s="1332"/>
      <c r="R35" s="1332"/>
      <c r="S35" s="1332"/>
      <c r="T35" s="1332"/>
      <c r="U35" s="313"/>
      <c r="V35" s="318"/>
      <c r="W35" s="318">
        <f t="shared" si="5"/>
        <v>0</v>
      </c>
      <c r="X35" s="318">
        <f t="shared" si="6"/>
        <v>0</v>
      </c>
      <c r="Y35" s="318"/>
      <c r="Z35" s="318"/>
      <c r="AA35" s="313"/>
      <c r="AB35" s="16"/>
      <c r="AC35" s="16"/>
      <c r="AD35" s="322"/>
      <c r="AE35" s="16"/>
      <c r="AF35" s="313"/>
      <c r="AG35" s="1332"/>
      <c r="AH35" s="282" t="str">
        <f t="shared" si="7"/>
        <v/>
      </c>
      <c r="AI35" s="282" t="str">
        <f t="shared" si="7"/>
        <v/>
      </c>
      <c r="AJ35" s="282" t="str">
        <f t="shared" si="7"/>
        <v/>
      </c>
      <c r="AK35" s="282" t="str">
        <f t="shared" si="7"/>
        <v/>
      </c>
      <c r="AL35" s="1440" t="s">
        <v>648</v>
      </c>
      <c r="AM35" s="1429" t="s">
        <v>649</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60"/>
      <c r="G36" s="2260"/>
      <c r="H36" s="16"/>
      <c r="I36" s="286" t="s">
        <v>650</v>
      </c>
      <c r="J36" s="1332"/>
      <c r="K36" s="319">
        <f t="shared" si="8"/>
        <v>0</v>
      </c>
      <c r="L36" s="331"/>
      <c r="M36" s="1332"/>
      <c r="N36" s="1332"/>
      <c r="O36" s="1332"/>
      <c r="P36" s="1332"/>
      <c r="Q36" s="1332"/>
      <c r="R36" s="1332"/>
      <c r="S36" s="1332"/>
      <c r="T36" s="1332"/>
      <c r="U36" s="313"/>
      <c r="V36" s="318"/>
      <c r="W36" s="318">
        <f t="shared" si="5"/>
        <v>0</v>
      </c>
      <c r="X36" s="318">
        <f t="shared" si="6"/>
        <v>0</v>
      </c>
      <c r="Y36" s="318"/>
      <c r="Z36" s="318"/>
      <c r="AA36" s="313"/>
      <c r="AB36" s="16"/>
      <c r="AC36" s="16"/>
      <c r="AD36" s="322"/>
      <c r="AE36" s="16"/>
      <c r="AF36" s="313"/>
      <c r="AG36" s="1332"/>
      <c r="AH36" s="282" t="str">
        <f t="shared" si="7"/>
        <v/>
      </c>
      <c r="AI36" s="282" t="str">
        <f t="shared" si="7"/>
        <v/>
      </c>
      <c r="AJ36" s="282" t="str">
        <f t="shared" si="7"/>
        <v/>
      </c>
      <c r="AK36" s="282" t="str">
        <f t="shared" si="7"/>
        <v/>
      </c>
      <c r="AL36" s="1440" t="s">
        <v>651</v>
      </c>
      <c r="AM36" s="1429" t="s">
        <v>652</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60"/>
      <c r="G37" s="2260"/>
      <c r="H37" s="16"/>
      <c r="I37" s="286" t="s">
        <v>653</v>
      </c>
      <c r="J37" s="1332"/>
      <c r="K37" s="319">
        <f t="shared" si="8"/>
        <v>0</v>
      </c>
      <c r="L37" s="331"/>
      <c r="M37" s="1332"/>
      <c r="N37" s="1332"/>
      <c r="O37" s="1332"/>
      <c r="P37" s="1332"/>
      <c r="Q37" s="1332"/>
      <c r="R37" s="1332"/>
      <c r="S37" s="1332"/>
      <c r="T37" s="1332"/>
      <c r="U37" s="313"/>
      <c r="V37" s="318"/>
      <c r="W37" s="318">
        <f t="shared" si="5"/>
        <v>0</v>
      </c>
      <c r="X37" s="318">
        <f t="shared" si="6"/>
        <v>0</v>
      </c>
      <c r="Y37" s="318"/>
      <c r="Z37" s="318"/>
      <c r="AA37" s="313"/>
      <c r="AB37" s="16"/>
      <c r="AC37" s="16"/>
      <c r="AD37" s="322"/>
      <c r="AE37" s="16"/>
      <c r="AF37" s="313"/>
      <c r="AG37" s="1332"/>
      <c r="AH37" s="282" t="str">
        <f t="shared" si="7"/>
        <v/>
      </c>
      <c r="AI37" s="282" t="str">
        <f t="shared" si="7"/>
        <v/>
      </c>
      <c r="AJ37" s="282" t="str">
        <f t="shared" si="7"/>
        <v/>
      </c>
      <c r="AK37" s="282" t="str">
        <f t="shared" si="7"/>
        <v/>
      </c>
      <c r="AL37" s="1440" t="s">
        <v>654</v>
      </c>
      <c r="AM37" s="1429" t="s">
        <v>655</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60"/>
      <c r="G38" s="2260"/>
      <c r="H38" s="16"/>
      <c r="I38" s="286" t="s">
        <v>656</v>
      </c>
      <c r="J38" s="1332"/>
      <c r="K38" s="319">
        <f t="shared" si="8"/>
        <v>0</v>
      </c>
      <c r="L38" s="331"/>
      <c r="M38" s="1332"/>
      <c r="N38" s="1332"/>
      <c r="O38" s="1332"/>
      <c r="P38" s="1332"/>
      <c r="Q38" s="1332"/>
      <c r="R38" s="1332"/>
      <c r="S38" s="1332"/>
      <c r="T38" s="1332"/>
      <c r="U38" s="1333"/>
      <c r="V38" s="318"/>
      <c r="W38" s="318">
        <f t="shared" si="5"/>
        <v>0</v>
      </c>
      <c r="X38" s="318">
        <f t="shared" si="6"/>
        <v>0</v>
      </c>
      <c r="Y38" s="318"/>
      <c r="Z38" s="318"/>
      <c r="AA38" s="1333"/>
      <c r="AB38" s="1332"/>
      <c r="AC38" s="1332"/>
      <c r="AD38" s="322"/>
      <c r="AE38" s="1332"/>
      <c r="AF38" s="1333"/>
      <c r="AG38" s="1332"/>
      <c r="AH38" s="282" t="str">
        <f t="shared" si="7"/>
        <v/>
      </c>
      <c r="AI38" s="282" t="str">
        <f t="shared" si="7"/>
        <v/>
      </c>
      <c r="AJ38" s="282" t="str">
        <f t="shared" si="7"/>
        <v/>
      </c>
      <c r="AK38" s="282" t="str">
        <f t="shared" si="7"/>
        <v/>
      </c>
      <c r="AL38" s="1440" t="s">
        <v>657</v>
      </c>
      <c r="AM38" s="1429" t="s">
        <v>658</v>
      </c>
    </row>
    <row r="39" spans="2:39" s="9" customFormat="1" ht="15">
      <c r="B39" s="1332"/>
      <c r="C39" s="1332"/>
      <c r="D39" s="1332"/>
      <c r="E39" s="1332"/>
      <c r="F39" s="1332"/>
      <c r="G39" s="1332"/>
      <c r="H39" s="1332"/>
      <c r="I39" s="1332"/>
      <c r="J39" s="1332"/>
      <c r="K39" s="1332"/>
      <c r="L39" s="1332"/>
      <c r="M39" s="1332"/>
      <c r="N39" s="1332"/>
      <c r="O39" s="1332"/>
      <c r="P39" s="1332"/>
      <c r="Q39" s="1332"/>
      <c r="R39" s="1332"/>
      <c r="S39" s="1332"/>
      <c r="T39" s="1332"/>
      <c r="U39" s="1333"/>
      <c r="V39" s="1333"/>
      <c r="W39" s="1333"/>
      <c r="X39" s="1333"/>
      <c r="Y39" s="1333"/>
      <c r="Z39" s="1333"/>
      <c r="AA39" s="1333"/>
      <c r="AB39" s="1333"/>
      <c r="AC39" s="1333"/>
      <c r="AD39" s="1333"/>
      <c r="AE39" s="1333"/>
      <c r="AF39" s="1333"/>
      <c r="AG39" s="1332"/>
      <c r="AH39" s="1332"/>
      <c r="AI39" s="1332"/>
      <c r="AJ39" s="1332"/>
      <c r="AK39" s="1332"/>
      <c r="AL39" s="1332"/>
      <c r="AM39" s="1332"/>
    </row>
    <row r="40" spans="2:39" s="9" customFormat="1" ht="15">
      <c r="B40" s="282" t="s">
        <v>659</v>
      </c>
      <c r="C40" s="341"/>
      <c r="D40" s="287" t="s">
        <v>321</v>
      </c>
      <c r="E40" s="287">
        <v>0</v>
      </c>
      <c r="F40" s="338"/>
      <c r="G40" s="2286">
        <f>IFERROR((COUNTIF($G$9:$G$38,"Yes")/(COUNTA($G$9:$G$38) - COUNTIF($G$9:$G$38,"-")))*100,"")</f>
        <v>68.421052631578945</v>
      </c>
      <c r="H40" s="1332"/>
      <c r="I40" s="286" t="s">
        <v>660</v>
      </c>
      <c r="J40" s="1332"/>
      <c r="K40" s="1332"/>
      <c r="L40" s="1332"/>
      <c r="M40" s="1332"/>
      <c r="N40" s="1332"/>
      <c r="O40" s="1332"/>
      <c r="P40" s="1332"/>
      <c r="Q40" s="1332"/>
      <c r="R40" s="1332"/>
      <c r="S40" s="1332"/>
      <c r="T40" s="1332"/>
      <c r="U40" s="1333"/>
      <c r="V40" s="1333"/>
      <c r="W40" s="1333"/>
      <c r="X40" s="1333"/>
      <c r="Y40" s="1333"/>
      <c r="Z40" s="1333"/>
      <c r="AA40" s="1333"/>
      <c r="AB40" s="1333"/>
      <c r="AC40" s="1333"/>
      <c r="AD40" s="1333"/>
      <c r="AE40" s="1333"/>
      <c r="AF40" s="1333"/>
      <c r="AG40" s="1332"/>
      <c r="AH40" s="282" t="str">
        <f>B40</f>
        <v>Non-financial performance commitments achieved</v>
      </c>
      <c r="AI40" s="341"/>
      <c r="AJ40" s="282" t="str">
        <f t="shared" ref="AJ40" si="9">D40</f>
        <v>%</v>
      </c>
      <c r="AK40" s="282"/>
      <c r="AL40" s="338"/>
      <c r="AM40" s="1441" t="s">
        <v>661</v>
      </c>
    </row>
    <row r="41" spans="2:39" s="9" customFormat="1" ht="15">
      <c r="B41" s="1332"/>
      <c r="C41" s="1332"/>
      <c r="D41" s="1332"/>
      <c r="E41" s="1332"/>
      <c r="F41" s="1332"/>
      <c r="G41" s="1332"/>
      <c r="H41" s="1332"/>
      <c r="I41" s="1332"/>
      <c r="J41" s="1332"/>
      <c r="K41" s="1332"/>
      <c r="L41" s="1332"/>
      <c r="M41" s="1332"/>
      <c r="N41" s="1332"/>
      <c r="O41" s="1332"/>
      <c r="P41" s="1332"/>
      <c r="Q41" s="1332"/>
      <c r="R41" s="1332"/>
      <c r="S41" s="1332"/>
      <c r="T41" s="1332"/>
      <c r="U41" s="1333"/>
      <c r="V41" s="1333"/>
      <c r="W41" s="1333"/>
      <c r="X41" s="1333"/>
      <c r="Y41" s="1333"/>
      <c r="Z41" s="1333"/>
      <c r="AA41" s="1333"/>
      <c r="AB41" s="1333"/>
      <c r="AC41" s="1333"/>
      <c r="AD41" s="1333"/>
      <c r="AE41" s="1333"/>
      <c r="AF41" s="1333"/>
      <c r="AG41" s="1332"/>
      <c r="AH41" s="1332"/>
      <c r="AI41" s="1332"/>
      <c r="AJ41" s="1332"/>
      <c r="AK41" s="1332"/>
      <c r="AL41" s="1332"/>
      <c r="AM41" s="1332"/>
    </row>
    <row r="42" spans="2:39" s="9" customFormat="1" ht="15">
      <c r="B42" s="270" t="s">
        <v>327</v>
      </c>
      <c r="C42" s="1332"/>
      <c r="D42" s="1332"/>
      <c r="E42" s="1332"/>
      <c r="F42" s="1332"/>
      <c r="G42" s="1332"/>
      <c r="H42" s="1332"/>
      <c r="I42" s="1332"/>
      <c r="J42" s="1332"/>
      <c r="K42" s="1332"/>
      <c r="L42" s="1332"/>
      <c r="M42" s="1332"/>
      <c r="N42" s="1332"/>
      <c r="O42" s="1332"/>
      <c r="P42" s="1332"/>
      <c r="Q42" s="1332"/>
      <c r="R42" s="1332"/>
      <c r="S42" s="1332"/>
      <c r="T42" s="1332"/>
      <c r="U42" s="1332"/>
      <c r="V42" s="1332"/>
      <c r="W42" s="1332"/>
      <c r="X42" s="1332"/>
      <c r="Y42" s="1332"/>
      <c r="Z42" s="1332"/>
      <c r="AA42" s="1332"/>
      <c r="AB42" s="1332"/>
      <c r="AC42" s="1332"/>
      <c r="AD42" s="1332"/>
      <c r="AE42" s="1332"/>
      <c r="AF42" s="1332"/>
      <c r="AG42" s="1332"/>
      <c r="AH42" s="1332"/>
      <c r="AI42" s="1332"/>
      <c r="AJ42" s="1332"/>
      <c r="AK42" s="1332"/>
      <c r="AL42" s="1332"/>
      <c r="AM42" s="1332"/>
    </row>
    <row r="43" spans="2:39" ht="15">
      <c r="K43" s="1332"/>
      <c r="L43" s="1332"/>
    </row>
    <row r="44" spans="2:39" ht="15">
      <c r="B44" s="1786" t="s">
        <v>328</v>
      </c>
      <c r="K44" s="1332"/>
      <c r="L44" s="1332"/>
    </row>
    <row r="45" spans="2:39" ht="15" thickBot="1">
      <c r="B45" s="363"/>
    </row>
    <row r="46" spans="2:39" ht="15" thickBot="1">
      <c r="B46" s="2154" t="s">
        <v>329</v>
      </c>
    </row>
    <row r="47" spans="2:39"/>
    <row r="48" spans="2:39">
      <c r="B48" s="1787" t="s">
        <v>330</v>
      </c>
    </row>
    <row r="49" spans="2:2"/>
    <row r="50" spans="2:2">
      <c r="B50" s="1788" t="s">
        <v>331</v>
      </c>
    </row>
    <row r="51" spans="2:2"/>
    <row r="52" spans="2:2" ht="15">
      <c r="B52" s="288" t="str">
        <f>'3A'!$B$53</f>
        <v>Please refer to RAG 4.13 -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2" priority="7" operator="equal">
      <formula>0</formula>
    </cfRule>
  </conditionalFormatting>
  <conditionalFormatting sqref="F16:F38 G40">
    <cfRule type="expression" dxfId="291" priority="43">
      <formula>INDIRECT("E" &amp; ROW()) = 5</formula>
    </cfRule>
    <cfRule type="expression" dxfId="290" priority="44">
      <formula>INDIRECT("E" &amp; ROW()) = 4</formula>
    </cfRule>
    <cfRule type="expression" dxfId="289" priority="45">
      <formula>INDIRECT("E" &amp; ROW()) = 3</formula>
    </cfRule>
    <cfRule type="expression" dxfId="288" priority="46">
      <formula>INDIRECT("E" &amp; ROW()) = 2</formula>
    </cfRule>
    <cfRule type="expression" dxfId="287" priority="47">
      <formula>INDIRECT("E" &amp; ROW()) = 1</formula>
    </cfRule>
    <cfRule type="expression" dxfId="286" priority="48">
      <formula>INDIRECT("E" &amp; ROW()) = 0</formula>
    </cfRule>
  </conditionalFormatting>
  <conditionalFormatting sqref="K9:L13">
    <cfRule type="cellIs" dxfId="285" priority="17" operator="equal">
      <formula>0</formula>
    </cfRule>
  </conditionalFormatting>
  <conditionalFormatting sqref="K16:L38">
    <cfRule type="cellIs" dxfId="284" priority="9" operator="equal">
      <formula>0</formula>
    </cfRule>
  </conditionalFormatting>
  <conditionalFormatting sqref="AL16:AL38 AL40">
    <cfRule type="expression" dxfId="283" priority="1">
      <formula>INDIRECT("E" &amp; ROW()) = 5</formula>
    </cfRule>
    <cfRule type="expression" dxfId="282" priority="2">
      <formula>INDIRECT("E" &amp; ROW()) = 4</formula>
    </cfRule>
    <cfRule type="expression" dxfId="281" priority="3">
      <formula>INDIRECT("E" &amp; ROW()) = 3</formula>
    </cfRule>
    <cfRule type="expression" dxfId="280" priority="4">
      <formula>INDIRECT("E" &amp; ROW()) = 2</formula>
    </cfRule>
    <cfRule type="expression" dxfId="279" priority="5">
      <formula>INDIRECT("E" &amp; ROW()) = 1</formula>
    </cfRule>
    <cfRule type="expression" dxfId="278"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35" zoomScale="80" zoomScaleNormal="80" zoomScaleSheetLayoutView="100" workbookViewId="0">
      <selection activeCell="C40" sqref="C40:J46"/>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62</v>
      </c>
      <c r="C1" s="2386"/>
      <c r="D1" s="2387"/>
      <c r="E1" s="2387"/>
      <c r="F1" s="6"/>
      <c r="G1" s="6"/>
      <c r="S1" s="1912"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63</v>
      </c>
      <c r="C3" s="289"/>
      <c r="D3" s="289"/>
      <c r="E3" s="289"/>
      <c r="F3" s="289"/>
      <c r="G3" s="289"/>
      <c r="H3" s="289"/>
      <c r="I3" s="289"/>
      <c r="J3" s="289"/>
      <c r="K3" s="289"/>
      <c r="L3" s="289"/>
      <c r="M3" s="289"/>
      <c r="N3" s="289"/>
      <c r="O3" s="299"/>
      <c r="P3" s="301" t="str">
        <f>'Validation summary'!$B$3</f>
        <v>Anglian Water</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2"/>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2"/>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2"/>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2"/>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2"/>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2"/>
      <c r="AQ8" s="1442"/>
      <c r="AR8" s="1443"/>
      <c r="AS8" s="1443"/>
      <c r="AT8" s="1443"/>
      <c r="AU8" s="1443"/>
      <c r="AV8" s="1443"/>
      <c r="AW8" s="276"/>
      <c r="AX8" s="276"/>
      <c r="AY8" s="276"/>
      <c r="AZ8" s="1332"/>
      <c r="BA8" s="1332"/>
      <c r="BB8" s="1332"/>
      <c r="BC8" s="1332"/>
    </row>
    <row r="9" spans="2:55" s="21" customFormat="1" ht="29.25" customHeight="1">
      <c r="B9" s="302" t="s">
        <v>668</v>
      </c>
      <c r="C9" s="302" t="s">
        <v>669</v>
      </c>
      <c r="D9" s="365" t="s">
        <v>670</v>
      </c>
      <c r="E9" s="2150">
        <f>$E$11</f>
        <v>39604.300000000003</v>
      </c>
      <c r="F9" s="2151">
        <v>3842</v>
      </c>
      <c r="G9" s="2152">
        <f>(F9 / E9) * 1000</f>
        <v>97.009668142095677</v>
      </c>
      <c r="H9" s="344"/>
      <c r="I9" s="344"/>
      <c r="J9" s="344"/>
      <c r="K9" s="344"/>
      <c r="L9" s="344"/>
      <c r="N9" s="26"/>
      <c r="P9" s="286" t="s">
        <v>671</v>
      </c>
      <c r="R9" s="319">
        <f>IF(SUM($V9:$X9)=0,0,$V$6)</f>
        <v>0</v>
      </c>
      <c r="S9" s="331">
        <f>IF(SUM($AF9:$AH9)=0,0,$AF$6)</f>
        <v>0</v>
      </c>
      <c r="T9" s="252"/>
      <c r="U9" s="1333"/>
      <c r="V9" s="318"/>
      <c r="W9" s="318">
        <f>IF(ISBLANK($F9)=TRUE,1,0)</f>
        <v>0</v>
      </c>
      <c r="X9" s="318"/>
      <c r="Y9" s="318"/>
      <c r="Z9" s="318"/>
      <c r="AA9" s="318"/>
      <c r="AB9" s="318"/>
      <c r="AC9" s="318"/>
      <c r="AD9" s="318"/>
      <c r="AE9" s="1333"/>
      <c r="AF9" s="322">
        <f>IF($E9&lt;0,1,0)</f>
        <v>0</v>
      </c>
      <c r="AG9" s="322">
        <f>IF($F9&lt;0,1,0)</f>
        <v>0</v>
      </c>
      <c r="AH9" s="322"/>
      <c r="AI9" s="318"/>
      <c r="AJ9" s="322"/>
      <c r="AK9" s="322"/>
      <c r="AL9" s="322"/>
      <c r="AM9" s="322"/>
      <c r="AN9" s="322"/>
      <c r="AO9" s="1333"/>
      <c r="AQ9" s="302" t="str">
        <f>B9</f>
        <v>Mains repairs - Reactive</v>
      </c>
      <c r="AR9" s="302" t="str">
        <f t="shared" ref="AR9:AS12" si="0">C9</f>
        <v>Mains repairs per 1000 km</v>
      </c>
      <c r="AS9" s="302" t="str">
        <f t="shared" si="0"/>
        <v>Mains length in km</v>
      </c>
      <c r="AT9" s="1486"/>
      <c r="AU9" s="1444" t="s">
        <v>672</v>
      </c>
      <c r="AV9" s="1487" t="s">
        <v>673</v>
      </c>
      <c r="AW9" s="344"/>
      <c r="AX9" s="2338"/>
      <c r="AY9" s="2338"/>
      <c r="AZ9" s="2338"/>
    </row>
    <row r="10" spans="2:55" s="21" customFormat="1" ht="29.25" customHeight="1" thickBot="1">
      <c r="B10" s="302" t="s">
        <v>674</v>
      </c>
      <c r="C10" s="302" t="s">
        <v>669</v>
      </c>
      <c r="D10" s="365" t="s">
        <v>670</v>
      </c>
      <c r="E10" s="2156">
        <f>$E$11</f>
        <v>39604.300000000003</v>
      </c>
      <c r="F10" s="2151">
        <v>1440</v>
      </c>
      <c r="G10" s="1793">
        <f>(F10 / E10) * 1000</f>
        <v>36.35968821567355</v>
      </c>
      <c r="H10" s="345"/>
      <c r="I10" s="345"/>
      <c r="J10" s="345"/>
      <c r="K10" s="345"/>
      <c r="L10" s="345"/>
      <c r="N10" s="26"/>
      <c r="P10" s="286" t="s">
        <v>675</v>
      </c>
      <c r="R10" s="319">
        <f>IF(SUM($V10:$X10)=0,0,$V$6)</f>
        <v>0</v>
      </c>
      <c r="S10" s="331">
        <f>IF(SUM($AF10:$AH10)=0,0,$AF$6)</f>
        <v>0</v>
      </c>
      <c r="T10" s="252"/>
      <c r="U10" s="1333"/>
      <c r="V10" s="318"/>
      <c r="W10" s="318">
        <f t="shared" ref="W10:W12" si="1">IF(ISBLANK($F10)=TRUE,1,0)</f>
        <v>0</v>
      </c>
      <c r="X10" s="318"/>
      <c r="Y10" s="318"/>
      <c r="Z10" s="318"/>
      <c r="AA10" s="318"/>
      <c r="AB10" s="318"/>
      <c r="AC10" s="318"/>
      <c r="AD10" s="318"/>
      <c r="AE10" s="1333"/>
      <c r="AF10" s="322">
        <f t="shared" ref="AF10:AF12" si="2">IF($E10&lt;0,1,0)</f>
        <v>0</v>
      </c>
      <c r="AG10" s="322">
        <f t="shared" ref="AG10:AG12" si="3">IF($F10&lt;0,1,0)</f>
        <v>0</v>
      </c>
      <c r="AH10" s="322"/>
      <c r="AI10" s="318"/>
      <c r="AJ10" s="322"/>
      <c r="AK10" s="322"/>
      <c r="AL10" s="322"/>
      <c r="AM10" s="322"/>
      <c r="AN10" s="322"/>
      <c r="AO10" s="1333"/>
      <c r="AQ10" s="302" t="str">
        <f t="shared" ref="AQ10:AQ12" si="4">B10</f>
        <v>Mains repairs - Proactive</v>
      </c>
      <c r="AR10" s="302" t="str">
        <f t="shared" si="0"/>
        <v>Mains repairs per 1000 km</v>
      </c>
      <c r="AS10" s="302" t="str">
        <f t="shared" si="0"/>
        <v>Mains length in km</v>
      </c>
      <c r="AT10" s="1486"/>
      <c r="AU10" s="1444" t="s">
        <v>676</v>
      </c>
      <c r="AV10" s="1437" t="s">
        <v>677</v>
      </c>
      <c r="AW10" s="345"/>
      <c r="AX10" s="2338"/>
      <c r="AY10" s="2338"/>
      <c r="AZ10" s="2338"/>
    </row>
    <row r="11" spans="2:55" s="21" customFormat="1" ht="29.25" customHeight="1" thickBot="1">
      <c r="B11" s="302" t="s">
        <v>203</v>
      </c>
      <c r="C11" s="302" t="s">
        <v>669</v>
      </c>
      <c r="D11" s="365" t="s">
        <v>670</v>
      </c>
      <c r="E11" s="2158">
        <v>39604.300000000003</v>
      </c>
      <c r="F11" s="2153">
        <f>SUM(F9:F10)</f>
        <v>5282</v>
      </c>
      <c r="G11" s="1793">
        <f>(F11 / E11) * 1000</f>
        <v>133.36935635776922</v>
      </c>
      <c r="H11" s="345"/>
      <c r="I11" s="345"/>
      <c r="J11" s="345"/>
      <c r="K11" s="345"/>
      <c r="L11" s="345"/>
      <c r="N11" s="26"/>
      <c r="P11" s="286" t="s">
        <v>678</v>
      </c>
      <c r="R11" s="319">
        <f>IF(SUM($V11:$X11)=0,0,$V$6)</f>
        <v>0</v>
      </c>
      <c r="S11" s="331">
        <f>IF(SUM($AF11:$AH11)=0,0,$AF$6)</f>
        <v>0</v>
      </c>
      <c r="T11" s="252"/>
      <c r="U11" s="1333"/>
      <c r="V11" s="318">
        <f t="shared" ref="V11:V12" si="5">IF(ISBLANK($E11)=TRUE,1,0)</f>
        <v>0</v>
      </c>
      <c r="W11" s="318"/>
      <c r="X11" s="318"/>
      <c r="Y11" s="318"/>
      <c r="Z11" s="318"/>
      <c r="AA11" s="318"/>
      <c r="AB11" s="318"/>
      <c r="AC11" s="318"/>
      <c r="AD11" s="318"/>
      <c r="AE11" s="1333"/>
      <c r="AF11" s="322">
        <f t="shared" si="2"/>
        <v>0</v>
      </c>
      <c r="AG11" s="322"/>
      <c r="AH11" s="322"/>
      <c r="AI11" s="318"/>
      <c r="AJ11" s="322"/>
      <c r="AK11" s="322"/>
      <c r="AL11" s="322"/>
      <c r="AM11" s="322"/>
      <c r="AN11" s="322"/>
      <c r="AO11" s="1333"/>
      <c r="AQ11" s="302" t="str">
        <f t="shared" si="4"/>
        <v>Mains repairs</v>
      </c>
      <c r="AR11" s="302" t="str">
        <f t="shared" si="0"/>
        <v>Mains repairs per 1000 km</v>
      </c>
      <c r="AS11" s="302" t="str">
        <f t="shared" si="0"/>
        <v>Mains length in km</v>
      </c>
      <c r="AT11" s="1484"/>
      <c r="AU11" s="1488" t="s">
        <v>679</v>
      </c>
      <c r="AV11" s="1437" t="s">
        <v>205</v>
      </c>
      <c r="AW11" s="345"/>
      <c r="AX11" s="2338"/>
      <c r="AY11" s="2338"/>
      <c r="AZ11" s="2338"/>
    </row>
    <row r="12" spans="2:55" s="21" customFormat="1" ht="53.25" customHeight="1">
      <c r="B12" s="302" t="s">
        <v>680</v>
      </c>
      <c r="C12" s="302" t="s">
        <v>681</v>
      </c>
      <c r="D12" s="1281" t="s">
        <v>682</v>
      </c>
      <c r="E12" s="2157">
        <v>5066.7520000000004</v>
      </c>
      <c r="F12" s="2151">
        <v>639.22</v>
      </c>
      <c r="G12" s="1793">
        <f>ROUND((F12 / E12)*1000,1)</f>
        <v>126.2</v>
      </c>
      <c r="H12" s="348"/>
      <c r="I12" s="348"/>
      <c r="J12" s="348"/>
      <c r="K12" s="348"/>
      <c r="L12" s="348"/>
      <c r="N12" s="26"/>
      <c r="P12" s="286" t="s">
        <v>683</v>
      </c>
      <c r="R12" s="319">
        <f>IF(SUM($V12:$X12)=0,0,$V$6)</f>
        <v>0</v>
      </c>
      <c r="S12" s="331">
        <f>IF(SUM($AF12:$AH12)=0,0,$AF$6)</f>
        <v>0</v>
      </c>
      <c r="U12" s="1333"/>
      <c r="V12" s="318">
        <f t="shared" si="5"/>
        <v>0</v>
      </c>
      <c r="W12" s="318">
        <f t="shared" si="1"/>
        <v>0</v>
      </c>
      <c r="X12" s="318"/>
      <c r="Y12" s="318"/>
      <c r="Z12" s="318"/>
      <c r="AA12" s="318"/>
      <c r="AB12" s="318"/>
      <c r="AC12" s="318"/>
      <c r="AD12" s="318"/>
      <c r="AE12" s="1333"/>
      <c r="AF12" s="322">
        <f t="shared" si="2"/>
        <v>0</v>
      </c>
      <c r="AG12" s="322">
        <f t="shared" si="3"/>
        <v>0</v>
      </c>
      <c r="AH12" s="322"/>
      <c r="AI12" s="318"/>
      <c r="AJ12" s="322"/>
      <c r="AK12" s="322"/>
      <c r="AL12" s="322"/>
      <c r="AM12" s="322"/>
      <c r="AN12" s="322"/>
      <c r="AO12" s="1333"/>
      <c r="AQ12" s="302" t="str">
        <f t="shared" si="4"/>
        <v>Per capita consumption (PCC)</v>
      </c>
      <c r="AR12" s="302" t="str">
        <f t="shared" si="0"/>
        <v>lpd</v>
      </c>
      <c r="AS12" s="302" t="str">
        <f t="shared" si="0"/>
        <v>Total household population (000s) and household consumption (Ml/d)</v>
      </c>
      <c r="AT12" s="1484" t="s">
        <v>684</v>
      </c>
      <c r="AU12" s="1444" t="s">
        <v>685</v>
      </c>
      <c r="AV12" s="1437" t="s">
        <v>686</v>
      </c>
      <c r="AW12" s="348"/>
      <c r="AX12" s="2338"/>
      <c r="AY12" s="2338"/>
      <c r="AZ12" s="2338"/>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2"/>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3"/>
      <c r="C16" s="23"/>
      <c r="D16" s="23"/>
      <c r="E16" s="23"/>
      <c r="F16" s="23"/>
      <c r="G16" s="23"/>
      <c r="H16" s="23"/>
      <c r="I16" s="23"/>
      <c r="J16" s="23"/>
      <c r="K16" s="23"/>
      <c r="L16" s="23"/>
      <c r="M16" s="23"/>
      <c r="N16" s="23"/>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2"/>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3"/>
      <c r="D17" s="23"/>
      <c r="E17" s="23"/>
      <c r="F17" s="23"/>
      <c r="G17" s="23"/>
      <c r="H17" s="347"/>
      <c r="I17" s="347"/>
      <c r="J17" s="347"/>
      <c r="K17" s="347"/>
      <c r="L17" s="347"/>
      <c r="M17" s="23"/>
      <c r="N17" s="23"/>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2"/>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208">
        <v>191.3</v>
      </c>
      <c r="E18" s="2208">
        <v>199.9</v>
      </c>
      <c r="F18" s="2208">
        <v>191</v>
      </c>
      <c r="G18" s="1795">
        <f>IFERROR(ROUND(AVERAGE(D18:F18),1),"")</f>
        <v>194.1</v>
      </c>
      <c r="H18" s="1794">
        <v>182.4</v>
      </c>
      <c r="I18" s="1794">
        <v>173.4</v>
      </c>
      <c r="J18" s="2295">
        <v>190.5</v>
      </c>
      <c r="K18" s="2296">
        <v>182.1</v>
      </c>
      <c r="L18" s="2299">
        <v>187</v>
      </c>
      <c r="M18" s="1911">
        <f>IFERROR(ROUND(AVERAGE($J18:$L18),1),"")</f>
        <v>186.5</v>
      </c>
      <c r="N18" s="1796">
        <f>IFERROR((1-M18/G18)*100,"")</f>
        <v>3.9155074703760895</v>
      </c>
      <c r="P18" s="286" t="s">
        <v>707</v>
      </c>
      <c r="R18" s="319">
        <f>IF(SUM($V18:$AD18)=0,0,$V$6)</f>
        <v>0</v>
      </c>
      <c r="S18" s="331">
        <f>IF(SUM($AF18:$AN18)=0,0,$AF$6)</f>
        <v>0</v>
      </c>
      <c r="T18" s="252"/>
      <c r="U18" s="1333"/>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Q18" s="302" t="str">
        <f t="shared" ref="AQ18:AR18" si="6">B18</f>
        <v>Leakage</v>
      </c>
      <c r="AR18" s="302" t="str">
        <f t="shared" si="6"/>
        <v>Ml/d</v>
      </c>
      <c r="AS18" s="1480"/>
      <c r="AT18" s="1480"/>
      <c r="AU18" s="1480"/>
      <c r="AV18" s="1481" t="s">
        <v>708</v>
      </c>
      <c r="AW18" s="1482"/>
      <c r="AX18" s="1483"/>
      <c r="AY18" s="1482"/>
      <c r="AZ18" s="1482"/>
      <c r="BA18" s="296" t="s">
        <v>709</v>
      </c>
      <c r="BB18" s="1481" t="s">
        <v>710</v>
      </c>
      <c r="BC18" s="1481" t="s">
        <v>186</v>
      </c>
      <c r="BE18" s="2339"/>
      <c r="BG18" s="2339"/>
      <c r="BH18" s="2339"/>
      <c r="BI18" s="2339"/>
    </row>
    <row r="19" spans="2:61" s="21" customFormat="1" ht="25.5" customHeight="1">
      <c r="B19" s="302" t="s">
        <v>680</v>
      </c>
      <c r="C19" s="302" t="s">
        <v>681</v>
      </c>
      <c r="D19" s="2208">
        <v>134.80000000000001</v>
      </c>
      <c r="E19" s="2208">
        <v>136.9</v>
      </c>
      <c r="F19" s="2208">
        <v>133.30000000000001</v>
      </c>
      <c r="G19" s="1795">
        <f>IFERROR(ROUND(AVERAGE(D19:F19),1),"")</f>
        <v>135</v>
      </c>
      <c r="H19" s="1794">
        <v>146.9</v>
      </c>
      <c r="I19" s="1794">
        <v>136</v>
      </c>
      <c r="J19" s="2297">
        <v>132.30000000000001</v>
      </c>
      <c r="K19" s="2298">
        <v>127.6</v>
      </c>
      <c r="L19" s="2159">
        <f>$G$12</f>
        <v>126.2</v>
      </c>
      <c r="M19" s="1911">
        <f>IFERROR(ROUND(AVERAGE($J19:$L19),1),"")</f>
        <v>128.69999999999999</v>
      </c>
      <c r="N19" s="1796">
        <f>IFERROR((1-M19/G19)*100,"")</f>
        <v>4.666666666666675</v>
      </c>
      <c r="P19" s="286" t="s">
        <v>711</v>
      </c>
      <c r="R19" s="319">
        <f>IF(SUM($V19:$AD19)=0,0,$V$6)</f>
        <v>0</v>
      </c>
      <c r="S19" s="331">
        <f>IF(SUM($AF19:$AN19)=0,0,$AF$6)</f>
        <v>0</v>
      </c>
      <c r="U19" s="1333"/>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Q19" s="302" t="str">
        <f>B19</f>
        <v>Per capita consumption (PCC)</v>
      </c>
      <c r="AR19" s="302" t="str">
        <f>C19</f>
        <v>lpd</v>
      </c>
      <c r="AS19" s="1483"/>
      <c r="AT19" s="1483"/>
      <c r="AU19" s="1483"/>
      <c r="AV19" s="1481" t="s">
        <v>712</v>
      </c>
      <c r="AW19" s="1482"/>
      <c r="AX19" s="1483"/>
      <c r="AY19" s="1482"/>
      <c r="AZ19" s="1482"/>
      <c r="BA19" s="296" t="s">
        <v>686</v>
      </c>
      <c r="BB19" s="1481" t="s">
        <v>713</v>
      </c>
      <c r="BC19" s="1481" t="s">
        <v>195</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2"/>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360"/>
      <c r="J22" s="279"/>
      <c r="K22" s="1910"/>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2"/>
      <c r="AQ22" s="2356" t="s">
        <v>153</v>
      </c>
      <c r="AR22" s="2355" t="s">
        <v>155</v>
      </c>
      <c r="AS22" s="2355" t="s">
        <v>662</v>
      </c>
      <c r="AT22" s="2355" t="s">
        <v>714</v>
      </c>
      <c r="AU22" s="2355" t="s">
        <v>715</v>
      </c>
      <c r="AV22" s="2355" t="s">
        <v>716</v>
      </c>
      <c r="AW22" s="2355" t="s">
        <v>717</v>
      </c>
      <c r="AX22" s="1332"/>
      <c r="AY22" s="1332"/>
      <c r="AZ22" s="1332"/>
      <c r="BA22" s="1332"/>
      <c r="BB22" s="1332"/>
      <c r="BC22" s="1332"/>
      <c r="BD22" s="1332"/>
      <c r="BE22" s="1332"/>
      <c r="BF22" s="1332"/>
      <c r="BG22" s="1332"/>
      <c r="BH22" s="1332"/>
      <c r="BI22" s="1332"/>
    </row>
    <row r="23" spans="2:61" s="9" customFormat="1" ht="15.75">
      <c r="B23" s="23"/>
      <c r="C23" s="23"/>
      <c r="D23" s="23"/>
      <c r="E23" s="23"/>
      <c r="F23" s="23"/>
      <c r="G23" s="23"/>
      <c r="H23" s="23"/>
      <c r="I23" s="23"/>
      <c r="J23" s="23"/>
      <c r="K23" s="23"/>
      <c r="L23" s="23"/>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2"/>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6.350000000000001" customHeight="1" thickBot="1">
      <c r="B24" s="303" t="s">
        <v>179</v>
      </c>
      <c r="C24" s="23"/>
      <c r="D24" s="23"/>
      <c r="E24" s="23"/>
      <c r="F24" s="23"/>
      <c r="G24" s="23"/>
      <c r="H24" s="23"/>
      <c r="I24" s="23"/>
      <c r="J24" s="23"/>
      <c r="K24" s="23"/>
      <c r="L24" s="23"/>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2"/>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thickBot="1">
      <c r="B25" s="302" t="s">
        <v>718</v>
      </c>
      <c r="C25" s="302" t="s">
        <v>719</v>
      </c>
      <c r="D25" s="365" t="s">
        <v>720</v>
      </c>
      <c r="E25" s="2163">
        <v>2328.3470000000002</v>
      </c>
      <c r="F25" s="2160">
        <v>11082.08056</v>
      </c>
      <c r="G25" s="2161">
        <v>46503</v>
      </c>
      <c r="H25" s="2162">
        <f>F25 / (E25*1000)</f>
        <v>4.7596344359324451E-3</v>
      </c>
      <c r="I25" s="356"/>
      <c r="J25" s="356"/>
      <c r="K25" s="356"/>
      <c r="L25" s="356"/>
      <c r="M25" s="342"/>
      <c r="N25" s="26"/>
      <c r="P25" s="286" t="s">
        <v>721</v>
      </c>
      <c r="R25" s="319">
        <f>IF(SUM($V25:$X25)=0,0,$V$6)</f>
        <v>0</v>
      </c>
      <c r="S25" s="331">
        <f>IF(SUM($AF25:$AH25)=0,0,$AF$6)</f>
        <v>0</v>
      </c>
      <c r="T25" s="252"/>
      <c r="U25" s="1333"/>
      <c r="V25" s="318">
        <f>IF(ISBLANK($E25)=TRUE,1,0)</f>
        <v>0</v>
      </c>
      <c r="W25" s="318">
        <f>IF(ISBLANK($F25)=TRUE,1,0)</f>
        <v>0</v>
      </c>
      <c r="X25" s="318">
        <f>IF(ISBLANK($G25)=TRUE,1,0)</f>
        <v>0</v>
      </c>
      <c r="Y25" s="318"/>
      <c r="Z25" s="318"/>
      <c r="AA25" s="318"/>
      <c r="AB25" s="318"/>
      <c r="AC25" s="318"/>
      <c r="AD25" s="318"/>
      <c r="AE25" s="1333"/>
      <c r="AF25" s="322">
        <f>IF($E25&lt;0,1,0)</f>
        <v>0</v>
      </c>
      <c r="AG25" s="322">
        <f>IF($F25&lt;0,1,0)</f>
        <v>0</v>
      </c>
      <c r="AH25" s="322">
        <f>IF($G25&lt;0,1,0)</f>
        <v>0</v>
      </c>
      <c r="AI25" s="322"/>
      <c r="AJ25" s="322"/>
      <c r="AK25" s="322"/>
      <c r="AL25" s="322"/>
      <c r="AM25" s="322"/>
      <c r="AN25" s="322"/>
      <c r="AO25" s="1333"/>
      <c r="AQ25" s="302" t="str">
        <f t="shared" ref="AQ25:AS25" si="7">B25</f>
        <v>Water supply interruptions
≥ 3 hours</v>
      </c>
      <c r="AR25" s="302" t="str">
        <f t="shared" si="7"/>
        <v>Average number of minutes lost per property per year</v>
      </c>
      <c r="AS25" s="302" t="str">
        <f t="shared" si="7"/>
        <v>Number of properties (thousands)</v>
      </c>
      <c r="AT25" s="1484"/>
      <c r="AU25" s="1485" t="s">
        <v>722</v>
      </c>
      <c r="AV25" s="1444" t="s">
        <v>723</v>
      </c>
      <c r="AW25" s="1445" t="s">
        <v>181</v>
      </c>
      <c r="AY25" s="2339"/>
      <c r="AZ25" s="2339"/>
      <c r="BA25" s="2339"/>
    </row>
    <row r="26" spans="2:61" s="9" customFormat="1" ht="16.350000000000001" customHeight="1">
      <c r="B26" s="1332"/>
      <c r="C26" s="1329"/>
      <c r="D26" s="1337"/>
      <c r="E26" s="1332"/>
      <c r="F26" s="1338"/>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2"/>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303" t="s">
        <v>179</v>
      </c>
      <c r="C27" s="23"/>
      <c r="D27" s="23"/>
      <c r="E27" s="23"/>
      <c r="F27" s="23"/>
      <c r="G27" s="23"/>
      <c r="H27" s="23"/>
      <c r="I27" s="23"/>
      <c r="J27" s="23"/>
      <c r="K27" s="23"/>
      <c r="L27" s="23"/>
      <c r="M27" s="23"/>
      <c r="N27" s="23"/>
      <c r="O27" s="1332"/>
      <c r="P27" s="1332"/>
      <c r="Q27" s="1332"/>
      <c r="R27" s="1332"/>
      <c r="S27" s="1332"/>
      <c r="T27" s="1332"/>
      <c r="U27" s="1333"/>
      <c r="V27" s="317">
        <v>16</v>
      </c>
      <c r="W27" s="317">
        <v>17</v>
      </c>
      <c r="X27" s="317">
        <v>18</v>
      </c>
      <c r="Y27" s="317">
        <v>19</v>
      </c>
      <c r="Z27" s="317"/>
      <c r="AA27" s="317"/>
      <c r="AB27" s="317"/>
      <c r="AC27" s="317"/>
      <c r="AD27" s="317"/>
      <c r="AE27" s="1333"/>
      <c r="AF27" s="317">
        <v>16</v>
      </c>
      <c r="AG27" s="317">
        <v>17</v>
      </c>
      <c r="AH27" s="317">
        <v>18</v>
      </c>
      <c r="AI27" s="317">
        <v>19</v>
      </c>
      <c r="AJ27" s="317"/>
      <c r="AK27" s="317"/>
      <c r="AL27" s="317"/>
      <c r="AM27" s="317"/>
      <c r="AN27" s="317"/>
      <c r="AO27" s="1333"/>
      <c r="AP27" s="1332"/>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58.5" customHeight="1">
      <c r="B28" s="302" t="s">
        <v>724</v>
      </c>
      <c r="C28" s="302" t="s">
        <v>719</v>
      </c>
      <c r="D28" s="365" t="s">
        <v>720</v>
      </c>
      <c r="E28" s="2169">
        <f>$E$25</f>
        <v>2328.3470000000002</v>
      </c>
      <c r="F28" s="2160">
        <v>5784.9354169999997</v>
      </c>
      <c r="G28" s="2161">
        <v>15020</v>
      </c>
      <c r="H28" s="2162">
        <f>F28 / (E28*1000)</f>
        <v>2.484567556725866E-3</v>
      </c>
      <c r="I28" s="356"/>
      <c r="J28" s="356"/>
      <c r="K28" s="356"/>
      <c r="L28" s="356"/>
      <c r="M28" s="342"/>
      <c r="N28" s="26"/>
      <c r="O28" s="21"/>
      <c r="P28" s="286" t="s">
        <v>725</v>
      </c>
      <c r="Q28" s="21"/>
      <c r="R28" s="319">
        <f>IF(SUM($V28:$X28)=0,0,$V$6)</f>
        <v>0</v>
      </c>
      <c r="S28" s="331">
        <f>IF(SUM($AF28:$AH28)=0,0,$AF$6)</f>
        <v>0</v>
      </c>
      <c r="T28" s="252"/>
      <c r="U28" s="1333"/>
      <c r="V28" s="318">
        <f>IF(ISBLANK($E28)=TRUE,1,0)</f>
        <v>0</v>
      </c>
      <c r="W28" s="318">
        <f>IF(ISBLANK($F28)=TRUE,1,0)</f>
        <v>0</v>
      </c>
      <c r="X28" s="318">
        <f>IF(ISBLANK($G28)=TRUE,1,0)</f>
        <v>0</v>
      </c>
      <c r="Y28" s="318"/>
      <c r="Z28" s="318"/>
      <c r="AA28" s="318"/>
      <c r="AB28" s="318"/>
      <c r="AC28" s="318"/>
      <c r="AD28" s="318"/>
      <c r="AE28" s="1333"/>
      <c r="AF28" s="322">
        <f>IF($E28&lt;0,1,0)</f>
        <v>0</v>
      </c>
      <c r="AG28" s="322">
        <f>IF($F28&lt;0,1,0)</f>
        <v>0</v>
      </c>
      <c r="AH28" s="322">
        <f>IF($G28&lt;0,1,0)</f>
        <v>0</v>
      </c>
      <c r="AI28" s="322"/>
      <c r="AJ28" s="322"/>
      <c r="AK28" s="322"/>
      <c r="AL28" s="322"/>
      <c r="AM28" s="322"/>
      <c r="AN28" s="322"/>
      <c r="AO28" s="1333"/>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84"/>
      <c r="AU28" s="1485" t="s">
        <v>726</v>
      </c>
      <c r="AV28" s="1444" t="s">
        <v>727</v>
      </c>
      <c r="AW28" s="1445" t="s">
        <v>728</v>
      </c>
      <c r="AX28" s="1332"/>
      <c r="AY28" s="1332"/>
      <c r="AZ28" s="1332"/>
      <c r="BA28" s="1332"/>
      <c r="BB28" s="1332"/>
      <c r="BC28" s="1332"/>
      <c r="BD28" s="1332"/>
      <c r="BE28" s="1332"/>
      <c r="BF28" s="1332"/>
      <c r="BG28" s="1332"/>
      <c r="BH28" s="1332"/>
      <c r="BI28" s="1332"/>
    </row>
    <row r="29" spans="2:61" s="9" customFormat="1" ht="16.350000000000001" customHeight="1">
      <c r="B29" s="1332"/>
      <c r="C29" s="1329"/>
      <c r="D29" s="1337"/>
      <c r="E29" s="1332"/>
      <c r="F29" s="1338"/>
      <c r="G29" s="1332"/>
      <c r="H29" s="1339"/>
      <c r="I29" s="1339"/>
      <c r="J29" s="1339"/>
      <c r="K29" s="1339"/>
      <c r="L29" s="1339"/>
      <c r="M29" s="1332"/>
      <c r="N29" s="1329"/>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2"/>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16.350000000000001" customHeight="1">
      <c r="B30" s="303" t="s">
        <v>179</v>
      </c>
      <c r="C30" s="23"/>
      <c r="D30" s="23"/>
      <c r="E30" s="23"/>
      <c r="F30" s="23"/>
      <c r="G30" s="23"/>
      <c r="H30" s="23"/>
      <c r="I30" s="23"/>
      <c r="J30" s="23"/>
      <c r="K30" s="23"/>
      <c r="L30" s="23"/>
      <c r="M30" s="23"/>
      <c r="N30" s="23"/>
      <c r="O30" s="1332"/>
      <c r="P30" s="1332"/>
      <c r="Q30" s="1332"/>
      <c r="R30" s="1332"/>
      <c r="S30" s="1332"/>
      <c r="T30" s="1332"/>
      <c r="U30" s="1333"/>
      <c r="V30" s="317">
        <v>16</v>
      </c>
      <c r="W30" s="317">
        <v>17</v>
      </c>
      <c r="X30" s="317">
        <v>18</v>
      </c>
      <c r="Y30" s="317">
        <v>19</v>
      </c>
      <c r="Z30" s="317"/>
      <c r="AA30" s="317"/>
      <c r="AB30" s="317"/>
      <c r="AC30" s="317"/>
      <c r="AD30" s="317"/>
      <c r="AE30" s="1333"/>
      <c r="AF30" s="317">
        <v>16</v>
      </c>
      <c r="AG30" s="317">
        <v>17</v>
      </c>
      <c r="AH30" s="317">
        <v>18</v>
      </c>
      <c r="AI30" s="317">
        <v>19</v>
      </c>
      <c r="AJ30" s="317"/>
      <c r="AK30" s="317"/>
      <c r="AL30" s="317"/>
      <c r="AM30" s="317"/>
      <c r="AN30" s="317"/>
      <c r="AO30" s="1333"/>
      <c r="AP30" s="1332"/>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9" customFormat="1" ht="58.5" customHeight="1">
      <c r="B31" s="302" t="s">
        <v>729</v>
      </c>
      <c r="C31" s="302" t="s">
        <v>719</v>
      </c>
      <c r="D31" s="365" t="s">
        <v>720</v>
      </c>
      <c r="E31" s="2169">
        <f>$E$25</f>
        <v>2328.3470000000002</v>
      </c>
      <c r="F31" s="2160">
        <v>1348.770139</v>
      </c>
      <c r="G31" s="2161">
        <v>1920</v>
      </c>
      <c r="H31" s="2162">
        <f>F31 / (E31*1000)</f>
        <v>5.7928227149990955E-4</v>
      </c>
      <c r="I31" s="356"/>
      <c r="J31" s="356"/>
      <c r="K31" s="356"/>
      <c r="L31" s="356"/>
      <c r="M31" s="342"/>
      <c r="N31" s="26"/>
      <c r="O31" s="21"/>
      <c r="P31" s="286" t="s">
        <v>730</v>
      </c>
      <c r="Q31" s="21"/>
      <c r="R31" s="319">
        <f>IF(SUM($V31:$X31)=0,0,$V$6)</f>
        <v>0</v>
      </c>
      <c r="S31" s="331">
        <f>IF(SUM($AF31:$AH31)=0,0,$AF$6)</f>
        <v>0</v>
      </c>
      <c r="T31" s="252"/>
      <c r="U31" s="1333"/>
      <c r="V31" s="318">
        <f>IF(ISBLANK($E31)=TRUE,1,0)</f>
        <v>0</v>
      </c>
      <c r="W31" s="318">
        <f>IF(ISBLANK($F31)=TRUE,1,0)</f>
        <v>0</v>
      </c>
      <c r="X31" s="318">
        <f>IF(ISBLANK($G31)=TRUE,1,0)</f>
        <v>0</v>
      </c>
      <c r="Y31" s="318"/>
      <c r="Z31" s="318"/>
      <c r="AA31" s="318"/>
      <c r="AB31" s="318"/>
      <c r="AC31" s="318"/>
      <c r="AD31" s="318"/>
      <c r="AE31" s="1333"/>
      <c r="AF31" s="322">
        <f>IF($E31&lt;0,1,0)</f>
        <v>0</v>
      </c>
      <c r="AG31" s="322">
        <f>IF($F31&lt;0,1,0)</f>
        <v>0</v>
      </c>
      <c r="AH31" s="322">
        <f>IF($G31&lt;0,1,0)</f>
        <v>0</v>
      </c>
      <c r="AI31" s="322"/>
      <c r="AJ31" s="322"/>
      <c r="AK31" s="322"/>
      <c r="AL31" s="322"/>
      <c r="AM31" s="322"/>
      <c r="AN31" s="322"/>
      <c r="AO31" s="1333"/>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84"/>
      <c r="AU31" s="1485" t="s">
        <v>731</v>
      </c>
      <c r="AV31" s="1444" t="s">
        <v>732</v>
      </c>
      <c r="AW31" s="1445" t="s">
        <v>733</v>
      </c>
      <c r="AX31" s="1332"/>
      <c r="AY31" s="1332"/>
      <c r="AZ31" s="1332"/>
      <c r="BA31" s="1332"/>
      <c r="BB31" s="1332"/>
      <c r="BC31" s="1332"/>
      <c r="BD31" s="1332"/>
      <c r="BE31" s="1332"/>
      <c r="BF31" s="1332"/>
      <c r="BG31" s="1332"/>
      <c r="BH31" s="1332"/>
      <c r="BI31" s="1332"/>
    </row>
    <row r="32" spans="2:61" s="9" customFormat="1" ht="16.350000000000001" customHeight="1">
      <c r="B32" s="1332"/>
      <c r="C32" s="1329"/>
      <c r="D32" s="1337"/>
      <c r="E32" s="1332"/>
      <c r="F32" s="1338"/>
      <c r="G32" s="1332"/>
      <c r="H32" s="1339"/>
      <c r="I32" s="1339"/>
      <c r="J32" s="1339"/>
      <c r="K32" s="1339"/>
      <c r="L32" s="1339"/>
      <c r="M32" s="1332"/>
      <c r="N32" s="1329"/>
      <c r="O32" s="1332"/>
      <c r="P32" s="1332"/>
      <c r="Q32" s="1332"/>
      <c r="R32" s="1332"/>
      <c r="S32" s="1332"/>
      <c r="T32" s="1332"/>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2"/>
      <c r="AQ32" s="1332"/>
      <c r="AR32" s="1332"/>
      <c r="AS32" s="1332"/>
      <c r="AT32" s="1332"/>
      <c r="AU32" s="1332"/>
      <c r="AV32" s="1332"/>
      <c r="AW32" s="1332"/>
      <c r="AX32" s="1332"/>
      <c r="AY32" s="1332"/>
      <c r="AZ32" s="1332"/>
      <c r="BA32" s="1332"/>
      <c r="BB32" s="1332"/>
      <c r="BC32" s="1332"/>
      <c r="BD32" s="1332"/>
      <c r="BE32" s="1332"/>
      <c r="BF32" s="1332"/>
      <c r="BG32" s="1332"/>
      <c r="BH32" s="1332"/>
      <c r="BI32" s="1332"/>
    </row>
    <row r="33" spans="2:61" s="9" customFormat="1" ht="16.350000000000001" customHeight="1">
      <c r="B33" s="303" t="s">
        <v>179</v>
      </c>
      <c r="C33" s="23"/>
      <c r="D33" s="23"/>
      <c r="E33" s="23"/>
      <c r="F33" s="23"/>
      <c r="G33" s="23"/>
      <c r="H33" s="23"/>
      <c r="I33" s="23"/>
      <c r="J33" s="23"/>
      <c r="K33" s="23"/>
      <c r="L33" s="23"/>
      <c r="M33" s="23"/>
      <c r="N33" s="23"/>
      <c r="O33" s="1332"/>
      <c r="P33" s="1332"/>
      <c r="Q33" s="1332"/>
      <c r="R33" s="1332"/>
      <c r="S33" s="1332"/>
      <c r="T33" s="1332"/>
      <c r="U33" s="1333"/>
      <c r="V33" s="317">
        <v>16</v>
      </c>
      <c r="W33" s="317">
        <v>17</v>
      </c>
      <c r="X33" s="317">
        <v>18</v>
      </c>
      <c r="Y33" s="317">
        <v>19</v>
      </c>
      <c r="Z33" s="317"/>
      <c r="AA33" s="317"/>
      <c r="AB33" s="317"/>
      <c r="AC33" s="317"/>
      <c r="AD33" s="317"/>
      <c r="AE33" s="1333"/>
      <c r="AF33" s="317">
        <v>16</v>
      </c>
      <c r="AG33" s="317">
        <v>17</v>
      </c>
      <c r="AH33" s="317">
        <v>18</v>
      </c>
      <c r="AI33" s="317">
        <v>19</v>
      </c>
      <c r="AJ33" s="317"/>
      <c r="AK33" s="317"/>
      <c r="AL33" s="317"/>
      <c r="AM33" s="317"/>
      <c r="AN33" s="317"/>
      <c r="AO33" s="1333"/>
      <c r="AP33" s="1332"/>
      <c r="AQ33" s="1332"/>
      <c r="AR33" s="1332"/>
      <c r="AS33" s="1332"/>
      <c r="AT33" s="1332"/>
      <c r="AU33" s="1332"/>
      <c r="AV33" s="1332"/>
      <c r="AW33" s="1332"/>
      <c r="AX33" s="1332"/>
      <c r="AY33" s="1332"/>
      <c r="AZ33" s="1332"/>
      <c r="BA33" s="1332"/>
      <c r="BB33" s="1332"/>
      <c r="BC33" s="1332"/>
      <c r="BD33" s="1332"/>
      <c r="BE33" s="1332"/>
      <c r="BF33" s="1332"/>
      <c r="BG33" s="1332"/>
      <c r="BH33" s="1332"/>
      <c r="BI33" s="1332"/>
    </row>
    <row r="34" spans="2:61" s="9" customFormat="1" ht="58.5" customHeight="1">
      <c r="B34" s="302" t="s">
        <v>734</v>
      </c>
      <c r="C34" s="302" t="s">
        <v>719</v>
      </c>
      <c r="D34" s="365" t="s">
        <v>720</v>
      </c>
      <c r="E34" s="2169">
        <f>$E$25</f>
        <v>2328.3470000000002</v>
      </c>
      <c r="F34" s="2160">
        <v>176.51875000000001</v>
      </c>
      <c r="G34" s="2161">
        <v>123</v>
      </c>
      <c r="H34" s="2162">
        <f>F34 / (E34*1000)</f>
        <v>7.5812905035203097E-5</v>
      </c>
      <c r="I34" s="356"/>
      <c r="J34" s="356"/>
      <c r="K34" s="356"/>
      <c r="L34" s="356"/>
      <c r="M34" s="342"/>
      <c r="N34" s="26"/>
      <c r="O34" s="21"/>
      <c r="P34" s="286" t="s">
        <v>735</v>
      </c>
      <c r="Q34" s="21"/>
      <c r="R34" s="319">
        <f>IF(SUM($V34:$X34)=0,0,$V$6)</f>
        <v>0</v>
      </c>
      <c r="S34" s="331">
        <f>IF(SUM($AF34:$AH34)=0,0,$AF$6)</f>
        <v>0</v>
      </c>
      <c r="T34" s="252"/>
      <c r="U34" s="1333"/>
      <c r="V34" s="318">
        <f>IF(ISBLANK($E34)=TRUE,1,0)</f>
        <v>0</v>
      </c>
      <c r="W34" s="318">
        <f>IF(ISBLANK($F34)=TRUE,1,0)</f>
        <v>0</v>
      </c>
      <c r="X34" s="318">
        <f>IF(ISBLANK($G34)=TRUE,1,0)</f>
        <v>0</v>
      </c>
      <c r="Y34" s="318"/>
      <c r="Z34" s="318"/>
      <c r="AA34" s="318"/>
      <c r="AB34" s="318"/>
      <c r="AC34" s="318"/>
      <c r="AD34" s="318"/>
      <c r="AE34" s="1333"/>
      <c r="AF34" s="322">
        <f>IF($E34&lt;0,1,0)</f>
        <v>0</v>
      </c>
      <c r="AG34" s="322">
        <f>IF($F34&lt;0,1,0)</f>
        <v>0</v>
      </c>
      <c r="AH34" s="322">
        <f>IF($G34&lt;0,1,0)</f>
        <v>0</v>
      </c>
      <c r="AI34" s="322"/>
      <c r="AJ34" s="322"/>
      <c r="AK34" s="322"/>
      <c r="AL34" s="322"/>
      <c r="AM34" s="322"/>
      <c r="AN34" s="322"/>
      <c r="AO34" s="1333"/>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84"/>
      <c r="AU34" s="1485" t="s">
        <v>736</v>
      </c>
      <c r="AV34" s="1444" t="s">
        <v>737</v>
      </c>
      <c r="AW34" s="1445" t="s">
        <v>738</v>
      </c>
      <c r="AX34" s="1332"/>
      <c r="AY34" s="1332"/>
      <c r="AZ34" s="1332"/>
      <c r="BA34" s="1332"/>
      <c r="BB34" s="1332"/>
      <c r="BC34" s="1332"/>
      <c r="BD34" s="1332"/>
      <c r="BE34" s="1332"/>
      <c r="BF34" s="1332"/>
      <c r="BG34" s="1332"/>
      <c r="BH34" s="1332"/>
      <c r="BI34" s="1332"/>
    </row>
    <row r="35" spans="2:61" s="9" customFormat="1" ht="16.350000000000001" customHeight="1">
      <c r="B35" s="1332"/>
      <c r="C35" s="1329"/>
      <c r="D35" s="1337"/>
      <c r="E35" s="1332"/>
      <c r="F35" s="1338"/>
      <c r="G35" s="1332"/>
      <c r="H35" s="1339"/>
      <c r="I35" s="1339"/>
      <c r="J35" s="1339"/>
      <c r="K35" s="1339"/>
      <c r="L35" s="1339"/>
      <c r="M35" s="1332"/>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2"/>
      <c r="AQ35" s="1332"/>
      <c r="AR35" s="1332"/>
      <c r="AS35" s="1332"/>
      <c r="AT35" s="1332"/>
      <c r="AU35" s="1332"/>
      <c r="AV35" s="1332"/>
      <c r="AW35" s="1332"/>
      <c r="AX35" s="1332"/>
      <c r="AY35" s="1332"/>
      <c r="AZ35" s="1332"/>
      <c r="BA35" s="1332"/>
      <c r="BB35" s="1332"/>
      <c r="BC35" s="1332"/>
      <c r="BD35" s="1332"/>
      <c r="BE35" s="1332"/>
      <c r="BF35" s="1332"/>
      <c r="BG35" s="1332"/>
      <c r="BH35" s="1332"/>
      <c r="BI35" s="1332"/>
    </row>
    <row r="36" spans="2:61" s="9" customFormat="1" ht="16.350000000000001" customHeight="1">
      <c r="B36" s="1332"/>
      <c r="C36" s="25">
        <v>20</v>
      </c>
      <c r="D36" s="25">
        <v>21</v>
      </c>
      <c r="E36" s="25">
        <v>22</v>
      </c>
      <c r="F36" s="1332"/>
      <c r="G36" s="1332"/>
      <c r="H36" s="1339"/>
      <c r="I36" s="1339"/>
      <c r="J36" s="1339"/>
      <c r="K36" s="1339"/>
      <c r="L36" s="1339"/>
      <c r="M36" s="1332"/>
      <c r="N36" s="1329"/>
      <c r="O36" s="1332"/>
      <c r="P36" s="1332"/>
      <c r="Q36" s="1332"/>
      <c r="R36" s="1332"/>
      <c r="S36" s="1332"/>
      <c r="T36" s="1332"/>
      <c r="U36" s="1333"/>
      <c r="V36" s="317"/>
      <c r="W36" s="317"/>
      <c r="X36" s="317"/>
      <c r="Y36" s="318"/>
      <c r="Z36" s="318"/>
      <c r="AA36" s="318"/>
      <c r="AB36" s="318"/>
      <c r="AC36" s="318"/>
      <c r="AD36" s="318"/>
      <c r="AE36" s="1333"/>
      <c r="AF36" s="322"/>
      <c r="AG36" s="322"/>
      <c r="AH36" s="322"/>
      <c r="AI36" s="318"/>
      <c r="AJ36" s="322"/>
      <c r="AK36" s="322"/>
      <c r="AL36" s="322"/>
      <c r="AM36" s="322"/>
      <c r="AN36" s="322"/>
      <c r="AO36" s="1333"/>
      <c r="AP36" s="1332"/>
      <c r="AQ36" s="1332"/>
      <c r="AR36" s="1332"/>
      <c r="AS36" s="1332"/>
      <c r="AT36" s="1332"/>
      <c r="AU36" s="1332"/>
      <c r="AV36" s="1332"/>
      <c r="AW36" s="1332"/>
      <c r="AX36" s="1332"/>
      <c r="AY36" s="1332"/>
      <c r="AZ36" s="1332"/>
      <c r="BA36" s="1332"/>
      <c r="BB36" s="1332"/>
      <c r="BC36" s="1332"/>
      <c r="BD36" s="1332"/>
      <c r="BE36" s="1332"/>
      <c r="BF36" s="1332"/>
      <c r="BG36" s="1332"/>
      <c r="BH36" s="1332"/>
      <c r="BI36" s="1332"/>
    </row>
    <row r="37" spans="2:61" s="9" customFormat="1" ht="67.5" customHeight="1">
      <c r="B37" s="2356" t="s">
        <v>153</v>
      </c>
      <c r="C37" s="2355" t="s">
        <v>739</v>
      </c>
      <c r="D37" s="2355" t="s">
        <v>740</v>
      </c>
      <c r="E37" s="2355" t="s">
        <v>741</v>
      </c>
      <c r="F37" s="1340"/>
      <c r="G37" s="1332"/>
      <c r="H37" s="346"/>
      <c r="I37" s="346"/>
      <c r="J37" s="346"/>
      <c r="K37" s="346"/>
      <c r="L37" s="346"/>
      <c r="M37" s="1329"/>
      <c r="N37" s="1329"/>
      <c r="O37" s="1332"/>
      <c r="P37" s="1332"/>
      <c r="Q37" s="1332"/>
      <c r="R37" s="1332"/>
      <c r="S37" s="1332"/>
      <c r="T37" s="1332"/>
      <c r="U37" s="1333"/>
      <c r="V37" s="318"/>
      <c r="W37" s="318"/>
      <c r="X37" s="318"/>
      <c r="Y37" s="318"/>
      <c r="Z37" s="318"/>
      <c r="AA37" s="318"/>
      <c r="AB37" s="318"/>
      <c r="AC37" s="318"/>
      <c r="AD37" s="318"/>
      <c r="AE37" s="1333"/>
      <c r="AF37" s="322"/>
      <c r="AG37" s="322"/>
      <c r="AH37" s="322"/>
      <c r="AI37" s="318"/>
      <c r="AJ37" s="322"/>
      <c r="AK37" s="322"/>
      <c r="AL37" s="322"/>
      <c r="AM37" s="322"/>
      <c r="AN37" s="322"/>
      <c r="AO37" s="1333"/>
      <c r="AP37" s="1332"/>
      <c r="AQ37" s="2356" t="s">
        <v>153</v>
      </c>
      <c r="AR37" s="2355" t="s">
        <v>739</v>
      </c>
      <c r="AS37" s="2355" t="s">
        <v>740</v>
      </c>
      <c r="AT37" s="2355" t="s">
        <v>741</v>
      </c>
      <c r="AU37" s="1332"/>
      <c r="AV37" s="1332"/>
      <c r="AW37" s="1332"/>
      <c r="AX37" s="1332"/>
      <c r="AY37" s="1332"/>
      <c r="AZ37" s="1332"/>
      <c r="BA37" s="1332"/>
      <c r="BB37" s="1332"/>
      <c r="BC37" s="1332"/>
      <c r="BD37" s="1332"/>
      <c r="BE37" s="1332"/>
      <c r="BF37" s="1332"/>
      <c r="BG37" s="1332"/>
      <c r="BH37" s="1332"/>
      <c r="BI37" s="1332"/>
    </row>
    <row r="38" spans="2:61" s="9" customFormat="1" ht="15.75">
      <c r="B38" s="23"/>
      <c r="C38" s="23"/>
      <c r="D38" s="23"/>
      <c r="E38" s="23"/>
      <c r="F38" s="23"/>
      <c r="G38" s="23"/>
      <c r="H38" s="23"/>
      <c r="I38" s="23"/>
      <c r="J38" s="23"/>
      <c r="K38" s="23"/>
      <c r="L38" s="23"/>
      <c r="M38" s="23"/>
      <c r="N38" s="23"/>
      <c r="O38" s="1332"/>
      <c r="P38" s="1332"/>
      <c r="Q38" s="1332"/>
      <c r="R38" s="1332"/>
      <c r="S38" s="1332"/>
      <c r="T38" s="1332"/>
      <c r="U38" s="1333"/>
      <c r="V38" s="318"/>
      <c r="W38" s="318"/>
      <c r="X38" s="318"/>
      <c r="Y38" s="318"/>
      <c r="Z38" s="318"/>
      <c r="AA38" s="318"/>
      <c r="AB38" s="318"/>
      <c r="AC38" s="318"/>
      <c r="AD38" s="318"/>
      <c r="AE38" s="1333"/>
      <c r="AF38" s="322"/>
      <c r="AG38" s="322"/>
      <c r="AH38" s="322"/>
      <c r="AI38" s="318"/>
      <c r="AJ38" s="322"/>
      <c r="AK38" s="322"/>
      <c r="AL38" s="322"/>
      <c r="AM38" s="322"/>
      <c r="AN38" s="322"/>
      <c r="AO38" s="1333"/>
      <c r="AP38" s="1332"/>
      <c r="AQ38" s="1332"/>
      <c r="AR38" s="1332"/>
      <c r="AS38" s="1332"/>
      <c r="AT38" s="1332"/>
      <c r="AU38" s="1332"/>
      <c r="AV38" s="1332"/>
      <c r="AW38" s="1332"/>
      <c r="AX38" s="1332"/>
      <c r="AY38" s="1332"/>
      <c r="AZ38" s="1332"/>
      <c r="BA38" s="1332"/>
      <c r="BB38" s="1332"/>
      <c r="BC38" s="1332"/>
      <c r="BD38" s="1332"/>
      <c r="BE38" s="1332"/>
      <c r="BF38" s="1332"/>
      <c r="BG38" s="1332"/>
      <c r="BH38" s="1332"/>
      <c r="BI38" s="1332"/>
    </row>
    <row r="39" spans="2:61" s="9" customFormat="1" ht="26.45" customHeight="1">
      <c r="B39" s="303" t="s">
        <v>742</v>
      </c>
      <c r="C39" s="23"/>
      <c r="D39" s="23"/>
      <c r="E39" s="23"/>
      <c r="F39" s="23"/>
      <c r="G39" s="23"/>
      <c r="H39" s="23"/>
      <c r="I39" s="23"/>
      <c r="J39" s="23"/>
      <c r="K39" s="23"/>
      <c r="L39" s="23"/>
      <c r="M39" s="23"/>
      <c r="N39" s="23"/>
      <c r="O39" s="1332"/>
      <c r="P39" s="1332"/>
      <c r="Q39" s="1332"/>
      <c r="R39" s="1332"/>
      <c r="S39" s="1332"/>
      <c r="T39" s="1332"/>
      <c r="U39" s="1333"/>
      <c r="V39" s="317">
        <v>20</v>
      </c>
      <c r="W39" s="317">
        <v>21</v>
      </c>
      <c r="X39" s="317">
        <v>22</v>
      </c>
      <c r="Y39" s="318"/>
      <c r="Z39" s="318"/>
      <c r="AA39" s="318"/>
      <c r="AB39" s="318"/>
      <c r="AC39" s="318"/>
      <c r="AD39" s="318"/>
      <c r="AE39" s="1333"/>
      <c r="AF39" s="317">
        <v>20</v>
      </c>
      <c r="AG39" s="317">
        <v>21</v>
      </c>
      <c r="AH39" s="317">
        <v>22</v>
      </c>
      <c r="AI39" s="318"/>
      <c r="AJ39" s="322"/>
      <c r="AK39" s="322"/>
      <c r="AL39" s="322"/>
      <c r="AM39" s="322"/>
      <c r="AN39" s="322"/>
      <c r="AO39" s="1333"/>
      <c r="AP39" s="1332"/>
      <c r="AQ39" s="1332"/>
      <c r="AR39" s="1332"/>
      <c r="AS39" s="1332"/>
      <c r="AT39" s="1332"/>
      <c r="AU39" s="1332"/>
      <c r="AV39" s="1332"/>
      <c r="AW39" s="1332"/>
      <c r="AX39" s="1332"/>
      <c r="AY39" s="1332"/>
      <c r="AZ39" s="1332"/>
      <c r="BA39" s="1332"/>
      <c r="BB39" s="1332"/>
      <c r="BC39" s="1332"/>
      <c r="BD39" s="1332"/>
      <c r="BE39" s="1332"/>
      <c r="BF39" s="1332"/>
      <c r="BG39" s="1332"/>
      <c r="BH39" s="1332"/>
      <c r="BI39" s="1332"/>
    </row>
    <row r="40" spans="2:61" s="21" customFormat="1" ht="23.25" customHeight="1">
      <c r="B40" s="302" t="s">
        <v>209</v>
      </c>
      <c r="C40" s="2164">
        <v>1799.25</v>
      </c>
      <c r="D40" s="2347">
        <v>33.808</v>
      </c>
      <c r="E40" s="2149">
        <f>D40/C40</f>
        <v>1.8790051410309851E-2</v>
      </c>
      <c r="F40" s="249"/>
      <c r="G40" s="26"/>
      <c r="H40" s="26"/>
      <c r="I40" s="26"/>
      <c r="J40" s="26"/>
      <c r="K40" s="26"/>
      <c r="L40" s="26"/>
      <c r="M40" s="26"/>
      <c r="N40" s="26"/>
      <c r="P40" s="286" t="s">
        <v>743</v>
      </c>
      <c r="R40" s="319">
        <f>IF(SUM($V40:$X40)=0,0,$V$6)</f>
        <v>0</v>
      </c>
      <c r="S40" s="331">
        <f>IF(SUM($AF40:$AH40)=0,0,$AF$6)</f>
        <v>0</v>
      </c>
      <c r="U40" s="1333"/>
      <c r="V40" s="318">
        <f>IF(ISBLANK($C40)=TRUE,1,0)</f>
        <v>0</v>
      </c>
      <c r="W40" s="318">
        <f>IF(ISBLANK($D40)=TRUE,1,0)</f>
        <v>0</v>
      </c>
      <c r="X40" s="318"/>
      <c r="Y40" s="318"/>
      <c r="Z40" s="318"/>
      <c r="AA40" s="318"/>
      <c r="AB40" s="318"/>
      <c r="AC40" s="318"/>
      <c r="AD40" s="318"/>
      <c r="AE40" s="1333"/>
      <c r="AF40" s="322">
        <f>IF($C40&lt;0,1,0)</f>
        <v>0</v>
      </c>
      <c r="AG40" s="322">
        <f>IF($D40&lt;0,1,0)</f>
        <v>0</v>
      </c>
      <c r="AH40" s="322"/>
      <c r="AI40" s="318"/>
      <c r="AJ40" s="322"/>
      <c r="AK40" s="322"/>
      <c r="AL40" s="322"/>
      <c r="AM40" s="322"/>
      <c r="AN40" s="322"/>
      <c r="AO40" s="1333"/>
      <c r="AQ40" s="302" t="str">
        <f>B40</f>
        <v>Unplanned outage</v>
      </c>
      <c r="AR40" s="1489" t="s">
        <v>744</v>
      </c>
      <c r="AS40" s="1490" t="s">
        <v>745</v>
      </c>
      <c r="AT40" s="1491" t="s">
        <v>746</v>
      </c>
      <c r="AV40" s="2339"/>
      <c r="AW40" s="2339"/>
      <c r="AX40" s="2339"/>
    </row>
    <row r="41" spans="2:61" s="21" customFormat="1" ht="23.25" customHeight="1">
      <c r="B41" s="27"/>
      <c r="C41" s="11"/>
      <c r="D41" s="11"/>
      <c r="E41" s="11"/>
      <c r="G41" s="26"/>
      <c r="H41" s="26"/>
      <c r="I41" s="26"/>
      <c r="J41" s="26"/>
      <c r="K41" s="26"/>
      <c r="L41" s="26"/>
      <c r="M41" s="26"/>
      <c r="N41" s="26"/>
      <c r="P41" s="10"/>
      <c r="R41" s="10"/>
      <c r="S41" s="10"/>
      <c r="U41" s="1333"/>
      <c r="V41" s="318"/>
      <c r="W41" s="318"/>
      <c r="X41" s="318"/>
      <c r="Y41" s="318"/>
      <c r="Z41" s="318"/>
      <c r="AA41" s="318"/>
      <c r="AB41" s="318"/>
      <c r="AC41" s="318"/>
      <c r="AD41" s="318"/>
      <c r="AE41" s="1333"/>
      <c r="AF41" s="322"/>
      <c r="AG41" s="322"/>
      <c r="AH41" s="322"/>
      <c r="AI41" s="318"/>
      <c r="AJ41" s="322"/>
      <c r="AK41" s="322"/>
      <c r="AL41" s="322"/>
      <c r="AM41" s="322"/>
      <c r="AN41" s="322"/>
      <c r="AO41" s="1333"/>
    </row>
    <row r="42" spans="2:61" s="9" customFormat="1" ht="15">
      <c r="B42" s="1329"/>
      <c r="C42" s="25">
        <v>23</v>
      </c>
      <c r="D42" s="25">
        <v>24</v>
      </c>
      <c r="E42" s="25">
        <v>25</v>
      </c>
      <c r="F42" s="25">
        <v>26</v>
      </c>
      <c r="G42" s="25">
        <v>27</v>
      </c>
      <c r="H42" s="25">
        <v>28</v>
      </c>
      <c r="I42" s="25">
        <v>29</v>
      </c>
      <c r="J42" s="25">
        <v>30</v>
      </c>
      <c r="K42" s="1332"/>
      <c r="L42" s="1332"/>
      <c r="M42" s="1332"/>
      <c r="N42" s="1332"/>
      <c r="O42" s="1332"/>
      <c r="P42" s="1332"/>
      <c r="Q42" s="1332"/>
      <c r="R42" s="1332"/>
      <c r="S42" s="1332"/>
      <c r="T42" s="1332"/>
      <c r="U42" s="1333"/>
      <c r="V42" s="317"/>
      <c r="W42" s="317"/>
      <c r="X42" s="317"/>
      <c r="Y42" s="317"/>
      <c r="Z42" s="317"/>
      <c r="AA42" s="317"/>
      <c r="AB42" s="317"/>
      <c r="AC42" s="317"/>
      <c r="AD42" s="317"/>
      <c r="AE42" s="1333"/>
      <c r="AF42" s="322"/>
      <c r="AG42" s="322"/>
      <c r="AH42" s="322"/>
      <c r="AI42" s="318"/>
      <c r="AJ42" s="322"/>
      <c r="AK42" s="322"/>
      <c r="AL42" s="322"/>
      <c r="AM42" s="322"/>
      <c r="AN42" s="322"/>
      <c r="AO42" s="1333"/>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row>
    <row r="43" spans="2:61" s="9" customFormat="1" ht="60" customHeight="1">
      <c r="B43" s="2356" t="s">
        <v>153</v>
      </c>
      <c r="C43" s="2355" t="s">
        <v>747</v>
      </c>
      <c r="D43" s="2355" t="s">
        <v>748</v>
      </c>
      <c r="E43" s="2355" t="s">
        <v>749</v>
      </c>
      <c r="F43" s="2355" t="s">
        <v>750</v>
      </c>
      <c r="G43" s="2355" t="s">
        <v>751</v>
      </c>
      <c r="H43" s="2355" t="s">
        <v>752</v>
      </c>
      <c r="I43" s="2355" t="s">
        <v>753</v>
      </c>
      <c r="J43" s="2355" t="s">
        <v>754</v>
      </c>
      <c r="K43" s="1332"/>
      <c r="L43" s="1332"/>
      <c r="M43" s="1332"/>
      <c r="N43" s="1332"/>
      <c r="O43" s="1332"/>
      <c r="P43" s="1332"/>
      <c r="Q43" s="1332"/>
      <c r="R43" s="1332"/>
      <c r="S43" s="1332"/>
      <c r="T43" s="1332"/>
      <c r="U43" s="1333"/>
      <c r="V43" s="318"/>
      <c r="W43" s="318"/>
      <c r="X43" s="318"/>
      <c r="Y43" s="318"/>
      <c r="Z43" s="318"/>
      <c r="AA43" s="318"/>
      <c r="AB43" s="318"/>
      <c r="AC43" s="318"/>
      <c r="AD43" s="318"/>
      <c r="AE43" s="1333"/>
      <c r="AF43" s="322"/>
      <c r="AG43" s="322"/>
      <c r="AH43" s="322"/>
      <c r="AI43" s="318"/>
      <c r="AJ43" s="322"/>
      <c r="AK43" s="322"/>
      <c r="AL43" s="322"/>
      <c r="AM43" s="322"/>
      <c r="AN43" s="322"/>
      <c r="AO43" s="1333"/>
      <c r="AP43" s="1332"/>
      <c r="AQ43" s="2356" t="s">
        <v>153</v>
      </c>
      <c r="AR43" s="2355" t="s">
        <v>747</v>
      </c>
      <c r="AS43" s="2355" t="s">
        <v>748</v>
      </c>
      <c r="AT43" s="2355" t="s">
        <v>749</v>
      </c>
      <c r="AU43" s="2355" t="s">
        <v>750</v>
      </c>
      <c r="AV43" s="2355" t="s">
        <v>751</v>
      </c>
      <c r="AW43" s="2355" t="s">
        <v>752</v>
      </c>
      <c r="AX43" s="2355" t="s">
        <v>753</v>
      </c>
      <c r="AY43" s="2355" t="s">
        <v>754</v>
      </c>
      <c r="AZ43" s="1332"/>
      <c r="BA43" s="1332"/>
      <c r="BB43" s="1332"/>
      <c r="BC43" s="1332"/>
      <c r="BD43" s="1332"/>
      <c r="BE43" s="1332"/>
      <c r="BF43" s="1332"/>
      <c r="BG43" s="1332"/>
      <c r="BH43" s="1332"/>
      <c r="BI43" s="1332"/>
    </row>
    <row r="44" spans="2:61" s="9" customFormat="1" ht="15.75">
      <c r="B44" s="23"/>
      <c r="C44" s="23"/>
      <c r="D44" s="23"/>
      <c r="E44" s="23"/>
      <c r="F44" s="23"/>
      <c r="G44" s="23"/>
      <c r="H44" s="23"/>
      <c r="I44" s="23"/>
      <c r="J44" s="23"/>
      <c r="K44" s="1332"/>
      <c r="L44" s="1332"/>
      <c r="M44" s="1332"/>
      <c r="N44" s="1332"/>
      <c r="O44" s="1332"/>
      <c r="P44" s="1332"/>
      <c r="Q44" s="1332"/>
      <c r="R44" s="1332"/>
      <c r="S44" s="1332"/>
      <c r="T44" s="1332"/>
      <c r="U44" s="1333"/>
      <c r="V44" s="318"/>
      <c r="W44" s="318"/>
      <c r="X44" s="318"/>
      <c r="Y44" s="318"/>
      <c r="Z44" s="318"/>
      <c r="AA44" s="318"/>
      <c r="AB44" s="318"/>
      <c r="AC44" s="318"/>
      <c r="AD44" s="318"/>
      <c r="AE44" s="1333"/>
      <c r="AF44" s="322"/>
      <c r="AG44" s="322"/>
      <c r="AH44" s="322"/>
      <c r="AI44" s="318"/>
      <c r="AJ44" s="322"/>
      <c r="AK44" s="322"/>
      <c r="AL44" s="322"/>
      <c r="AM44" s="322"/>
      <c r="AN44" s="322"/>
      <c r="AO44" s="1333"/>
      <c r="AP44" s="1332"/>
      <c r="AQ44" s="1332"/>
      <c r="AR44" s="1332"/>
      <c r="AS44" s="1332"/>
      <c r="AT44" s="1332"/>
      <c r="AU44" s="1332"/>
      <c r="AV44" s="1332"/>
      <c r="AW44" s="1332"/>
      <c r="AX44" s="1332"/>
      <c r="AY44" s="1332"/>
      <c r="AZ44" s="1332"/>
      <c r="BA44" s="1332"/>
      <c r="BB44" s="1332"/>
      <c r="BC44" s="1332"/>
      <c r="BD44" s="1332"/>
      <c r="BE44" s="1332"/>
      <c r="BF44" s="1332"/>
      <c r="BG44" s="1332"/>
      <c r="BH44" s="1332"/>
      <c r="BI44" s="1332"/>
    </row>
    <row r="45" spans="2:61" s="9" customFormat="1" ht="25.5">
      <c r="B45" s="303" t="s">
        <v>755</v>
      </c>
      <c r="C45" s="23"/>
      <c r="D45" s="23"/>
      <c r="E45" s="349"/>
      <c r="F45" s="23"/>
      <c r="G45" s="350"/>
      <c r="H45" s="351"/>
      <c r="I45" s="350"/>
      <c r="J45" s="352"/>
      <c r="K45" s="1332"/>
      <c r="L45" s="1332"/>
      <c r="M45" s="1332"/>
      <c r="N45" s="1332"/>
      <c r="O45" s="1332"/>
      <c r="P45" s="1332"/>
      <c r="Q45" s="1332"/>
      <c r="R45" s="1332"/>
      <c r="S45" s="1332"/>
      <c r="T45" s="1332"/>
      <c r="U45" s="1333"/>
      <c r="V45" s="317">
        <v>23</v>
      </c>
      <c r="W45" s="317">
        <v>24</v>
      </c>
      <c r="X45" s="317">
        <v>25</v>
      </c>
      <c r="Y45" s="317">
        <v>26</v>
      </c>
      <c r="Z45" s="317">
        <v>27</v>
      </c>
      <c r="AA45" s="317">
        <v>28</v>
      </c>
      <c r="AB45" s="317">
        <v>29</v>
      </c>
      <c r="AC45" s="317"/>
      <c r="AD45" s="317"/>
      <c r="AE45" s="1333"/>
      <c r="AF45" s="317">
        <v>23</v>
      </c>
      <c r="AG45" s="317">
        <v>24</v>
      </c>
      <c r="AH45" s="317">
        <v>25</v>
      </c>
      <c r="AI45" s="317">
        <v>26</v>
      </c>
      <c r="AJ45" s="317">
        <v>27</v>
      </c>
      <c r="AK45" s="317">
        <v>28</v>
      </c>
      <c r="AL45" s="317">
        <v>29</v>
      </c>
      <c r="AM45" s="317"/>
      <c r="AN45" s="317"/>
      <c r="AO45" s="1333"/>
      <c r="AP45" s="1332"/>
      <c r="AQ45" s="1332"/>
      <c r="AR45" s="1332"/>
      <c r="AS45" s="1332"/>
      <c r="AT45" s="1332"/>
      <c r="AU45" s="1332"/>
      <c r="AV45" s="1332"/>
      <c r="AW45" s="1332"/>
      <c r="AX45" s="1332"/>
      <c r="AY45" s="1332"/>
      <c r="AZ45" s="1332"/>
      <c r="BA45" s="1332"/>
      <c r="BB45" s="1332"/>
      <c r="BC45" s="1332"/>
      <c r="BD45" s="1332"/>
      <c r="BE45" s="1332"/>
      <c r="BF45" s="1332"/>
      <c r="BG45" s="1332"/>
      <c r="BH45" s="1332"/>
      <c r="BI45" s="1332"/>
    </row>
    <row r="46" spans="2:61" s="21" customFormat="1" ht="27.75" customHeight="1">
      <c r="B46" s="365" t="s">
        <v>755</v>
      </c>
      <c r="C46" s="2164">
        <v>3013.3969999999999</v>
      </c>
      <c r="D46" s="2151">
        <v>444387</v>
      </c>
      <c r="E46" s="2165">
        <f>ROUND(D46/($C46*1000),3)</f>
        <v>0.14699999999999999</v>
      </c>
      <c r="F46" s="2151">
        <v>336296</v>
      </c>
      <c r="G46" s="2161">
        <v>335037</v>
      </c>
      <c r="H46" s="2165">
        <f>ROUND(G46/$F46,3)</f>
        <v>0.996</v>
      </c>
      <c r="I46" s="2161">
        <v>195238</v>
      </c>
      <c r="J46" s="2165">
        <f>ROUND(I46/$F46,3)</f>
        <v>0.58099999999999996</v>
      </c>
      <c r="P46" s="286" t="s">
        <v>756</v>
      </c>
      <c r="R46" s="319">
        <f>IF(SUM($V46:$AB46)=0,0,$V$6)</f>
        <v>0</v>
      </c>
      <c r="S46" s="331">
        <f>IF(SUM($AF46:$AL46)=0,0,$AF$6)</f>
        <v>0</v>
      </c>
      <c r="T46" s="343"/>
      <c r="U46" s="1333"/>
      <c r="V46" s="318">
        <f>IF(ISBLANK($C46)=TRUE,1,0)</f>
        <v>0</v>
      </c>
      <c r="W46" s="318">
        <f>IF(ISBLANK($D46)=TRUE,1,0)</f>
        <v>0</v>
      </c>
      <c r="X46" s="318"/>
      <c r="Y46" s="318">
        <f>IF(ISBLANK($F46)=TRUE,1,0)</f>
        <v>0</v>
      </c>
      <c r="Z46" s="318">
        <f>IF(ISBLANK($G46)=TRUE,1,0)</f>
        <v>0</v>
      </c>
      <c r="AA46" s="318"/>
      <c r="AB46" s="318">
        <f>IF(ISBLANK($I46)=TRUE,1,0)</f>
        <v>0</v>
      </c>
      <c r="AC46" s="318"/>
      <c r="AD46" s="318"/>
      <c r="AE46" s="1333"/>
      <c r="AF46" s="322">
        <f>IF($C46&lt;0,1,0)</f>
        <v>0</v>
      </c>
      <c r="AG46" s="322">
        <f>IF($D46&lt;0,1,0)</f>
        <v>0</v>
      </c>
      <c r="AH46" s="322"/>
      <c r="AI46" s="322">
        <f>IF($F46&lt;0,1,0)</f>
        <v>0</v>
      </c>
      <c r="AJ46" s="322">
        <f>IF($G46&lt;0,1,0)</f>
        <v>0</v>
      </c>
      <c r="AK46" s="322"/>
      <c r="AL46" s="322">
        <f>IF($I46&lt;0,1,0)</f>
        <v>0</v>
      </c>
      <c r="AM46" s="322"/>
      <c r="AN46" s="322"/>
      <c r="AO46" s="1333"/>
      <c r="AQ46" s="302" t="str">
        <f>B46</f>
        <v>Priority services for customers in vulnerable circumstances</v>
      </c>
      <c r="AR46" s="1484" t="s">
        <v>757</v>
      </c>
      <c r="AS46" s="1444" t="s">
        <v>758</v>
      </c>
      <c r="AT46" s="1492" t="s">
        <v>573</v>
      </c>
      <c r="AU46" s="1444" t="s">
        <v>759</v>
      </c>
      <c r="AV46" s="1444" t="s">
        <v>760</v>
      </c>
      <c r="AW46" s="1492" t="s">
        <v>577</v>
      </c>
      <c r="AX46" s="1444" t="s">
        <v>761</v>
      </c>
      <c r="AY46" s="1492" t="s">
        <v>581</v>
      </c>
      <c r="BA46" s="2339"/>
      <c r="BB46" s="2339"/>
      <c r="BC46" s="2339"/>
      <c r="BD46" s="2339"/>
      <c r="BE46" s="2339"/>
      <c r="BF46" s="2339"/>
      <c r="BG46" s="2339"/>
      <c r="BH46" s="2339"/>
      <c r="BI46" s="2339"/>
    </row>
    <row r="47" spans="2:61" s="21" customFormat="1" ht="15">
      <c r="B47" s="36"/>
      <c r="C47" s="37"/>
      <c r="D47" s="37"/>
      <c r="E47" s="38"/>
      <c r="F47" s="26"/>
      <c r="G47" s="26"/>
      <c r="H47" s="26"/>
      <c r="I47" s="26"/>
      <c r="J47" s="26"/>
      <c r="K47" s="26"/>
      <c r="L47" s="26"/>
      <c r="M47" s="26"/>
      <c r="N47" s="26"/>
      <c r="T47" s="343"/>
      <c r="U47" s="1336"/>
      <c r="V47" s="333"/>
      <c r="W47" s="333"/>
      <c r="X47" s="333"/>
      <c r="Y47" s="333"/>
      <c r="Z47" s="333"/>
      <c r="AA47" s="333"/>
      <c r="AB47" s="333"/>
      <c r="AC47" s="333"/>
      <c r="AD47" s="333"/>
      <c r="AE47" s="1336"/>
      <c r="AF47" s="334"/>
      <c r="AG47" s="334"/>
      <c r="AH47" s="334"/>
      <c r="AI47" s="333"/>
      <c r="AJ47" s="334"/>
      <c r="AK47" s="334"/>
      <c r="AL47" s="334"/>
      <c r="AM47" s="334"/>
      <c r="AN47" s="334"/>
      <c r="AO47" s="1336"/>
    </row>
    <row r="48" spans="2:61" s="9" customFormat="1" ht="15">
      <c r="B48" s="270" t="s">
        <v>327</v>
      </c>
      <c r="C48" s="1341"/>
      <c r="D48" s="1329"/>
      <c r="E48" s="1329"/>
      <c r="F48" s="1329"/>
      <c r="G48" s="1329"/>
      <c r="H48" s="1329"/>
      <c r="I48" s="1329"/>
      <c r="J48" s="1329"/>
      <c r="K48" s="1329"/>
      <c r="L48" s="1329"/>
      <c r="M48" s="1329"/>
      <c r="N48" s="1329"/>
      <c r="O48" s="1332"/>
      <c r="P48" s="1332"/>
      <c r="Q48" s="1332"/>
      <c r="R48" s="1332"/>
      <c r="S48" s="1332"/>
      <c r="T48" s="1332"/>
      <c r="U48" s="1334"/>
      <c r="V48" s="1334"/>
      <c r="W48" s="327"/>
      <c r="X48" s="327"/>
      <c r="Y48" s="327"/>
      <c r="Z48" s="327"/>
      <c r="AA48" s="327"/>
      <c r="AB48" s="327"/>
      <c r="AC48" s="327"/>
      <c r="AD48" s="327"/>
      <c r="AE48" s="327"/>
      <c r="AF48" s="1334"/>
      <c r="AG48" s="328"/>
      <c r="AH48" s="328"/>
      <c r="AI48" s="328"/>
      <c r="AJ48" s="327"/>
      <c r="AK48" s="327"/>
      <c r="AL48" s="327"/>
      <c r="AM48" s="327"/>
      <c r="AN48" s="327"/>
      <c r="AO48" s="328"/>
      <c r="AP48" s="1334"/>
      <c r="AQ48" s="1332"/>
      <c r="AR48" s="1332"/>
      <c r="AS48" s="1332"/>
      <c r="AT48" s="1332"/>
      <c r="AU48" s="1332"/>
      <c r="AV48" s="1332"/>
      <c r="AW48" s="1332"/>
      <c r="AX48" s="1332"/>
      <c r="AY48" s="1332"/>
      <c r="AZ48" s="1332"/>
      <c r="BA48" s="1332"/>
      <c r="BB48" s="1332"/>
      <c r="BC48" s="1332"/>
      <c r="BD48" s="1332"/>
      <c r="BE48" s="1332"/>
      <c r="BF48" s="1332"/>
      <c r="BG48" s="1332"/>
      <c r="BH48" s="1332"/>
      <c r="BI48" s="1332"/>
    </row>
    <row r="49" spans="2:42" ht="15">
      <c r="U49" s="271"/>
      <c r="V49" s="1334"/>
      <c r="W49" s="327"/>
      <c r="X49" s="327"/>
      <c r="Y49" s="327"/>
      <c r="Z49" s="327"/>
      <c r="AA49" s="327"/>
      <c r="AB49" s="327"/>
      <c r="AC49" s="327"/>
      <c r="AD49" s="327"/>
      <c r="AE49" s="327"/>
      <c r="AF49" s="1334"/>
      <c r="AG49" s="328"/>
      <c r="AH49" s="328"/>
      <c r="AI49" s="328"/>
      <c r="AJ49" s="327"/>
      <c r="AK49" s="327"/>
      <c r="AL49" s="327"/>
      <c r="AM49" s="327"/>
      <c r="AN49" s="327"/>
      <c r="AO49" s="328"/>
      <c r="AP49" s="271"/>
    </row>
    <row r="50" spans="2:42" ht="15">
      <c r="B50" s="1786" t="s">
        <v>328</v>
      </c>
      <c r="U50" s="271"/>
      <c r="V50" s="1334"/>
      <c r="W50" s="327"/>
      <c r="X50" s="327"/>
      <c r="Y50" s="327"/>
      <c r="Z50" s="327"/>
      <c r="AA50" s="327"/>
      <c r="AB50" s="327"/>
      <c r="AC50" s="327"/>
      <c r="AD50" s="327"/>
      <c r="AE50" s="327"/>
      <c r="AF50" s="1334"/>
      <c r="AG50" s="328"/>
      <c r="AH50" s="328"/>
      <c r="AI50" s="328"/>
      <c r="AJ50" s="327"/>
      <c r="AK50" s="327"/>
      <c r="AL50" s="327"/>
      <c r="AM50" s="327"/>
      <c r="AN50" s="327"/>
      <c r="AO50" s="328"/>
      <c r="AP50" s="271"/>
    </row>
    <row r="51" spans="2:42" ht="15.75" thickBot="1">
      <c r="U51" s="271"/>
      <c r="V51" s="1334"/>
      <c r="W51" s="327"/>
      <c r="X51" s="327"/>
      <c r="Y51" s="327"/>
      <c r="Z51" s="327"/>
      <c r="AA51" s="327"/>
      <c r="AB51" s="327"/>
      <c r="AC51" s="327"/>
      <c r="AD51" s="327"/>
      <c r="AE51" s="327"/>
      <c r="AF51" s="1334"/>
      <c r="AG51" s="328"/>
      <c r="AH51" s="328"/>
      <c r="AI51" s="328"/>
      <c r="AJ51" s="327"/>
      <c r="AK51" s="327"/>
      <c r="AL51" s="327"/>
      <c r="AM51" s="327"/>
      <c r="AN51" s="327"/>
      <c r="AO51" s="328"/>
      <c r="AP51" s="271"/>
    </row>
    <row r="52" spans="2:42" ht="26.25" thickBot="1">
      <c r="B52" s="2154" t="s">
        <v>329</v>
      </c>
      <c r="U52" s="271"/>
      <c r="V52" s="1334"/>
      <c r="W52" s="327"/>
      <c r="X52" s="327"/>
      <c r="Y52" s="327"/>
      <c r="Z52" s="327"/>
      <c r="AA52" s="327"/>
      <c r="AB52" s="327"/>
      <c r="AC52" s="327"/>
      <c r="AD52" s="327"/>
      <c r="AE52" s="327"/>
      <c r="AF52" s="1334"/>
      <c r="AG52" s="328"/>
      <c r="AH52" s="328"/>
      <c r="AI52" s="328"/>
      <c r="AJ52" s="327"/>
      <c r="AK52" s="327"/>
      <c r="AL52" s="327"/>
      <c r="AM52" s="327"/>
      <c r="AN52" s="327"/>
      <c r="AO52" s="328"/>
      <c r="AP52" s="271"/>
    </row>
    <row r="53" spans="2:42" ht="15">
      <c r="U53" s="271"/>
      <c r="V53" s="1334"/>
      <c r="W53" s="327"/>
      <c r="X53" s="327"/>
      <c r="Y53" s="327"/>
      <c r="Z53" s="327"/>
      <c r="AA53" s="327"/>
      <c r="AB53" s="327"/>
      <c r="AC53" s="327"/>
      <c r="AD53" s="327"/>
      <c r="AE53" s="327"/>
      <c r="AF53" s="1334"/>
      <c r="AG53" s="328"/>
      <c r="AH53" s="328"/>
      <c r="AI53" s="328"/>
      <c r="AJ53" s="327"/>
      <c r="AK53" s="327"/>
      <c r="AL53" s="327"/>
      <c r="AM53" s="327"/>
      <c r="AN53" s="327"/>
      <c r="AO53" s="328"/>
      <c r="AP53" s="271"/>
    </row>
    <row r="54" spans="2:42" ht="15">
      <c r="B54" s="1787" t="s">
        <v>330</v>
      </c>
      <c r="U54" s="271"/>
      <c r="V54" s="1334"/>
      <c r="W54" s="327"/>
      <c r="X54" s="327"/>
      <c r="Y54" s="327"/>
      <c r="Z54" s="327"/>
      <c r="AA54" s="327"/>
      <c r="AB54" s="327"/>
      <c r="AC54" s="327"/>
      <c r="AD54" s="327"/>
      <c r="AE54" s="327"/>
      <c r="AF54" s="1334"/>
      <c r="AG54" s="328"/>
      <c r="AH54" s="328"/>
      <c r="AI54" s="328"/>
      <c r="AJ54" s="327"/>
      <c r="AK54" s="327"/>
      <c r="AL54" s="327"/>
      <c r="AM54" s="327"/>
      <c r="AN54" s="327"/>
      <c r="AO54" s="328"/>
      <c r="AP54" s="271"/>
    </row>
    <row r="55" spans="2:42" ht="15">
      <c r="U55" s="271"/>
      <c r="V55" s="1334"/>
      <c r="W55" s="327"/>
      <c r="X55" s="327"/>
      <c r="Y55" s="327"/>
      <c r="Z55" s="327"/>
      <c r="AA55" s="327"/>
      <c r="AB55" s="327"/>
      <c r="AC55" s="327"/>
      <c r="AD55" s="327"/>
      <c r="AE55" s="327"/>
      <c r="AF55" s="1334"/>
      <c r="AG55" s="328"/>
      <c r="AH55" s="328"/>
      <c r="AI55" s="328"/>
      <c r="AJ55" s="327"/>
      <c r="AK55" s="327"/>
      <c r="AL55" s="327"/>
      <c r="AM55" s="327"/>
      <c r="AN55" s="327"/>
      <c r="AO55" s="328"/>
      <c r="AP55" s="271"/>
    </row>
    <row r="56" spans="2:42">
      <c r="B56" s="1788" t="s">
        <v>331</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5">
      <c r="B58" s="288" t="str">
        <f>'3A'!$B$53</f>
        <v>Please refer to RAG 4.13 - Guideline for the table definitions in the annual performance report</v>
      </c>
    </row>
    <row r="59" spans="2:42"/>
    <row r="60" spans="2:42"/>
    <row r="61" spans="2:42"/>
    <row r="62" spans="2:42"/>
    <row r="63" spans="2:42"/>
    <row r="64" spans="2:42"/>
  </sheetData>
  <mergeCells count="4">
    <mergeCell ref="C1:E1"/>
    <mergeCell ref="B4:D4"/>
    <mergeCell ref="E4:G4"/>
    <mergeCell ref="H4:N4"/>
  </mergeCells>
  <conditionalFormatting sqref="R9:S12">
    <cfRule type="cellIs" dxfId="276" priority="7" operator="equal">
      <formula>0</formula>
    </cfRule>
  </conditionalFormatting>
  <conditionalFormatting sqref="R18:S19">
    <cfRule type="cellIs" dxfId="275" priority="31" operator="equal">
      <formula>0</formula>
    </cfRule>
  </conditionalFormatting>
  <conditionalFormatting sqref="R25:S25">
    <cfRule type="cellIs" dxfId="274" priority="6" operator="equal">
      <formula>0</formula>
    </cfRule>
  </conditionalFormatting>
  <conditionalFormatting sqref="R28:S28">
    <cfRule type="cellIs" dxfId="273" priority="5" operator="equal">
      <formula>0</formula>
    </cfRule>
  </conditionalFormatting>
  <conditionalFormatting sqref="R31:S31">
    <cfRule type="cellIs" dxfId="272" priority="4" operator="equal">
      <formula>0</formula>
    </cfRule>
  </conditionalFormatting>
  <conditionalFormatting sqref="R34:S34">
    <cfRule type="cellIs" dxfId="271" priority="3" operator="equal">
      <formula>0</formula>
    </cfRule>
  </conditionalFormatting>
  <conditionalFormatting sqref="R40:S40">
    <cfRule type="cellIs" dxfId="270" priority="1" operator="equal">
      <formula>0</formula>
    </cfRule>
  </conditionalFormatting>
  <conditionalFormatting sqref="R46:S46">
    <cfRule type="cellIs" dxfId="269" priority="2" operator="equal">
      <formula>0</formula>
    </cfRule>
  </conditionalFormatting>
  <conditionalFormatting sqref="AQ19:AV19 AX19 BB19:BC19">
    <cfRule type="expression" dxfId="268"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64</v>
      </c>
      <c r="C1" s="2389" t="str">
        <f>IF(OR(InpCompany!$F$5="Northumbrian Water",  InpCompany!$F$5="South Staffs Water"),"","For use by Northumbrian Water and South Staffs Water only")</f>
        <v>For use by Northumbrian Water and South Staffs Water only</v>
      </c>
      <c r="D1" s="2389"/>
      <c r="E1" s="2389"/>
      <c r="F1" s="2389"/>
      <c r="G1" s="6"/>
      <c r="S1" s="1912"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7"/>
      <c r="F12" s="2287"/>
      <c r="G12" s="2288"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684</v>
      </c>
      <c r="AU12" s="1447" t="s">
        <v>685</v>
      </c>
      <c r="AV12" s="1448" t="s">
        <v>686</v>
      </c>
      <c r="AX12" s="2339"/>
      <c r="AY12" s="2339"/>
      <c r="AZ12" s="2339"/>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6"/>
      <c r="E18" s="2166"/>
      <c r="F18" s="2166"/>
      <c r="G18" s="2289" t="str">
        <f>IFERROR(IF(OR('Validation summary'!$B$3="Northumbrian Water",'Validation summary'!$B$3="South Staffs Water"),ROUND(AVERAGE(D18:F18),1),""),"")</f>
        <v/>
      </c>
      <c r="H18" s="2166"/>
      <c r="I18" s="2166"/>
      <c r="J18" s="2166"/>
      <c r="K18" s="2167"/>
      <c r="L18" s="2300" t="s">
        <v>762</v>
      </c>
      <c r="M18" s="2290" t="str">
        <f>IFERROR(IF(OR('Validation summary'!$B$3="Northumbrian Water",'Validation summary'!$B$3="South Staffs Water"),ROUND(AVERAGE(J18:L18),1),""),"")</f>
        <v/>
      </c>
      <c r="N18" s="2290"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708</v>
      </c>
      <c r="AW18" s="1449"/>
      <c r="AX18" s="1451"/>
      <c r="AY18" s="1449"/>
      <c r="AZ18" s="1449"/>
      <c r="BA18" s="1449" t="s">
        <v>709</v>
      </c>
      <c r="BB18" s="1479" t="s">
        <v>710</v>
      </c>
      <c r="BC18" s="1479" t="s">
        <v>186</v>
      </c>
      <c r="BE18" s="2339"/>
      <c r="BG18" s="2339"/>
      <c r="BH18" s="2339"/>
      <c r="BI18" s="2339"/>
    </row>
    <row r="19" spans="2:61" s="21" customFormat="1" ht="25.5" customHeight="1">
      <c r="B19" s="302" t="s">
        <v>680</v>
      </c>
      <c r="C19" s="302" t="s">
        <v>681</v>
      </c>
      <c r="D19" s="2166"/>
      <c r="E19" s="2166"/>
      <c r="F19" s="2166"/>
      <c r="G19" s="2289" t="str">
        <f>IFERROR(IF('Validation summary'!$B$3="South Staffs Water",ROUND(AVERAGE(D19:F19),1),""),"")</f>
        <v/>
      </c>
      <c r="H19" s="2166"/>
      <c r="I19" s="2166"/>
      <c r="J19" s="2166"/>
      <c r="K19" s="2166"/>
      <c r="L19" s="2168" t="str">
        <f>$G$12</f>
        <v/>
      </c>
      <c r="M19" s="2290" t="str">
        <f>IFERROR(IF(OR('Validation summary'!$B$3="Northumbrian Water",'Validation summary'!$B$3="South Staffs Water"),ROUND(AVERAGE(J19:L19),1),""),"")</f>
        <v/>
      </c>
      <c r="N19" s="2290"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712</v>
      </c>
      <c r="AW19" s="1449"/>
      <c r="AX19" s="1452"/>
      <c r="AY19" s="1449"/>
      <c r="AZ19" s="1449"/>
      <c r="BA19" s="1449" t="s">
        <v>686</v>
      </c>
      <c r="BB19" s="1479" t="s">
        <v>713</v>
      </c>
      <c r="BC19" s="1479" t="s">
        <v>195</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7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7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50000000000001"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6" t="s">
        <v>153</v>
      </c>
      <c r="C28" s="2355" t="s">
        <v>739</v>
      </c>
      <c r="D28" s="2355" t="s">
        <v>740</v>
      </c>
      <c r="E28" s="2355"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7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4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6" t="s">
        <v>153</v>
      </c>
      <c r="C34" s="2355" t="s">
        <v>747</v>
      </c>
      <c r="D34" s="2355" t="s">
        <v>748</v>
      </c>
      <c r="E34" s="2355" t="s">
        <v>749</v>
      </c>
      <c r="F34" s="2355" t="s">
        <v>750</v>
      </c>
      <c r="G34" s="2355" t="s">
        <v>751</v>
      </c>
      <c r="H34" s="2355" t="s">
        <v>752</v>
      </c>
      <c r="I34" s="2355" t="s">
        <v>753</v>
      </c>
      <c r="J34" s="2355" t="s">
        <v>754</v>
      </c>
      <c r="K34" s="279"/>
      <c r="L34" s="279"/>
      <c r="M34" s="1332"/>
      <c r="N34" s="1329"/>
      <c r="O34" s="1332"/>
      <c r="P34" s="1332"/>
      <c r="Q34" s="1332"/>
      <c r="R34" s="1332"/>
      <c r="S34" s="1332"/>
      <c r="T34" s="1332"/>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75">
      <c r="B35" s="278"/>
      <c r="C35" s="278"/>
      <c r="D35" s="278"/>
      <c r="E35" s="278"/>
      <c r="F35" s="278"/>
      <c r="G35" s="278"/>
      <c r="H35" s="278"/>
      <c r="I35" s="278"/>
      <c r="J35" s="278"/>
      <c r="K35" s="278"/>
      <c r="L35" s="278"/>
      <c r="M35" s="278"/>
      <c r="N35" s="1329"/>
      <c r="O35" s="1332"/>
      <c r="P35" s="1332"/>
      <c r="Q35" s="1332"/>
      <c r="R35" s="1332"/>
      <c r="S35" s="1332"/>
      <c r="T35" s="1332"/>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5.5">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5">
      <c r="B38" s="36"/>
      <c r="C38" s="37"/>
      <c r="D38" s="37"/>
      <c r="E38" s="38"/>
      <c r="F38" s="26"/>
      <c r="G38" s="26"/>
      <c r="H38" s="26"/>
      <c r="I38" s="26"/>
      <c r="J38" s="26"/>
      <c r="K38" s="26"/>
      <c r="L38" s="26"/>
      <c r="M38" s="26"/>
      <c r="N38" s="26"/>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7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25" thickBot="1">
      <c r="B43" s="2154"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54" t="s">
        <v>329</v>
      </c>
    </row>
  </sheetData>
  <mergeCells count="4">
    <mergeCell ref="C1:F1"/>
    <mergeCell ref="B4:D4"/>
    <mergeCell ref="E4:G4"/>
    <mergeCell ref="H4:N4"/>
  </mergeCells>
  <conditionalFormatting sqref="R12:S12 R18:S19">
    <cfRule type="cellIs" dxfId="2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1" width="12.875" style="8" customWidth="1"/>
    <col min="12" max="12" width="15.625" style="8" customWidth="1"/>
    <col min="13" max="13" width="12.625" style="8" customWidth="1"/>
    <col min="14" max="14" width="10.125" style="8" customWidth="1"/>
    <col min="15" max="15" width="4" style="8" customWidth="1"/>
    <col min="16" max="16" width="8.62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1"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66</v>
      </c>
      <c r="C1" s="2389" t="str">
        <f>IF(OR(InpCompany!$F$5="Northumbrian Water",  InpCompany!$F$5="South Staffs Water"),"","For use by Northumbrian Water and South Staffs Water only")</f>
        <v>For use by Northumbrian Water and South Staffs Water only</v>
      </c>
      <c r="D1" s="2389"/>
      <c r="E1" s="2389"/>
      <c r="F1" s="2389"/>
      <c r="G1" s="6"/>
      <c r="S1" s="1912"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63</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35"/>
      <c r="R3" s="292" t="s">
        <v>150</v>
      </c>
      <c r="S3" s="292"/>
      <c r="T3" s="1332"/>
      <c r="U3" s="1333"/>
      <c r="V3" s="1332"/>
      <c r="W3" s="1332"/>
      <c r="X3" s="1332"/>
      <c r="Y3" s="1332"/>
      <c r="Z3" s="1332"/>
      <c r="AA3" s="1332"/>
      <c r="AB3" s="1332"/>
      <c r="AC3" s="1332"/>
      <c r="AD3" s="1332"/>
      <c r="AE3" s="1333"/>
      <c r="AF3" s="1332"/>
      <c r="AG3" s="1332"/>
      <c r="AH3" s="1332"/>
      <c r="AI3" s="1332"/>
      <c r="AJ3" s="1332"/>
      <c r="AK3" s="1332"/>
      <c r="AL3" s="1332"/>
      <c r="AM3" s="1332"/>
      <c r="AN3" s="1332"/>
      <c r="AO3" s="1333"/>
      <c r="AP3" s="1334"/>
      <c r="AQ3" s="292" t="s">
        <v>151</v>
      </c>
      <c r="AR3" s="1332"/>
      <c r="AS3" s="1332"/>
      <c r="AT3" s="1332"/>
      <c r="AU3" s="1332"/>
      <c r="AV3" s="1332"/>
      <c r="AW3" s="1332"/>
      <c r="AX3" s="1332"/>
      <c r="AY3" s="1332"/>
      <c r="AZ3" s="1332"/>
      <c r="BA3" s="1332"/>
      <c r="BB3" s="1332"/>
      <c r="BC3" s="1332"/>
    </row>
    <row r="4" spans="2:55" s="9" customFormat="1" ht="9" customHeight="1">
      <c r="B4" s="2388"/>
      <c r="C4" s="2388"/>
      <c r="D4" s="2388"/>
      <c r="E4" s="2388"/>
      <c r="F4" s="2388"/>
      <c r="G4" s="2388"/>
      <c r="H4" s="2388"/>
      <c r="I4" s="2388"/>
      <c r="J4" s="2388"/>
      <c r="K4" s="2388"/>
      <c r="L4" s="2388"/>
      <c r="M4" s="2388"/>
      <c r="N4" s="2388"/>
      <c r="O4" s="1332"/>
      <c r="P4" s="1332"/>
      <c r="Q4" s="1332"/>
      <c r="R4" s="1332"/>
      <c r="S4" s="1332"/>
      <c r="T4" s="1332"/>
      <c r="U4" s="1333"/>
      <c r="V4" s="1332"/>
      <c r="W4" s="1332"/>
      <c r="X4" s="1332"/>
      <c r="Y4" s="1332"/>
      <c r="Z4" s="1332"/>
      <c r="AA4" s="1332"/>
      <c r="AB4" s="1332"/>
      <c r="AC4" s="1332"/>
      <c r="AD4" s="1332"/>
      <c r="AE4" s="1333"/>
      <c r="AF4" s="1332"/>
      <c r="AG4" s="1332"/>
      <c r="AH4" s="1332"/>
      <c r="AI4" s="1332"/>
      <c r="AJ4" s="1332"/>
      <c r="AK4" s="1332"/>
      <c r="AL4" s="1332"/>
      <c r="AM4" s="1332"/>
      <c r="AN4" s="1332"/>
      <c r="AO4" s="1333"/>
      <c r="AP4" s="1334"/>
      <c r="AQ4" s="1332"/>
      <c r="AR4" s="1332"/>
      <c r="AS4" s="1332"/>
      <c r="AT4" s="1332"/>
      <c r="AU4" s="1332"/>
      <c r="AV4" s="1332"/>
      <c r="AW4" s="1332"/>
      <c r="AX4" s="1332"/>
      <c r="AY4" s="1332"/>
      <c r="AZ4" s="1332"/>
      <c r="BA4" s="1332"/>
      <c r="BB4" s="1332"/>
      <c r="BC4" s="1332"/>
    </row>
    <row r="5" spans="2:55" s="9" customFormat="1" ht="14.25" customHeight="1">
      <c r="B5" s="1332"/>
      <c r="C5" s="25">
        <v>1</v>
      </c>
      <c r="D5" s="25">
        <v>2</v>
      </c>
      <c r="E5" s="25">
        <v>3</v>
      </c>
      <c r="F5" s="25">
        <v>4</v>
      </c>
      <c r="G5" s="25">
        <v>5</v>
      </c>
      <c r="H5" s="1332"/>
      <c r="I5" s="1332"/>
      <c r="J5" s="1332"/>
      <c r="K5" s="1332"/>
      <c r="L5" s="1332"/>
      <c r="M5" s="1332"/>
      <c r="N5" s="1332"/>
      <c r="O5" s="1332"/>
      <c r="P5" s="1332"/>
      <c r="Q5" s="1332"/>
      <c r="R5" s="1332"/>
      <c r="S5" s="1332"/>
      <c r="T5" s="1332"/>
      <c r="U5" s="1333"/>
      <c r="V5" s="1332" t="s">
        <v>162</v>
      </c>
      <c r="W5" s="1332"/>
      <c r="X5" s="1332"/>
      <c r="Y5" s="1332"/>
      <c r="Z5" s="1332"/>
      <c r="AA5" s="1332"/>
      <c r="AB5" s="1332"/>
      <c r="AC5" s="1332"/>
      <c r="AD5" s="1332"/>
      <c r="AE5" s="1333"/>
      <c r="AF5" s="1332" t="s">
        <v>163</v>
      </c>
      <c r="AG5" s="1332"/>
      <c r="AH5" s="1332"/>
      <c r="AI5" s="1332"/>
      <c r="AJ5" s="1332"/>
      <c r="AK5" s="1332"/>
      <c r="AL5" s="1332"/>
      <c r="AM5" s="1332"/>
      <c r="AN5" s="1332"/>
      <c r="AO5" s="1333"/>
      <c r="AP5" s="1334"/>
      <c r="AQ5" s="1332"/>
      <c r="AR5" s="1332"/>
      <c r="AS5" s="1332"/>
      <c r="AT5" s="1332"/>
      <c r="AU5" s="1332"/>
      <c r="AV5" s="1332"/>
      <c r="AW5" s="1332"/>
      <c r="AX5" s="1332"/>
      <c r="AY5" s="1332"/>
      <c r="AZ5" s="1332"/>
      <c r="BA5" s="1332"/>
      <c r="BB5" s="1332"/>
      <c r="BC5" s="1332"/>
    </row>
    <row r="6" spans="2:55" s="9" customFormat="1" ht="57.75" customHeight="1">
      <c r="B6" s="2356" t="s">
        <v>153</v>
      </c>
      <c r="C6" s="2355" t="s">
        <v>155</v>
      </c>
      <c r="D6" s="2355" t="s">
        <v>662</v>
      </c>
      <c r="E6" s="2355" t="s">
        <v>663</v>
      </c>
      <c r="F6" s="2355" t="s">
        <v>664</v>
      </c>
      <c r="G6" s="2355" t="s">
        <v>665</v>
      </c>
      <c r="H6" s="276"/>
      <c r="I6" s="276"/>
      <c r="J6" s="276"/>
      <c r="K6" s="276"/>
      <c r="L6" s="276"/>
      <c r="M6" s="276"/>
      <c r="N6" s="276"/>
      <c r="O6" s="277"/>
      <c r="P6" s="2355" t="s">
        <v>161</v>
      </c>
      <c r="Q6" s="1332"/>
      <c r="R6" s="324" t="s">
        <v>162</v>
      </c>
      <c r="S6" s="324" t="s">
        <v>163</v>
      </c>
      <c r="T6" s="1332"/>
      <c r="U6" s="1333"/>
      <c r="V6" s="320" t="s">
        <v>166</v>
      </c>
      <c r="W6" s="1332"/>
      <c r="X6" s="1332"/>
      <c r="Y6" s="1332"/>
      <c r="Z6" s="1332"/>
      <c r="AA6" s="1332"/>
      <c r="AB6" s="1332"/>
      <c r="AC6" s="1332"/>
      <c r="AD6" s="1332"/>
      <c r="AE6" s="1333"/>
      <c r="AF6" s="320" t="s">
        <v>167</v>
      </c>
      <c r="AG6" s="1332"/>
      <c r="AH6" s="320"/>
      <c r="AI6" s="320"/>
      <c r="AJ6" s="1332"/>
      <c r="AK6" s="1332"/>
      <c r="AL6" s="1332"/>
      <c r="AM6" s="1332"/>
      <c r="AN6" s="1332"/>
      <c r="AO6" s="1333"/>
      <c r="AP6" s="1334"/>
      <c r="AQ6" s="2356" t="s">
        <v>153</v>
      </c>
      <c r="AR6" s="2355" t="s">
        <v>155</v>
      </c>
      <c r="AS6" s="2355" t="s">
        <v>662</v>
      </c>
      <c r="AT6" s="2355" t="s">
        <v>663</v>
      </c>
      <c r="AU6" s="2355" t="s">
        <v>666</v>
      </c>
      <c r="AV6" s="2355" t="s">
        <v>665</v>
      </c>
      <c r="AW6" s="1332"/>
      <c r="AX6" s="1332"/>
      <c r="AY6" s="1332"/>
      <c r="AZ6" s="1332"/>
      <c r="BA6" s="1332"/>
      <c r="BB6" s="1332"/>
      <c r="BC6" s="1332"/>
    </row>
    <row r="7" spans="2:55" s="9" customFormat="1" ht="15.75">
      <c r="B7" s="23"/>
      <c r="C7" s="23"/>
      <c r="D7" s="23"/>
      <c r="E7" s="23"/>
      <c r="F7" s="23"/>
      <c r="G7" s="23"/>
      <c r="H7" s="1329"/>
      <c r="I7" s="1329"/>
      <c r="J7" s="1329"/>
      <c r="K7" s="1329"/>
      <c r="L7" s="1329"/>
      <c r="M7" s="1329"/>
      <c r="N7" s="1329"/>
      <c r="O7" s="1332"/>
      <c r="P7" s="1332"/>
      <c r="Q7" s="1332"/>
      <c r="R7" s="1332"/>
      <c r="S7" s="1332"/>
      <c r="T7" s="1332"/>
      <c r="U7" s="1333"/>
      <c r="V7" s="1332"/>
      <c r="W7" s="1332"/>
      <c r="X7" s="1332"/>
      <c r="Y7" s="1332"/>
      <c r="Z7" s="1332"/>
      <c r="AA7" s="1332"/>
      <c r="AB7" s="1332"/>
      <c r="AC7" s="1332"/>
      <c r="AD7" s="1332"/>
      <c r="AE7" s="1333"/>
      <c r="AF7" s="1332"/>
      <c r="AG7" s="1332"/>
      <c r="AH7" s="1332"/>
      <c r="AI7" s="1332"/>
      <c r="AJ7" s="1332"/>
      <c r="AK7" s="1332"/>
      <c r="AL7" s="1332"/>
      <c r="AM7" s="1332"/>
      <c r="AN7" s="1332"/>
      <c r="AO7" s="1333"/>
      <c r="AP7" s="1334"/>
      <c r="AQ7" s="1332"/>
      <c r="AR7" s="1332"/>
      <c r="AS7" s="1332"/>
      <c r="AT7" s="1332"/>
      <c r="AU7" s="1332"/>
      <c r="AV7" s="1332"/>
      <c r="AW7" s="1332"/>
      <c r="AX7" s="1332"/>
      <c r="AY7" s="1332"/>
      <c r="AZ7" s="1332"/>
      <c r="BA7" s="1332"/>
      <c r="BB7" s="1332"/>
      <c r="BC7" s="1332"/>
    </row>
    <row r="8" spans="2:55" s="9" customFormat="1" ht="25.5">
      <c r="B8" s="303" t="s">
        <v>667</v>
      </c>
      <c r="C8" s="23"/>
      <c r="D8" s="23"/>
      <c r="E8" s="23"/>
      <c r="F8" s="23"/>
      <c r="G8" s="23"/>
      <c r="H8" s="1329"/>
      <c r="I8" s="1329"/>
      <c r="J8" s="1329"/>
      <c r="K8" s="1329"/>
      <c r="L8" s="1329"/>
      <c r="M8" s="1329"/>
      <c r="N8" s="1329"/>
      <c r="O8" s="1332"/>
      <c r="P8" s="1332"/>
      <c r="Q8" s="1332"/>
      <c r="R8" s="1332"/>
      <c r="S8" s="1332"/>
      <c r="T8" s="1332"/>
      <c r="U8" s="1333"/>
      <c r="V8" s="317">
        <v>3</v>
      </c>
      <c r="W8" s="317">
        <v>4</v>
      </c>
      <c r="X8" s="317">
        <v>5</v>
      </c>
      <c r="Y8" s="317"/>
      <c r="Z8" s="317"/>
      <c r="AA8" s="317"/>
      <c r="AB8" s="317"/>
      <c r="AC8" s="317"/>
      <c r="AD8" s="317"/>
      <c r="AE8" s="321"/>
      <c r="AF8" s="317">
        <v>3</v>
      </c>
      <c r="AG8" s="317">
        <v>4</v>
      </c>
      <c r="AH8" s="317">
        <v>5</v>
      </c>
      <c r="AI8" s="317"/>
      <c r="AJ8" s="317"/>
      <c r="AK8" s="317"/>
      <c r="AL8" s="317"/>
      <c r="AM8" s="317"/>
      <c r="AN8" s="317"/>
      <c r="AO8" s="1333"/>
      <c r="AP8" s="1334"/>
      <c r="AQ8" s="1332"/>
      <c r="AR8" s="1332"/>
      <c r="AS8" s="1332"/>
      <c r="AT8" s="1332"/>
      <c r="AU8" s="1332"/>
      <c r="AV8" s="1332"/>
      <c r="AW8" s="1332"/>
      <c r="AX8" s="1332"/>
      <c r="AY8" s="1332"/>
      <c r="AZ8" s="1332"/>
      <c r="BA8" s="1332"/>
      <c r="BB8" s="1332"/>
      <c r="BC8" s="1332"/>
    </row>
    <row r="9" spans="2:55" s="21" customFormat="1" ht="29.25" customHeight="1">
      <c r="B9" s="302" t="s">
        <v>668</v>
      </c>
      <c r="C9" s="302" t="s">
        <v>669</v>
      </c>
      <c r="D9" s="302" t="s">
        <v>670</v>
      </c>
      <c r="E9" s="305"/>
      <c r="F9" s="258"/>
      <c r="G9" s="259"/>
      <c r="H9" s="26"/>
      <c r="I9" s="26"/>
      <c r="J9" s="26"/>
      <c r="K9" s="26"/>
      <c r="L9" s="26"/>
      <c r="M9" s="26"/>
      <c r="N9" s="26"/>
      <c r="P9" s="286" t="s">
        <v>671</v>
      </c>
      <c r="R9" s="310"/>
      <c r="S9" s="310"/>
      <c r="U9" s="1333"/>
      <c r="V9" s="318"/>
      <c r="W9" s="318"/>
      <c r="X9" s="318"/>
      <c r="Y9" s="318"/>
      <c r="Z9" s="318"/>
      <c r="AA9" s="318"/>
      <c r="AB9" s="318"/>
      <c r="AC9" s="318"/>
      <c r="AD9" s="318"/>
      <c r="AE9" s="1333"/>
      <c r="AF9" s="322"/>
      <c r="AG9" s="322"/>
      <c r="AH9" s="322"/>
      <c r="AI9" s="318"/>
      <c r="AJ9" s="322"/>
      <c r="AK9" s="322"/>
      <c r="AL9" s="322"/>
      <c r="AM9" s="322"/>
      <c r="AN9" s="322"/>
      <c r="AO9" s="1333"/>
      <c r="AP9" s="1334"/>
    </row>
    <row r="10" spans="2:55" s="21" customFormat="1" ht="29.25" customHeight="1">
      <c r="B10" s="302" t="s">
        <v>674</v>
      </c>
      <c r="C10" s="302" t="s">
        <v>669</v>
      </c>
      <c r="D10" s="302" t="s">
        <v>670</v>
      </c>
      <c r="E10" s="305"/>
      <c r="F10" s="258"/>
      <c r="G10" s="259"/>
      <c r="H10" s="26"/>
      <c r="I10" s="26"/>
      <c r="J10" s="26"/>
      <c r="K10" s="26"/>
      <c r="L10" s="26"/>
      <c r="M10" s="26"/>
      <c r="N10" s="26"/>
      <c r="P10" s="286" t="s">
        <v>675</v>
      </c>
      <c r="R10" s="310"/>
      <c r="S10" s="310"/>
      <c r="U10" s="1333"/>
      <c r="V10" s="318"/>
      <c r="W10" s="318"/>
      <c r="X10" s="318"/>
      <c r="Y10" s="318"/>
      <c r="Z10" s="318"/>
      <c r="AA10" s="318"/>
      <c r="AB10" s="318"/>
      <c r="AC10" s="318"/>
      <c r="AD10" s="318"/>
      <c r="AE10" s="1333"/>
      <c r="AF10" s="322"/>
      <c r="AG10" s="322"/>
      <c r="AH10" s="322"/>
      <c r="AI10" s="318"/>
      <c r="AJ10" s="322"/>
      <c r="AK10" s="322"/>
      <c r="AL10" s="322"/>
      <c r="AM10" s="322"/>
      <c r="AN10" s="322"/>
      <c r="AO10" s="1333"/>
      <c r="AP10" s="1334"/>
    </row>
    <row r="11" spans="2:55" s="21" customFormat="1" ht="29.25" customHeight="1">
      <c r="B11" s="302" t="s">
        <v>203</v>
      </c>
      <c r="C11" s="302" t="s">
        <v>669</v>
      </c>
      <c r="D11" s="302" t="s">
        <v>670</v>
      </c>
      <c r="E11" s="305"/>
      <c r="F11" s="263"/>
      <c r="G11" s="259"/>
      <c r="H11" s="26"/>
      <c r="I11" s="26"/>
      <c r="J11" s="26"/>
      <c r="K11" s="26"/>
      <c r="L11" s="26"/>
      <c r="M11" s="26"/>
      <c r="N11" s="26"/>
      <c r="P11" s="286" t="s">
        <v>678</v>
      </c>
      <c r="R11" s="337"/>
      <c r="S11" s="337"/>
      <c r="U11" s="1333"/>
      <c r="V11" s="318"/>
      <c r="W11" s="318"/>
      <c r="X11" s="318"/>
      <c r="Y11" s="318"/>
      <c r="Z11" s="318"/>
      <c r="AA11" s="318"/>
      <c r="AB11" s="318"/>
      <c r="AC11" s="318"/>
      <c r="AD11" s="318"/>
      <c r="AE11" s="1333"/>
      <c r="AF11" s="322"/>
      <c r="AG11" s="322"/>
      <c r="AH11" s="322"/>
      <c r="AI11" s="318"/>
      <c r="AJ11" s="322"/>
      <c r="AK11" s="322"/>
      <c r="AL11" s="322"/>
      <c r="AM11" s="322"/>
      <c r="AN11" s="322"/>
      <c r="AO11" s="1333"/>
      <c r="AP11" s="1334"/>
    </row>
    <row r="12" spans="2:55" s="21" customFormat="1" ht="53.25" customHeight="1">
      <c r="B12" s="302" t="s">
        <v>680</v>
      </c>
      <c r="C12" s="302" t="s">
        <v>681</v>
      </c>
      <c r="D12" s="1281" t="s">
        <v>682</v>
      </c>
      <c r="E12" s="1797"/>
      <c r="F12" s="2287"/>
      <c r="G12" s="2288" t="str">
        <f>IFERROR(IF('Validation summary'!$B$3="South Staffs Water",ROUND((F12 / E12)*1000,1),""),"")</f>
        <v/>
      </c>
      <c r="H12" s="26"/>
      <c r="I12" s="26"/>
      <c r="J12" s="26"/>
      <c r="K12" s="26"/>
      <c r="L12" s="26"/>
      <c r="M12" s="26"/>
      <c r="N12" s="26"/>
      <c r="P12" s="286" t="s">
        <v>683</v>
      </c>
      <c r="R12" s="319">
        <f>IF(SUM($V12:$X12)=0,0,$V$6)</f>
        <v>0</v>
      </c>
      <c r="S12" s="331">
        <f>IF(SUM($AF12:$AH12)=0,0,$AF$6)</f>
        <v>0</v>
      </c>
      <c r="U12" s="1333"/>
      <c r="V12" s="318">
        <f>IF('Validation summary'!$B$3="South Staffs Water",IF(ISBLANK($E12)=TRUE,1,0),0)</f>
        <v>0</v>
      </c>
      <c r="W12" s="318">
        <f>IF('Validation summary'!$B$3="South Staffs Water",IF(ISBLANK($F12)=TRUE,1,0),0)</f>
        <v>0</v>
      </c>
      <c r="X12" s="318"/>
      <c r="Y12" s="318"/>
      <c r="Z12" s="318"/>
      <c r="AA12" s="318"/>
      <c r="AB12" s="318"/>
      <c r="AC12" s="318"/>
      <c r="AD12" s="318"/>
      <c r="AE12" s="1333"/>
      <c r="AF12" s="322">
        <f>IF($E12&lt;0,1,0)</f>
        <v>0</v>
      </c>
      <c r="AG12" s="322">
        <f>IF($F12&lt;0,1,0)</f>
        <v>0</v>
      </c>
      <c r="AH12" s="322"/>
      <c r="AI12" s="318"/>
      <c r="AJ12" s="322"/>
      <c r="AK12" s="322"/>
      <c r="AL12" s="322"/>
      <c r="AM12" s="322"/>
      <c r="AN12" s="322"/>
      <c r="AO12" s="1333"/>
      <c r="AP12" s="1334"/>
      <c r="AQ12" s="302" t="s">
        <v>680</v>
      </c>
      <c r="AR12" s="302" t="s">
        <v>681</v>
      </c>
      <c r="AS12" s="1281" t="s">
        <v>682</v>
      </c>
      <c r="AT12" s="1446" t="s">
        <v>763</v>
      </c>
      <c r="AU12" s="1447" t="s">
        <v>764</v>
      </c>
      <c r="AV12" s="1448" t="s">
        <v>765</v>
      </c>
      <c r="AX12" s="2339"/>
      <c r="AY12" s="2339"/>
      <c r="AZ12" s="2339"/>
    </row>
    <row r="13" spans="2:55" s="21" customFormat="1" ht="13.5" customHeight="1">
      <c r="B13" s="27"/>
      <c r="C13" s="27"/>
      <c r="D13" s="27"/>
      <c r="E13" s="11"/>
      <c r="F13" s="11"/>
      <c r="G13" s="11"/>
      <c r="H13" s="26"/>
      <c r="I13" s="26"/>
      <c r="J13" s="26"/>
      <c r="K13" s="26"/>
      <c r="L13" s="26"/>
      <c r="M13" s="26"/>
      <c r="N13" s="26"/>
      <c r="P13" s="10"/>
      <c r="R13" s="10"/>
      <c r="S13" s="10"/>
      <c r="U13" s="1333"/>
      <c r="V13" s="318"/>
      <c r="W13" s="318"/>
      <c r="X13" s="318"/>
      <c r="Y13" s="318"/>
      <c r="Z13" s="318"/>
      <c r="AA13" s="318"/>
      <c r="AB13" s="318"/>
      <c r="AC13" s="318"/>
      <c r="AD13" s="318"/>
      <c r="AE13" s="1333"/>
      <c r="AF13" s="322"/>
      <c r="AG13" s="322"/>
      <c r="AH13" s="322"/>
      <c r="AI13" s="318"/>
      <c r="AJ13" s="322"/>
      <c r="AK13" s="322"/>
      <c r="AL13" s="322"/>
      <c r="AM13" s="322"/>
      <c r="AN13" s="322"/>
      <c r="AO13" s="1333"/>
      <c r="AP13" s="1334"/>
    </row>
    <row r="14" spans="2:55" s="21" customFormat="1" ht="15">
      <c r="B14" s="27"/>
      <c r="C14" s="25">
        <v>6</v>
      </c>
      <c r="D14" s="25">
        <v>7</v>
      </c>
      <c r="E14" s="25">
        <v>8</v>
      </c>
      <c r="F14" s="25">
        <v>9</v>
      </c>
      <c r="G14" s="25">
        <v>10</v>
      </c>
      <c r="H14" s="25">
        <v>11</v>
      </c>
      <c r="I14" s="25" t="s">
        <v>687</v>
      </c>
      <c r="J14" s="25" t="s">
        <v>688</v>
      </c>
      <c r="K14" s="25" t="s">
        <v>689</v>
      </c>
      <c r="L14" s="25" t="s">
        <v>690</v>
      </c>
      <c r="M14" s="25">
        <v>12</v>
      </c>
      <c r="N14" s="25">
        <v>13</v>
      </c>
      <c r="U14" s="1333"/>
      <c r="V14" s="318"/>
      <c r="W14" s="318"/>
      <c r="X14" s="318"/>
      <c r="Y14" s="318"/>
      <c r="Z14" s="318"/>
      <c r="AA14" s="318"/>
      <c r="AB14" s="318"/>
      <c r="AC14" s="318"/>
      <c r="AD14" s="318"/>
      <c r="AE14" s="1333"/>
      <c r="AF14" s="322"/>
      <c r="AG14" s="322"/>
      <c r="AH14" s="322"/>
      <c r="AI14" s="318"/>
      <c r="AJ14" s="322"/>
      <c r="AK14" s="322"/>
      <c r="AL14" s="322"/>
      <c r="AM14" s="322"/>
      <c r="AN14" s="322"/>
      <c r="AO14" s="1333"/>
      <c r="AP14" s="1334"/>
    </row>
    <row r="15" spans="2:55" s="9" customFormat="1" ht="72.75" customHeight="1">
      <c r="B15" s="2356" t="s">
        <v>153</v>
      </c>
      <c r="C15" s="2355" t="s">
        <v>155</v>
      </c>
      <c r="D15" s="2355" t="s">
        <v>691</v>
      </c>
      <c r="E15" s="2355" t="s">
        <v>692</v>
      </c>
      <c r="F15" s="2355" t="s">
        <v>693</v>
      </c>
      <c r="G15" s="2355" t="s">
        <v>694</v>
      </c>
      <c r="H15" s="2355" t="s">
        <v>695</v>
      </c>
      <c r="I15" s="2355" t="s">
        <v>696</v>
      </c>
      <c r="J15" s="2355" t="s">
        <v>697</v>
      </c>
      <c r="K15" s="2355" t="s">
        <v>698</v>
      </c>
      <c r="L15" s="2355" t="s">
        <v>699</v>
      </c>
      <c r="M15" s="2355" t="s">
        <v>700</v>
      </c>
      <c r="N15" s="2355" t="s">
        <v>701</v>
      </c>
      <c r="O15" s="1332"/>
      <c r="P15" s="1332"/>
      <c r="Q15" s="1332"/>
      <c r="R15" s="1332"/>
      <c r="S15" s="1332"/>
      <c r="T15" s="1332"/>
      <c r="U15" s="1333"/>
      <c r="V15" s="318"/>
      <c r="W15" s="318"/>
      <c r="X15" s="318"/>
      <c r="Y15" s="318"/>
      <c r="Z15" s="318"/>
      <c r="AA15" s="318"/>
      <c r="AB15" s="318"/>
      <c r="AC15" s="318"/>
      <c r="AD15" s="318"/>
      <c r="AE15" s="1333"/>
      <c r="AF15" s="322"/>
      <c r="AG15" s="322"/>
      <c r="AH15" s="322"/>
      <c r="AI15" s="318"/>
      <c r="AJ15" s="322"/>
      <c r="AK15" s="322"/>
      <c r="AL15" s="322"/>
      <c r="AM15" s="322"/>
      <c r="AN15" s="322"/>
      <c r="AO15" s="1333"/>
      <c r="AP15" s="1334"/>
      <c r="AQ15" s="2356" t="s">
        <v>153</v>
      </c>
      <c r="AR15" s="2355" t="s">
        <v>155</v>
      </c>
      <c r="AS15" s="2355" t="s">
        <v>691</v>
      </c>
      <c r="AT15" s="2355" t="s">
        <v>692</v>
      </c>
      <c r="AU15" s="2355" t="s">
        <v>693</v>
      </c>
      <c r="AV15" s="2355" t="s">
        <v>694</v>
      </c>
      <c r="AW15" s="2355" t="s">
        <v>695</v>
      </c>
      <c r="AX15" s="2355" t="s">
        <v>696</v>
      </c>
      <c r="AY15" s="2355" t="s">
        <v>697</v>
      </c>
      <c r="AZ15" s="2355" t="s">
        <v>702</v>
      </c>
      <c r="BA15" s="2355" t="s">
        <v>703</v>
      </c>
      <c r="BB15" s="2355" t="s">
        <v>700</v>
      </c>
      <c r="BC15" s="2355" t="s">
        <v>701</v>
      </c>
    </row>
    <row r="16" spans="2:55" s="9" customFormat="1" ht="15.75">
      <c r="B16" s="278"/>
      <c r="C16" s="278"/>
      <c r="D16" s="278"/>
      <c r="E16" s="278"/>
      <c r="F16" s="278"/>
      <c r="G16" s="278"/>
      <c r="H16" s="278"/>
      <c r="I16" s="278"/>
      <c r="J16" s="278"/>
      <c r="K16" s="278"/>
      <c r="L16" s="278"/>
      <c r="M16" s="278"/>
      <c r="N16" s="278"/>
      <c r="O16" s="1332"/>
      <c r="P16" s="1332"/>
      <c r="Q16" s="1332"/>
      <c r="R16" s="1332"/>
      <c r="S16" s="1332"/>
      <c r="T16" s="1332"/>
      <c r="U16" s="1333"/>
      <c r="V16" s="318"/>
      <c r="W16" s="318"/>
      <c r="X16" s="318"/>
      <c r="Y16" s="318"/>
      <c r="Z16" s="318"/>
      <c r="AA16" s="318"/>
      <c r="AB16" s="318"/>
      <c r="AC16" s="318"/>
      <c r="AD16" s="318"/>
      <c r="AE16" s="1333"/>
      <c r="AF16" s="322"/>
      <c r="AG16" s="322"/>
      <c r="AH16" s="322"/>
      <c r="AI16" s="318"/>
      <c r="AJ16" s="322"/>
      <c r="AK16" s="322"/>
      <c r="AL16" s="322"/>
      <c r="AM16" s="322"/>
      <c r="AN16" s="322"/>
      <c r="AO16" s="1333"/>
      <c r="AP16" s="1334"/>
      <c r="AQ16" s="1332"/>
      <c r="AR16" s="1332"/>
      <c r="AS16" s="1332"/>
      <c r="AT16" s="1332"/>
      <c r="AU16" s="1332"/>
      <c r="AV16" s="1332"/>
      <c r="AW16" s="1332"/>
      <c r="AX16" s="1332"/>
      <c r="AY16" s="1332"/>
      <c r="AZ16" s="1332"/>
      <c r="BA16" s="1332"/>
      <c r="BB16" s="1332"/>
      <c r="BC16" s="1332"/>
    </row>
    <row r="17" spans="2:61" s="9" customFormat="1" ht="42" customHeight="1" thickBot="1">
      <c r="B17" s="303" t="s">
        <v>704</v>
      </c>
      <c r="C17" s="278"/>
      <c r="D17" s="278"/>
      <c r="E17" s="278"/>
      <c r="F17" s="278"/>
      <c r="G17" s="278"/>
      <c r="H17" s="278"/>
      <c r="I17" s="278"/>
      <c r="J17" s="278"/>
      <c r="K17" s="278"/>
      <c r="L17" s="278"/>
      <c r="M17" s="278"/>
      <c r="N17" s="278"/>
      <c r="O17" s="1332"/>
      <c r="P17" s="1332"/>
      <c r="Q17" s="1332"/>
      <c r="R17" s="1332"/>
      <c r="S17" s="1332"/>
      <c r="T17" s="1332"/>
      <c r="U17" s="1333"/>
      <c r="V17" s="317">
        <v>7</v>
      </c>
      <c r="W17" s="317">
        <v>8</v>
      </c>
      <c r="X17" s="317">
        <v>9</v>
      </c>
      <c r="Y17" s="317">
        <v>10</v>
      </c>
      <c r="Z17" s="317">
        <v>11</v>
      </c>
      <c r="AA17" s="317" t="s">
        <v>687</v>
      </c>
      <c r="AB17" s="317" t="s">
        <v>688</v>
      </c>
      <c r="AC17" s="317" t="s">
        <v>689</v>
      </c>
      <c r="AD17" s="317" t="s">
        <v>690</v>
      </c>
      <c r="AE17" s="1333"/>
      <c r="AF17" s="317">
        <v>7</v>
      </c>
      <c r="AG17" s="317">
        <v>8</v>
      </c>
      <c r="AH17" s="317">
        <v>9</v>
      </c>
      <c r="AI17" s="317">
        <v>10</v>
      </c>
      <c r="AJ17" s="317">
        <v>11</v>
      </c>
      <c r="AK17" s="317" t="s">
        <v>687</v>
      </c>
      <c r="AL17" s="317" t="s">
        <v>688</v>
      </c>
      <c r="AM17" s="317" t="s">
        <v>689</v>
      </c>
      <c r="AN17" s="317" t="s">
        <v>690</v>
      </c>
      <c r="AO17" s="1333"/>
      <c r="AP17" s="1334"/>
      <c r="AQ17" s="1332"/>
      <c r="AR17" s="1332"/>
      <c r="AS17" s="1332"/>
      <c r="AT17" s="1332"/>
      <c r="AU17" s="1332"/>
      <c r="AV17" s="1332"/>
      <c r="AW17" s="1332"/>
      <c r="AX17" s="1332"/>
      <c r="AY17" s="1332"/>
      <c r="AZ17" s="1332"/>
      <c r="BA17" s="1332"/>
      <c r="BB17" s="1332"/>
      <c r="BC17" s="1332"/>
      <c r="BD17" s="1332"/>
      <c r="BE17" s="1332"/>
      <c r="BF17" s="1332"/>
      <c r="BG17" s="1332"/>
      <c r="BH17" s="1332"/>
      <c r="BI17" s="1332"/>
    </row>
    <row r="18" spans="2:61" s="21" customFormat="1" ht="25.5" customHeight="1" thickBot="1">
      <c r="B18" s="302" t="s">
        <v>705</v>
      </c>
      <c r="C18" s="302" t="s">
        <v>706</v>
      </c>
      <c r="D18" s="2166"/>
      <c r="E18" s="2166"/>
      <c r="F18" s="2166"/>
      <c r="G18" s="2289" t="str">
        <f>IFERROR(IF(OR('Validation summary'!$B$3="Northumbrian Water",'Validation summary'!$B$3="South Staffs Water"),ROUND(AVERAGE(D18:F18),1),""),"")</f>
        <v/>
      </c>
      <c r="H18" s="2166"/>
      <c r="I18" s="2166"/>
      <c r="J18" s="2166"/>
      <c r="K18" s="2167"/>
      <c r="L18" s="2300" t="s">
        <v>762</v>
      </c>
      <c r="M18" s="2290" t="str">
        <f>IFERROR(IF(OR('Validation summary'!$B$3="Northumbrian Water",'Validation summary'!$B$3="South Staffs Water"),ROUND(AVERAGE(J18:L18),1),""),"")</f>
        <v/>
      </c>
      <c r="N18" s="2290" t="str">
        <f>IFERROR(IF(OR('Validation summary'!$B$3="Northumbrian Water",'Validation summary'!$B$3="South Staffs Water"),(1-M18/G18)*100,""),"")</f>
        <v/>
      </c>
      <c r="P18" s="286" t="s">
        <v>707</v>
      </c>
      <c r="R18" s="319">
        <f>IF(SUM($V18:$AD18)=0,0,$V$6)</f>
        <v>0</v>
      </c>
      <c r="S18" s="331">
        <f>IF(SUM($AF18:$AN18)=0,0,$AF$6)</f>
        <v>0</v>
      </c>
      <c r="U18" s="1333"/>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33"/>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33"/>
      <c r="AP18" s="1334"/>
      <c r="AQ18" s="302" t="s">
        <v>705</v>
      </c>
      <c r="AR18" s="302" t="s">
        <v>706</v>
      </c>
      <c r="AS18" s="1449"/>
      <c r="AT18" s="1449"/>
      <c r="AU18" s="1449"/>
      <c r="AV18" s="1450" t="s">
        <v>766</v>
      </c>
      <c r="AW18" s="1449"/>
      <c r="AX18" s="1451"/>
      <c r="AY18" s="1449"/>
      <c r="AZ18" s="1449"/>
      <c r="BA18" s="1449" t="s">
        <v>767</v>
      </c>
      <c r="BB18" s="1479" t="s">
        <v>768</v>
      </c>
      <c r="BC18" s="1479" t="s">
        <v>190</v>
      </c>
      <c r="BE18" s="2339"/>
      <c r="BG18" s="2339"/>
      <c r="BH18" s="2339"/>
      <c r="BI18" s="2339"/>
    </row>
    <row r="19" spans="2:61" s="21" customFormat="1" ht="25.5" customHeight="1">
      <c r="B19" s="302" t="s">
        <v>680</v>
      </c>
      <c r="C19" s="302" t="s">
        <v>681</v>
      </c>
      <c r="D19" s="2166"/>
      <c r="E19" s="2166"/>
      <c r="F19" s="2166"/>
      <c r="G19" s="2289" t="str">
        <f>IFERROR(IF('Validation summary'!$B$3="South Staffs Water",ROUND(AVERAGE(D19:F19),1),""),"")</f>
        <v/>
      </c>
      <c r="H19" s="2166"/>
      <c r="I19" s="2166"/>
      <c r="J19" s="2166"/>
      <c r="K19" s="2166"/>
      <c r="L19" s="2168" t="str">
        <f>$G$12</f>
        <v/>
      </c>
      <c r="M19" s="2290" t="str">
        <f>IFERROR(IF(OR('Validation summary'!$B$3="Northumbrian Water",'Validation summary'!$B$3="South Staffs Water"),ROUND(AVERAGE(J19:L19),1),""),"")</f>
        <v/>
      </c>
      <c r="N19" s="2290" t="str">
        <f>IFERROR(IF('Validation summary'!$B$3="South Staffs Water",(1-M19/G19)*100,""),"")</f>
        <v/>
      </c>
      <c r="P19" s="286" t="s">
        <v>711</v>
      </c>
      <c r="R19" s="319">
        <f>IF(SUM($V19:$AD19)=0,0,$V$6)</f>
        <v>0</v>
      </c>
      <c r="S19" s="331">
        <f>IF(SUM($AF19:$AN19)=0,0,$AF$6)</f>
        <v>0</v>
      </c>
      <c r="U19" s="1333"/>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33"/>
      <c r="AF19" s="322">
        <f>IF($D19&lt;0,1,0)</f>
        <v>0</v>
      </c>
      <c r="AG19" s="322">
        <f>IF($E19&lt;0,1,0)</f>
        <v>0</v>
      </c>
      <c r="AH19" s="322">
        <f>IF($F19&lt;0,1,0)</f>
        <v>0</v>
      </c>
      <c r="AI19" s="318"/>
      <c r="AJ19" s="322">
        <f>IF($H19&lt;0,1,0)</f>
        <v>0</v>
      </c>
      <c r="AK19" s="322">
        <f>IF($I19&lt;0,1,0)</f>
        <v>0</v>
      </c>
      <c r="AL19" s="322">
        <f>IF($J19&lt;0,1,0)</f>
        <v>0</v>
      </c>
      <c r="AM19" s="322">
        <f>IF($K19&lt;0,1,0)</f>
        <v>0</v>
      </c>
      <c r="AN19" s="322"/>
      <c r="AO19" s="1333"/>
      <c r="AP19" s="1334"/>
      <c r="AQ19" s="302" t="s">
        <v>680</v>
      </c>
      <c r="AR19" s="302" t="s">
        <v>681</v>
      </c>
      <c r="AS19" s="1449"/>
      <c r="AT19" s="1449"/>
      <c r="AU19" s="1449"/>
      <c r="AV19" s="1450" t="s">
        <v>769</v>
      </c>
      <c r="AW19" s="1449"/>
      <c r="AX19" s="1452"/>
      <c r="AY19" s="1449"/>
      <c r="AZ19" s="1449"/>
      <c r="BA19" s="1449" t="s">
        <v>765</v>
      </c>
      <c r="BB19" s="1479" t="s">
        <v>770</v>
      </c>
      <c r="BC19" s="1479" t="s">
        <v>199</v>
      </c>
      <c r="BE19" s="2339"/>
      <c r="BG19" s="2339"/>
      <c r="BH19" s="2339"/>
      <c r="BI19" s="2339"/>
    </row>
    <row r="20" spans="2:61" s="21" customFormat="1" ht="17.25" customHeight="1">
      <c r="B20" s="27"/>
      <c r="C20" s="27"/>
      <c r="D20" s="11"/>
      <c r="E20" s="11"/>
      <c r="F20" s="11"/>
      <c r="G20" s="11"/>
      <c r="H20" s="11"/>
      <c r="I20" s="11"/>
      <c r="J20" s="11"/>
      <c r="K20" s="11"/>
      <c r="L20" s="11"/>
      <c r="M20" s="11"/>
      <c r="N20" s="11"/>
      <c r="P20" s="10"/>
      <c r="R20" s="10"/>
      <c r="S20" s="10"/>
      <c r="U20" s="1333"/>
      <c r="V20" s="318"/>
      <c r="W20" s="318"/>
      <c r="X20" s="318"/>
      <c r="Y20" s="318"/>
      <c r="Z20" s="318"/>
      <c r="AA20" s="318"/>
      <c r="AB20" s="318"/>
      <c r="AC20" s="318"/>
      <c r="AD20" s="318"/>
      <c r="AE20" s="1333"/>
      <c r="AF20" s="322"/>
      <c r="AG20" s="322"/>
      <c r="AH20" s="322"/>
      <c r="AI20" s="318"/>
      <c r="AJ20" s="322"/>
      <c r="AK20" s="322"/>
      <c r="AL20" s="322"/>
      <c r="AM20" s="322"/>
      <c r="AN20" s="322"/>
      <c r="AO20" s="1333"/>
      <c r="AP20" s="1334"/>
    </row>
    <row r="21" spans="2:61" s="9" customFormat="1" ht="15">
      <c r="B21" s="1337"/>
      <c r="C21" s="25">
        <v>14</v>
      </c>
      <c r="D21" s="25">
        <v>15</v>
      </c>
      <c r="E21" s="25">
        <v>16</v>
      </c>
      <c r="F21" s="25">
        <v>17</v>
      </c>
      <c r="G21" s="25">
        <v>18</v>
      </c>
      <c r="H21" s="25">
        <v>19</v>
      </c>
      <c r="I21" s="25"/>
      <c r="J21" s="25"/>
      <c r="K21" s="25"/>
      <c r="L21" s="25"/>
      <c r="M21" s="1329"/>
      <c r="N21" s="1329"/>
      <c r="O21" s="1332"/>
      <c r="P21" s="1332"/>
      <c r="Q21" s="1332"/>
      <c r="R21" s="1332"/>
      <c r="S21" s="1332"/>
      <c r="T21" s="1332"/>
      <c r="U21" s="1333"/>
      <c r="V21" s="317"/>
      <c r="W21" s="317"/>
      <c r="X21" s="317"/>
      <c r="Y21" s="317"/>
      <c r="Z21" s="317"/>
      <c r="AA21" s="317"/>
      <c r="AB21" s="317"/>
      <c r="AC21" s="317"/>
      <c r="AD21" s="317"/>
      <c r="AE21" s="1333"/>
      <c r="AF21" s="317"/>
      <c r="AG21" s="317"/>
      <c r="AH21" s="317"/>
      <c r="AI21" s="317"/>
      <c r="AJ21" s="317"/>
      <c r="AK21" s="317"/>
      <c r="AL21" s="317"/>
      <c r="AM21" s="317"/>
      <c r="AN21" s="317"/>
      <c r="AO21" s="1333"/>
      <c r="AP21" s="1334"/>
      <c r="AQ21" s="1332"/>
      <c r="AR21" s="1332"/>
      <c r="AS21" s="1332"/>
      <c r="AT21" s="1332"/>
      <c r="AU21" s="1332"/>
      <c r="AV21" s="1332"/>
      <c r="AW21" s="1332"/>
      <c r="AX21" s="1332"/>
      <c r="AY21" s="1332"/>
      <c r="AZ21" s="1332"/>
      <c r="BA21" s="1332"/>
      <c r="BB21" s="1332"/>
      <c r="BC21" s="1332"/>
      <c r="BD21" s="1332"/>
      <c r="BE21" s="1332"/>
      <c r="BF21" s="1332"/>
      <c r="BG21" s="1332"/>
      <c r="BH21" s="1332"/>
      <c r="BI21" s="1332"/>
    </row>
    <row r="22" spans="2:61" s="9" customFormat="1" ht="38.25">
      <c r="B22" s="2356" t="s">
        <v>153</v>
      </c>
      <c r="C22" s="2355" t="s">
        <v>155</v>
      </c>
      <c r="D22" s="2355" t="s">
        <v>662</v>
      </c>
      <c r="E22" s="2355" t="s">
        <v>714</v>
      </c>
      <c r="F22" s="2355" t="s">
        <v>715</v>
      </c>
      <c r="G22" s="2355" t="s">
        <v>716</v>
      </c>
      <c r="H22" s="2355" t="s">
        <v>717</v>
      </c>
      <c r="I22" s="279"/>
      <c r="J22" s="279"/>
      <c r="K22" s="279"/>
      <c r="L22" s="279"/>
      <c r="M22" s="1329"/>
      <c r="N22" s="1329"/>
      <c r="O22" s="1332"/>
      <c r="P22" s="1332"/>
      <c r="Q22" s="1332"/>
      <c r="R22" s="1332"/>
      <c r="S22" s="1332"/>
      <c r="T22" s="1332"/>
      <c r="U22" s="1333"/>
      <c r="V22" s="318"/>
      <c r="W22" s="318"/>
      <c r="X22" s="318"/>
      <c r="Y22" s="318"/>
      <c r="Z22" s="318"/>
      <c r="AA22" s="318"/>
      <c r="AB22" s="318"/>
      <c r="AC22" s="318"/>
      <c r="AD22" s="318"/>
      <c r="AE22" s="1333"/>
      <c r="AF22" s="322"/>
      <c r="AG22" s="322"/>
      <c r="AH22" s="322"/>
      <c r="AI22" s="318"/>
      <c r="AJ22" s="322"/>
      <c r="AK22" s="322"/>
      <c r="AL22" s="322"/>
      <c r="AM22" s="322"/>
      <c r="AN22" s="322"/>
      <c r="AO22" s="1333"/>
      <c r="AP22" s="1334"/>
      <c r="AQ22" s="1332"/>
      <c r="AR22" s="1332"/>
      <c r="AS22" s="1332"/>
      <c r="AT22" s="1332"/>
      <c r="AU22" s="1332"/>
      <c r="AV22" s="1332"/>
      <c r="AW22" s="1332"/>
      <c r="AX22" s="1332"/>
      <c r="AY22" s="1332"/>
      <c r="AZ22" s="1332"/>
      <c r="BA22" s="1332"/>
      <c r="BB22" s="1332"/>
      <c r="BC22" s="1332"/>
      <c r="BD22" s="1332"/>
      <c r="BE22" s="1332"/>
      <c r="BF22" s="1332"/>
      <c r="BG22" s="1332"/>
      <c r="BH22" s="1332"/>
      <c r="BI22" s="1332"/>
    </row>
    <row r="23" spans="2:61" s="9" customFormat="1" ht="15.75">
      <c r="B23" s="278"/>
      <c r="C23" s="278"/>
      <c r="D23" s="278"/>
      <c r="E23" s="278"/>
      <c r="F23" s="278"/>
      <c r="G23" s="278"/>
      <c r="H23" s="278"/>
      <c r="I23" s="278"/>
      <c r="J23" s="278"/>
      <c r="K23" s="278"/>
      <c r="L23" s="278"/>
      <c r="M23" s="23"/>
      <c r="N23" s="23"/>
      <c r="O23" s="1332"/>
      <c r="P23" s="1332"/>
      <c r="Q23" s="1332"/>
      <c r="R23" s="1332"/>
      <c r="S23" s="1332"/>
      <c r="T23" s="1332"/>
      <c r="U23" s="1333"/>
      <c r="V23" s="318"/>
      <c r="W23" s="318"/>
      <c r="X23" s="318"/>
      <c r="Y23" s="318"/>
      <c r="Z23" s="318"/>
      <c r="AA23" s="318"/>
      <c r="AB23" s="318"/>
      <c r="AC23" s="318"/>
      <c r="AD23" s="318"/>
      <c r="AE23" s="1333"/>
      <c r="AF23" s="322"/>
      <c r="AG23" s="322"/>
      <c r="AH23" s="322"/>
      <c r="AI23" s="318"/>
      <c r="AJ23" s="322"/>
      <c r="AK23" s="322"/>
      <c r="AL23" s="322"/>
      <c r="AM23" s="322"/>
      <c r="AN23" s="322"/>
      <c r="AO23" s="1333"/>
      <c r="AP23" s="1334"/>
      <c r="AQ23" s="1332"/>
      <c r="AR23" s="1332"/>
      <c r="AS23" s="1332"/>
      <c r="AT23" s="1332"/>
      <c r="AU23" s="1332"/>
      <c r="AV23" s="1332"/>
      <c r="AW23" s="1332"/>
      <c r="AX23" s="1332"/>
      <c r="AY23" s="1332"/>
      <c r="AZ23" s="1332"/>
      <c r="BA23" s="1332"/>
      <c r="BB23" s="1332"/>
      <c r="BC23" s="1332"/>
      <c r="BD23" s="1332"/>
      <c r="BE23" s="1332"/>
      <c r="BF23" s="1332"/>
      <c r="BG23" s="1332"/>
      <c r="BH23" s="1332"/>
      <c r="BI23" s="1332"/>
    </row>
    <row r="24" spans="2:61" s="9" customFormat="1" ht="15.75">
      <c r="B24" s="303" t="s">
        <v>179</v>
      </c>
      <c r="C24" s="278"/>
      <c r="D24" s="278"/>
      <c r="E24" s="278"/>
      <c r="F24" s="278"/>
      <c r="G24" s="278"/>
      <c r="H24" s="278"/>
      <c r="I24" s="278"/>
      <c r="J24" s="278"/>
      <c r="K24" s="278"/>
      <c r="L24" s="278"/>
      <c r="M24" s="23"/>
      <c r="N24" s="23"/>
      <c r="O24" s="1332"/>
      <c r="P24" s="1332"/>
      <c r="Q24" s="1332"/>
      <c r="R24" s="1332"/>
      <c r="S24" s="1332"/>
      <c r="T24" s="1332"/>
      <c r="U24" s="1333"/>
      <c r="V24" s="317">
        <v>16</v>
      </c>
      <c r="W24" s="317">
        <v>17</v>
      </c>
      <c r="X24" s="317">
        <v>18</v>
      </c>
      <c r="Y24" s="317">
        <v>19</v>
      </c>
      <c r="Z24" s="317"/>
      <c r="AA24" s="317"/>
      <c r="AB24" s="317"/>
      <c r="AC24" s="317"/>
      <c r="AD24" s="317"/>
      <c r="AE24" s="1333"/>
      <c r="AF24" s="317">
        <v>16</v>
      </c>
      <c r="AG24" s="317">
        <v>17</v>
      </c>
      <c r="AH24" s="317">
        <v>18</v>
      </c>
      <c r="AI24" s="317">
        <v>19</v>
      </c>
      <c r="AJ24" s="317"/>
      <c r="AK24" s="317"/>
      <c r="AL24" s="317"/>
      <c r="AM24" s="317"/>
      <c r="AN24" s="317"/>
      <c r="AO24" s="1333"/>
      <c r="AP24" s="1334"/>
      <c r="AQ24" s="1332"/>
      <c r="AR24" s="1332"/>
      <c r="AS24" s="1332"/>
      <c r="AT24" s="1332"/>
      <c r="AU24" s="1332"/>
      <c r="AV24" s="1332"/>
      <c r="AW24" s="1332"/>
      <c r="AX24" s="1332"/>
      <c r="AY24" s="1332"/>
      <c r="AZ24" s="1332"/>
      <c r="BA24" s="1332"/>
      <c r="BB24" s="1332"/>
      <c r="BC24" s="1332"/>
      <c r="BD24" s="1332"/>
      <c r="BE24" s="1332"/>
      <c r="BF24" s="1332"/>
      <c r="BG24" s="1332"/>
      <c r="BH24" s="1332"/>
      <c r="BI24" s="1332"/>
    </row>
    <row r="25" spans="2:61" s="21" customFormat="1" ht="58.5" customHeight="1">
      <c r="B25" s="302" t="s">
        <v>179</v>
      </c>
      <c r="C25" s="302" t="s">
        <v>719</v>
      </c>
      <c r="D25" s="302" t="s">
        <v>720</v>
      </c>
      <c r="E25" s="259"/>
      <c r="F25" s="260"/>
      <c r="G25" s="22"/>
      <c r="H25" s="259"/>
      <c r="I25" s="259"/>
      <c r="J25" s="259"/>
      <c r="K25" s="259"/>
      <c r="L25" s="259"/>
      <c r="M25" s="26"/>
      <c r="N25" s="26"/>
      <c r="P25" s="286" t="s">
        <v>721</v>
      </c>
      <c r="R25" s="310"/>
      <c r="S25" s="310"/>
      <c r="U25" s="1333"/>
      <c r="V25" s="318"/>
      <c r="W25" s="318"/>
      <c r="X25" s="318"/>
      <c r="Y25" s="318"/>
      <c r="Z25" s="318"/>
      <c r="AA25" s="318"/>
      <c r="AB25" s="318"/>
      <c r="AC25" s="318"/>
      <c r="AD25" s="318"/>
      <c r="AE25" s="1333"/>
      <c r="AF25" s="322"/>
      <c r="AG25" s="322"/>
      <c r="AH25" s="322"/>
      <c r="AI25" s="322"/>
      <c r="AJ25" s="322"/>
      <c r="AK25" s="322"/>
      <c r="AL25" s="322"/>
      <c r="AM25" s="322"/>
      <c r="AN25" s="322"/>
      <c r="AO25" s="1333"/>
      <c r="AP25" s="1334"/>
    </row>
    <row r="26" spans="2:61" s="9" customFormat="1" ht="16.350000000000001" customHeight="1">
      <c r="B26" s="1332"/>
      <c r="C26" s="1329"/>
      <c r="D26" s="1337"/>
      <c r="E26" s="1332"/>
      <c r="F26" s="1332"/>
      <c r="G26" s="1332"/>
      <c r="H26" s="1339"/>
      <c r="I26" s="1339"/>
      <c r="J26" s="1339"/>
      <c r="K26" s="1339"/>
      <c r="L26" s="1339"/>
      <c r="M26" s="1332"/>
      <c r="N26" s="1329"/>
      <c r="O26" s="1332"/>
      <c r="P26" s="1332"/>
      <c r="Q26" s="1332"/>
      <c r="R26" s="1332"/>
      <c r="S26" s="1332"/>
      <c r="T26" s="1332"/>
      <c r="U26" s="1333"/>
      <c r="V26" s="318"/>
      <c r="W26" s="318"/>
      <c r="X26" s="318"/>
      <c r="Y26" s="318"/>
      <c r="Z26" s="318"/>
      <c r="AA26" s="318"/>
      <c r="AB26" s="318"/>
      <c r="AC26" s="318"/>
      <c r="AD26" s="318"/>
      <c r="AE26" s="1333"/>
      <c r="AF26" s="322"/>
      <c r="AG26" s="322"/>
      <c r="AH26" s="322"/>
      <c r="AI26" s="318"/>
      <c r="AJ26" s="322"/>
      <c r="AK26" s="322"/>
      <c r="AL26" s="322"/>
      <c r="AM26" s="322"/>
      <c r="AN26" s="322"/>
      <c r="AO26" s="1333"/>
      <c r="AP26" s="1334"/>
      <c r="AQ26" s="1332"/>
      <c r="AR26" s="1332"/>
      <c r="AS26" s="1332"/>
      <c r="AT26" s="1332"/>
      <c r="AU26" s="1332"/>
      <c r="AV26" s="1332"/>
      <c r="AW26" s="1332"/>
      <c r="AX26" s="1332"/>
      <c r="AY26" s="1332"/>
      <c r="AZ26" s="1332"/>
      <c r="BA26" s="1332"/>
      <c r="BB26" s="1332"/>
      <c r="BC26" s="1332"/>
      <c r="BD26" s="1332"/>
      <c r="BE26" s="1332"/>
      <c r="BF26" s="1332"/>
      <c r="BG26" s="1332"/>
      <c r="BH26" s="1332"/>
      <c r="BI26" s="1332"/>
    </row>
    <row r="27" spans="2:61" s="9" customFormat="1" ht="16.350000000000001" customHeight="1">
      <c r="B27" s="1332"/>
      <c r="C27" s="25">
        <v>20</v>
      </c>
      <c r="D27" s="25">
        <v>21</v>
      </c>
      <c r="E27" s="25">
        <v>22</v>
      </c>
      <c r="F27" s="1332"/>
      <c r="G27" s="1332"/>
      <c r="H27" s="1339"/>
      <c r="I27" s="1339"/>
      <c r="J27" s="1339"/>
      <c r="K27" s="1339"/>
      <c r="L27" s="1339"/>
      <c r="M27" s="1332"/>
      <c r="N27" s="1329"/>
      <c r="O27" s="1332"/>
      <c r="P27" s="1332"/>
      <c r="Q27" s="1332"/>
      <c r="R27" s="1332"/>
      <c r="S27" s="1332"/>
      <c r="T27" s="1332"/>
      <c r="U27" s="1333"/>
      <c r="V27" s="317"/>
      <c r="W27" s="317"/>
      <c r="X27" s="317"/>
      <c r="Y27" s="318"/>
      <c r="Z27" s="318"/>
      <c r="AA27" s="318"/>
      <c r="AB27" s="318"/>
      <c r="AC27" s="318"/>
      <c r="AD27" s="318"/>
      <c r="AE27" s="1333"/>
      <c r="AF27" s="322"/>
      <c r="AG27" s="322"/>
      <c r="AH27" s="322"/>
      <c r="AI27" s="318"/>
      <c r="AJ27" s="322"/>
      <c r="AK27" s="322"/>
      <c r="AL27" s="322"/>
      <c r="AM27" s="322"/>
      <c r="AN27" s="322"/>
      <c r="AO27" s="1333"/>
      <c r="AP27" s="1334"/>
      <c r="AQ27" s="1332"/>
      <c r="AR27" s="1332"/>
      <c r="AS27" s="1332"/>
      <c r="AT27" s="1332"/>
      <c r="AU27" s="1332"/>
      <c r="AV27" s="1332"/>
      <c r="AW27" s="1332"/>
      <c r="AX27" s="1332"/>
      <c r="AY27" s="1332"/>
      <c r="AZ27" s="1332"/>
      <c r="BA27" s="1332"/>
      <c r="BB27" s="1332"/>
      <c r="BC27" s="1332"/>
      <c r="BD27" s="1332"/>
      <c r="BE27" s="1332"/>
      <c r="BF27" s="1332"/>
      <c r="BG27" s="1332"/>
      <c r="BH27" s="1332"/>
      <c r="BI27" s="1332"/>
    </row>
    <row r="28" spans="2:61" s="9" customFormat="1" ht="67.5" customHeight="1">
      <c r="B28" s="2356" t="s">
        <v>153</v>
      </c>
      <c r="C28" s="2355" t="s">
        <v>739</v>
      </c>
      <c r="D28" s="2355" t="s">
        <v>740</v>
      </c>
      <c r="E28" s="2355" t="s">
        <v>741</v>
      </c>
      <c r="F28" s="1332"/>
      <c r="G28" s="1332"/>
      <c r="H28" s="1329"/>
      <c r="I28" s="1329"/>
      <c r="J28" s="1329"/>
      <c r="K28" s="1329"/>
      <c r="L28" s="1329"/>
      <c r="M28" s="1329"/>
      <c r="N28" s="1329"/>
      <c r="O28" s="1332"/>
      <c r="P28" s="1332"/>
      <c r="Q28" s="1332"/>
      <c r="R28" s="1332"/>
      <c r="S28" s="1332"/>
      <c r="T28" s="1332"/>
      <c r="U28" s="1333"/>
      <c r="V28" s="318"/>
      <c r="W28" s="318"/>
      <c r="X28" s="318"/>
      <c r="Y28" s="318"/>
      <c r="Z28" s="318"/>
      <c r="AA28" s="318"/>
      <c r="AB28" s="318"/>
      <c r="AC28" s="318"/>
      <c r="AD28" s="318"/>
      <c r="AE28" s="1333"/>
      <c r="AF28" s="322"/>
      <c r="AG28" s="322"/>
      <c r="AH28" s="322"/>
      <c r="AI28" s="318"/>
      <c r="AJ28" s="322"/>
      <c r="AK28" s="322"/>
      <c r="AL28" s="322"/>
      <c r="AM28" s="322"/>
      <c r="AN28" s="322"/>
      <c r="AO28" s="1333"/>
      <c r="AP28" s="1334"/>
      <c r="AQ28" s="1332"/>
      <c r="AR28" s="1332"/>
      <c r="AS28" s="1332"/>
      <c r="AT28" s="1332"/>
      <c r="AU28" s="1332"/>
      <c r="AV28" s="1332"/>
      <c r="AW28" s="1332"/>
      <c r="AX28" s="1332"/>
      <c r="AY28" s="1332"/>
      <c r="AZ28" s="1332"/>
      <c r="BA28" s="1332"/>
      <c r="BB28" s="1332"/>
      <c r="BC28" s="1332"/>
      <c r="BD28" s="1332"/>
      <c r="BE28" s="1332"/>
      <c r="BF28" s="1332"/>
      <c r="BG28" s="1332"/>
      <c r="BH28" s="1332"/>
      <c r="BI28" s="1332"/>
    </row>
    <row r="29" spans="2:61" s="9" customFormat="1" ht="15.75">
      <c r="B29" s="278"/>
      <c r="C29" s="278"/>
      <c r="D29" s="278"/>
      <c r="E29" s="278"/>
      <c r="F29" s="23"/>
      <c r="G29" s="23"/>
      <c r="H29" s="23"/>
      <c r="I29" s="23"/>
      <c r="J29" s="23"/>
      <c r="K29" s="23"/>
      <c r="L29" s="23"/>
      <c r="M29" s="23"/>
      <c r="N29" s="23"/>
      <c r="O29" s="1332"/>
      <c r="P29" s="1332"/>
      <c r="Q29" s="1332"/>
      <c r="R29" s="1332"/>
      <c r="S29" s="1332"/>
      <c r="T29" s="1332"/>
      <c r="U29" s="1333"/>
      <c r="V29" s="318"/>
      <c r="W29" s="318"/>
      <c r="X29" s="318"/>
      <c r="Y29" s="318"/>
      <c r="Z29" s="318"/>
      <c r="AA29" s="318"/>
      <c r="AB29" s="318"/>
      <c r="AC29" s="318"/>
      <c r="AD29" s="318"/>
      <c r="AE29" s="1333"/>
      <c r="AF29" s="322"/>
      <c r="AG29" s="322"/>
      <c r="AH29" s="322"/>
      <c r="AI29" s="318"/>
      <c r="AJ29" s="322"/>
      <c r="AK29" s="322"/>
      <c r="AL29" s="322"/>
      <c r="AM29" s="322"/>
      <c r="AN29" s="322"/>
      <c r="AO29" s="1333"/>
      <c r="AP29" s="1334"/>
      <c r="AQ29" s="1332"/>
      <c r="AR29" s="1332"/>
      <c r="AS29" s="1332"/>
      <c r="AT29" s="1332"/>
      <c r="AU29" s="1332"/>
      <c r="AV29" s="1332"/>
      <c r="AW29" s="1332"/>
      <c r="AX29" s="1332"/>
      <c r="AY29" s="1332"/>
      <c r="AZ29" s="1332"/>
      <c r="BA29" s="1332"/>
      <c r="BB29" s="1332"/>
      <c r="BC29" s="1332"/>
      <c r="BD29" s="1332"/>
      <c r="BE29" s="1332"/>
      <c r="BF29" s="1332"/>
      <c r="BG29" s="1332"/>
      <c r="BH29" s="1332"/>
      <c r="BI29" s="1332"/>
    </row>
    <row r="30" spans="2:61" s="9" customFormat="1" ht="26.45" customHeight="1">
      <c r="B30" s="303" t="s">
        <v>742</v>
      </c>
      <c r="C30" s="278"/>
      <c r="D30" s="278"/>
      <c r="E30" s="278"/>
      <c r="F30" s="23"/>
      <c r="G30" s="23"/>
      <c r="H30" s="23"/>
      <c r="I30" s="23"/>
      <c r="J30" s="23"/>
      <c r="K30" s="23"/>
      <c r="L30" s="23"/>
      <c r="M30" s="23"/>
      <c r="N30" s="23"/>
      <c r="O30" s="1332"/>
      <c r="P30" s="1332"/>
      <c r="Q30" s="1332"/>
      <c r="R30" s="1332"/>
      <c r="S30" s="1332"/>
      <c r="T30" s="1332"/>
      <c r="U30" s="1333"/>
      <c r="V30" s="317">
        <v>20</v>
      </c>
      <c r="W30" s="317">
        <v>21</v>
      </c>
      <c r="X30" s="317">
        <v>22</v>
      </c>
      <c r="Y30" s="318"/>
      <c r="Z30" s="318"/>
      <c r="AA30" s="318"/>
      <c r="AB30" s="318"/>
      <c r="AC30" s="318"/>
      <c r="AD30" s="318"/>
      <c r="AE30" s="1333"/>
      <c r="AF30" s="317">
        <v>20</v>
      </c>
      <c r="AG30" s="317">
        <v>21</v>
      </c>
      <c r="AH30" s="317">
        <v>22</v>
      </c>
      <c r="AI30" s="318"/>
      <c r="AJ30" s="322"/>
      <c r="AK30" s="322"/>
      <c r="AL30" s="322"/>
      <c r="AM30" s="322"/>
      <c r="AN30" s="322"/>
      <c r="AO30" s="1333"/>
      <c r="AP30" s="1334"/>
      <c r="AQ30" s="1332"/>
      <c r="AR30" s="1332"/>
      <c r="AS30" s="1332"/>
      <c r="AT30" s="1332"/>
      <c r="AU30" s="1332"/>
      <c r="AV30" s="1332"/>
      <c r="AW30" s="1332"/>
      <c r="AX30" s="1332"/>
      <c r="AY30" s="1332"/>
      <c r="AZ30" s="1332"/>
      <c r="BA30" s="1332"/>
      <c r="BB30" s="1332"/>
      <c r="BC30" s="1332"/>
      <c r="BD30" s="1332"/>
      <c r="BE30" s="1332"/>
      <c r="BF30" s="1332"/>
      <c r="BG30" s="1332"/>
      <c r="BH30" s="1332"/>
      <c r="BI30" s="1332"/>
    </row>
    <row r="31" spans="2:61" s="21" customFormat="1" ht="23.25" customHeight="1">
      <c r="B31" s="302" t="s">
        <v>209</v>
      </c>
      <c r="C31" s="22"/>
      <c r="D31" s="22"/>
      <c r="E31" s="261"/>
      <c r="F31" s="249"/>
      <c r="G31" s="26"/>
      <c r="H31" s="26"/>
      <c r="I31" s="26"/>
      <c r="J31" s="26"/>
      <c r="K31" s="26"/>
      <c r="L31" s="26"/>
      <c r="M31" s="26"/>
      <c r="N31" s="26"/>
      <c r="P31" s="286" t="s">
        <v>743</v>
      </c>
      <c r="R31" s="310"/>
      <c r="S31" s="310"/>
      <c r="U31" s="1333"/>
      <c r="V31" s="318"/>
      <c r="W31" s="318"/>
      <c r="X31" s="318"/>
      <c r="Y31" s="318"/>
      <c r="Z31" s="318"/>
      <c r="AA31" s="318"/>
      <c r="AB31" s="318"/>
      <c r="AC31" s="318"/>
      <c r="AD31" s="318"/>
      <c r="AE31" s="1333"/>
      <c r="AF31" s="322"/>
      <c r="AG31" s="322"/>
      <c r="AH31" s="322"/>
      <c r="AI31" s="318"/>
      <c r="AJ31" s="322"/>
      <c r="AK31" s="322"/>
      <c r="AL31" s="322"/>
      <c r="AM31" s="322"/>
      <c r="AN31" s="322"/>
      <c r="AO31" s="1333"/>
      <c r="AP31" s="1334"/>
    </row>
    <row r="32" spans="2:61" s="21" customFormat="1" ht="23.25" customHeight="1">
      <c r="B32" s="27"/>
      <c r="C32" s="11"/>
      <c r="D32" s="11"/>
      <c r="E32" s="11"/>
      <c r="G32" s="26"/>
      <c r="H32" s="26"/>
      <c r="I32" s="26"/>
      <c r="J32" s="26"/>
      <c r="K32" s="26"/>
      <c r="L32" s="26"/>
      <c r="M32" s="26"/>
      <c r="N32" s="26"/>
      <c r="P32" s="10"/>
      <c r="R32" s="10"/>
      <c r="S32" s="10"/>
      <c r="U32" s="1333"/>
      <c r="V32" s="318"/>
      <c r="W32" s="318"/>
      <c r="X32" s="318"/>
      <c r="Y32" s="318"/>
      <c r="Z32" s="318"/>
      <c r="AA32" s="318"/>
      <c r="AB32" s="318"/>
      <c r="AC32" s="318"/>
      <c r="AD32" s="318"/>
      <c r="AE32" s="1333"/>
      <c r="AF32" s="322"/>
      <c r="AG32" s="322"/>
      <c r="AH32" s="322"/>
      <c r="AI32" s="318"/>
      <c r="AJ32" s="322"/>
      <c r="AK32" s="322"/>
      <c r="AL32" s="322"/>
      <c r="AM32" s="322"/>
      <c r="AN32" s="322"/>
      <c r="AO32" s="1333"/>
      <c r="AP32" s="1334"/>
    </row>
    <row r="33" spans="2:43" s="9" customFormat="1" ht="15">
      <c r="B33" s="1329"/>
      <c r="C33" s="25">
        <v>23</v>
      </c>
      <c r="D33" s="25">
        <v>24</v>
      </c>
      <c r="E33" s="25">
        <v>25</v>
      </c>
      <c r="F33" s="25">
        <v>26</v>
      </c>
      <c r="G33" s="25">
        <v>27</v>
      </c>
      <c r="H33" s="25">
        <v>28</v>
      </c>
      <c r="I33" s="25">
        <v>29</v>
      </c>
      <c r="J33" s="25">
        <v>30</v>
      </c>
      <c r="K33" s="25"/>
      <c r="L33" s="25"/>
      <c r="M33" s="1332"/>
      <c r="N33" s="1329"/>
      <c r="O33" s="1332"/>
      <c r="P33" s="1332"/>
      <c r="Q33" s="1332"/>
      <c r="R33" s="1332"/>
      <c r="S33" s="1332"/>
      <c r="T33" s="1332"/>
      <c r="U33" s="1333"/>
      <c r="V33" s="317"/>
      <c r="W33" s="317"/>
      <c r="X33" s="317"/>
      <c r="Y33" s="317"/>
      <c r="Z33" s="317"/>
      <c r="AA33" s="317"/>
      <c r="AB33" s="317"/>
      <c r="AC33" s="317"/>
      <c r="AD33" s="317"/>
      <c r="AE33" s="1333"/>
      <c r="AF33" s="322"/>
      <c r="AG33" s="322"/>
      <c r="AH33" s="322"/>
      <c r="AI33" s="318"/>
      <c r="AJ33" s="322"/>
      <c r="AK33" s="322"/>
      <c r="AL33" s="322"/>
      <c r="AM33" s="322"/>
      <c r="AN33" s="322"/>
      <c r="AO33" s="1333"/>
      <c r="AP33" s="1334"/>
      <c r="AQ33" s="1332"/>
    </row>
    <row r="34" spans="2:43" s="9" customFormat="1" ht="60" customHeight="1">
      <c r="B34" s="2356" t="s">
        <v>153</v>
      </c>
      <c r="C34" s="2355" t="s">
        <v>747</v>
      </c>
      <c r="D34" s="2355" t="s">
        <v>748</v>
      </c>
      <c r="E34" s="2355" t="s">
        <v>749</v>
      </c>
      <c r="F34" s="2355" t="s">
        <v>750</v>
      </c>
      <c r="G34" s="2355" t="s">
        <v>751</v>
      </c>
      <c r="H34" s="2355" t="s">
        <v>752</v>
      </c>
      <c r="I34" s="2355" t="s">
        <v>753</v>
      </c>
      <c r="J34" s="2355" t="s">
        <v>754</v>
      </c>
      <c r="K34" s="279"/>
      <c r="L34" s="279"/>
      <c r="M34" s="1332"/>
      <c r="N34" s="1329"/>
      <c r="O34" s="1332"/>
      <c r="P34" s="1332"/>
      <c r="Q34" s="1332"/>
      <c r="R34" s="1332"/>
      <c r="S34" s="1332"/>
      <c r="T34" s="1334"/>
      <c r="U34" s="1333"/>
      <c r="V34" s="318"/>
      <c r="W34" s="318"/>
      <c r="X34" s="318"/>
      <c r="Y34" s="318"/>
      <c r="Z34" s="318"/>
      <c r="AA34" s="318"/>
      <c r="AB34" s="318"/>
      <c r="AC34" s="318"/>
      <c r="AD34" s="318"/>
      <c r="AE34" s="1333"/>
      <c r="AF34" s="322"/>
      <c r="AG34" s="322"/>
      <c r="AH34" s="322"/>
      <c r="AI34" s="318"/>
      <c r="AJ34" s="322"/>
      <c r="AK34" s="322"/>
      <c r="AL34" s="322"/>
      <c r="AM34" s="322"/>
      <c r="AN34" s="322"/>
      <c r="AO34" s="1333"/>
      <c r="AP34" s="1334"/>
      <c r="AQ34" s="1332"/>
    </row>
    <row r="35" spans="2:43" s="9" customFormat="1" ht="15.75">
      <c r="B35" s="278"/>
      <c r="C35" s="278"/>
      <c r="D35" s="278"/>
      <c r="E35" s="278"/>
      <c r="F35" s="278"/>
      <c r="G35" s="278"/>
      <c r="H35" s="278"/>
      <c r="I35" s="278"/>
      <c r="J35" s="278"/>
      <c r="K35" s="278"/>
      <c r="L35" s="278"/>
      <c r="M35" s="278"/>
      <c r="N35" s="1329"/>
      <c r="O35" s="1332"/>
      <c r="P35" s="1332"/>
      <c r="Q35" s="1332"/>
      <c r="R35" s="1332"/>
      <c r="S35" s="1332"/>
      <c r="T35" s="1334"/>
      <c r="U35" s="1333"/>
      <c r="V35" s="318"/>
      <c r="W35" s="318"/>
      <c r="X35" s="318"/>
      <c r="Y35" s="318"/>
      <c r="Z35" s="318"/>
      <c r="AA35" s="318"/>
      <c r="AB35" s="318"/>
      <c r="AC35" s="318"/>
      <c r="AD35" s="318"/>
      <c r="AE35" s="1333"/>
      <c r="AF35" s="322"/>
      <c r="AG35" s="322"/>
      <c r="AH35" s="322"/>
      <c r="AI35" s="318"/>
      <c r="AJ35" s="322"/>
      <c r="AK35" s="322"/>
      <c r="AL35" s="322"/>
      <c r="AM35" s="322"/>
      <c r="AN35" s="322"/>
      <c r="AO35" s="1333"/>
      <c r="AP35" s="1334"/>
      <c r="AQ35" s="1332"/>
    </row>
    <row r="36" spans="2:43" s="9" customFormat="1" ht="25.5">
      <c r="B36" s="303" t="s">
        <v>755</v>
      </c>
      <c r="C36" s="278"/>
      <c r="D36" s="278"/>
      <c r="E36" s="278"/>
      <c r="F36" s="278"/>
      <c r="G36" s="278"/>
      <c r="H36" s="278"/>
      <c r="I36" s="278"/>
      <c r="J36" s="278"/>
      <c r="K36" s="278"/>
      <c r="L36" s="278"/>
      <c r="M36" s="278"/>
      <c r="N36" s="1329"/>
      <c r="O36" s="1332"/>
      <c r="P36" s="1332"/>
      <c r="Q36" s="1332"/>
      <c r="R36" s="1332"/>
      <c r="S36" s="1332"/>
      <c r="T36" s="1334"/>
      <c r="U36" s="1333"/>
      <c r="V36" s="317">
        <v>23</v>
      </c>
      <c r="W36" s="317">
        <v>24</v>
      </c>
      <c r="X36" s="317">
        <v>25</v>
      </c>
      <c r="Y36" s="317">
        <v>26</v>
      </c>
      <c r="Z36" s="317">
        <v>27</v>
      </c>
      <c r="AA36" s="317">
        <v>28</v>
      </c>
      <c r="AB36" s="317">
        <v>29</v>
      </c>
      <c r="AC36" s="317"/>
      <c r="AD36" s="317"/>
      <c r="AE36" s="1333"/>
      <c r="AF36" s="317">
        <v>23</v>
      </c>
      <c r="AG36" s="317">
        <v>24</v>
      </c>
      <c r="AH36" s="317">
        <v>25</v>
      </c>
      <c r="AI36" s="317">
        <v>26</v>
      </c>
      <c r="AJ36" s="317">
        <v>27</v>
      </c>
      <c r="AK36" s="317">
        <v>28</v>
      </c>
      <c r="AL36" s="317">
        <v>29</v>
      </c>
      <c r="AM36" s="317"/>
      <c r="AN36" s="317"/>
      <c r="AO36" s="1333"/>
      <c r="AP36" s="1334"/>
      <c r="AQ36" s="1332"/>
    </row>
    <row r="37" spans="2:43" s="21" customFormat="1" ht="27.75" customHeight="1">
      <c r="B37" s="302" t="s">
        <v>755</v>
      </c>
      <c r="C37" s="306"/>
      <c r="D37" s="22"/>
      <c r="E37" s="259"/>
      <c r="F37" s="22"/>
      <c r="G37" s="262"/>
      <c r="H37" s="22"/>
      <c r="I37" s="22"/>
      <c r="J37" s="22"/>
      <c r="K37" s="22"/>
      <c r="L37" s="22"/>
      <c r="M37" s="262"/>
      <c r="N37" s="26"/>
      <c r="P37" s="286" t="s">
        <v>756</v>
      </c>
      <c r="R37" s="310"/>
      <c r="S37" s="310"/>
      <c r="T37" s="362"/>
      <c r="U37" s="1333"/>
      <c r="V37" s="318"/>
      <c r="W37" s="318"/>
      <c r="X37" s="318"/>
      <c r="Y37" s="318"/>
      <c r="Z37" s="318"/>
      <c r="AA37" s="318"/>
      <c r="AB37" s="318"/>
      <c r="AC37" s="318"/>
      <c r="AD37" s="318"/>
      <c r="AE37" s="1333"/>
      <c r="AF37" s="322"/>
      <c r="AG37" s="322"/>
      <c r="AH37" s="322"/>
      <c r="AI37" s="322"/>
      <c r="AJ37" s="322"/>
      <c r="AK37" s="322"/>
      <c r="AL37" s="322"/>
      <c r="AM37" s="322"/>
      <c r="AN37" s="322"/>
      <c r="AO37" s="1333"/>
      <c r="AP37" s="1334"/>
    </row>
    <row r="38" spans="2:43" s="21" customFormat="1" ht="15">
      <c r="B38" s="36"/>
      <c r="C38" s="37"/>
      <c r="D38" s="37"/>
      <c r="E38" s="38"/>
      <c r="F38" s="26"/>
      <c r="G38" s="26"/>
      <c r="H38" s="26"/>
      <c r="I38" s="26"/>
      <c r="J38" s="26"/>
      <c r="K38" s="26"/>
      <c r="L38" s="26"/>
      <c r="M38" s="26"/>
      <c r="N38" s="26"/>
      <c r="T38" s="252"/>
      <c r="U38" s="1336"/>
      <c r="V38" s="333"/>
      <c r="W38" s="333"/>
      <c r="X38" s="333"/>
      <c r="Y38" s="333"/>
      <c r="Z38" s="333"/>
      <c r="AA38" s="333"/>
      <c r="AB38" s="333"/>
      <c r="AC38" s="333"/>
      <c r="AD38" s="333"/>
      <c r="AE38" s="1336"/>
      <c r="AF38" s="334"/>
      <c r="AG38" s="334"/>
      <c r="AH38" s="334"/>
      <c r="AI38" s="333"/>
      <c r="AJ38" s="334"/>
      <c r="AK38" s="334"/>
      <c r="AL38" s="334"/>
      <c r="AM38" s="334"/>
      <c r="AN38" s="334"/>
      <c r="AO38" s="1336"/>
      <c r="AP38" s="1334"/>
    </row>
    <row r="39" spans="2:43" s="9" customFormat="1" ht="15">
      <c r="B39" s="270" t="s">
        <v>327</v>
      </c>
      <c r="C39" s="1341"/>
      <c r="D39" s="1329"/>
      <c r="E39" s="1329"/>
      <c r="F39" s="1329"/>
      <c r="G39" s="1329"/>
      <c r="H39" s="1329"/>
      <c r="I39" s="1329"/>
      <c r="J39" s="1329"/>
      <c r="K39" s="1329"/>
      <c r="L39" s="1329"/>
      <c r="M39" s="1329"/>
      <c r="N39" s="1329"/>
      <c r="O39" s="1332"/>
      <c r="P39" s="1332"/>
      <c r="Q39" s="1332"/>
      <c r="R39" s="1332"/>
      <c r="S39" s="1332"/>
      <c r="T39" s="1332"/>
      <c r="U39" s="1334"/>
      <c r="V39" s="1334"/>
      <c r="W39" s="327"/>
      <c r="X39" s="327"/>
      <c r="Y39" s="327"/>
      <c r="Z39" s="327"/>
      <c r="AA39" s="327"/>
      <c r="AB39" s="327"/>
      <c r="AC39" s="327"/>
      <c r="AD39" s="327"/>
      <c r="AE39" s="327"/>
      <c r="AF39" s="1334"/>
      <c r="AG39" s="328"/>
      <c r="AH39" s="328"/>
      <c r="AI39" s="328"/>
      <c r="AJ39" s="327"/>
      <c r="AK39" s="327"/>
      <c r="AL39" s="327"/>
      <c r="AM39" s="327"/>
      <c r="AN39" s="327"/>
      <c r="AO39" s="328"/>
      <c r="AP39" s="328"/>
      <c r="AQ39" s="1334"/>
    </row>
    <row r="40" spans="2:43" ht="15">
      <c r="U40" s="271"/>
      <c r="V40" s="1334"/>
      <c r="W40" s="327"/>
      <c r="X40" s="327"/>
      <c r="Y40" s="327"/>
      <c r="Z40" s="327"/>
      <c r="AA40" s="327"/>
      <c r="AB40" s="327"/>
      <c r="AC40" s="327"/>
      <c r="AD40" s="327"/>
      <c r="AE40" s="327"/>
      <c r="AF40" s="1334"/>
      <c r="AG40" s="328"/>
      <c r="AH40" s="328"/>
      <c r="AI40" s="328"/>
      <c r="AJ40" s="327"/>
      <c r="AK40" s="327"/>
      <c r="AL40" s="327"/>
      <c r="AM40" s="327"/>
      <c r="AN40" s="327"/>
      <c r="AO40" s="328"/>
      <c r="AP40" s="328"/>
      <c r="AQ40" s="271"/>
    </row>
    <row r="41" spans="2:43" ht="15">
      <c r="B41" s="1786" t="s">
        <v>328</v>
      </c>
      <c r="U41" s="271"/>
      <c r="V41" s="1334"/>
      <c r="W41" s="327"/>
      <c r="X41" s="327"/>
      <c r="Y41" s="327"/>
      <c r="Z41" s="327"/>
      <c r="AA41" s="327"/>
      <c r="AB41" s="327"/>
      <c r="AC41" s="327"/>
      <c r="AD41" s="327"/>
      <c r="AE41" s="327"/>
      <c r="AF41" s="1334"/>
      <c r="AG41" s="328"/>
      <c r="AH41" s="328"/>
      <c r="AI41" s="328"/>
      <c r="AJ41" s="327"/>
      <c r="AK41" s="327"/>
      <c r="AL41" s="327"/>
      <c r="AM41" s="327"/>
      <c r="AN41" s="327"/>
      <c r="AO41" s="328"/>
      <c r="AP41" s="328"/>
      <c r="AQ41" s="271"/>
    </row>
    <row r="42" spans="2:43" ht="15.75" thickBot="1">
      <c r="U42" s="271"/>
      <c r="V42" s="1334"/>
      <c r="W42" s="327"/>
      <c r="X42" s="327"/>
      <c r="Y42" s="327"/>
      <c r="Z42" s="327"/>
      <c r="AA42" s="327"/>
      <c r="AB42" s="327"/>
      <c r="AC42" s="327"/>
      <c r="AD42" s="327"/>
      <c r="AE42" s="327"/>
      <c r="AF42" s="1334"/>
      <c r="AG42" s="328"/>
      <c r="AH42" s="328"/>
      <c r="AI42" s="328"/>
      <c r="AJ42" s="327"/>
      <c r="AK42" s="327"/>
      <c r="AL42" s="327"/>
      <c r="AM42" s="327"/>
      <c r="AN42" s="327"/>
      <c r="AO42" s="328"/>
      <c r="AP42" s="328"/>
      <c r="AQ42" s="271"/>
    </row>
    <row r="43" spans="2:43" ht="26.25" thickBot="1">
      <c r="B43" s="2154" t="s">
        <v>329</v>
      </c>
      <c r="U43" s="271"/>
      <c r="V43" s="1334"/>
      <c r="W43" s="327"/>
      <c r="X43" s="327"/>
      <c r="Y43" s="327"/>
      <c r="Z43" s="327"/>
      <c r="AA43" s="327"/>
      <c r="AB43" s="327"/>
      <c r="AC43" s="327"/>
      <c r="AD43" s="327"/>
      <c r="AE43" s="327"/>
      <c r="AF43" s="1334"/>
      <c r="AG43" s="328"/>
      <c r="AH43" s="328"/>
      <c r="AI43" s="328"/>
      <c r="AJ43" s="327"/>
      <c r="AK43" s="327"/>
      <c r="AL43" s="327"/>
      <c r="AM43" s="327"/>
      <c r="AN43" s="327"/>
      <c r="AO43" s="328"/>
      <c r="AP43" s="328"/>
      <c r="AQ43" s="271"/>
    </row>
    <row r="44" spans="2:43" ht="15">
      <c r="U44" s="271"/>
      <c r="V44" s="1334"/>
      <c r="W44" s="327"/>
      <c r="X44" s="327"/>
      <c r="Y44" s="327"/>
      <c r="Z44" s="327"/>
      <c r="AA44" s="327"/>
      <c r="AB44" s="327"/>
      <c r="AC44" s="327"/>
      <c r="AD44" s="327"/>
      <c r="AE44" s="327"/>
      <c r="AF44" s="1334"/>
      <c r="AG44" s="328"/>
      <c r="AH44" s="328"/>
      <c r="AI44" s="328"/>
      <c r="AJ44" s="327"/>
      <c r="AK44" s="327"/>
      <c r="AL44" s="327"/>
      <c r="AM44" s="327"/>
      <c r="AN44" s="327"/>
      <c r="AO44" s="328"/>
      <c r="AP44" s="328"/>
      <c r="AQ44" s="271"/>
    </row>
    <row r="45" spans="2:43" ht="15">
      <c r="B45" s="1787" t="s">
        <v>330</v>
      </c>
      <c r="U45" s="271"/>
      <c r="V45" s="1334"/>
      <c r="W45" s="327"/>
      <c r="X45" s="327"/>
      <c r="Y45" s="327"/>
      <c r="Z45" s="327"/>
      <c r="AA45" s="327"/>
      <c r="AB45" s="327"/>
      <c r="AC45" s="327"/>
      <c r="AD45" s="327"/>
      <c r="AE45" s="327"/>
      <c r="AF45" s="1334"/>
      <c r="AG45" s="328"/>
      <c r="AH45" s="328"/>
      <c r="AI45" s="328"/>
      <c r="AJ45" s="327"/>
      <c r="AK45" s="327"/>
      <c r="AL45" s="327"/>
      <c r="AM45" s="327"/>
      <c r="AN45" s="327"/>
      <c r="AO45" s="328"/>
      <c r="AP45" s="328"/>
      <c r="AQ45" s="271"/>
    </row>
    <row r="46" spans="2:43" ht="15">
      <c r="U46" s="271"/>
      <c r="V46" s="1334"/>
      <c r="W46" s="327"/>
      <c r="X46" s="327"/>
      <c r="Y46" s="327"/>
      <c r="Z46" s="327"/>
      <c r="AA46" s="327"/>
      <c r="AB46" s="327"/>
      <c r="AC46" s="327"/>
      <c r="AD46" s="327"/>
      <c r="AE46" s="327"/>
      <c r="AF46" s="1334"/>
      <c r="AG46" s="328"/>
      <c r="AH46" s="328"/>
      <c r="AI46" s="328"/>
      <c r="AJ46" s="327"/>
      <c r="AK46" s="327"/>
      <c r="AL46" s="327"/>
      <c r="AM46" s="327"/>
      <c r="AN46" s="327"/>
      <c r="AO46" s="328"/>
      <c r="AP46" s="328"/>
      <c r="AQ46" s="271"/>
    </row>
    <row r="47" spans="2:43">
      <c r="B47" s="1788" t="s">
        <v>331</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5">
      <c r="B49" s="288" t="str">
        <f>'3A'!$B$53</f>
        <v>Please refer to RAG 4.13 - Guideline for the table definitions in the annual performance report</v>
      </c>
    </row>
    <row r="50" spans="2:2"/>
    <row r="52" spans="2:2" ht="26.25" hidden="1" thickBot="1">
      <c r="B52" s="2154" t="s">
        <v>329</v>
      </c>
    </row>
  </sheetData>
  <mergeCells count="4">
    <mergeCell ref="C1:F1"/>
    <mergeCell ref="B4:D4"/>
    <mergeCell ref="E4:G4"/>
    <mergeCell ref="H4:N4"/>
  </mergeCells>
  <conditionalFormatting sqref="R12:S12">
    <cfRule type="cellIs" dxfId="260" priority="56" operator="equal">
      <formula>0</formula>
    </cfRule>
  </conditionalFormatting>
  <conditionalFormatting sqref="R18:S19">
    <cfRule type="cellIs" dxfId="259"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election activeCell="F9" sqref="F9:H13"/>
    </sheetView>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8.62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67</v>
      </c>
      <c r="C1" s="1996"/>
      <c r="D1" s="6"/>
      <c r="F1" s="6"/>
      <c r="G1" s="6"/>
      <c r="H1" s="6"/>
      <c r="M1" s="1912"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68</v>
      </c>
      <c r="C3" s="289"/>
      <c r="D3" s="289"/>
      <c r="E3" s="289"/>
      <c r="F3" s="289"/>
      <c r="G3" s="289"/>
      <c r="H3" s="289"/>
      <c r="I3" s="1335"/>
      <c r="J3" s="301" t="str">
        <f>'Validation summary'!$B$3</f>
        <v>Anglian Water</v>
      </c>
      <c r="K3" s="1335"/>
      <c r="L3" s="292" t="s">
        <v>150</v>
      </c>
      <c r="M3" s="29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c r="AL3" s="1332"/>
      <c r="AM3" s="1332"/>
      <c r="AN3" s="1332"/>
      <c r="AO3" s="1332"/>
      <c r="AP3" s="1332"/>
    </row>
    <row r="4" spans="2:42" s="9" customFormat="1" ht="15">
      <c r="B4" s="1332"/>
      <c r="C4" s="1332"/>
      <c r="D4" s="1332"/>
      <c r="E4" s="1332"/>
      <c r="F4" s="1332"/>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c r="AL4" s="1332"/>
      <c r="AM4" s="1332"/>
      <c r="AN4" s="1332"/>
      <c r="AO4" s="1332"/>
      <c r="AP4" s="1332"/>
    </row>
    <row r="5" spans="2:42" s="9" customFormat="1" ht="15">
      <c r="B5" s="1332"/>
      <c r="C5" s="25">
        <v>1</v>
      </c>
      <c r="D5" s="25">
        <v>2</v>
      </c>
      <c r="E5" s="25">
        <v>3</v>
      </c>
      <c r="F5" s="25">
        <v>4</v>
      </c>
      <c r="G5" s="25">
        <v>5</v>
      </c>
      <c r="H5" s="25">
        <v>6</v>
      </c>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c r="AL5" s="1332"/>
      <c r="AM5" s="1332"/>
      <c r="AN5" s="1332"/>
      <c r="AO5" s="1332"/>
      <c r="AP5" s="1332"/>
    </row>
    <row r="6" spans="2:42" s="9" customFormat="1" ht="65.25" customHeight="1">
      <c r="B6" s="2356" t="s">
        <v>153</v>
      </c>
      <c r="C6" s="2355" t="s">
        <v>154</v>
      </c>
      <c r="D6" s="2355" t="s">
        <v>155</v>
      </c>
      <c r="E6" s="2355" t="s">
        <v>662</v>
      </c>
      <c r="F6" s="2355" t="s">
        <v>714</v>
      </c>
      <c r="G6" s="2355" t="s">
        <v>771</v>
      </c>
      <c r="H6" s="2355" t="s">
        <v>772</v>
      </c>
      <c r="I6" s="277"/>
      <c r="J6" s="2355" t="s">
        <v>161</v>
      </c>
      <c r="K6" s="1332"/>
      <c r="L6" s="2354" t="s">
        <v>162</v>
      </c>
      <c r="M6" s="2354" t="s">
        <v>163</v>
      </c>
      <c r="N6" s="1332"/>
      <c r="O6" s="1332"/>
      <c r="P6" s="1332"/>
      <c r="Q6" s="1332"/>
      <c r="R6" s="1332"/>
      <c r="S6" s="1332"/>
      <c r="T6" s="1332"/>
      <c r="U6" s="1332"/>
      <c r="V6" s="1333"/>
      <c r="W6" s="320" t="s">
        <v>166</v>
      </c>
      <c r="X6" s="1332"/>
      <c r="Y6" s="1332"/>
      <c r="Z6" s="1332"/>
      <c r="AA6" s="1332"/>
      <c r="AB6" s="1333"/>
      <c r="AC6" s="320" t="s">
        <v>167</v>
      </c>
      <c r="AD6" s="1332"/>
      <c r="AE6" s="320"/>
      <c r="AF6" s="320"/>
      <c r="AG6" s="1332"/>
      <c r="AH6" s="1333"/>
      <c r="AI6" s="1332"/>
      <c r="AJ6" s="2356" t="s">
        <v>153</v>
      </c>
      <c r="AK6" s="2355" t="s">
        <v>154</v>
      </c>
      <c r="AL6" s="2355" t="s">
        <v>155</v>
      </c>
      <c r="AM6" s="2355" t="s">
        <v>662</v>
      </c>
      <c r="AN6" s="2355" t="s">
        <v>714</v>
      </c>
      <c r="AO6" s="2355" t="s">
        <v>771</v>
      </c>
      <c r="AP6" s="2355" t="s">
        <v>772</v>
      </c>
    </row>
    <row r="7" spans="2:42" s="9" customFormat="1" ht="15.75">
      <c r="B7" s="278"/>
      <c r="C7" s="278"/>
      <c r="D7" s="278"/>
      <c r="E7" s="278"/>
      <c r="F7" s="278"/>
      <c r="G7" s="278"/>
      <c r="H7" s="278"/>
      <c r="I7" s="277"/>
      <c r="J7" s="277"/>
      <c r="K7" s="1332"/>
      <c r="L7" s="332"/>
      <c r="M7" s="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c r="AL7" s="1332"/>
      <c r="AM7" s="1332"/>
      <c r="AN7" s="1332"/>
      <c r="AO7" s="1332"/>
      <c r="AP7" s="1332"/>
    </row>
    <row r="8" spans="2:42" s="9" customFormat="1" ht="39.75" customHeight="1">
      <c r="B8" s="303" t="s">
        <v>773</v>
      </c>
      <c r="C8" s="279"/>
      <c r="D8" s="278"/>
      <c r="E8" s="278"/>
      <c r="F8" s="278"/>
      <c r="G8" s="278"/>
      <c r="H8" s="278"/>
      <c r="I8" s="277"/>
      <c r="J8" s="277"/>
      <c r="K8" s="1332"/>
      <c r="L8" s="1332"/>
      <c r="M8" s="1332"/>
      <c r="N8" s="1332"/>
      <c r="O8" s="1332"/>
      <c r="P8" s="1332"/>
      <c r="Q8" s="1332"/>
      <c r="R8" s="1332"/>
      <c r="S8" s="1332"/>
      <c r="T8" s="1332"/>
      <c r="U8" s="1332"/>
      <c r="V8" s="1333"/>
      <c r="W8" s="317">
        <v>4</v>
      </c>
      <c r="X8" s="317">
        <v>5</v>
      </c>
      <c r="Y8" s="317">
        <v>6</v>
      </c>
      <c r="Z8" s="317"/>
      <c r="AA8" s="317"/>
      <c r="AB8" s="321"/>
      <c r="AC8" s="317">
        <v>4</v>
      </c>
      <c r="AD8" s="317">
        <v>5</v>
      </c>
      <c r="AE8" s="317">
        <v>6</v>
      </c>
      <c r="AF8" s="317"/>
      <c r="AG8" s="317"/>
      <c r="AH8" s="1333"/>
      <c r="AI8" s="1332"/>
      <c r="AJ8" s="303" t="s">
        <v>773</v>
      </c>
      <c r="AK8" s="279"/>
      <c r="AL8" s="278"/>
      <c r="AM8" s="278"/>
      <c r="AN8" s="278"/>
      <c r="AO8" s="278"/>
      <c r="AP8" s="278"/>
    </row>
    <row r="9" spans="2:42" s="21" customFormat="1" ht="55.35" customHeight="1">
      <c r="B9" s="302" t="s">
        <v>774</v>
      </c>
      <c r="C9" s="287" t="str">
        <f>IF(OR($J$3="Select company",'Validation summary'!$F$3="WoC"),"",VLOOKUP('3A'!$R$1,C_ISF,2,0))</f>
        <v>PR19ANH_7</v>
      </c>
      <c r="D9" s="302" t="s">
        <v>775</v>
      </c>
      <c r="E9" s="365" t="s">
        <v>776</v>
      </c>
      <c r="F9" s="2169">
        <f>IF($C9="","",$F$11)</f>
        <v>2963.739</v>
      </c>
      <c r="G9" s="2291">
        <v>408</v>
      </c>
      <c r="H9" s="2143">
        <f>IF('Validation summary'!$F$3="WoC","",(G9/(F9*1000))*10000)</f>
        <v>1.3766394409224294</v>
      </c>
      <c r="J9" s="286" t="s">
        <v>777</v>
      </c>
      <c r="L9" s="319">
        <f>IF(SUM($W9:$Y9)=0,0,$W$6)</f>
        <v>0</v>
      </c>
      <c r="M9" s="331">
        <f>IF(SUM($AC9:$AE9)&lt;&gt;0,$AC$6,0)</f>
        <v>0</v>
      </c>
      <c r="N9" s="250"/>
      <c r="O9" s="2390"/>
      <c r="V9" s="1333"/>
      <c r="W9" s="318">
        <f>IF($C9="",0,IF(ISBLANK($F9)=TRUE,1,0))</f>
        <v>0</v>
      </c>
      <c r="X9" s="318">
        <f>IF(C9="",0,IF(ISBLANK($G9)=TRUE,1,0))</f>
        <v>0</v>
      </c>
      <c r="Y9" s="318"/>
      <c r="Z9" s="318"/>
      <c r="AA9" s="318"/>
      <c r="AB9" s="1333"/>
      <c r="AC9" s="322">
        <f>IF($F9&lt;0,1,0)</f>
        <v>0</v>
      </c>
      <c r="AD9" s="322">
        <f>IF($G9&lt;0,1,0)</f>
        <v>0</v>
      </c>
      <c r="AE9" s="322"/>
      <c r="AF9" s="318"/>
      <c r="AG9" s="322"/>
      <c r="AH9" s="1333"/>
      <c r="AJ9" s="302" t="str">
        <f>B9</f>
        <v>Internal sewer flooding - customer proactively reported</v>
      </c>
      <c r="AK9" s="302" t="str">
        <f t="shared" ref="AK9:AM13" si="0">C9</f>
        <v>PR19ANH_7</v>
      </c>
      <c r="AL9" s="302" t="str">
        <f t="shared" si="0"/>
        <v>Number of internal sewer flooding incidents per 10,000 sewer connection</v>
      </c>
      <c r="AM9" s="365" t="str">
        <f t="shared" si="0"/>
        <v>Number of sewer connections</v>
      </c>
      <c r="AN9" s="1453"/>
      <c r="AO9" s="1456" t="s">
        <v>778</v>
      </c>
      <c r="AP9" s="1434" t="s">
        <v>779</v>
      </c>
    </row>
    <row r="10" spans="2:42" s="21" customFormat="1" ht="55.35" customHeight="1">
      <c r="B10" s="302" t="s">
        <v>780</v>
      </c>
      <c r="C10" s="287" t="str">
        <f>IF(OR($J$3="Select company",'Validation summary'!$F$3="WoC"),"",VLOOKUP('3A'!$R$1,C_ISF,2,0))</f>
        <v>PR19ANH_7</v>
      </c>
      <c r="D10" s="302" t="s">
        <v>775</v>
      </c>
      <c r="E10" s="365" t="s">
        <v>776</v>
      </c>
      <c r="F10" s="2177">
        <f>IF($C10="","",$F$11)</f>
        <v>2963.739</v>
      </c>
      <c r="G10" s="2291">
        <v>10</v>
      </c>
      <c r="H10" s="2143">
        <f>IF('Validation summary'!$F$3="WoC","",(G10/(F10*1000))*10000)</f>
        <v>3.3741162767706605E-2</v>
      </c>
      <c r="J10" s="286" t="s">
        <v>781</v>
      </c>
      <c r="L10" s="319">
        <f>IF(SUM($W10:$Y10)=0,0,$W$6)</f>
        <v>0</v>
      </c>
      <c r="M10" s="331">
        <f t="shared" ref="M10:M13" si="1">IF(SUM($AC10:$AE10)&lt;&gt;0,$AC$6,0)</f>
        <v>0</v>
      </c>
      <c r="N10" s="250"/>
      <c r="O10" s="2390"/>
      <c r="V10" s="1333"/>
      <c r="W10" s="318">
        <f t="shared" ref="W10:W13" si="2">IF($C10="",0,IF(ISBLANK($F10)=TRUE,1,0))</f>
        <v>0</v>
      </c>
      <c r="X10" s="318">
        <f t="shared" ref="X10:X13" si="3">IF(C10="",0,IF(ISBLANK($G10)=TRUE,1,0))</f>
        <v>0</v>
      </c>
      <c r="Y10" s="318"/>
      <c r="Z10" s="318"/>
      <c r="AA10" s="318"/>
      <c r="AB10" s="1333"/>
      <c r="AC10" s="322">
        <f>IF($F10&lt;0,1,0)</f>
        <v>0</v>
      </c>
      <c r="AD10" s="322">
        <f>IF($G10&lt;0,1,0)</f>
        <v>0</v>
      </c>
      <c r="AE10" s="322"/>
      <c r="AF10" s="318"/>
      <c r="AG10" s="322"/>
      <c r="AH10" s="1333"/>
      <c r="AJ10" s="302" t="str">
        <f t="shared" ref="AJ10:AJ13" si="4">B10</f>
        <v>Internal sewer flooding - company reactively identified (ie neighbouring properties)</v>
      </c>
      <c r="AK10" s="302" t="str">
        <f t="shared" si="0"/>
        <v>PR19ANH_7</v>
      </c>
      <c r="AL10" s="302" t="str">
        <f t="shared" si="0"/>
        <v>Number of internal sewer flooding incidents per 10,000 sewer connection</v>
      </c>
      <c r="AM10" s="365" t="str">
        <f t="shared" si="0"/>
        <v>Number of sewer connections</v>
      </c>
      <c r="AN10" s="1453"/>
      <c r="AO10" s="1456" t="s">
        <v>782</v>
      </c>
      <c r="AP10" s="1434" t="s">
        <v>783</v>
      </c>
    </row>
    <row r="11" spans="2:42" s="21" customFormat="1" ht="55.35" customHeight="1">
      <c r="B11" s="302" t="s">
        <v>784</v>
      </c>
      <c r="C11" s="287" t="str">
        <f>IF(OR($J$3="Select company",'Validation summary'!$F$3="WoC"),"",VLOOKUP('3A'!$R$1,C_ISF,2,0))</f>
        <v>PR19ANH_7</v>
      </c>
      <c r="D11" s="302" t="s">
        <v>775</v>
      </c>
      <c r="E11" s="365" t="s">
        <v>776</v>
      </c>
      <c r="F11" s="2178">
        <v>2963.739</v>
      </c>
      <c r="G11" s="2170">
        <f>IF('Validation summary'!$F$3="WoC","",SUM(G9:G10))</f>
        <v>418</v>
      </c>
      <c r="H11" s="2143">
        <f>IF('Validation summary'!$F$3="WoC","",(G11/(F11*1000))*10000)</f>
        <v>1.4103806036901358</v>
      </c>
      <c r="J11" s="286" t="s">
        <v>785</v>
      </c>
      <c r="L11" s="319">
        <f>IF(SUM($W11:$Y11)=0,0,$W$6)</f>
        <v>0</v>
      </c>
      <c r="M11" s="331">
        <f t="shared" si="1"/>
        <v>0</v>
      </c>
      <c r="N11" s="250"/>
      <c r="O11" s="2390"/>
      <c r="V11" s="1333"/>
      <c r="W11" s="318">
        <f t="shared" si="2"/>
        <v>0</v>
      </c>
      <c r="X11" s="318">
        <f t="shared" si="3"/>
        <v>0</v>
      </c>
      <c r="Y11" s="318"/>
      <c r="Z11" s="318"/>
      <c r="AA11" s="318"/>
      <c r="AB11" s="1333"/>
      <c r="AC11" s="322">
        <f>IF($F11&lt;0,1,0)</f>
        <v>0</v>
      </c>
      <c r="AD11" s="322">
        <f>IF($G11&lt;0,1,0)</f>
        <v>0</v>
      </c>
      <c r="AE11" s="322"/>
      <c r="AF11" s="318"/>
      <c r="AG11" s="322"/>
      <c r="AH11" s="1333"/>
      <c r="AJ11" s="302" t="str">
        <f t="shared" si="4"/>
        <v>Internal sewer flooding</v>
      </c>
      <c r="AK11" s="302" t="str">
        <f t="shared" si="0"/>
        <v>PR19ANH_7</v>
      </c>
      <c r="AL11" s="302" t="str">
        <f t="shared" si="0"/>
        <v>Number of internal sewer flooding incidents per 10,000 sewer connection</v>
      </c>
      <c r="AM11" s="365" t="str">
        <f t="shared" si="0"/>
        <v>Number of sewer connections</v>
      </c>
      <c r="AN11" s="1454"/>
      <c r="AO11" s="1455" t="s">
        <v>786</v>
      </c>
      <c r="AP11" s="1434" t="s">
        <v>787</v>
      </c>
    </row>
    <row r="12" spans="2:42" s="21" customFormat="1" ht="55.35" customHeight="1">
      <c r="B12" s="302" t="s">
        <v>788</v>
      </c>
      <c r="C12" s="287" t="str">
        <f>IF(OR($J$3="Select company",'Validation summary'!$F$3="WoC"),"",VLOOKUP('3A'!$R$1,C_PI,2,0))</f>
        <v>PR19ANH_8</v>
      </c>
      <c r="D12" s="302" t="s">
        <v>789</v>
      </c>
      <c r="E12" s="302" t="s">
        <v>790</v>
      </c>
      <c r="F12" s="2171">
        <v>76437</v>
      </c>
      <c r="G12" s="2282">
        <v>437</v>
      </c>
      <c r="H12" s="2143">
        <f>IF('Validation summary'!$F$3="WoC","",(G12/F12*10000))</f>
        <v>57.171265224956507</v>
      </c>
      <c r="J12" s="286" t="s">
        <v>791</v>
      </c>
      <c r="L12" s="319">
        <f>IF(SUM($W12:$Y12)=0,0,$W$6)</f>
        <v>0</v>
      </c>
      <c r="M12" s="331">
        <f t="shared" si="1"/>
        <v>0</v>
      </c>
      <c r="N12" s="250"/>
      <c r="V12" s="1333"/>
      <c r="W12" s="318">
        <f t="shared" si="2"/>
        <v>0</v>
      </c>
      <c r="X12" s="318">
        <f t="shared" si="3"/>
        <v>0</v>
      </c>
      <c r="Y12" s="318"/>
      <c r="Z12" s="318"/>
      <c r="AA12" s="318"/>
      <c r="AB12" s="1333"/>
      <c r="AC12" s="322">
        <f>IF($F12&lt;0,1,0)</f>
        <v>0</v>
      </c>
      <c r="AD12" s="322">
        <f>IF($G12&lt;0,1,0)</f>
        <v>0</v>
      </c>
      <c r="AE12" s="322"/>
      <c r="AF12" s="318"/>
      <c r="AG12" s="322"/>
      <c r="AH12" s="1333"/>
      <c r="AJ12" s="302" t="str">
        <f t="shared" si="4"/>
        <v>Pollution incidents</v>
      </c>
      <c r="AK12" s="302" t="str">
        <f t="shared" si="0"/>
        <v>PR19ANH_8</v>
      </c>
      <c r="AL12" s="302" t="str">
        <f t="shared" si="0"/>
        <v>Pollution incidents per 10,000 km of sewer length</v>
      </c>
      <c r="AM12" s="365" t="str">
        <f t="shared" si="0"/>
        <v>Sewer length in km</v>
      </c>
      <c r="AN12" s="1454" t="s">
        <v>792</v>
      </c>
      <c r="AO12" s="1456" t="s">
        <v>793</v>
      </c>
      <c r="AP12" s="1434" t="s">
        <v>794</v>
      </c>
    </row>
    <row r="13" spans="2:42" s="21" customFormat="1" ht="55.35" customHeight="1">
      <c r="B13" s="302" t="s">
        <v>795</v>
      </c>
      <c r="C13" s="287" t="str">
        <f>IF(OR($J$3="Select company",'Validation summary'!$F$3="WoC"),"",VLOOKUP('3A'!$R$1,C_SC,2,0))</f>
        <v>PR19ANH_13</v>
      </c>
      <c r="D13" s="302" t="s">
        <v>796</v>
      </c>
      <c r="E13" s="365" t="s">
        <v>790</v>
      </c>
      <c r="F13" s="2178">
        <v>78319</v>
      </c>
      <c r="G13" s="2291">
        <v>355</v>
      </c>
      <c r="H13" s="2143">
        <f>IF('Validation summary'!$F$3="WoC","",(G13/F13*1000))</f>
        <v>4.5327442893806094</v>
      </c>
      <c r="J13" s="286" t="s">
        <v>797</v>
      </c>
      <c r="L13" s="319">
        <f>IF(SUM($W13:$Y13)=0,0,$W$6)</f>
        <v>0</v>
      </c>
      <c r="M13" s="331">
        <f t="shared" si="1"/>
        <v>0</v>
      </c>
      <c r="N13" s="250"/>
      <c r="V13" s="1336"/>
      <c r="W13" s="318">
        <f t="shared" si="2"/>
        <v>0</v>
      </c>
      <c r="X13" s="318">
        <f t="shared" si="3"/>
        <v>0</v>
      </c>
      <c r="Y13" s="318"/>
      <c r="Z13" s="318"/>
      <c r="AA13" s="318"/>
      <c r="AB13" s="1333"/>
      <c r="AC13" s="322">
        <f>IF($F13&lt;0,1,0)</f>
        <v>0</v>
      </c>
      <c r="AD13" s="322">
        <f>IF($G13&lt;0,1,0)</f>
        <v>0</v>
      </c>
      <c r="AE13" s="322"/>
      <c r="AF13" s="318"/>
      <c r="AG13" s="322"/>
      <c r="AH13" s="1333"/>
      <c r="AJ13" s="302" t="str">
        <f t="shared" si="4"/>
        <v>Sewer collapses</v>
      </c>
      <c r="AK13" s="302" t="str">
        <f t="shared" si="0"/>
        <v>PR19ANH_13</v>
      </c>
      <c r="AL13" s="302" t="str">
        <f t="shared" si="0"/>
        <v>Number of sewer collapses per 1,000 km of all sewers</v>
      </c>
      <c r="AM13" s="365" t="str">
        <f t="shared" si="0"/>
        <v>Sewer length in km</v>
      </c>
      <c r="AN13" s="1454" t="s">
        <v>798</v>
      </c>
      <c r="AO13" s="1456" t="s">
        <v>799</v>
      </c>
      <c r="AP13" s="1434" t="s">
        <v>800</v>
      </c>
    </row>
    <row r="14" spans="2:42" s="9" customFormat="1" ht="15">
      <c r="B14" s="1332"/>
      <c r="C14" s="1332"/>
      <c r="D14" s="1332"/>
      <c r="E14" s="1332"/>
      <c r="F14" s="1332"/>
      <c r="G14" s="1332"/>
      <c r="H14" s="1332"/>
      <c r="I14" s="1332"/>
      <c r="J14" s="1332"/>
      <c r="K14" s="1332"/>
      <c r="L14" s="1332"/>
      <c r="M14" s="1332"/>
      <c r="N14" s="1332"/>
      <c r="O14" s="1332"/>
      <c r="P14" s="1332"/>
      <c r="Q14" s="1332"/>
      <c r="R14" s="1332"/>
      <c r="S14" s="1332"/>
      <c r="T14" s="1332"/>
      <c r="U14" s="1332"/>
      <c r="V14" s="1336"/>
      <c r="W14" s="1336"/>
      <c r="X14" s="333"/>
      <c r="Y14" s="333"/>
      <c r="Z14" s="333"/>
      <c r="AA14" s="333"/>
      <c r="AB14" s="1336"/>
      <c r="AC14" s="1336"/>
      <c r="AD14" s="1336"/>
      <c r="AE14" s="1336"/>
      <c r="AF14" s="334"/>
      <c r="AG14" s="1336"/>
      <c r="AH14" s="1333"/>
      <c r="AI14" s="1332"/>
      <c r="AJ14" s="1332"/>
      <c r="AK14" s="1332"/>
      <c r="AL14" s="1332"/>
      <c r="AM14" s="1332"/>
      <c r="AN14" s="1332"/>
      <c r="AO14" s="1332"/>
      <c r="AP14" s="1332"/>
    </row>
    <row r="15" spans="2:42" s="9" customFormat="1" ht="15">
      <c r="B15" s="270" t="s">
        <v>327</v>
      </c>
      <c r="C15" s="1332"/>
      <c r="D15" s="1332"/>
      <c r="E15" s="1332"/>
      <c r="F15" s="1332"/>
      <c r="G15" s="1332"/>
      <c r="H15" s="1332"/>
      <c r="I15" s="1332"/>
      <c r="J15" s="1332"/>
      <c r="K15" s="1332"/>
      <c r="L15" s="1332"/>
      <c r="M15" s="1332"/>
      <c r="N15" s="1332"/>
      <c r="O15" s="1332"/>
      <c r="P15" s="1332"/>
      <c r="Q15" s="1332"/>
      <c r="R15" s="1332"/>
      <c r="S15" s="1332"/>
      <c r="T15" s="1332"/>
      <c r="U15" s="1332"/>
      <c r="V15" s="1334"/>
      <c r="W15" s="335"/>
      <c r="X15" s="335"/>
      <c r="Y15" s="335"/>
      <c r="Z15" s="335"/>
      <c r="AA15" s="335"/>
      <c r="AB15" s="336"/>
      <c r="AC15" s="335"/>
      <c r="AD15" s="335"/>
      <c r="AE15" s="335"/>
      <c r="AF15" s="335"/>
      <c r="AG15" s="335"/>
      <c r="AH15" s="1334"/>
      <c r="AI15" s="1332"/>
      <c r="AJ15" s="1332"/>
      <c r="AK15" s="1332"/>
      <c r="AL15" s="1332"/>
      <c r="AM15" s="1332"/>
      <c r="AN15" s="1332"/>
      <c r="AO15" s="1332"/>
      <c r="AP15" s="1332"/>
    </row>
    <row r="16" spans="2:42" ht="15.75">
      <c r="V16" s="1334"/>
      <c r="W16" s="327"/>
      <c r="X16" s="327"/>
      <c r="Y16" s="327"/>
      <c r="Z16" s="327"/>
      <c r="AA16" s="327"/>
      <c r="AB16" s="315"/>
      <c r="AC16" s="315"/>
      <c r="AD16" s="315"/>
      <c r="AE16" s="315"/>
      <c r="AF16" s="328"/>
      <c r="AG16" s="315"/>
      <c r="AH16" s="1334"/>
    </row>
    <row r="17" spans="2:34" ht="15.75">
      <c r="B17" s="1786" t="s">
        <v>328</v>
      </c>
      <c r="V17" s="1334"/>
      <c r="W17" s="327"/>
      <c r="X17" s="327"/>
      <c r="Y17" s="327"/>
      <c r="Z17" s="327"/>
      <c r="AA17" s="327"/>
      <c r="AB17" s="315"/>
      <c r="AC17" s="315"/>
      <c r="AD17" s="315"/>
      <c r="AE17" s="315"/>
      <c r="AF17" s="328"/>
      <c r="AG17" s="315"/>
      <c r="AH17" s="1334"/>
    </row>
    <row r="18" spans="2:34" ht="16.5" thickBot="1">
      <c r="V18" s="1334"/>
      <c r="W18" s="327"/>
      <c r="X18" s="327"/>
      <c r="Y18" s="327"/>
      <c r="Z18" s="327"/>
      <c r="AA18" s="327"/>
      <c r="AB18" s="315"/>
      <c r="AC18" s="315"/>
      <c r="AD18" s="315"/>
      <c r="AE18" s="315"/>
      <c r="AF18" s="328"/>
      <c r="AG18" s="315"/>
      <c r="AH18" s="1334"/>
    </row>
    <row r="19" spans="2:34" ht="26.25" thickBot="1">
      <c r="B19" s="2154" t="s">
        <v>329</v>
      </c>
      <c r="V19" s="1334"/>
      <c r="W19" s="327"/>
      <c r="X19" s="327"/>
      <c r="Y19" s="327"/>
      <c r="Z19" s="327"/>
      <c r="AA19" s="327"/>
      <c r="AB19" s="315"/>
      <c r="AC19" s="315"/>
      <c r="AD19" s="315"/>
      <c r="AE19" s="315"/>
      <c r="AF19" s="328"/>
      <c r="AG19" s="315"/>
      <c r="AH19" s="1334"/>
    </row>
    <row r="20" spans="2:34" ht="15.75">
      <c r="V20" s="1334"/>
      <c r="W20" s="327"/>
      <c r="X20" s="327"/>
      <c r="Y20" s="327"/>
      <c r="Z20" s="327"/>
      <c r="AA20" s="327"/>
      <c r="AB20" s="315"/>
      <c r="AC20" s="315"/>
      <c r="AD20" s="315"/>
      <c r="AE20" s="315"/>
      <c r="AF20" s="328"/>
      <c r="AG20" s="315"/>
      <c r="AH20" s="1334"/>
    </row>
    <row r="21" spans="2:34" ht="15.75">
      <c r="B21" s="1787" t="s">
        <v>330</v>
      </c>
      <c r="V21" s="315"/>
      <c r="W21" s="327"/>
      <c r="X21" s="327"/>
      <c r="Y21" s="327"/>
      <c r="Z21" s="327"/>
      <c r="AA21" s="327"/>
      <c r="AB21" s="315"/>
      <c r="AC21" s="315"/>
      <c r="AD21" s="315"/>
      <c r="AE21" s="315"/>
      <c r="AF21" s="328"/>
      <c r="AG21" s="315"/>
      <c r="AH21" s="315"/>
    </row>
    <row r="22" spans="2:34" ht="15.75">
      <c r="V22" s="315"/>
      <c r="W22" s="327"/>
      <c r="X22" s="327"/>
      <c r="Y22" s="327"/>
      <c r="Z22" s="327"/>
      <c r="AA22" s="327"/>
      <c r="AB22" s="315"/>
      <c r="AC22" s="315"/>
      <c r="AD22" s="315"/>
      <c r="AE22" s="315"/>
      <c r="AF22" s="328"/>
      <c r="AG22" s="315"/>
      <c r="AH22" s="315"/>
    </row>
    <row r="23" spans="2:34">
      <c r="B23" s="1788" t="s">
        <v>331</v>
      </c>
    </row>
    <row r="24" spans="2:34"/>
    <row r="25" spans="2:34" ht="15">
      <c r="B25" s="288" t="str">
        <f>'3A'!$B$53</f>
        <v>Please refer to RAG 4.13 - Guideline for the table definitions in the annual performance report</v>
      </c>
    </row>
    <row r="26" spans="2:34"/>
  </sheetData>
  <mergeCells count="1">
    <mergeCell ref="O9:O11"/>
  </mergeCells>
  <conditionalFormatting sqref="L9:M13">
    <cfRule type="cellIs" dxfId="2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15" zoomScale="80" zoomScaleNormal="80" zoomScaleSheetLayoutView="100" workbookViewId="0">
      <selection activeCell="G9" sqref="G9"/>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8.625" style="8" customWidth="1"/>
    <col min="6" max="6" width="1" style="8" customWidth="1"/>
    <col min="7" max="7" width="23.5" style="8" customWidth="1"/>
    <col min="8" max="8" width="1.625" style="8" customWidth="1"/>
    <col min="9" max="10" width="12.625" style="8" customWidth="1"/>
    <col min="11"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69</v>
      </c>
      <c r="C1" s="5"/>
      <c r="J1" s="1912" t="str">
        <f>'Validation summary'!$B$2</f>
        <v>2024-25</v>
      </c>
      <c r="V1" s="312"/>
      <c r="AB1" s="312"/>
      <c r="AH1" s="312"/>
    </row>
    <row r="2" spans="2:37" s="1" customFormat="1" ht="10.35" customHeight="1">
      <c r="B2" s="7"/>
      <c r="C2" s="7"/>
      <c r="V2" s="312"/>
      <c r="AB2" s="312"/>
      <c r="AH2" s="312"/>
    </row>
    <row r="3" spans="2:37" s="9" customFormat="1" ht="31.5" customHeight="1">
      <c r="B3" s="289" t="s">
        <v>801</v>
      </c>
      <c r="C3" s="289"/>
      <c r="D3" s="289"/>
      <c r="E3" s="289"/>
      <c r="F3" s="1639"/>
      <c r="G3" s="301" t="str">
        <f>'Validation summary'!$B$3</f>
        <v>Anglian Water</v>
      </c>
      <c r="H3" s="301"/>
      <c r="I3" s="292" t="s">
        <v>150</v>
      </c>
      <c r="J3" s="292"/>
      <c r="K3" s="1332"/>
      <c r="L3" s="1332"/>
      <c r="M3" s="1332"/>
      <c r="N3" s="1332"/>
      <c r="O3" s="1332"/>
      <c r="P3" s="1332"/>
      <c r="Q3" s="1332"/>
      <c r="R3" s="1332"/>
      <c r="S3" s="1332"/>
      <c r="T3" s="1332"/>
      <c r="U3" s="1332"/>
      <c r="V3" s="1333"/>
      <c r="W3" s="1332"/>
      <c r="X3" s="1332"/>
      <c r="Y3" s="1332"/>
      <c r="Z3" s="1332"/>
      <c r="AA3" s="1332"/>
      <c r="AB3" s="1333"/>
      <c r="AC3" s="1332"/>
      <c r="AD3" s="1332"/>
      <c r="AE3" s="1332"/>
      <c r="AF3" s="1332"/>
      <c r="AG3" s="1332"/>
      <c r="AH3" s="1333"/>
      <c r="AI3" s="1332"/>
      <c r="AJ3" s="292" t="s">
        <v>151</v>
      </c>
      <c r="AK3" s="1332"/>
    </row>
    <row r="4" spans="2:37" s="9" customFormat="1" ht="4.5" customHeight="1">
      <c r="B4" s="17"/>
      <c r="C4" s="17"/>
      <c r="D4" s="34"/>
      <c r="E4" s="1332"/>
      <c r="F4" s="13"/>
      <c r="G4" s="1332"/>
      <c r="H4" s="1332"/>
      <c r="I4" s="1332"/>
      <c r="J4" s="1332"/>
      <c r="K4" s="1332"/>
      <c r="L4" s="1332"/>
      <c r="M4" s="1332"/>
      <c r="N4" s="1332"/>
      <c r="O4" s="1332"/>
      <c r="P4" s="1332"/>
      <c r="Q4" s="1332"/>
      <c r="R4" s="1332"/>
      <c r="S4" s="1332"/>
      <c r="T4" s="1332"/>
      <c r="U4" s="1332"/>
      <c r="V4" s="1333"/>
      <c r="W4" s="1332"/>
      <c r="X4" s="1332"/>
      <c r="Y4" s="1332"/>
      <c r="Z4" s="1332"/>
      <c r="AA4" s="1332"/>
      <c r="AB4" s="1333"/>
      <c r="AC4" s="1332"/>
      <c r="AD4" s="1332"/>
      <c r="AE4" s="1332"/>
      <c r="AF4" s="1332"/>
      <c r="AG4" s="1332"/>
      <c r="AH4" s="1333"/>
      <c r="AI4" s="1332"/>
      <c r="AJ4" s="1332"/>
      <c r="AK4" s="1332"/>
    </row>
    <row r="5" spans="2:37" s="9" customFormat="1" ht="19.5" customHeight="1">
      <c r="B5" s="1329"/>
      <c r="C5" s="25">
        <v>1</v>
      </c>
      <c r="D5" s="35"/>
      <c r="E5" s="13"/>
      <c r="F5" s="1332"/>
      <c r="G5" s="1332"/>
      <c r="H5" s="1332"/>
      <c r="I5" s="1332"/>
      <c r="J5" s="1332"/>
      <c r="K5" s="1332"/>
      <c r="L5" s="1332"/>
      <c r="M5" s="1332"/>
      <c r="N5" s="1332"/>
      <c r="O5" s="1332"/>
      <c r="P5" s="1332"/>
      <c r="Q5" s="1332"/>
      <c r="R5" s="1332"/>
      <c r="S5" s="1332"/>
      <c r="T5" s="1332"/>
      <c r="U5" s="1332"/>
      <c r="V5" s="1333"/>
      <c r="W5" s="1332" t="s">
        <v>162</v>
      </c>
      <c r="X5" s="1332"/>
      <c r="Y5" s="1332"/>
      <c r="Z5" s="1332"/>
      <c r="AA5" s="1332"/>
      <c r="AB5" s="1333"/>
      <c r="AC5" s="1332" t="s">
        <v>163</v>
      </c>
      <c r="AD5" s="1332"/>
      <c r="AE5" s="1332"/>
      <c r="AF5" s="1332"/>
      <c r="AG5" s="1332"/>
      <c r="AH5" s="1333"/>
      <c r="AI5" s="1332"/>
      <c r="AJ5" s="1332"/>
      <c r="AK5" s="1332"/>
    </row>
    <row r="6" spans="2:37" s="9" customFormat="1" ht="60.75" customHeight="1">
      <c r="B6" s="2356" t="s">
        <v>153</v>
      </c>
      <c r="C6" s="2355" t="s">
        <v>802</v>
      </c>
      <c r="D6" s="274"/>
      <c r="E6" s="2355" t="s">
        <v>161</v>
      </c>
      <c r="F6" s="15"/>
      <c r="G6" s="1332"/>
      <c r="H6" s="1332"/>
      <c r="I6" s="2354" t="s">
        <v>162</v>
      </c>
      <c r="J6" s="2354" t="s">
        <v>163</v>
      </c>
      <c r="K6" s="1332"/>
      <c r="L6" s="1332"/>
      <c r="M6" s="1332"/>
      <c r="N6" s="1332"/>
      <c r="O6" s="1332"/>
      <c r="P6" s="1332"/>
      <c r="Q6" s="1332"/>
      <c r="R6" s="1332"/>
      <c r="S6" s="1332"/>
      <c r="T6" s="1332"/>
      <c r="U6" s="1332"/>
      <c r="V6" s="1333"/>
      <c r="W6" s="320" t="s">
        <v>435</v>
      </c>
      <c r="X6" s="1332"/>
      <c r="Y6" s="1332"/>
      <c r="Z6" s="1332"/>
      <c r="AA6" s="1332"/>
      <c r="AB6" s="1333"/>
      <c r="AC6" s="320" t="s">
        <v>803</v>
      </c>
      <c r="AD6" s="1332"/>
      <c r="AE6" s="320"/>
      <c r="AF6" s="320"/>
      <c r="AG6" s="1332"/>
      <c r="AH6" s="1333"/>
      <c r="AI6" s="1332"/>
      <c r="AJ6" s="2356" t="s">
        <v>153</v>
      </c>
      <c r="AK6" s="2355" t="s">
        <v>802</v>
      </c>
    </row>
    <row r="7" spans="2:37" s="9" customFormat="1" ht="15.75">
      <c r="B7" s="276"/>
      <c r="C7" s="2355" t="s">
        <v>804</v>
      </c>
      <c r="D7" s="274"/>
      <c r="E7" s="280"/>
      <c r="F7" s="1332"/>
      <c r="G7" s="2010"/>
      <c r="H7" s="1332"/>
      <c r="I7" s="488"/>
      <c r="J7" s="2014"/>
      <c r="K7" s="1332"/>
      <c r="L7" s="1332"/>
      <c r="M7" s="1332"/>
      <c r="N7" s="1332"/>
      <c r="O7" s="1332"/>
      <c r="P7" s="1332"/>
      <c r="Q7" s="1332"/>
      <c r="R7" s="1332"/>
      <c r="S7" s="1332"/>
      <c r="T7" s="1332"/>
      <c r="U7" s="1332"/>
      <c r="V7" s="1333"/>
      <c r="W7" s="1332"/>
      <c r="X7" s="1332"/>
      <c r="Y7" s="1332"/>
      <c r="Z7" s="1332"/>
      <c r="AA7" s="1332"/>
      <c r="AB7" s="1333"/>
      <c r="AC7" s="1332"/>
      <c r="AD7" s="1332"/>
      <c r="AE7" s="320"/>
      <c r="AF7" s="1332"/>
      <c r="AG7" s="1332"/>
      <c r="AH7" s="1333"/>
      <c r="AI7" s="1332"/>
      <c r="AJ7" s="1332"/>
      <c r="AK7" s="1332"/>
    </row>
    <row r="8" spans="2:37" s="9" customFormat="1" ht="15.75">
      <c r="B8" s="276"/>
      <c r="C8" s="281"/>
      <c r="D8" s="274"/>
      <c r="E8" s="280"/>
      <c r="F8" s="1332"/>
      <c r="G8" s="2015"/>
      <c r="H8" s="1332"/>
      <c r="I8" s="488"/>
      <c r="J8" s="2014"/>
      <c r="K8" s="1332"/>
      <c r="L8" s="1332"/>
      <c r="M8" s="1332"/>
      <c r="N8" s="1332"/>
      <c r="O8" s="1332"/>
      <c r="P8" s="1332"/>
      <c r="Q8" s="1332"/>
      <c r="R8" s="1332"/>
      <c r="S8" s="1332"/>
      <c r="T8" s="1332"/>
      <c r="U8" s="1332"/>
      <c r="V8" s="1333"/>
      <c r="W8" s="317"/>
      <c r="X8" s="317"/>
      <c r="Y8" s="317"/>
      <c r="Z8" s="317"/>
      <c r="AA8" s="317"/>
      <c r="AB8" s="321"/>
      <c r="AC8" s="317"/>
      <c r="AD8" s="317"/>
      <c r="AE8" s="317"/>
      <c r="AF8" s="317"/>
      <c r="AG8" s="317"/>
      <c r="AH8" s="1333"/>
      <c r="AI8" s="1332"/>
      <c r="AJ8" s="1332"/>
      <c r="AK8" s="1332"/>
    </row>
    <row r="9" spans="2:37" s="9" customFormat="1" ht="31.15" customHeight="1">
      <c r="B9" s="303" t="s">
        <v>805</v>
      </c>
      <c r="C9" s="279"/>
      <c r="D9" s="274"/>
      <c r="E9" s="280"/>
      <c r="F9" s="1332"/>
      <c r="G9" s="1332"/>
      <c r="H9" s="1332"/>
      <c r="I9" s="488"/>
      <c r="J9" s="2014"/>
      <c r="K9" s="2014"/>
      <c r="L9" s="488"/>
      <c r="M9" s="488"/>
      <c r="N9" s="488"/>
      <c r="O9" s="488"/>
      <c r="P9" s="488"/>
      <c r="Q9" s="488"/>
      <c r="R9" s="488"/>
      <c r="S9" s="488"/>
      <c r="T9" s="488"/>
      <c r="U9" s="488"/>
      <c r="V9" s="2016"/>
      <c r="W9" s="2017"/>
      <c r="X9" s="2017"/>
      <c r="Y9" s="2017"/>
      <c r="Z9" s="2017"/>
      <c r="AA9" s="2017"/>
      <c r="AB9" s="2018"/>
      <c r="AC9" s="2017"/>
      <c r="AD9" s="2017"/>
      <c r="AE9" s="2017"/>
      <c r="AF9" s="2017"/>
      <c r="AG9" s="2017"/>
      <c r="AH9" s="2016"/>
      <c r="AI9" s="488"/>
      <c r="AJ9" s="303" t="str">
        <f>B9</f>
        <v>Initial calculation of in period revenue adjustment by price control</v>
      </c>
      <c r="AK9" s="279"/>
    </row>
    <row r="10" spans="2:37" s="9" customFormat="1" ht="20.25" customHeight="1">
      <c r="B10" s="282" t="s">
        <v>806</v>
      </c>
      <c r="C10" s="1791">
        <f>'Model outputs - Aggregate level'!$F40</f>
        <v>-8.7999999999999995E-2</v>
      </c>
      <c r="D10" s="35"/>
      <c r="E10" s="286" t="s">
        <v>807</v>
      </c>
      <c r="F10" s="1332"/>
      <c r="G10" s="2025"/>
      <c r="H10" s="1332"/>
      <c r="I10" s="319"/>
      <c r="J10" s="331">
        <f>IF($AC10=1,$AC$6,0)</f>
        <v>0</v>
      </c>
      <c r="K10" s="488"/>
      <c r="L10" s="488"/>
      <c r="M10" s="488"/>
      <c r="N10" s="488"/>
      <c r="O10" s="488"/>
      <c r="P10" s="488"/>
      <c r="Q10" s="488"/>
      <c r="R10" s="488"/>
      <c r="S10" s="488"/>
      <c r="T10" s="488"/>
      <c r="U10" s="488"/>
      <c r="V10" s="2016"/>
      <c r="W10" s="318"/>
      <c r="X10" s="318"/>
      <c r="Y10" s="318"/>
      <c r="Z10" s="318"/>
      <c r="AA10" s="318"/>
      <c r="AB10" s="1333"/>
      <c r="AC10" s="322">
        <f>IF(ISERROR($C10)=TRUE,1,0)</f>
        <v>0</v>
      </c>
      <c r="AD10" s="322"/>
      <c r="AE10" s="322"/>
      <c r="AF10" s="318"/>
      <c r="AG10" s="322"/>
      <c r="AH10" s="2016"/>
      <c r="AI10" s="488"/>
      <c r="AJ10" s="282" t="str">
        <f>B10</f>
        <v>Water resources</v>
      </c>
      <c r="AK10" s="1454" t="s">
        <v>808</v>
      </c>
    </row>
    <row r="11" spans="2:37" s="9" customFormat="1" ht="20.25" customHeight="1">
      <c r="B11" s="282" t="s">
        <v>809</v>
      </c>
      <c r="C11" s="1791">
        <f>'Model outputs - Aggregate level'!$F41</f>
        <v>-19.796139131553161</v>
      </c>
      <c r="D11" s="35"/>
      <c r="E11" s="286" t="s">
        <v>810</v>
      </c>
      <c r="F11" s="1332"/>
      <c r="G11" s="2025"/>
      <c r="H11" s="1332"/>
      <c r="I11" s="319"/>
      <c r="J11" s="331">
        <f t="shared" ref="J11:J16" si="0">IF($AC11=1,$AC$6,0)</f>
        <v>0</v>
      </c>
      <c r="K11" s="2014"/>
      <c r="L11" s="488"/>
      <c r="M11" s="488"/>
      <c r="N11" s="488"/>
      <c r="O11" s="488"/>
      <c r="P11" s="488"/>
      <c r="Q11" s="488"/>
      <c r="R11" s="488"/>
      <c r="S11" s="488"/>
      <c r="T11" s="488"/>
      <c r="U11" s="488"/>
      <c r="V11" s="2016"/>
      <c r="W11" s="318"/>
      <c r="X11" s="318"/>
      <c r="Y11" s="318"/>
      <c r="Z11" s="318"/>
      <c r="AA11" s="318"/>
      <c r="AB11" s="1333"/>
      <c r="AC11" s="322">
        <f t="shared" ref="AC11:AC16" si="1">IF(ISERROR($C11)=TRUE,1,0)</f>
        <v>0</v>
      </c>
      <c r="AD11" s="322"/>
      <c r="AE11" s="322"/>
      <c r="AF11" s="318"/>
      <c r="AG11" s="322"/>
      <c r="AH11" s="2016"/>
      <c r="AI11" s="488"/>
      <c r="AJ11" s="282" t="str">
        <f t="shared" ref="AJ11:AJ16" si="2">B11</f>
        <v>Water network plus</v>
      </c>
      <c r="AK11" s="1454" t="s">
        <v>811</v>
      </c>
    </row>
    <row r="12" spans="2:37" s="9" customFormat="1" ht="20.25" customHeight="1">
      <c r="B12" s="282" t="s">
        <v>812</v>
      </c>
      <c r="C12" s="1791">
        <f>'Model outputs - Aggregate level'!$F42</f>
        <v>-15.784236999999999</v>
      </c>
      <c r="D12" s="35"/>
      <c r="E12" s="286" t="s">
        <v>813</v>
      </c>
      <c r="F12" s="1332"/>
      <c r="G12" s="2025"/>
      <c r="H12" s="1332"/>
      <c r="I12" s="319"/>
      <c r="J12" s="331">
        <f t="shared" si="0"/>
        <v>0</v>
      </c>
      <c r="K12" s="2019"/>
      <c r="L12" s="488"/>
      <c r="M12" s="488"/>
      <c r="N12" s="488"/>
      <c r="O12" s="488"/>
      <c r="P12" s="488"/>
      <c r="Q12" s="488"/>
      <c r="R12" s="488"/>
      <c r="S12" s="488"/>
      <c r="T12" s="488"/>
      <c r="U12" s="488"/>
      <c r="V12" s="2016"/>
      <c r="W12" s="318"/>
      <c r="X12" s="318"/>
      <c r="Y12" s="318"/>
      <c r="Z12" s="318"/>
      <c r="AA12" s="318"/>
      <c r="AB12" s="1333"/>
      <c r="AC12" s="322">
        <f t="shared" si="1"/>
        <v>0</v>
      </c>
      <c r="AD12" s="322"/>
      <c r="AE12" s="322"/>
      <c r="AF12" s="318"/>
      <c r="AG12" s="322"/>
      <c r="AH12" s="2016"/>
      <c r="AI12" s="488"/>
      <c r="AJ12" s="282" t="str">
        <f t="shared" si="2"/>
        <v>Wastewater network plus</v>
      </c>
      <c r="AK12" s="1454" t="s">
        <v>814</v>
      </c>
    </row>
    <row r="13" spans="2:37" s="9" customFormat="1" ht="20.25" customHeight="1">
      <c r="B13" s="282" t="s">
        <v>815</v>
      </c>
      <c r="C13" s="1791">
        <f>'Model outputs - Aggregate level'!$F43</f>
        <v>0</v>
      </c>
      <c r="D13" s="35"/>
      <c r="E13" s="286" t="s">
        <v>816</v>
      </c>
      <c r="F13" s="1332"/>
      <c r="G13" s="2025"/>
      <c r="H13" s="1332"/>
      <c r="I13" s="319"/>
      <c r="J13" s="331">
        <f t="shared" si="0"/>
        <v>0</v>
      </c>
      <c r="K13" s="488"/>
      <c r="L13" s="488"/>
      <c r="M13" s="488"/>
      <c r="N13" s="488"/>
      <c r="O13" s="488"/>
      <c r="P13" s="488"/>
      <c r="Q13" s="488"/>
      <c r="R13" s="488"/>
      <c r="S13" s="488"/>
      <c r="T13" s="488"/>
      <c r="U13" s="488"/>
      <c r="V13" s="2016"/>
      <c r="W13" s="318"/>
      <c r="X13" s="318"/>
      <c r="Y13" s="318"/>
      <c r="Z13" s="318"/>
      <c r="AA13" s="318"/>
      <c r="AB13" s="1333"/>
      <c r="AC13" s="322">
        <f t="shared" si="1"/>
        <v>0</v>
      </c>
      <c r="AD13" s="322"/>
      <c r="AE13" s="322"/>
      <c r="AF13" s="318"/>
      <c r="AG13" s="322"/>
      <c r="AH13" s="2016"/>
      <c r="AI13" s="488"/>
      <c r="AJ13" s="282" t="str">
        <f t="shared" si="2"/>
        <v>Bioresources (sludge)</v>
      </c>
      <c r="AK13" s="1454" t="s">
        <v>817</v>
      </c>
    </row>
    <row r="14" spans="2:37" s="9" customFormat="1" ht="20.25" customHeight="1">
      <c r="B14" s="282" t="s">
        <v>818</v>
      </c>
      <c r="C14" s="1791">
        <f>'Model outputs - Aggregate level'!$F44</f>
        <v>0.89604000000000006</v>
      </c>
      <c r="D14" s="35"/>
      <c r="E14" s="286" t="s">
        <v>819</v>
      </c>
      <c r="F14" s="1332"/>
      <c r="G14" s="2025"/>
      <c r="H14" s="1332"/>
      <c r="I14" s="319"/>
      <c r="J14" s="331">
        <f t="shared" si="0"/>
        <v>0</v>
      </c>
      <c r="K14" s="488"/>
      <c r="L14" s="488"/>
      <c r="M14" s="488"/>
      <c r="N14" s="488"/>
      <c r="O14" s="488"/>
      <c r="P14" s="488"/>
      <c r="Q14" s="488"/>
      <c r="R14" s="488"/>
      <c r="S14" s="488"/>
      <c r="T14" s="488"/>
      <c r="U14" s="488"/>
      <c r="V14" s="2016"/>
      <c r="W14" s="318"/>
      <c r="X14" s="318"/>
      <c r="Y14" s="318"/>
      <c r="Z14" s="318"/>
      <c r="AA14" s="318"/>
      <c r="AB14" s="1333"/>
      <c r="AC14" s="322">
        <f t="shared" si="1"/>
        <v>0</v>
      </c>
      <c r="AD14" s="322"/>
      <c r="AE14" s="322"/>
      <c r="AF14" s="318"/>
      <c r="AG14" s="322"/>
      <c r="AH14" s="2016"/>
      <c r="AI14" s="488"/>
      <c r="AJ14" s="282" t="str">
        <f t="shared" si="2"/>
        <v>Residential retail</v>
      </c>
      <c r="AK14" s="1454" t="s">
        <v>820</v>
      </c>
    </row>
    <row r="15" spans="2:37" s="9" customFormat="1" ht="20.25" customHeight="1">
      <c r="B15" s="282" t="s">
        <v>821</v>
      </c>
      <c r="C15" s="1791">
        <f>'Model outputs - Aggregate level'!$F45</f>
        <v>0</v>
      </c>
      <c r="D15" s="35"/>
      <c r="E15" s="286" t="s">
        <v>822</v>
      </c>
      <c r="F15" s="1332"/>
      <c r="G15" s="2025"/>
      <c r="H15" s="1332"/>
      <c r="I15" s="319"/>
      <c r="J15" s="331">
        <f t="shared" si="0"/>
        <v>0</v>
      </c>
      <c r="K15" s="2014"/>
      <c r="L15" s="488"/>
      <c r="M15" s="488"/>
      <c r="N15" s="488"/>
      <c r="O15" s="488"/>
      <c r="P15" s="488"/>
      <c r="Q15" s="488"/>
      <c r="R15" s="488"/>
      <c r="S15" s="488"/>
      <c r="T15" s="488"/>
      <c r="U15" s="488"/>
      <c r="V15" s="2016"/>
      <c r="W15" s="318"/>
      <c r="X15" s="318"/>
      <c r="Y15" s="318"/>
      <c r="Z15" s="318"/>
      <c r="AA15" s="318"/>
      <c r="AB15" s="1333"/>
      <c r="AC15" s="322">
        <f t="shared" si="1"/>
        <v>0</v>
      </c>
      <c r="AD15" s="322"/>
      <c r="AE15" s="322"/>
      <c r="AF15" s="318"/>
      <c r="AG15" s="322"/>
      <c r="AH15" s="2016"/>
      <c r="AI15" s="488"/>
      <c r="AJ15" s="282" t="str">
        <f t="shared" si="2"/>
        <v>Business retail</v>
      </c>
      <c r="AK15" s="1454" t="s">
        <v>823</v>
      </c>
    </row>
    <row r="16" spans="2:37" s="9" customFormat="1" ht="20.25" customHeight="1">
      <c r="B16" s="282" t="s">
        <v>824</v>
      </c>
      <c r="C16" s="1791">
        <f>'Model outputs - Aggregate level'!$F46</f>
        <v>0</v>
      </c>
      <c r="D16" s="35"/>
      <c r="E16" s="286" t="s">
        <v>825</v>
      </c>
      <c r="F16" s="1332"/>
      <c r="G16" s="2025"/>
      <c r="H16" s="1332"/>
      <c r="I16" s="319"/>
      <c r="J16" s="331">
        <f t="shared" si="0"/>
        <v>0</v>
      </c>
      <c r="K16" s="488"/>
      <c r="L16" s="488"/>
      <c r="M16" s="488"/>
      <c r="N16" s="488"/>
      <c r="O16" s="488"/>
      <c r="P16" s="488"/>
      <c r="Q16" s="488"/>
      <c r="R16" s="488"/>
      <c r="S16" s="488"/>
      <c r="T16" s="488"/>
      <c r="U16" s="488"/>
      <c r="V16" s="2016"/>
      <c r="W16" s="318"/>
      <c r="X16" s="318"/>
      <c r="Y16" s="318"/>
      <c r="Z16" s="318"/>
      <c r="AA16" s="318"/>
      <c r="AB16" s="1333"/>
      <c r="AC16" s="322">
        <f t="shared" si="1"/>
        <v>0</v>
      </c>
      <c r="AD16" s="322"/>
      <c r="AE16" s="322"/>
      <c r="AF16" s="318"/>
      <c r="AG16" s="322"/>
      <c r="AH16" s="2016"/>
      <c r="AI16" s="488"/>
      <c r="AJ16" s="282" t="str">
        <f t="shared" si="2"/>
        <v>Dummy control</v>
      </c>
      <c r="AK16" s="1454" t="s">
        <v>826</v>
      </c>
    </row>
    <row r="17" spans="2:37" s="9" customFormat="1" ht="20.25" customHeight="1">
      <c r="B17" s="1329"/>
      <c r="C17" s="1329"/>
      <c r="D17" s="35"/>
      <c r="E17" s="13"/>
      <c r="F17" s="1332"/>
      <c r="G17" s="1909"/>
      <c r="H17" s="1332"/>
      <c r="I17" s="13"/>
      <c r="J17" s="13"/>
      <c r="K17" s="2014"/>
      <c r="L17" s="488"/>
      <c r="M17" s="488"/>
      <c r="N17" s="488"/>
      <c r="O17" s="488"/>
      <c r="P17" s="488"/>
      <c r="Q17" s="488"/>
      <c r="R17" s="488"/>
      <c r="S17" s="488"/>
      <c r="T17" s="488"/>
      <c r="U17" s="488"/>
      <c r="V17" s="2016"/>
      <c r="W17" s="489"/>
      <c r="X17" s="489"/>
      <c r="Y17" s="489"/>
      <c r="Z17" s="489"/>
      <c r="AA17" s="489"/>
      <c r="AB17" s="2016"/>
      <c r="AC17" s="488"/>
      <c r="AD17" s="488"/>
      <c r="AE17" s="488"/>
      <c r="AF17" s="489"/>
      <c r="AG17" s="488"/>
      <c r="AH17" s="2016"/>
      <c r="AI17" s="488"/>
      <c r="AJ17" s="1329"/>
      <c r="AK17" s="1329"/>
    </row>
    <row r="18" spans="2:37" s="9" customFormat="1" ht="31.15" customHeight="1">
      <c r="B18" s="303" t="s">
        <v>827</v>
      </c>
      <c r="C18" s="12"/>
      <c r="D18" s="35"/>
      <c r="E18" s="13"/>
      <c r="F18" s="1332"/>
      <c r="G18" s="1909"/>
      <c r="H18" s="1332"/>
      <c r="I18" s="13"/>
      <c r="J18" s="13"/>
      <c r="K18" s="1332"/>
      <c r="L18" s="1332"/>
      <c r="M18" s="1332"/>
      <c r="N18" s="1332"/>
      <c r="O18" s="1332"/>
      <c r="P18" s="1332"/>
      <c r="Q18" s="1332"/>
      <c r="R18" s="1332"/>
      <c r="S18" s="1332"/>
      <c r="T18" s="1332"/>
      <c r="U18" s="1332"/>
      <c r="V18" s="1333"/>
      <c r="W18" s="318"/>
      <c r="X18" s="318"/>
      <c r="Y18" s="318"/>
      <c r="Z18" s="318"/>
      <c r="AA18" s="318"/>
      <c r="AB18" s="1333"/>
      <c r="AC18" s="322"/>
      <c r="AD18" s="322"/>
      <c r="AE18" s="322"/>
      <c r="AF18" s="318"/>
      <c r="AG18" s="322"/>
      <c r="AH18" s="1333"/>
      <c r="AI18" s="1332"/>
      <c r="AJ18" s="303" t="s">
        <v>827</v>
      </c>
      <c r="AK18" s="12"/>
    </row>
    <row r="19" spans="2:37" s="9" customFormat="1" ht="20.25" customHeight="1">
      <c r="B19" s="282" t="s">
        <v>806</v>
      </c>
      <c r="C19" s="1791">
        <f>'Model outputs - Aggregate level'!$F49</f>
        <v>0</v>
      </c>
      <c r="D19" s="35"/>
      <c r="E19" s="286" t="s">
        <v>828</v>
      </c>
      <c r="F19" s="1332"/>
      <c r="G19" s="2010"/>
      <c r="H19" s="1332"/>
      <c r="I19" s="319"/>
      <c r="J19" s="331">
        <f t="shared" ref="J19:J25" si="3">IF($AC19=1,$AC$6,0)</f>
        <v>0</v>
      </c>
      <c r="K19" s="1332"/>
      <c r="L19" s="1332"/>
      <c r="M19" s="1332"/>
      <c r="N19" s="1332"/>
      <c r="O19" s="1332"/>
      <c r="P19" s="1332"/>
      <c r="Q19" s="1332"/>
      <c r="R19" s="1332"/>
      <c r="S19" s="1332"/>
      <c r="T19" s="1332"/>
      <c r="U19" s="1332"/>
      <c r="V19" s="1333"/>
      <c r="W19" s="318"/>
      <c r="X19" s="318"/>
      <c r="Y19" s="318"/>
      <c r="Z19" s="318"/>
      <c r="AA19" s="318"/>
      <c r="AB19" s="1333"/>
      <c r="AC19" s="322">
        <f t="shared" ref="AC19:AC34" si="4">IF(ISERROR($C19)=TRUE,1,0)</f>
        <v>0</v>
      </c>
      <c r="AD19" s="322"/>
      <c r="AE19" s="322"/>
      <c r="AF19" s="318"/>
      <c r="AG19" s="322"/>
      <c r="AH19" s="1333"/>
      <c r="AI19" s="1332"/>
      <c r="AJ19" s="282" t="str">
        <f t="shared" ref="AJ19:AJ25" si="5">B19</f>
        <v>Water resources</v>
      </c>
      <c r="AK19" s="1454" t="s">
        <v>829</v>
      </c>
    </row>
    <row r="20" spans="2:37" s="9" customFormat="1" ht="20.25" customHeight="1">
      <c r="B20" s="282" t="s">
        <v>809</v>
      </c>
      <c r="C20" s="1791">
        <f>'Model outputs - Aggregate level'!$F50</f>
        <v>-0.48620000000000019</v>
      </c>
      <c r="D20" s="35"/>
      <c r="E20" s="286" t="s">
        <v>830</v>
      </c>
      <c r="F20" s="1332"/>
      <c r="G20" s="1932"/>
      <c r="H20" s="1332"/>
      <c r="I20" s="319"/>
      <c r="J20" s="331">
        <f t="shared" si="3"/>
        <v>0</v>
      </c>
      <c r="K20" s="1332"/>
      <c r="L20" s="1332"/>
      <c r="M20" s="1332"/>
      <c r="N20" s="1332"/>
      <c r="O20" s="1332"/>
      <c r="P20" s="1332"/>
      <c r="Q20" s="1332"/>
      <c r="R20" s="1332"/>
      <c r="S20" s="1332"/>
      <c r="T20" s="1332"/>
      <c r="U20" s="1332"/>
      <c r="V20" s="1333"/>
      <c r="W20" s="318"/>
      <c r="X20" s="318"/>
      <c r="Y20" s="318"/>
      <c r="Z20" s="318"/>
      <c r="AA20" s="318"/>
      <c r="AB20" s="1333"/>
      <c r="AC20" s="322">
        <f t="shared" si="4"/>
        <v>0</v>
      </c>
      <c r="AD20" s="322"/>
      <c r="AE20" s="322"/>
      <c r="AF20" s="318"/>
      <c r="AG20" s="322"/>
      <c r="AH20" s="1333"/>
      <c r="AI20" s="1332"/>
      <c r="AJ20" s="282" t="str">
        <f t="shared" si="5"/>
        <v>Water network plus</v>
      </c>
      <c r="AK20" s="1454" t="s">
        <v>831</v>
      </c>
    </row>
    <row r="21" spans="2:37" s="9" customFormat="1" ht="20.25" customHeight="1">
      <c r="B21" s="282" t="s">
        <v>812</v>
      </c>
      <c r="C21" s="1791">
        <f>'Model outputs - Aggregate level'!$F51</f>
        <v>-1.1240000000000006</v>
      </c>
      <c r="D21" s="35"/>
      <c r="E21" s="286" t="s">
        <v>832</v>
      </c>
      <c r="F21" s="1332"/>
      <c r="G21" s="1932"/>
      <c r="H21" s="1332"/>
      <c r="I21" s="319"/>
      <c r="J21" s="331">
        <f t="shared" si="3"/>
        <v>0</v>
      </c>
      <c r="K21" s="1332"/>
      <c r="L21" s="1332"/>
      <c r="M21" s="1332"/>
      <c r="N21" s="1332"/>
      <c r="O21" s="1332"/>
      <c r="P21" s="1332"/>
      <c r="Q21" s="1332"/>
      <c r="R21" s="1332"/>
      <c r="S21" s="1332"/>
      <c r="T21" s="1332"/>
      <c r="U21" s="1332"/>
      <c r="V21" s="1333"/>
      <c r="W21" s="318"/>
      <c r="X21" s="318"/>
      <c r="Y21" s="318"/>
      <c r="Z21" s="318"/>
      <c r="AA21" s="318"/>
      <c r="AB21" s="1333"/>
      <c r="AC21" s="322">
        <f t="shared" si="4"/>
        <v>0</v>
      </c>
      <c r="AD21" s="322"/>
      <c r="AE21" s="322"/>
      <c r="AF21" s="318"/>
      <c r="AG21" s="322"/>
      <c r="AH21" s="1333"/>
      <c r="AI21" s="1332"/>
      <c r="AJ21" s="282" t="str">
        <f t="shared" si="5"/>
        <v>Wastewater network plus</v>
      </c>
      <c r="AK21" s="1454" t="s">
        <v>833</v>
      </c>
    </row>
    <row r="22" spans="2:37" s="9" customFormat="1" ht="20.25" customHeight="1">
      <c r="B22" s="282" t="s">
        <v>815</v>
      </c>
      <c r="C22" s="1791">
        <f>'Model outputs - Aggregate level'!$F52</f>
        <v>0</v>
      </c>
      <c r="D22" s="35"/>
      <c r="E22" s="286" t="s">
        <v>834</v>
      </c>
      <c r="F22" s="1332"/>
      <c r="G22" s="1909"/>
      <c r="H22" s="1332"/>
      <c r="I22" s="319"/>
      <c r="J22" s="331">
        <f t="shared" si="3"/>
        <v>0</v>
      </c>
      <c r="K22" s="1332"/>
      <c r="L22" s="1332"/>
      <c r="M22" s="1332"/>
      <c r="N22" s="1332"/>
      <c r="O22" s="1332"/>
      <c r="P22" s="1332"/>
      <c r="Q22" s="1332"/>
      <c r="R22" s="1332"/>
      <c r="S22" s="1332"/>
      <c r="T22" s="1332"/>
      <c r="U22" s="1332"/>
      <c r="V22" s="1333"/>
      <c r="W22" s="318"/>
      <c r="X22" s="318"/>
      <c r="Y22" s="318"/>
      <c r="Z22" s="318"/>
      <c r="AA22" s="318"/>
      <c r="AB22" s="1333"/>
      <c r="AC22" s="322">
        <f t="shared" si="4"/>
        <v>0</v>
      </c>
      <c r="AD22" s="322"/>
      <c r="AE22" s="322"/>
      <c r="AF22" s="318"/>
      <c r="AG22" s="322"/>
      <c r="AH22" s="1333"/>
      <c r="AI22" s="1332"/>
      <c r="AJ22" s="282" t="str">
        <f t="shared" si="5"/>
        <v>Bioresources (sludge)</v>
      </c>
      <c r="AK22" s="1454" t="s">
        <v>835</v>
      </c>
    </row>
    <row r="23" spans="2:37" s="9" customFormat="1" ht="20.25" customHeight="1">
      <c r="B23" s="282" t="s">
        <v>818</v>
      </c>
      <c r="C23" s="1791">
        <f>'Model outputs - Aggregate level'!$F53</f>
        <v>0</v>
      </c>
      <c r="D23" s="35"/>
      <c r="E23" s="286" t="s">
        <v>836</v>
      </c>
      <c r="F23" s="1332"/>
      <c r="G23" s="1909"/>
      <c r="H23" s="1332"/>
      <c r="I23" s="319"/>
      <c r="J23" s="331">
        <f t="shared" si="3"/>
        <v>0</v>
      </c>
      <c r="K23" s="1332"/>
      <c r="L23" s="1332"/>
      <c r="M23" s="1332"/>
      <c r="N23" s="1332"/>
      <c r="O23" s="1332"/>
      <c r="P23" s="1332"/>
      <c r="Q23" s="1332"/>
      <c r="R23" s="1332"/>
      <c r="S23" s="1332"/>
      <c r="T23" s="1332"/>
      <c r="U23" s="1332"/>
      <c r="V23" s="1333"/>
      <c r="W23" s="318"/>
      <c r="X23" s="318"/>
      <c r="Y23" s="318"/>
      <c r="Z23" s="318"/>
      <c r="AA23" s="318"/>
      <c r="AB23" s="1333"/>
      <c r="AC23" s="322">
        <f t="shared" si="4"/>
        <v>0</v>
      </c>
      <c r="AD23" s="322"/>
      <c r="AE23" s="322"/>
      <c r="AF23" s="318"/>
      <c r="AG23" s="322"/>
      <c r="AH23" s="1333"/>
      <c r="AI23" s="1332"/>
      <c r="AJ23" s="282" t="str">
        <f t="shared" si="5"/>
        <v>Residential retail</v>
      </c>
      <c r="AK23" s="1454" t="s">
        <v>837</v>
      </c>
    </row>
    <row r="24" spans="2:37" s="9" customFormat="1" ht="20.25" customHeight="1">
      <c r="B24" s="282" t="s">
        <v>821</v>
      </c>
      <c r="C24" s="1791">
        <f>'Model outputs - Aggregate level'!$F54</f>
        <v>0</v>
      </c>
      <c r="D24" s="35"/>
      <c r="E24" s="286" t="s">
        <v>838</v>
      </c>
      <c r="F24" s="1332"/>
      <c r="G24" s="1909"/>
      <c r="H24" s="1332"/>
      <c r="I24" s="319"/>
      <c r="J24" s="331">
        <f t="shared" si="3"/>
        <v>0</v>
      </c>
      <c r="K24" s="1332"/>
      <c r="L24" s="1332"/>
      <c r="M24" s="1332"/>
      <c r="N24" s="1332"/>
      <c r="O24" s="1332"/>
      <c r="P24" s="1332"/>
      <c r="Q24" s="1332"/>
      <c r="R24" s="1332"/>
      <c r="S24" s="1332"/>
      <c r="T24" s="1332"/>
      <c r="U24" s="1332"/>
      <c r="V24" s="1333"/>
      <c r="W24" s="318"/>
      <c r="X24" s="318"/>
      <c r="Y24" s="318"/>
      <c r="Z24" s="318"/>
      <c r="AA24" s="318"/>
      <c r="AB24" s="1333"/>
      <c r="AC24" s="322">
        <f t="shared" si="4"/>
        <v>0</v>
      </c>
      <c r="AD24" s="322"/>
      <c r="AE24" s="322"/>
      <c r="AF24" s="318"/>
      <c r="AG24" s="322"/>
      <c r="AH24" s="1333"/>
      <c r="AI24" s="1332"/>
      <c r="AJ24" s="282" t="str">
        <f t="shared" si="5"/>
        <v>Business retail</v>
      </c>
      <c r="AK24" s="1454" t="s">
        <v>839</v>
      </c>
    </row>
    <row r="25" spans="2:37" s="9" customFormat="1" ht="20.25" customHeight="1">
      <c r="B25" s="282" t="s">
        <v>824</v>
      </c>
      <c r="C25" s="1791">
        <f>'Model outputs - Aggregate level'!$F55</f>
        <v>0</v>
      </c>
      <c r="D25" s="35"/>
      <c r="E25" s="286" t="s">
        <v>840</v>
      </c>
      <c r="F25" s="1332"/>
      <c r="G25" s="1909"/>
      <c r="H25" s="1332"/>
      <c r="I25" s="319"/>
      <c r="J25" s="331">
        <f t="shared" si="3"/>
        <v>0</v>
      </c>
      <c r="K25" s="1332"/>
      <c r="L25" s="1332"/>
      <c r="M25" s="1332"/>
      <c r="N25" s="1332"/>
      <c r="O25" s="1332"/>
      <c r="P25" s="1332"/>
      <c r="Q25" s="1332"/>
      <c r="R25" s="1332"/>
      <c r="S25" s="1332"/>
      <c r="T25" s="1332"/>
      <c r="U25" s="1332"/>
      <c r="V25" s="1333"/>
      <c r="W25" s="318"/>
      <c r="X25" s="318"/>
      <c r="Y25" s="318"/>
      <c r="Z25" s="318"/>
      <c r="AA25" s="318"/>
      <c r="AB25" s="1333"/>
      <c r="AC25" s="322">
        <f t="shared" si="4"/>
        <v>0</v>
      </c>
      <c r="AD25" s="322"/>
      <c r="AE25" s="322"/>
      <c r="AF25" s="318"/>
      <c r="AG25" s="322"/>
      <c r="AH25" s="1333"/>
      <c r="AI25" s="1332"/>
      <c r="AJ25" s="282" t="str">
        <f t="shared" si="5"/>
        <v>Dummy control</v>
      </c>
      <c r="AK25" s="1454" t="s">
        <v>841</v>
      </c>
    </row>
    <row r="26" spans="2:37" s="9" customFormat="1" ht="20.25" customHeight="1">
      <c r="B26" s="1329"/>
      <c r="C26" s="1329"/>
      <c r="D26" s="35"/>
      <c r="E26" s="1332"/>
      <c r="F26" s="1332"/>
      <c r="G26" s="1909"/>
      <c r="H26" s="1332"/>
      <c r="I26" s="1332"/>
      <c r="J26" s="1332"/>
      <c r="K26" s="1332"/>
      <c r="L26" s="1332"/>
      <c r="M26" s="1332"/>
      <c r="N26" s="1332"/>
      <c r="O26" s="1332"/>
      <c r="P26" s="1332"/>
      <c r="Q26" s="1332"/>
      <c r="R26" s="1332"/>
      <c r="S26" s="1332"/>
      <c r="T26" s="1332"/>
      <c r="U26" s="1332"/>
      <c r="V26" s="1333"/>
      <c r="W26" s="318"/>
      <c r="X26" s="318"/>
      <c r="Y26" s="318"/>
      <c r="Z26" s="318"/>
      <c r="AA26" s="318"/>
      <c r="AB26" s="1333"/>
      <c r="AC26" s="322"/>
      <c r="AD26" s="322"/>
      <c r="AE26" s="322"/>
      <c r="AF26" s="318"/>
      <c r="AG26" s="322"/>
      <c r="AH26" s="1333"/>
      <c r="AI26" s="1332"/>
      <c r="AJ26" s="1329"/>
      <c r="AK26" s="1329"/>
    </row>
    <row r="27" spans="2:37" s="9" customFormat="1" ht="31.15" customHeight="1">
      <c r="B27" s="303" t="s">
        <v>842</v>
      </c>
      <c r="C27" s="12"/>
      <c r="D27" s="35"/>
      <c r="E27" s="1332"/>
      <c r="F27" s="1332"/>
      <c r="G27" s="1909"/>
      <c r="H27" s="1332"/>
      <c r="I27" s="1332"/>
      <c r="J27" s="1332"/>
      <c r="K27" s="1332"/>
      <c r="L27" s="1332"/>
      <c r="M27" s="1332"/>
      <c r="N27" s="1332"/>
      <c r="O27" s="1332"/>
      <c r="P27" s="1332"/>
      <c r="Q27" s="1332"/>
      <c r="R27" s="1332"/>
      <c r="S27" s="1332"/>
      <c r="T27" s="1332"/>
      <c r="U27" s="1332"/>
      <c r="V27" s="1333"/>
      <c r="W27" s="318"/>
      <c r="X27" s="318"/>
      <c r="Y27" s="318"/>
      <c r="Z27" s="318"/>
      <c r="AA27" s="318"/>
      <c r="AB27" s="1333"/>
      <c r="AC27" s="322"/>
      <c r="AD27" s="322"/>
      <c r="AE27" s="322"/>
      <c r="AF27" s="318"/>
      <c r="AG27" s="322"/>
      <c r="AH27" s="1333"/>
      <c r="AI27" s="1332"/>
      <c r="AJ27" s="303" t="s">
        <v>842</v>
      </c>
      <c r="AK27" s="12"/>
    </row>
    <row r="28" spans="2:37" s="9" customFormat="1" ht="20.25" customHeight="1">
      <c r="B28" s="282" t="s">
        <v>806</v>
      </c>
      <c r="C28" s="1791">
        <f>'Model outputs - Aggregate level'!$F58</f>
        <v>0</v>
      </c>
      <c r="D28" s="35"/>
      <c r="E28" s="286" t="s">
        <v>843</v>
      </c>
      <c r="F28" s="1332"/>
      <c r="G28" s="2010"/>
      <c r="H28" s="1332"/>
      <c r="I28" s="319"/>
      <c r="J28" s="331">
        <f t="shared" ref="J28:J34" si="6">IF($AC28=1,$AC$6,0)</f>
        <v>0</v>
      </c>
      <c r="K28" s="1332"/>
      <c r="L28" s="1332"/>
      <c r="M28" s="1332"/>
      <c r="N28" s="1332"/>
      <c r="O28" s="1332"/>
      <c r="P28" s="1332"/>
      <c r="Q28" s="1332"/>
      <c r="R28" s="1332"/>
      <c r="S28" s="1332"/>
      <c r="T28" s="1332"/>
      <c r="U28" s="1332"/>
      <c r="V28" s="1333"/>
      <c r="W28" s="318"/>
      <c r="X28" s="318"/>
      <c r="Y28" s="318"/>
      <c r="Z28" s="318"/>
      <c r="AA28" s="318"/>
      <c r="AB28" s="1333"/>
      <c r="AC28" s="322">
        <f t="shared" si="4"/>
        <v>0</v>
      </c>
      <c r="AD28" s="322"/>
      <c r="AE28" s="322"/>
      <c r="AF28" s="318"/>
      <c r="AG28" s="322"/>
      <c r="AH28" s="1333"/>
      <c r="AI28" s="1332"/>
      <c r="AJ28" s="282" t="str">
        <f t="shared" ref="AJ28:AJ34" si="7">B28</f>
        <v>Water resources</v>
      </c>
      <c r="AK28" s="1454" t="s">
        <v>844</v>
      </c>
    </row>
    <row r="29" spans="2:37" s="9" customFormat="1" ht="20.25" customHeight="1">
      <c r="B29" s="282" t="s">
        <v>809</v>
      </c>
      <c r="C29" s="1791">
        <f>'Model outputs - Aggregate level'!$F59</f>
        <v>0</v>
      </c>
      <c r="D29" s="35"/>
      <c r="E29" s="286" t="s">
        <v>845</v>
      </c>
      <c r="F29" s="1332"/>
      <c r="G29" s="1909"/>
      <c r="H29" s="1332"/>
      <c r="I29" s="319"/>
      <c r="J29" s="331">
        <f t="shared" si="6"/>
        <v>0</v>
      </c>
      <c r="K29" s="1332"/>
      <c r="L29" s="1332"/>
      <c r="M29" s="1332"/>
      <c r="N29" s="1332"/>
      <c r="O29" s="1332"/>
      <c r="P29" s="1332"/>
      <c r="Q29" s="1332"/>
      <c r="R29" s="1332"/>
      <c r="S29" s="1332"/>
      <c r="T29" s="1332"/>
      <c r="U29" s="1332"/>
      <c r="V29" s="1333"/>
      <c r="W29" s="318"/>
      <c r="X29" s="318"/>
      <c r="Y29" s="318"/>
      <c r="Z29" s="318"/>
      <c r="AA29" s="318"/>
      <c r="AB29" s="1333"/>
      <c r="AC29" s="322">
        <f t="shared" si="4"/>
        <v>0</v>
      </c>
      <c r="AD29" s="322"/>
      <c r="AE29" s="322"/>
      <c r="AF29" s="318"/>
      <c r="AG29" s="322"/>
      <c r="AH29" s="1333"/>
      <c r="AI29" s="1332"/>
      <c r="AJ29" s="282" t="str">
        <f t="shared" si="7"/>
        <v>Water network plus</v>
      </c>
      <c r="AK29" s="1454" t="s">
        <v>846</v>
      </c>
    </row>
    <row r="30" spans="2:37" s="9" customFormat="1" ht="20.25" customHeight="1">
      <c r="B30" s="282" t="s">
        <v>812</v>
      </c>
      <c r="C30" s="1791">
        <f>'Model outputs - Aggregate level'!$F60</f>
        <v>0</v>
      </c>
      <c r="D30" s="35"/>
      <c r="E30" s="286" t="s">
        <v>847</v>
      </c>
      <c r="F30" s="1332"/>
      <c r="G30" s="1909"/>
      <c r="H30" s="1332"/>
      <c r="I30" s="319"/>
      <c r="J30" s="331">
        <f t="shared" si="6"/>
        <v>0</v>
      </c>
      <c r="K30" s="1332"/>
      <c r="L30" s="1332"/>
      <c r="M30" s="1332"/>
      <c r="N30" s="1332"/>
      <c r="O30" s="1332"/>
      <c r="P30" s="1332"/>
      <c r="Q30" s="1332"/>
      <c r="R30" s="1332"/>
      <c r="S30" s="1332"/>
      <c r="T30" s="1332"/>
      <c r="U30" s="1332"/>
      <c r="V30" s="1333"/>
      <c r="W30" s="318"/>
      <c r="X30" s="318"/>
      <c r="Y30" s="318"/>
      <c r="Z30" s="318"/>
      <c r="AA30" s="318"/>
      <c r="AB30" s="1333"/>
      <c r="AC30" s="322">
        <f t="shared" si="4"/>
        <v>0</v>
      </c>
      <c r="AD30" s="322"/>
      <c r="AE30" s="322"/>
      <c r="AF30" s="318"/>
      <c r="AG30" s="322"/>
      <c r="AH30" s="1333"/>
      <c r="AI30" s="1332"/>
      <c r="AJ30" s="282" t="str">
        <f t="shared" si="7"/>
        <v>Wastewater network plus</v>
      </c>
      <c r="AK30" s="1454" t="s">
        <v>848</v>
      </c>
    </row>
    <row r="31" spans="2:37" s="9" customFormat="1" ht="20.25" customHeight="1">
      <c r="B31" s="282" t="s">
        <v>815</v>
      </c>
      <c r="C31" s="1791">
        <f>'Model outputs - Aggregate level'!$F61</f>
        <v>0</v>
      </c>
      <c r="D31" s="35"/>
      <c r="E31" s="286" t="s">
        <v>849</v>
      </c>
      <c r="F31" s="1332"/>
      <c r="G31" s="1909"/>
      <c r="H31" s="1332"/>
      <c r="I31" s="319"/>
      <c r="J31" s="331">
        <f t="shared" si="6"/>
        <v>0</v>
      </c>
      <c r="K31" s="1332"/>
      <c r="L31" s="1332"/>
      <c r="M31" s="1332"/>
      <c r="N31" s="1332"/>
      <c r="O31" s="1332"/>
      <c r="P31" s="1332"/>
      <c r="Q31" s="1332"/>
      <c r="R31" s="1332"/>
      <c r="S31" s="1332"/>
      <c r="T31" s="1332"/>
      <c r="U31" s="1332"/>
      <c r="V31" s="1333"/>
      <c r="W31" s="318"/>
      <c r="X31" s="318"/>
      <c r="Y31" s="318"/>
      <c r="Z31" s="318"/>
      <c r="AA31" s="318"/>
      <c r="AB31" s="1333"/>
      <c r="AC31" s="322">
        <f t="shared" si="4"/>
        <v>0</v>
      </c>
      <c r="AD31" s="322"/>
      <c r="AE31" s="322"/>
      <c r="AF31" s="318"/>
      <c r="AG31" s="322"/>
      <c r="AH31" s="1333"/>
      <c r="AI31" s="1332"/>
      <c r="AJ31" s="282" t="str">
        <f t="shared" si="7"/>
        <v>Bioresources (sludge)</v>
      </c>
      <c r="AK31" s="1454" t="s">
        <v>850</v>
      </c>
    </row>
    <row r="32" spans="2:37" s="9" customFormat="1" ht="20.25" customHeight="1">
      <c r="B32" s="282" t="s">
        <v>818</v>
      </c>
      <c r="C32" s="1791">
        <f>'Model outputs - Aggregate level'!$F62</f>
        <v>0</v>
      </c>
      <c r="D32" s="35"/>
      <c r="E32" s="286" t="s">
        <v>851</v>
      </c>
      <c r="F32" s="1332"/>
      <c r="G32" s="1909"/>
      <c r="H32" s="1332"/>
      <c r="I32" s="319"/>
      <c r="J32" s="331">
        <f t="shared" si="6"/>
        <v>0</v>
      </c>
      <c r="K32" s="1332"/>
      <c r="L32" s="1332"/>
      <c r="M32" s="1332"/>
      <c r="N32" s="1332"/>
      <c r="O32" s="1332"/>
      <c r="P32" s="1332"/>
      <c r="Q32" s="1332"/>
      <c r="R32" s="1332"/>
      <c r="S32" s="1332"/>
      <c r="T32" s="1332"/>
      <c r="U32" s="1332"/>
      <c r="V32" s="1333"/>
      <c r="W32" s="318"/>
      <c r="X32" s="318"/>
      <c r="Y32" s="318"/>
      <c r="Z32" s="318"/>
      <c r="AA32" s="318"/>
      <c r="AB32" s="1333"/>
      <c r="AC32" s="322">
        <f t="shared" si="4"/>
        <v>0</v>
      </c>
      <c r="AD32" s="322"/>
      <c r="AE32" s="322"/>
      <c r="AF32" s="318"/>
      <c r="AG32" s="322"/>
      <c r="AH32" s="1333"/>
      <c r="AI32" s="1332"/>
      <c r="AJ32" s="282" t="str">
        <f t="shared" si="7"/>
        <v>Residential retail</v>
      </c>
      <c r="AK32" s="1454" t="s">
        <v>852</v>
      </c>
    </row>
    <row r="33" spans="2:37" s="9" customFormat="1" ht="20.25" customHeight="1">
      <c r="B33" s="282" t="s">
        <v>821</v>
      </c>
      <c r="C33" s="1791">
        <f>'Model outputs - Aggregate level'!$F63</f>
        <v>0</v>
      </c>
      <c r="D33" s="35"/>
      <c r="E33" s="286" t="s">
        <v>853</v>
      </c>
      <c r="F33" s="1332"/>
      <c r="G33" s="1909"/>
      <c r="H33" s="1332"/>
      <c r="I33" s="319"/>
      <c r="J33" s="331">
        <f t="shared" si="6"/>
        <v>0</v>
      </c>
      <c r="K33" s="1332"/>
      <c r="L33" s="1332"/>
      <c r="M33" s="1332"/>
      <c r="N33" s="1332"/>
      <c r="O33" s="1332"/>
      <c r="P33" s="1332"/>
      <c r="Q33" s="1332"/>
      <c r="R33" s="1332"/>
      <c r="S33" s="1332"/>
      <c r="T33" s="1332"/>
      <c r="U33" s="1332"/>
      <c r="V33" s="1333"/>
      <c r="W33" s="318"/>
      <c r="X33" s="318"/>
      <c r="Y33" s="318"/>
      <c r="Z33" s="318"/>
      <c r="AA33" s="318"/>
      <c r="AB33" s="1333"/>
      <c r="AC33" s="322">
        <f t="shared" si="4"/>
        <v>0</v>
      </c>
      <c r="AD33" s="322"/>
      <c r="AE33" s="322"/>
      <c r="AF33" s="318"/>
      <c r="AG33" s="322"/>
      <c r="AH33" s="1333"/>
      <c r="AI33" s="1332"/>
      <c r="AJ33" s="282" t="str">
        <f t="shared" si="7"/>
        <v>Business retail</v>
      </c>
      <c r="AK33" s="1454" t="s">
        <v>854</v>
      </c>
    </row>
    <row r="34" spans="2:37" s="9" customFormat="1" ht="20.25" customHeight="1">
      <c r="B34" s="282" t="s">
        <v>824</v>
      </c>
      <c r="C34" s="1791">
        <f>'Model outputs - Aggregate level'!$F64</f>
        <v>0</v>
      </c>
      <c r="D34" s="1332"/>
      <c r="E34" s="286" t="s">
        <v>855</v>
      </c>
      <c r="F34" s="1332"/>
      <c r="G34" s="1909"/>
      <c r="H34" s="1332"/>
      <c r="I34" s="319"/>
      <c r="J34" s="331">
        <f t="shared" si="6"/>
        <v>0</v>
      </c>
      <c r="K34" s="1332"/>
      <c r="L34" s="1332"/>
      <c r="M34" s="1332"/>
      <c r="N34" s="1332"/>
      <c r="O34" s="1332"/>
      <c r="P34" s="1332"/>
      <c r="Q34" s="1332"/>
      <c r="R34" s="1332"/>
      <c r="S34" s="1332"/>
      <c r="T34" s="1332"/>
      <c r="U34" s="1332"/>
      <c r="V34" s="1333"/>
      <c r="W34" s="318"/>
      <c r="X34" s="318"/>
      <c r="Y34" s="318"/>
      <c r="Z34" s="318"/>
      <c r="AA34" s="318"/>
      <c r="AB34" s="1333"/>
      <c r="AC34" s="322">
        <f t="shared" si="4"/>
        <v>0</v>
      </c>
      <c r="AD34" s="322"/>
      <c r="AE34" s="322"/>
      <c r="AF34" s="318"/>
      <c r="AG34" s="322"/>
      <c r="AH34" s="1333"/>
      <c r="AI34" s="1332"/>
      <c r="AJ34" s="282" t="str">
        <f t="shared" si="7"/>
        <v>Dummy control</v>
      </c>
      <c r="AK34" s="1454" t="s">
        <v>856</v>
      </c>
    </row>
    <row r="35" spans="2:37" s="9" customFormat="1" ht="15">
      <c r="B35" s="1329"/>
      <c r="C35" s="1329"/>
      <c r="D35" s="1332"/>
      <c r="E35" s="1332"/>
      <c r="F35" s="1332"/>
      <c r="G35" s="1332"/>
      <c r="H35" s="1332"/>
      <c r="I35" s="1332"/>
      <c r="J35" s="1332"/>
      <c r="K35" s="1332"/>
      <c r="L35" s="1332"/>
      <c r="M35" s="1332"/>
      <c r="N35" s="1332"/>
      <c r="O35" s="1332"/>
      <c r="P35" s="1332"/>
      <c r="Q35" s="1332"/>
      <c r="R35" s="1332"/>
      <c r="S35" s="1332"/>
      <c r="T35" s="1332"/>
      <c r="U35" s="1332"/>
      <c r="V35" s="1336"/>
      <c r="W35" s="1336"/>
      <c r="X35" s="1336"/>
      <c r="Y35" s="1336"/>
      <c r="Z35" s="1336"/>
      <c r="AA35" s="1336"/>
      <c r="AB35" s="1336"/>
      <c r="AC35" s="1336"/>
      <c r="AD35" s="1336"/>
      <c r="AE35" s="1336"/>
      <c r="AF35" s="1336"/>
      <c r="AG35" s="1336"/>
      <c r="AH35" s="1336"/>
      <c r="AI35" s="1332"/>
      <c r="AJ35" s="1332"/>
      <c r="AK35" s="1332"/>
    </row>
    <row r="36" spans="2:37" s="9" customFormat="1" ht="15">
      <c r="B36" s="270" t="s">
        <v>327</v>
      </c>
      <c r="C36" s="1332"/>
      <c r="D36" s="1332"/>
      <c r="E36" s="1332"/>
      <c r="F36" s="1332"/>
      <c r="G36" s="1332"/>
      <c r="H36" s="1332"/>
      <c r="I36" s="1332"/>
      <c r="J36" s="1332"/>
      <c r="K36" s="1332"/>
      <c r="L36" s="1332"/>
      <c r="M36" s="1332"/>
      <c r="N36" s="1332"/>
      <c r="O36" s="1332"/>
      <c r="P36" s="1332"/>
      <c r="Q36" s="1332"/>
      <c r="R36" s="1332"/>
      <c r="S36" s="1332"/>
      <c r="T36" s="1332"/>
      <c r="U36" s="1332"/>
      <c r="V36" s="1332"/>
      <c r="W36" s="1332"/>
      <c r="X36" s="1332"/>
      <c r="Y36" s="1332"/>
      <c r="Z36" s="1332"/>
      <c r="AA36" s="1332"/>
      <c r="AB36" s="1332"/>
      <c r="AC36" s="1332"/>
      <c r="AD36" s="1332"/>
      <c r="AE36" s="1332"/>
      <c r="AF36" s="1332"/>
      <c r="AG36" s="1332"/>
      <c r="AH36" s="1332"/>
      <c r="AI36" s="1332"/>
      <c r="AJ36" s="1332"/>
      <c r="AK36" s="1332"/>
    </row>
    <row r="37" spans="2:37"/>
    <row r="38" spans="2:37">
      <c r="B38" s="1786" t="s">
        <v>328</v>
      </c>
    </row>
    <row r="39" spans="2:37" ht="15" thickBot="1"/>
    <row r="40" spans="2:37" ht="15" thickBot="1">
      <c r="B40" s="2154" t="s">
        <v>329</v>
      </c>
    </row>
    <row r="41" spans="2:37"/>
    <row r="42" spans="2:37">
      <c r="B42" s="1787" t="s">
        <v>330</v>
      </c>
    </row>
    <row r="43" spans="2:37"/>
    <row r="44" spans="2:37">
      <c r="B44" s="1788" t="s">
        <v>331</v>
      </c>
    </row>
    <row r="45" spans="2:37"/>
    <row r="46" spans="2:37" ht="15">
      <c r="B46" s="288" t="str">
        <f>'3A'!$B$53</f>
        <v>Please refer to RAG 4.13 - Guideline for the table definitions in the annual performance report</v>
      </c>
    </row>
    <row r="47" spans="2:37"/>
  </sheetData>
  <conditionalFormatting sqref="I10:J16">
    <cfRule type="cellIs" dxfId="248" priority="5" operator="equal">
      <formula>0</formula>
    </cfRule>
  </conditionalFormatting>
  <conditionalFormatting sqref="I19:J25">
    <cfRule type="cellIs" dxfId="247" priority="3" operator="equal">
      <formula>0</formula>
    </cfRule>
  </conditionalFormatting>
  <conditionalFormatting sqref="I28:J34">
    <cfRule type="cellIs" dxfId="2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9" zoomScale="80" zoomScaleNormal="80" zoomScaleSheetLayoutView="100" workbookViewId="0">
      <selection activeCell="C9" sqref="C9:L29"/>
    </sheetView>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8.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47" width="16.5" style="8" customWidth="1"/>
    <col min="48" max="56" width="15.625" style="8" customWidth="1"/>
    <col min="57" max="16384" width="23.5" style="8"/>
  </cols>
  <sheetData>
    <row r="1" spans="2:56" s="1" customFormat="1" ht="35.85" customHeight="1">
      <c r="B1" s="43" t="s">
        <v>71</v>
      </c>
      <c r="C1" s="6"/>
      <c r="D1" s="1996"/>
      <c r="F1" s="2403"/>
      <c r="G1" s="2403"/>
      <c r="H1" s="2403"/>
      <c r="Q1" s="1912"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72</v>
      </c>
      <c r="C3" s="311"/>
      <c r="D3" s="289"/>
      <c r="E3" s="289"/>
      <c r="F3" s="289"/>
      <c r="G3" s="289"/>
      <c r="H3" s="289"/>
      <c r="I3" s="289"/>
      <c r="J3" s="289"/>
      <c r="K3" s="289"/>
      <c r="L3" s="289"/>
      <c r="M3" s="299"/>
      <c r="N3" s="301" t="str">
        <f>'Validation summary'!$B$3</f>
        <v>Anglian Water</v>
      </c>
      <c r="O3" s="1335"/>
      <c r="P3" s="292" t="s">
        <v>150</v>
      </c>
      <c r="Q3" s="292"/>
      <c r="R3" s="1332"/>
      <c r="S3" s="1332"/>
      <c r="T3" s="1332"/>
      <c r="U3" s="1332"/>
      <c r="V3" s="1333"/>
      <c r="W3" s="1332"/>
      <c r="X3" s="1332"/>
      <c r="Y3" s="1332"/>
      <c r="Z3" s="1332"/>
      <c r="AA3" s="1332"/>
      <c r="AB3" s="1332"/>
      <c r="AC3" s="1332"/>
      <c r="AD3" s="1332"/>
      <c r="AE3" s="1332"/>
      <c r="AF3" s="1332"/>
      <c r="AG3" s="1333"/>
      <c r="AH3" s="1332"/>
      <c r="AI3" s="1332"/>
      <c r="AJ3" s="1332"/>
      <c r="AK3" s="1332"/>
      <c r="AL3" s="1332"/>
      <c r="AM3" s="1332"/>
      <c r="AN3" s="1332"/>
      <c r="AO3" s="1332"/>
      <c r="AP3" s="1332"/>
      <c r="AQ3" s="1332"/>
      <c r="AR3" s="1333"/>
      <c r="AS3" s="1332"/>
      <c r="AT3" s="292" t="s">
        <v>151</v>
      </c>
      <c r="AU3" s="1332"/>
      <c r="AV3" s="1332"/>
      <c r="AW3" s="1332"/>
      <c r="AX3" s="1332"/>
      <c r="AY3" s="1332"/>
      <c r="AZ3" s="1332"/>
      <c r="BA3" s="1332"/>
      <c r="BB3" s="1332"/>
      <c r="BC3" s="1332"/>
      <c r="BD3" s="1332"/>
    </row>
    <row r="4" spans="2:56" s="9" customFormat="1" ht="14.25" customHeight="1">
      <c r="B4" s="17"/>
      <c r="C4" s="17"/>
      <c r="D4" s="17"/>
      <c r="E4" s="17"/>
      <c r="F4" s="17"/>
      <c r="G4" s="17"/>
      <c r="H4" s="17"/>
      <c r="I4" s="17"/>
      <c r="J4" s="17"/>
      <c r="K4" s="24"/>
      <c r="L4" s="24"/>
      <c r="M4" s="1332"/>
      <c r="N4" s="1332"/>
      <c r="O4" s="1332"/>
      <c r="P4" s="1332"/>
      <c r="Q4" s="1332"/>
      <c r="R4" s="1332"/>
      <c r="S4" s="1332"/>
      <c r="T4" s="1332"/>
      <c r="U4" s="1332"/>
      <c r="V4" s="1333"/>
      <c r="W4" s="1332"/>
      <c r="X4" s="1332"/>
      <c r="Y4" s="1332"/>
      <c r="Z4" s="1332"/>
      <c r="AA4" s="1332"/>
      <c r="AB4" s="1332"/>
      <c r="AC4" s="1332"/>
      <c r="AD4" s="1332"/>
      <c r="AE4" s="1332"/>
      <c r="AF4" s="1332"/>
      <c r="AG4" s="1333"/>
      <c r="AH4" s="1332"/>
      <c r="AI4" s="1332"/>
      <c r="AJ4" s="1332"/>
      <c r="AK4" s="1332"/>
      <c r="AL4" s="1332"/>
      <c r="AM4" s="1332"/>
      <c r="AN4" s="1332"/>
      <c r="AO4" s="1332"/>
      <c r="AP4" s="1332"/>
      <c r="AQ4" s="1332"/>
      <c r="AR4" s="1333"/>
      <c r="AS4" s="1332"/>
      <c r="AT4" s="1332"/>
      <c r="AU4" s="1332"/>
      <c r="AV4" s="1332"/>
      <c r="AW4" s="1332"/>
      <c r="AX4" s="1332"/>
      <c r="AY4" s="1332"/>
      <c r="AZ4" s="1332"/>
      <c r="BA4" s="1332"/>
      <c r="BB4" s="1332"/>
      <c r="BC4" s="1332"/>
      <c r="BD4" s="1332"/>
    </row>
    <row r="5" spans="2:56" s="9" customFormat="1" ht="15">
      <c r="B5" s="1332"/>
      <c r="C5" s="25">
        <v>1</v>
      </c>
      <c r="D5" s="25">
        <v>2</v>
      </c>
      <c r="E5" s="25">
        <v>3</v>
      </c>
      <c r="F5" s="1332"/>
      <c r="G5" s="1332"/>
      <c r="H5" s="1332"/>
      <c r="I5" s="1339"/>
      <c r="J5" s="1332"/>
      <c r="K5" s="1329"/>
      <c r="L5" s="1329"/>
      <c r="M5" s="1332"/>
      <c r="N5" s="1332"/>
      <c r="O5" s="1332"/>
      <c r="P5" s="1332"/>
      <c r="Q5" s="1332"/>
      <c r="R5" s="1332"/>
      <c r="S5" s="1332"/>
      <c r="T5" s="1332"/>
      <c r="U5" s="1332"/>
      <c r="V5" s="1333"/>
      <c r="W5" s="1332" t="s">
        <v>162</v>
      </c>
      <c r="X5" s="1332"/>
      <c r="Y5" s="1332"/>
      <c r="Z5" s="1332"/>
      <c r="AA5" s="1332"/>
      <c r="AB5" s="1332"/>
      <c r="AC5" s="1332"/>
      <c r="AD5" s="1332"/>
      <c r="AE5" s="1332"/>
      <c r="AF5" s="1332"/>
      <c r="AG5" s="1333"/>
      <c r="AH5" s="1332" t="s">
        <v>163</v>
      </c>
      <c r="AI5" s="1332"/>
      <c r="AJ5" s="1332"/>
      <c r="AK5" s="1332"/>
      <c r="AL5" s="1332"/>
      <c r="AM5" s="1332"/>
      <c r="AN5" s="1332"/>
      <c r="AO5" s="1332"/>
      <c r="AP5" s="1332"/>
      <c r="AQ5" s="1332"/>
      <c r="AR5" s="1333"/>
      <c r="AS5" s="1332"/>
      <c r="AT5" s="1332"/>
      <c r="AU5" s="1332"/>
      <c r="AV5" s="1332"/>
      <c r="AW5" s="1332"/>
      <c r="AX5" s="1332"/>
      <c r="AY5" s="1332"/>
      <c r="AZ5" s="1332"/>
      <c r="BA5" s="1332"/>
      <c r="BB5" s="1332"/>
      <c r="BC5" s="1332"/>
      <c r="BD5" s="1332"/>
    </row>
    <row r="6" spans="2:56" s="9" customFormat="1" ht="57.75" customHeight="1">
      <c r="B6" s="2356" t="s">
        <v>153</v>
      </c>
      <c r="C6" s="2355" t="s">
        <v>739</v>
      </c>
      <c r="D6" s="2355" t="s">
        <v>740</v>
      </c>
      <c r="E6" s="2355" t="s">
        <v>741</v>
      </c>
      <c r="F6" s="277"/>
      <c r="G6" s="277"/>
      <c r="H6" s="277"/>
      <c r="I6" s="276"/>
      <c r="J6" s="276"/>
      <c r="K6" s="276"/>
      <c r="L6" s="276"/>
      <c r="M6" s="277"/>
      <c r="N6" s="2355" t="s">
        <v>161</v>
      </c>
      <c r="O6" s="1332"/>
      <c r="P6" s="2354" t="s">
        <v>162</v>
      </c>
      <c r="Q6" s="2354" t="s">
        <v>163</v>
      </c>
      <c r="R6" s="1332"/>
      <c r="S6" s="1332"/>
      <c r="T6" s="1332"/>
      <c r="U6" s="1332"/>
      <c r="V6" s="1333"/>
      <c r="W6" s="320" t="s">
        <v>857</v>
      </c>
      <c r="X6" s="1332"/>
      <c r="Y6" s="1332"/>
      <c r="Z6" s="1332"/>
      <c r="AA6" s="320"/>
      <c r="AB6" s="1332"/>
      <c r="AC6" s="1332"/>
      <c r="AD6" s="1332"/>
      <c r="AE6" s="1332"/>
      <c r="AF6" s="1332"/>
      <c r="AG6" s="1333"/>
      <c r="AH6" s="320" t="s">
        <v>167</v>
      </c>
      <c r="AI6" s="1332"/>
      <c r="AJ6" s="320" t="s">
        <v>858</v>
      </c>
      <c r="AK6" s="320"/>
      <c r="AL6" s="320"/>
      <c r="AM6" s="1332"/>
      <c r="AN6" s="1332"/>
      <c r="AO6" s="1332"/>
      <c r="AP6" s="1332"/>
      <c r="AQ6" s="1332"/>
      <c r="AR6" s="1333"/>
      <c r="AS6" s="1332"/>
      <c r="AT6" s="2356" t="str">
        <f>B6</f>
        <v>Line description</v>
      </c>
      <c r="AU6" s="2356" t="str">
        <f t="shared" ref="AU6:AW6" si="0">C6</f>
        <v>Current company level peak week production capacity (PWPC) 
Ml/d</v>
      </c>
      <c r="AV6" s="2356" t="str">
        <f t="shared" si="0"/>
        <v>Reduction in company level PWPC 
Ml/d</v>
      </c>
      <c r="AW6" s="2356" t="str">
        <f t="shared" si="0"/>
        <v>Outage proportion of PWPC 
%</v>
      </c>
      <c r="AX6" s="277"/>
      <c r="AY6" s="277"/>
      <c r="AZ6" s="277"/>
      <c r="BA6" s="276"/>
      <c r="BB6" s="276"/>
      <c r="BC6" s="276"/>
      <c r="BD6" s="276"/>
    </row>
    <row r="7" spans="2:56" s="9" customFormat="1" ht="15.75">
      <c r="B7" s="278"/>
      <c r="C7" s="278"/>
      <c r="D7" s="278"/>
      <c r="E7" s="278"/>
      <c r="F7" s="278"/>
      <c r="G7" s="278"/>
      <c r="H7" s="278"/>
      <c r="I7" s="278"/>
      <c r="J7" s="278"/>
      <c r="K7" s="278"/>
      <c r="L7" s="276"/>
      <c r="M7" s="277"/>
      <c r="N7" s="277"/>
      <c r="O7" s="1332"/>
      <c r="P7" s="1332"/>
      <c r="Q7" s="1332"/>
      <c r="R7" s="1332"/>
      <c r="S7" s="1332"/>
      <c r="T7" s="1332"/>
      <c r="U7" s="1332"/>
      <c r="V7" s="1333"/>
      <c r="W7" s="1332"/>
      <c r="X7" s="1332"/>
      <c r="Y7" s="1332"/>
      <c r="Z7" s="1332"/>
      <c r="AA7" s="1332"/>
      <c r="AB7" s="1332"/>
      <c r="AC7" s="1332"/>
      <c r="AD7" s="1332"/>
      <c r="AE7" s="1332"/>
      <c r="AF7" s="1332"/>
      <c r="AG7" s="1333"/>
      <c r="AH7" s="1332"/>
      <c r="AI7" s="1332"/>
      <c r="AJ7" s="320"/>
      <c r="AK7" s="1332"/>
      <c r="AL7" s="1332"/>
      <c r="AM7" s="1332"/>
      <c r="AN7" s="1332"/>
      <c r="AO7" s="1332"/>
      <c r="AP7" s="1332"/>
      <c r="AQ7" s="1332"/>
      <c r="AR7" s="1333"/>
      <c r="AS7" s="1332"/>
      <c r="AT7" s="278"/>
      <c r="AU7" s="278"/>
      <c r="AV7" s="278"/>
      <c r="AW7" s="278"/>
      <c r="AX7" s="278"/>
      <c r="AY7" s="278"/>
      <c r="AZ7" s="278"/>
      <c r="BA7" s="278"/>
      <c r="BB7" s="278"/>
      <c r="BC7" s="278"/>
      <c r="BD7" s="276"/>
    </row>
    <row r="8" spans="2:56" s="9" customFormat="1" ht="25.5">
      <c r="B8" s="303" t="s">
        <v>742</v>
      </c>
      <c r="C8" s="278"/>
      <c r="D8" s="278"/>
      <c r="E8" s="278"/>
      <c r="F8" s="278"/>
      <c r="G8" s="278"/>
      <c r="H8" s="278"/>
      <c r="I8" s="278"/>
      <c r="J8" s="278"/>
      <c r="K8" s="278"/>
      <c r="L8" s="276"/>
      <c r="M8" s="277"/>
      <c r="N8" s="277"/>
      <c r="O8" s="1332"/>
      <c r="P8" s="1332"/>
      <c r="Q8" s="1332"/>
      <c r="R8" s="1332"/>
      <c r="S8" s="1332"/>
      <c r="T8" s="1332"/>
      <c r="U8" s="1332"/>
      <c r="V8" s="1333"/>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33"/>
      <c r="AS8" s="1332"/>
      <c r="AT8" s="303" t="s">
        <v>742</v>
      </c>
      <c r="AU8" s="278"/>
      <c r="AV8" s="278"/>
      <c r="AW8" s="278"/>
      <c r="AX8" s="278"/>
      <c r="AY8" s="278"/>
      <c r="AZ8" s="278"/>
      <c r="BA8" s="278"/>
      <c r="BB8" s="278"/>
      <c r="BC8" s="278"/>
      <c r="BD8" s="276"/>
    </row>
    <row r="9" spans="2:56" s="21" customFormat="1" ht="25.5" customHeight="1">
      <c r="B9" s="302" t="s">
        <v>859</v>
      </c>
      <c r="C9" s="2175">
        <v>1799.25</v>
      </c>
      <c r="D9" s="2175">
        <v>39.942999999999998</v>
      </c>
      <c r="E9" s="2176">
        <f>(D9/C9)</f>
        <v>2.2199805474503263E-2</v>
      </c>
      <c r="H9" s="26"/>
      <c r="I9" s="26"/>
      <c r="J9" s="26"/>
      <c r="K9" s="26"/>
      <c r="L9" s="26"/>
      <c r="N9" s="286" t="s">
        <v>860</v>
      </c>
      <c r="P9" s="319">
        <f>IF(SUM($W9:$Y9)=0,0,$W$6)</f>
        <v>0</v>
      </c>
      <c r="Q9" s="331">
        <f>IF(AI9=1,$AH$6,IF(OR(AH9=1,AJ9=1),$AJ$6,0))</f>
        <v>0</v>
      </c>
      <c r="R9" s="252"/>
      <c r="S9" s="252"/>
      <c r="T9" s="252"/>
      <c r="U9" s="252"/>
      <c r="V9" s="1333"/>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33"/>
      <c r="AT9" s="1457" t="str">
        <f>B9</f>
        <v>Planned outage</v>
      </c>
      <c r="AU9" s="1446" t="s">
        <v>861</v>
      </c>
      <c r="AV9" s="2172" t="s">
        <v>862</v>
      </c>
      <c r="AW9" s="2173" t="s">
        <v>863</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33"/>
      <c r="W10" s="318"/>
      <c r="X10" s="318"/>
      <c r="Y10" s="318"/>
      <c r="Z10" s="318"/>
      <c r="AA10" s="318"/>
      <c r="AB10" s="318"/>
      <c r="AC10" s="318"/>
      <c r="AD10" s="318"/>
      <c r="AE10" s="318"/>
      <c r="AF10" s="318"/>
      <c r="AG10" s="1333"/>
      <c r="AH10" s="322"/>
      <c r="AI10" s="322"/>
      <c r="AJ10" s="322"/>
      <c r="AK10" s="318"/>
      <c r="AL10" s="318"/>
      <c r="AM10" s="322"/>
      <c r="AN10" s="322"/>
      <c r="AO10" s="322"/>
      <c r="AP10" s="322"/>
      <c r="AQ10" s="322"/>
      <c r="AR10" s="1333"/>
      <c r="AT10" s="27"/>
      <c r="AU10" s="11"/>
      <c r="AV10" s="11"/>
      <c r="AW10" s="11"/>
      <c r="AZ10" s="26"/>
      <c r="BA10" s="26"/>
      <c r="BB10" s="26"/>
      <c r="BC10" s="26"/>
      <c r="BD10" s="26"/>
    </row>
    <row r="11" spans="2:56" s="9" customFormat="1" ht="15">
      <c r="B11" s="1329"/>
      <c r="C11" s="25">
        <v>4</v>
      </c>
      <c r="D11" s="25">
        <v>5</v>
      </c>
      <c r="E11" s="25">
        <v>6</v>
      </c>
      <c r="F11" s="25">
        <v>7</v>
      </c>
      <c r="G11" s="25">
        <v>8</v>
      </c>
      <c r="H11" s="25">
        <v>9</v>
      </c>
      <c r="I11" s="25"/>
      <c r="J11" s="1329"/>
      <c r="K11" s="1329"/>
      <c r="L11" s="1329"/>
      <c r="M11" s="1332"/>
      <c r="N11" s="1332"/>
      <c r="O11" s="1332"/>
      <c r="P11" s="1332"/>
      <c r="Q11" s="1332"/>
      <c r="R11" s="1332"/>
      <c r="S11" s="1332"/>
      <c r="T11" s="1332"/>
      <c r="U11" s="1332"/>
      <c r="V11" s="1333"/>
      <c r="W11" s="318"/>
      <c r="X11" s="318"/>
      <c r="Y11" s="318"/>
      <c r="Z11" s="318"/>
      <c r="AA11" s="318"/>
      <c r="AB11" s="318"/>
      <c r="AC11" s="318"/>
      <c r="AD11" s="318"/>
      <c r="AE11" s="318"/>
      <c r="AF11" s="318"/>
      <c r="AG11" s="1333"/>
      <c r="AH11" s="322"/>
      <c r="AI11" s="322"/>
      <c r="AJ11" s="322"/>
      <c r="AK11" s="318"/>
      <c r="AL11" s="318"/>
      <c r="AM11" s="322"/>
      <c r="AN11" s="322"/>
      <c r="AO11" s="322"/>
      <c r="AP11" s="322"/>
      <c r="AQ11" s="322"/>
      <c r="AR11" s="1333"/>
      <c r="AS11" s="1332"/>
      <c r="AT11" s="1329"/>
      <c r="AU11" s="25">
        <v>4</v>
      </c>
      <c r="AV11" s="25">
        <v>5</v>
      </c>
      <c r="AW11" s="25">
        <v>6</v>
      </c>
      <c r="AX11" s="25">
        <v>7</v>
      </c>
      <c r="AY11" s="25">
        <v>8</v>
      </c>
      <c r="AZ11" s="25">
        <v>9</v>
      </c>
      <c r="BA11" s="25"/>
      <c r="BB11" s="1329"/>
      <c r="BC11" s="1329"/>
      <c r="BD11" s="1329"/>
    </row>
    <row r="12" spans="2:56" s="9" customFormat="1" ht="44.25" customHeight="1">
      <c r="B12" s="2356" t="s">
        <v>153</v>
      </c>
      <c r="C12" s="2355" t="s">
        <v>864</v>
      </c>
      <c r="D12" s="2355" t="s">
        <v>865</v>
      </c>
      <c r="E12" s="2355" t="s">
        <v>866</v>
      </c>
      <c r="F12" s="2355" t="s">
        <v>867</v>
      </c>
      <c r="G12" s="2355" t="s">
        <v>868</v>
      </c>
      <c r="H12" s="2355" t="s">
        <v>869</v>
      </c>
      <c r="I12" s="1329"/>
      <c r="J12" s="1329"/>
      <c r="K12" s="1329"/>
      <c r="L12" s="1329"/>
      <c r="M12" s="1332"/>
      <c r="N12" s="1332"/>
      <c r="O12" s="1332"/>
      <c r="P12" s="1332"/>
      <c r="Q12" s="1332"/>
      <c r="R12" s="1332"/>
      <c r="S12" s="1332"/>
      <c r="T12" s="1332"/>
      <c r="U12" s="1332"/>
      <c r="V12" s="1333"/>
      <c r="W12" s="318"/>
      <c r="X12" s="318"/>
      <c r="Y12" s="318"/>
      <c r="Z12" s="318"/>
      <c r="AA12" s="318"/>
      <c r="AB12" s="318"/>
      <c r="AC12" s="318"/>
      <c r="AD12" s="318"/>
      <c r="AE12" s="318"/>
      <c r="AF12" s="318"/>
      <c r="AG12" s="1333"/>
      <c r="AH12" s="322"/>
      <c r="AI12" s="322"/>
      <c r="AJ12" s="322"/>
      <c r="AK12" s="318"/>
      <c r="AL12" s="318"/>
      <c r="AM12" s="322"/>
      <c r="AN12" s="322"/>
      <c r="AO12" s="322"/>
      <c r="AP12" s="322"/>
      <c r="AQ12" s="322"/>
      <c r="AR12" s="1333"/>
      <c r="AS12" s="1332"/>
      <c r="AT12" s="2356" t="str">
        <f t="shared" ref="AT12:AZ12" si="1">B12</f>
        <v>Line description</v>
      </c>
      <c r="AU12" s="2356" t="str">
        <f t="shared" si="1"/>
        <v>Deployable output</v>
      </c>
      <c r="AV12" s="2356" t="str">
        <f t="shared" si="1"/>
        <v>Outage allowance</v>
      </c>
      <c r="AW12" s="2356" t="str">
        <f t="shared" si="1"/>
        <v>Dry year demand</v>
      </c>
      <c r="AX12" s="2356" t="str">
        <f t="shared" si="1"/>
        <v>Target headroom</v>
      </c>
      <c r="AY12" s="2356" t="str">
        <f t="shared" si="1"/>
        <v>Total population supplied</v>
      </c>
      <c r="AZ12" s="2356" t="str">
        <f t="shared" si="1"/>
        <v>Customers at risk</v>
      </c>
      <c r="BA12" s="1329"/>
      <c r="BB12" s="1329"/>
      <c r="BC12" s="1329"/>
      <c r="BD12" s="1329"/>
    </row>
    <row r="13" spans="2:56" s="9" customFormat="1" ht="15.75">
      <c r="B13" s="278"/>
      <c r="C13" s="278"/>
      <c r="D13" s="278"/>
      <c r="E13" s="278"/>
      <c r="F13" s="278"/>
      <c r="G13" s="278"/>
      <c r="H13" s="278"/>
      <c r="I13" s="1329"/>
      <c r="J13" s="1329"/>
      <c r="K13" s="1329"/>
      <c r="L13" s="1329"/>
      <c r="M13" s="1332"/>
      <c r="N13" s="1332"/>
      <c r="O13" s="1332"/>
      <c r="P13" s="1332"/>
      <c r="Q13" s="1332"/>
      <c r="R13" s="1332"/>
      <c r="S13" s="1332"/>
      <c r="T13" s="1332"/>
      <c r="U13" s="1332"/>
      <c r="V13" s="1333"/>
      <c r="W13" s="320" t="s">
        <v>166</v>
      </c>
      <c r="X13" s="318"/>
      <c r="Y13" s="318"/>
      <c r="Z13" s="318"/>
      <c r="AA13" s="318"/>
      <c r="AB13" s="318"/>
      <c r="AC13" s="318"/>
      <c r="AD13" s="318"/>
      <c r="AE13" s="318"/>
      <c r="AF13" s="318"/>
      <c r="AG13" s="1333"/>
      <c r="AH13" s="320" t="s">
        <v>870</v>
      </c>
      <c r="AI13" s="322"/>
      <c r="AJ13" s="322"/>
      <c r="AK13" s="318"/>
      <c r="AL13" s="318"/>
      <c r="AM13" s="322"/>
      <c r="AN13" s="322"/>
      <c r="AO13" s="322"/>
      <c r="AP13" s="322"/>
      <c r="AQ13" s="322"/>
      <c r="AR13" s="1333"/>
      <c r="AS13" s="1332"/>
      <c r="AT13" s="278"/>
      <c r="AU13" s="278"/>
      <c r="AV13" s="278"/>
      <c r="AW13" s="278"/>
      <c r="AX13" s="278"/>
      <c r="AY13" s="278"/>
      <c r="AZ13" s="278"/>
      <c r="BA13" s="1329"/>
      <c r="BB13" s="1329"/>
      <c r="BC13" s="1329"/>
      <c r="BD13" s="1329"/>
    </row>
    <row r="14" spans="2:56" s="9" customFormat="1" ht="31.5" customHeight="1">
      <c r="B14" s="303" t="s">
        <v>871</v>
      </c>
      <c r="C14" s="278"/>
      <c r="D14" s="278"/>
      <c r="E14" s="278"/>
      <c r="F14" s="278"/>
      <c r="G14" s="278"/>
      <c r="H14" s="278"/>
      <c r="I14" s="1329"/>
      <c r="J14" s="1329"/>
      <c r="K14" s="1329"/>
      <c r="L14" s="1329"/>
      <c r="M14" s="1332"/>
      <c r="N14" s="1332"/>
      <c r="O14" s="1332"/>
      <c r="P14" s="1332"/>
      <c r="Q14" s="1332"/>
      <c r="R14" s="1332"/>
      <c r="S14" s="1332"/>
      <c r="T14" s="1332"/>
      <c r="U14" s="1332"/>
      <c r="V14" s="1333"/>
      <c r="W14" s="317">
        <v>4</v>
      </c>
      <c r="X14" s="317">
        <v>5</v>
      </c>
      <c r="Y14" s="317">
        <v>6</v>
      </c>
      <c r="Z14" s="317">
        <v>7</v>
      </c>
      <c r="AA14" s="317">
        <v>8</v>
      </c>
      <c r="AB14" s="317">
        <v>9</v>
      </c>
      <c r="AC14" s="317"/>
      <c r="AD14" s="317"/>
      <c r="AE14" s="317"/>
      <c r="AF14" s="317"/>
      <c r="AG14" s="1333"/>
      <c r="AH14" s="317">
        <v>4</v>
      </c>
      <c r="AI14" s="317">
        <v>5</v>
      </c>
      <c r="AJ14" s="317">
        <v>6</v>
      </c>
      <c r="AK14" s="317">
        <v>7</v>
      </c>
      <c r="AL14" s="317">
        <v>8</v>
      </c>
      <c r="AM14" s="317">
        <v>9</v>
      </c>
      <c r="AN14" s="317"/>
      <c r="AO14" s="317"/>
      <c r="AP14" s="317"/>
      <c r="AQ14" s="317"/>
      <c r="AR14" s="1333"/>
      <c r="AS14" s="1332"/>
      <c r="AT14" s="303" t="s">
        <v>871</v>
      </c>
      <c r="AU14" s="278"/>
      <c r="AV14" s="278"/>
      <c r="AW14" s="278"/>
      <c r="AX14" s="278"/>
      <c r="AY14" s="278"/>
      <c r="AZ14" s="278"/>
      <c r="BA14" s="1329"/>
      <c r="BB14" s="1329"/>
      <c r="BC14" s="1329"/>
      <c r="BD14" s="1329"/>
    </row>
    <row r="15" spans="2:56" s="21" customFormat="1" ht="31.5" customHeight="1">
      <c r="B15" s="302" t="s">
        <v>871</v>
      </c>
      <c r="C15" s="2175">
        <v>1354.0060000000001</v>
      </c>
      <c r="D15" s="2175">
        <v>34.619</v>
      </c>
      <c r="E15" s="2175">
        <v>1174.942</v>
      </c>
      <c r="F15" s="2175">
        <v>72.078000000000003</v>
      </c>
      <c r="G15" s="2175">
        <v>5042.2969999999996</v>
      </c>
      <c r="H15" s="2175">
        <v>676.13099999999997</v>
      </c>
      <c r="I15" s="26"/>
      <c r="J15" s="26"/>
      <c r="K15" s="26"/>
      <c r="L15" s="26"/>
      <c r="N15" s="286" t="s">
        <v>872</v>
      </c>
      <c r="P15" s="319">
        <f>IF(SUM($W15:$AB15)=0,0,$W$13)</f>
        <v>0</v>
      </c>
      <c r="Q15" s="331">
        <f>IF(SUM($AH15:$AM15)=0,0,$AH$13)</f>
        <v>0</v>
      </c>
      <c r="R15" s="252"/>
      <c r="S15" s="252"/>
      <c r="T15" s="252"/>
      <c r="U15" s="252"/>
      <c r="V15" s="1333"/>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33"/>
      <c r="AH15" s="322">
        <f>IF($C15&lt;0,1,0)</f>
        <v>0</v>
      </c>
      <c r="AI15" s="322">
        <f>IF($D15&lt;0,1,0)</f>
        <v>0</v>
      </c>
      <c r="AJ15" s="322">
        <f>IF($E15&lt;0,1,0)</f>
        <v>0</v>
      </c>
      <c r="AK15" s="322">
        <f>IF($F15&lt;0,1,0)</f>
        <v>0</v>
      </c>
      <c r="AL15" s="322">
        <f>IF($G15&lt;0,1,0)</f>
        <v>0</v>
      </c>
      <c r="AM15" s="322">
        <f>IF($H15&lt;0,1,0)</f>
        <v>0</v>
      </c>
      <c r="AN15" s="322"/>
      <c r="AO15" s="322"/>
      <c r="AP15" s="322"/>
      <c r="AQ15" s="322"/>
      <c r="AR15" s="1333"/>
      <c r="AT15" s="1457" t="str">
        <f>B15</f>
        <v>Risk of severe restrictions in drought</v>
      </c>
      <c r="AU15" s="2172" t="s">
        <v>873</v>
      </c>
      <c r="AV15" s="2172" t="s">
        <v>874</v>
      </c>
      <c r="AW15" s="2172" t="s">
        <v>875</v>
      </c>
      <c r="AX15" s="2172" t="s">
        <v>876</v>
      </c>
      <c r="AY15" s="2172" t="s">
        <v>877</v>
      </c>
      <c r="AZ15" s="2172" t="s">
        <v>878</v>
      </c>
      <c r="BA15" s="26"/>
      <c r="BB15" s="26"/>
      <c r="BC15" s="26"/>
      <c r="BD15" s="26"/>
    </row>
    <row r="16" spans="2:56" s="21" customFormat="1" ht="31.5" customHeight="1">
      <c r="B16" s="27"/>
      <c r="C16" s="11"/>
      <c r="D16" s="11"/>
      <c r="E16" s="11"/>
      <c r="F16" s="11"/>
      <c r="G16" s="11"/>
      <c r="H16" s="11"/>
      <c r="I16" s="26"/>
      <c r="J16" s="26"/>
      <c r="K16" s="26"/>
      <c r="L16" s="26"/>
      <c r="N16" s="10"/>
      <c r="P16" s="10"/>
      <c r="Q16" s="10"/>
      <c r="V16" s="1333"/>
      <c r="W16" s="322"/>
      <c r="X16" s="322"/>
      <c r="Y16" s="322"/>
      <c r="Z16" s="322"/>
      <c r="AA16" s="322"/>
      <c r="AB16" s="322"/>
      <c r="AC16" s="322"/>
      <c r="AD16" s="322"/>
      <c r="AE16" s="322"/>
      <c r="AF16" s="322"/>
      <c r="AG16" s="1333"/>
      <c r="AH16" s="322"/>
      <c r="AI16" s="322"/>
      <c r="AJ16" s="322"/>
      <c r="AK16" s="322"/>
      <c r="AL16" s="322"/>
      <c r="AM16" s="322"/>
      <c r="AN16" s="322"/>
      <c r="AO16" s="322"/>
      <c r="AP16" s="322"/>
      <c r="AQ16" s="322"/>
      <c r="AR16" s="1333"/>
      <c r="AT16" s="27"/>
      <c r="AU16" s="11"/>
      <c r="AV16" s="11"/>
      <c r="AW16" s="11"/>
      <c r="AX16" s="11"/>
      <c r="AY16" s="11"/>
      <c r="AZ16" s="11"/>
      <c r="BA16" s="26"/>
      <c r="BB16" s="26"/>
      <c r="BC16" s="26"/>
      <c r="BD16" s="26"/>
    </row>
    <row r="17" spans="2:56" s="9" customFormat="1" ht="15">
      <c r="B17" s="1337"/>
      <c r="C17" s="25">
        <v>10</v>
      </c>
      <c r="D17" s="25">
        <v>11</v>
      </c>
      <c r="E17" s="25">
        <v>12</v>
      </c>
      <c r="F17" s="25">
        <v>13</v>
      </c>
      <c r="G17" s="25">
        <v>14</v>
      </c>
      <c r="H17" s="25">
        <v>15</v>
      </c>
      <c r="I17" s="25">
        <v>16</v>
      </c>
      <c r="J17" s="25">
        <v>17</v>
      </c>
      <c r="K17" s="25">
        <v>18</v>
      </c>
      <c r="L17" s="25">
        <v>19</v>
      </c>
      <c r="M17" s="1332"/>
      <c r="N17" s="1332"/>
      <c r="O17" s="1332"/>
      <c r="P17" s="1332"/>
      <c r="Q17" s="1332"/>
      <c r="R17" s="1332"/>
      <c r="S17" s="1332"/>
      <c r="T17" s="1332"/>
      <c r="U17" s="1332"/>
      <c r="V17" s="1333"/>
      <c r="W17" s="317"/>
      <c r="X17" s="317"/>
      <c r="Y17" s="317"/>
      <c r="Z17" s="317"/>
      <c r="AA17" s="317"/>
      <c r="AB17" s="317"/>
      <c r="AC17" s="317"/>
      <c r="AD17" s="317"/>
      <c r="AE17" s="317"/>
      <c r="AF17" s="317"/>
      <c r="AG17" s="1333"/>
      <c r="AH17" s="317"/>
      <c r="AI17" s="317"/>
      <c r="AJ17" s="317"/>
      <c r="AK17" s="317"/>
      <c r="AL17" s="317"/>
      <c r="AM17" s="317"/>
      <c r="AN17" s="317"/>
      <c r="AO17" s="317"/>
      <c r="AP17" s="317"/>
      <c r="AQ17" s="317"/>
      <c r="AR17" s="1333"/>
      <c r="AS17" s="1332"/>
      <c r="AT17" s="1337"/>
      <c r="AU17" s="25">
        <v>10</v>
      </c>
      <c r="AV17" s="25">
        <v>11</v>
      </c>
      <c r="AW17" s="25">
        <v>12</v>
      </c>
      <c r="AX17" s="25">
        <v>13</v>
      </c>
      <c r="AY17" s="25">
        <v>14</v>
      </c>
      <c r="AZ17" s="25">
        <v>15</v>
      </c>
      <c r="BA17" s="25">
        <v>16</v>
      </c>
      <c r="BB17" s="25">
        <v>17</v>
      </c>
      <c r="BC17" s="25">
        <v>18</v>
      </c>
      <c r="BD17" s="25">
        <v>19</v>
      </c>
    </row>
    <row r="18" spans="2:56" s="9" customFormat="1" ht="31.5" customHeight="1">
      <c r="B18" s="2381" t="s">
        <v>153</v>
      </c>
      <c r="C18" s="2381" t="s">
        <v>879</v>
      </c>
      <c r="D18" s="2381" t="s">
        <v>880</v>
      </c>
      <c r="E18" s="2381" t="s">
        <v>881</v>
      </c>
      <c r="F18" s="2381" t="s">
        <v>882</v>
      </c>
      <c r="G18" s="2381" t="s">
        <v>883</v>
      </c>
      <c r="H18" s="2381" t="s">
        <v>884</v>
      </c>
      <c r="I18" s="2381" t="s">
        <v>885</v>
      </c>
      <c r="J18" s="2381" t="s">
        <v>886</v>
      </c>
      <c r="K18" s="2381"/>
      <c r="L18" s="2381"/>
      <c r="M18" s="277"/>
      <c r="N18" s="277"/>
      <c r="O18" s="1332"/>
      <c r="P18" s="277"/>
      <c r="Q18" s="277"/>
      <c r="R18" s="1332"/>
      <c r="S18" s="1332"/>
      <c r="T18" s="1332"/>
      <c r="U18" s="1332"/>
      <c r="V18" s="1333"/>
      <c r="W18" s="322"/>
      <c r="X18" s="322"/>
      <c r="Y18" s="322"/>
      <c r="Z18" s="322"/>
      <c r="AA18" s="322"/>
      <c r="AB18" s="322"/>
      <c r="AC18" s="322"/>
      <c r="AD18" s="322"/>
      <c r="AE18" s="322"/>
      <c r="AF18" s="322"/>
      <c r="AG18" s="1333"/>
      <c r="AH18" s="322"/>
      <c r="AI18" s="322"/>
      <c r="AJ18" s="322"/>
      <c r="AK18" s="322"/>
      <c r="AL18" s="322"/>
      <c r="AM18" s="322"/>
      <c r="AN18" s="322"/>
      <c r="AO18" s="322"/>
      <c r="AP18" s="322"/>
      <c r="AQ18" s="322"/>
      <c r="AR18" s="1333"/>
      <c r="AS18" s="1332"/>
      <c r="AT18" s="2384" t="str">
        <f>B18</f>
        <v>Line description</v>
      </c>
      <c r="AU18" s="2384" t="str">
        <f t="shared" ref="AU18:BA18" si="2">C18</f>
        <v xml:space="preserve">Total pe served </v>
      </c>
      <c r="AV18" s="2384" t="str">
        <f t="shared" si="2"/>
        <v xml:space="preserve">Total pe in excluded catchments </v>
      </c>
      <c r="AW18" s="2384" t="str">
        <f t="shared" si="2"/>
        <v xml:space="preserve">Percentage of total pe in excluded catchments </v>
      </c>
      <c r="AX18" s="2384" t="str">
        <f t="shared" si="2"/>
        <v xml:space="preserve">Total pe Option 1a </v>
      </c>
      <c r="AY18" s="2384" t="str">
        <f t="shared" si="2"/>
        <v xml:space="preserve">Percentage of total pe Option 1a </v>
      </c>
      <c r="AZ18" s="2384" t="str">
        <f t="shared" si="2"/>
        <v xml:space="preserve">Total pe Option 1b </v>
      </c>
      <c r="BA18" s="2384" t="str">
        <f t="shared" si="2"/>
        <v xml:space="preserve">Percentage of total pe Option 1b </v>
      </c>
      <c r="BB18" s="2392" t="str">
        <f>J18</f>
        <v>Vulnerability risk grade</v>
      </c>
      <c r="BC18" s="2393"/>
      <c r="BD18" s="2394"/>
    </row>
    <row r="19" spans="2:56" s="9" customFormat="1" ht="30" customHeight="1">
      <c r="B19" s="2381"/>
      <c r="C19" s="2381"/>
      <c r="D19" s="2381"/>
      <c r="E19" s="2381"/>
      <c r="F19" s="2381"/>
      <c r="G19" s="2381"/>
      <c r="H19" s="2381"/>
      <c r="I19" s="2381"/>
      <c r="J19" s="2355" t="s">
        <v>887</v>
      </c>
      <c r="K19" s="2355" t="s">
        <v>888</v>
      </c>
      <c r="L19" s="2355" t="s">
        <v>889</v>
      </c>
      <c r="M19" s="277"/>
      <c r="N19" s="277"/>
      <c r="O19" s="1332"/>
      <c r="P19" s="277"/>
      <c r="Q19" s="277"/>
      <c r="R19" s="1332"/>
      <c r="S19" s="1332"/>
      <c r="T19" s="1332"/>
      <c r="U19" s="1332"/>
      <c r="V19" s="1333"/>
      <c r="W19" s="322"/>
      <c r="X19" s="322"/>
      <c r="Y19" s="322"/>
      <c r="Z19" s="322"/>
      <c r="AA19" s="322"/>
      <c r="AB19" s="322"/>
      <c r="AC19" s="322"/>
      <c r="AD19" s="322"/>
      <c r="AE19" s="322"/>
      <c r="AF19" s="322"/>
      <c r="AG19" s="1333"/>
      <c r="AH19" s="322"/>
      <c r="AI19" s="322"/>
      <c r="AJ19" s="322"/>
      <c r="AK19" s="322"/>
      <c r="AL19" s="322"/>
      <c r="AM19" s="322"/>
      <c r="AN19" s="322"/>
      <c r="AO19" s="322"/>
      <c r="AP19" s="322"/>
      <c r="AQ19" s="322"/>
      <c r="AR19" s="1333"/>
      <c r="AS19" s="1332"/>
      <c r="AT19" s="2391"/>
      <c r="AU19" s="2391"/>
      <c r="AV19" s="2391"/>
      <c r="AW19" s="2391"/>
      <c r="AX19" s="2391"/>
      <c r="AY19" s="2391"/>
      <c r="AZ19" s="2391"/>
      <c r="BA19" s="2391"/>
      <c r="BB19" s="2355" t="str">
        <f t="shared" ref="BB19:BD19" si="3">J19</f>
        <v>Low</v>
      </c>
      <c r="BC19" s="2355" t="str">
        <f t="shared" si="3"/>
        <v>Medium</v>
      </c>
      <c r="BD19" s="2355" t="str">
        <f t="shared" si="3"/>
        <v>High</v>
      </c>
    </row>
    <row r="20" spans="2:56" s="9" customFormat="1" ht="34.5" customHeight="1">
      <c r="B20" s="2381"/>
      <c r="C20" s="2381"/>
      <c r="D20" s="2381"/>
      <c r="E20" s="2381"/>
      <c r="F20" s="2381"/>
      <c r="G20" s="2381"/>
      <c r="H20" s="2381"/>
      <c r="I20" s="2381"/>
      <c r="J20" s="2381" t="s">
        <v>890</v>
      </c>
      <c r="K20" s="2381"/>
      <c r="L20" s="2381"/>
      <c r="M20" s="277"/>
      <c r="N20" s="277"/>
      <c r="O20" s="1332"/>
      <c r="P20" s="277"/>
      <c r="Q20" s="277"/>
      <c r="R20" s="1332"/>
      <c r="S20" s="1332"/>
      <c r="T20" s="1332"/>
      <c r="U20" s="1332"/>
      <c r="V20" s="1333"/>
      <c r="W20" s="322"/>
      <c r="X20" s="322"/>
      <c r="Y20" s="322"/>
      <c r="Z20" s="322"/>
      <c r="AA20" s="322"/>
      <c r="AB20" s="322"/>
      <c r="AC20" s="322"/>
      <c r="AD20" s="322"/>
      <c r="AE20" s="322"/>
      <c r="AF20" s="322"/>
      <c r="AG20" s="1333"/>
      <c r="AH20" s="322"/>
      <c r="AI20" s="322"/>
      <c r="AJ20" s="322"/>
      <c r="AK20" s="322"/>
      <c r="AL20" s="322"/>
      <c r="AM20" s="322"/>
      <c r="AN20" s="322"/>
      <c r="AO20" s="322"/>
      <c r="AP20" s="322"/>
      <c r="AQ20" s="322"/>
      <c r="AR20" s="1333"/>
      <c r="AS20" s="1332"/>
      <c r="AT20" s="2385"/>
      <c r="AU20" s="2385"/>
      <c r="AV20" s="2385"/>
      <c r="AW20" s="2385"/>
      <c r="AX20" s="2385"/>
      <c r="AY20" s="2385"/>
      <c r="AZ20" s="2385"/>
      <c r="BA20" s="2385"/>
      <c r="BB20" s="2392" t="str">
        <f>J20</f>
        <v>Percentage of total population served</v>
      </c>
      <c r="BC20" s="2393"/>
      <c r="BD20" s="2394"/>
    </row>
    <row r="21" spans="2:56" s="9" customFormat="1" ht="15.75">
      <c r="B21" s="278"/>
      <c r="C21" s="278"/>
      <c r="D21" s="278"/>
      <c r="E21" s="278"/>
      <c r="F21" s="278"/>
      <c r="G21" s="278"/>
      <c r="H21" s="278"/>
      <c r="I21" s="278"/>
      <c r="J21" s="277"/>
      <c r="K21" s="277"/>
      <c r="L21" s="277"/>
      <c r="M21" s="277"/>
      <c r="N21" s="277"/>
      <c r="O21" s="1332"/>
      <c r="P21" s="277"/>
      <c r="Q21" s="277"/>
      <c r="R21" s="1332"/>
      <c r="S21" s="1332"/>
      <c r="T21" s="1332"/>
      <c r="U21" s="1332"/>
      <c r="V21" s="1333"/>
      <c r="W21" s="322"/>
      <c r="X21" s="322"/>
      <c r="Y21" s="322"/>
      <c r="Z21" s="322"/>
      <c r="AA21" s="322"/>
      <c r="AB21" s="322"/>
      <c r="AC21" s="322"/>
      <c r="AD21" s="322"/>
      <c r="AE21" s="322"/>
      <c r="AF21" s="322"/>
      <c r="AG21" s="1333"/>
      <c r="AH21" s="322"/>
      <c r="AI21" s="322"/>
      <c r="AJ21" s="322"/>
      <c r="AK21" s="322"/>
      <c r="AL21" s="322"/>
      <c r="AM21" s="322"/>
      <c r="AN21" s="322"/>
      <c r="AO21" s="322"/>
      <c r="AP21" s="322"/>
      <c r="AQ21" s="322"/>
      <c r="AR21" s="1333"/>
      <c r="AS21" s="1332"/>
      <c r="AT21" s="278"/>
      <c r="AU21" s="278"/>
      <c r="AV21" s="278"/>
      <c r="AW21" s="278"/>
      <c r="AX21" s="278"/>
      <c r="AY21" s="278"/>
      <c r="AZ21" s="278"/>
      <c r="BA21" s="278"/>
      <c r="BB21" s="277"/>
      <c r="BC21" s="277"/>
      <c r="BD21" s="277"/>
    </row>
    <row r="22" spans="2:56" s="9" customFormat="1" ht="33" customHeight="1">
      <c r="B22" s="303" t="s">
        <v>891</v>
      </c>
      <c r="C22" s="278"/>
      <c r="D22" s="278"/>
      <c r="E22" s="278"/>
      <c r="F22" s="278"/>
      <c r="G22" s="278"/>
      <c r="H22" s="278"/>
      <c r="I22" s="278"/>
      <c r="J22" s="278"/>
      <c r="K22" s="278"/>
      <c r="L22" s="278"/>
      <c r="M22" s="277"/>
      <c r="N22" s="277"/>
      <c r="O22" s="1332"/>
      <c r="P22" s="277"/>
      <c r="Q22" s="277"/>
      <c r="R22" s="1332"/>
      <c r="S22" s="1332"/>
      <c r="T22" s="1332"/>
      <c r="U22" s="1332"/>
      <c r="V22" s="1333"/>
      <c r="W22" s="317">
        <v>10</v>
      </c>
      <c r="X22" s="317">
        <v>11</v>
      </c>
      <c r="Y22" s="317">
        <v>12</v>
      </c>
      <c r="Z22" s="317">
        <v>13</v>
      </c>
      <c r="AA22" s="317">
        <v>14</v>
      </c>
      <c r="AB22" s="317">
        <v>15</v>
      </c>
      <c r="AC22" s="317">
        <v>16</v>
      </c>
      <c r="AD22" s="317">
        <v>17</v>
      </c>
      <c r="AE22" s="317">
        <v>18</v>
      </c>
      <c r="AF22" s="317">
        <v>19</v>
      </c>
      <c r="AG22" s="1333"/>
      <c r="AH22" s="317">
        <v>10</v>
      </c>
      <c r="AI22" s="317">
        <v>11</v>
      </c>
      <c r="AJ22" s="317">
        <v>12</v>
      </c>
      <c r="AK22" s="317">
        <v>13</v>
      </c>
      <c r="AL22" s="317">
        <v>14</v>
      </c>
      <c r="AM22" s="317">
        <v>15</v>
      </c>
      <c r="AN22" s="317">
        <v>16</v>
      </c>
      <c r="AO22" s="317">
        <v>17</v>
      </c>
      <c r="AP22" s="317">
        <v>18</v>
      </c>
      <c r="AQ22" s="317">
        <v>19</v>
      </c>
      <c r="AR22" s="1333"/>
      <c r="AS22" s="1332"/>
      <c r="AT22" s="303" t="s">
        <v>891</v>
      </c>
      <c r="AU22" s="278"/>
      <c r="AV22" s="278"/>
      <c r="AW22" s="278"/>
      <c r="AX22" s="278"/>
      <c r="AY22" s="278"/>
      <c r="AZ22" s="278"/>
      <c r="BA22" s="278"/>
      <c r="BB22" s="278"/>
      <c r="BC22" s="278"/>
      <c r="BD22" s="278"/>
    </row>
    <row r="23" spans="2:56" s="21" customFormat="1" ht="33" customHeight="1">
      <c r="B23" s="302" t="s">
        <v>891</v>
      </c>
      <c r="C23" s="2282">
        <v>6454653</v>
      </c>
      <c r="D23" s="2282">
        <v>0</v>
      </c>
      <c r="E23" s="2176">
        <f>IF('Validation summary'!$F$3="WoC","",(D23/$C23))</f>
        <v>0</v>
      </c>
      <c r="F23" s="2282">
        <v>0</v>
      </c>
      <c r="G23" s="2176">
        <f>IF('Validation summary'!$F$3="WoC","",(F23/$C23))</f>
        <v>0</v>
      </c>
      <c r="H23" s="2282">
        <v>6454653</v>
      </c>
      <c r="I23" s="2176">
        <f>IF('Validation summary'!$F$3="WoC","",(H23/$C23))</f>
        <v>1</v>
      </c>
      <c r="J23" s="2292">
        <v>0.99239999999999995</v>
      </c>
      <c r="K23" s="2292">
        <v>0</v>
      </c>
      <c r="L23" s="2292">
        <v>7.6E-3</v>
      </c>
      <c r="N23" s="286" t="s">
        <v>892</v>
      </c>
      <c r="P23" s="319">
        <f>IF(SUM($W23:$AF23)=0,0,$W$13)</f>
        <v>0</v>
      </c>
      <c r="Q23" s="331">
        <f>IF(SUM($AH23,$AI23,$AK23,$AM23,$AO23,$AP23,$AQ23)&lt;&gt;0,$AH$13,IF(SUM($AJ23,$AL23,$AN23)&lt;&gt;0,$AJ$6,0))</f>
        <v>0</v>
      </c>
      <c r="R23" s="252"/>
      <c r="S23" s="252"/>
      <c r="T23" s="252"/>
      <c r="U23" s="252"/>
      <c r="V23" s="1333"/>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33"/>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33"/>
      <c r="AT23" s="1457" t="str">
        <f>B23</f>
        <v>Risk of sewer flooding in a storm</v>
      </c>
      <c r="AU23" s="2172" t="s">
        <v>893</v>
      </c>
      <c r="AV23" s="2172" t="s">
        <v>894</v>
      </c>
      <c r="AW23" s="2173" t="s">
        <v>895</v>
      </c>
      <c r="AX23" s="2172" t="s">
        <v>896</v>
      </c>
      <c r="AY23" s="2173" t="s">
        <v>897</v>
      </c>
      <c r="AZ23" s="2172" t="s">
        <v>898</v>
      </c>
      <c r="BA23" s="2173" t="s">
        <v>899</v>
      </c>
      <c r="BB23" s="2174" t="s">
        <v>900</v>
      </c>
      <c r="BC23" s="2174" t="s">
        <v>901</v>
      </c>
      <c r="BD23" s="2174" t="s">
        <v>902</v>
      </c>
    </row>
    <row r="24" spans="2:56" s="21" customFormat="1" ht="16.5" customHeight="1">
      <c r="B24" s="27"/>
      <c r="C24" s="11"/>
      <c r="D24" s="11"/>
      <c r="E24" s="11"/>
      <c r="F24" s="11"/>
      <c r="G24" s="11"/>
      <c r="H24" s="11"/>
      <c r="I24" s="11"/>
      <c r="J24" s="11"/>
      <c r="K24" s="11"/>
      <c r="L24" s="11"/>
      <c r="N24" s="10"/>
      <c r="P24" s="10"/>
      <c r="Q24" s="10"/>
      <c r="V24" s="1333"/>
      <c r="W24" s="322"/>
      <c r="X24" s="322"/>
      <c r="Y24" s="322"/>
      <c r="Z24" s="322"/>
      <c r="AA24" s="322"/>
      <c r="AB24" s="322"/>
      <c r="AC24" s="322"/>
      <c r="AD24" s="322"/>
      <c r="AE24" s="322"/>
      <c r="AF24" s="322"/>
      <c r="AG24" s="1333"/>
      <c r="AH24" s="322"/>
      <c r="AI24" s="322"/>
      <c r="AJ24" s="322"/>
      <c r="AK24" s="322"/>
      <c r="AL24" s="322"/>
      <c r="AM24" s="322"/>
      <c r="AN24" s="322"/>
      <c r="AO24" s="322"/>
      <c r="AP24" s="322"/>
      <c r="AQ24" s="322"/>
      <c r="AR24" s="1333"/>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32"/>
      <c r="K25" s="1332"/>
      <c r="L25" s="1332"/>
      <c r="M25" s="1332"/>
      <c r="N25" s="1332"/>
      <c r="O25" s="1332"/>
      <c r="P25" s="1332"/>
      <c r="Q25" s="1332"/>
      <c r="R25" s="1332"/>
      <c r="S25" s="1332"/>
      <c r="T25" s="1332"/>
      <c r="U25" s="1332"/>
      <c r="V25" s="1333"/>
      <c r="W25" s="322"/>
      <c r="X25" s="322"/>
      <c r="Y25" s="322"/>
      <c r="Z25" s="322"/>
      <c r="AA25" s="322"/>
      <c r="AB25" s="322"/>
      <c r="AC25" s="322"/>
      <c r="AD25" s="322"/>
      <c r="AE25" s="322"/>
      <c r="AF25" s="322"/>
      <c r="AG25" s="1333"/>
      <c r="AH25" s="322"/>
      <c r="AI25" s="322"/>
      <c r="AJ25" s="322"/>
      <c r="AK25" s="322"/>
      <c r="AL25" s="322"/>
      <c r="AM25" s="322"/>
      <c r="AN25" s="322"/>
      <c r="AO25" s="322"/>
      <c r="AP25" s="322"/>
      <c r="AQ25" s="322"/>
      <c r="AR25" s="1333"/>
      <c r="AS25" s="1332"/>
      <c r="AT25" s="14"/>
      <c r="AU25" s="25">
        <v>20</v>
      </c>
      <c r="AV25" s="28"/>
      <c r="AW25" s="28"/>
      <c r="AX25" s="29"/>
      <c r="AY25" s="28"/>
      <c r="AZ25" s="29"/>
      <c r="BA25" s="28"/>
      <c r="BB25" s="1332"/>
      <c r="BC25" s="1332"/>
      <c r="BD25" s="1332"/>
    </row>
    <row r="26" spans="2:56" s="9" customFormat="1" ht="76.5">
      <c r="B26" s="2356" t="s">
        <v>153</v>
      </c>
      <c r="C26" s="2355" t="s">
        <v>903</v>
      </c>
      <c r="D26" s="30"/>
      <c r="E26" s="30"/>
      <c r="F26" s="30"/>
      <c r="G26" s="30"/>
      <c r="H26" s="30"/>
      <c r="I26" s="1329"/>
      <c r="J26" s="31"/>
      <c r="K26" s="1329"/>
      <c r="L26" s="1329"/>
      <c r="M26" s="1332"/>
      <c r="N26" s="1332"/>
      <c r="O26" s="1332"/>
      <c r="P26" s="1332"/>
      <c r="Q26" s="1332"/>
      <c r="R26" s="1332"/>
      <c r="S26" s="1332"/>
      <c r="T26" s="1332"/>
      <c r="U26" s="1332"/>
      <c r="V26" s="1333"/>
      <c r="W26" s="322"/>
      <c r="X26" s="322"/>
      <c r="Y26" s="322"/>
      <c r="Z26" s="322"/>
      <c r="AA26" s="322"/>
      <c r="AB26" s="322"/>
      <c r="AC26" s="322"/>
      <c r="AD26" s="322"/>
      <c r="AE26" s="322"/>
      <c r="AF26" s="322"/>
      <c r="AG26" s="1333"/>
      <c r="AH26" s="322"/>
      <c r="AI26" s="322"/>
      <c r="AJ26" s="322"/>
      <c r="AK26" s="322"/>
      <c r="AL26" s="322"/>
      <c r="AM26" s="322"/>
      <c r="AN26" s="322"/>
      <c r="AO26" s="322"/>
      <c r="AP26" s="322"/>
      <c r="AQ26" s="322"/>
      <c r="AR26" s="1333"/>
      <c r="AS26" s="1332"/>
      <c r="AT26" s="2356" t="str">
        <f>B26</f>
        <v>Line description</v>
      </c>
      <c r="AU26" s="2355" t="str">
        <f>C26</f>
        <v>Number of patch repairs or relining undertaken on sewer and not included in reported sewer collapses.</v>
      </c>
      <c r="AV26" s="30"/>
      <c r="AW26" s="30"/>
      <c r="AX26" s="30"/>
      <c r="AY26" s="30"/>
      <c r="AZ26" s="30"/>
      <c r="BA26" s="1329"/>
      <c r="BB26" s="31"/>
      <c r="BC26" s="1329"/>
      <c r="BD26" s="1329"/>
    </row>
    <row r="27" spans="2:56" s="9" customFormat="1" ht="15.75" customHeight="1">
      <c r="B27" s="23"/>
      <c r="C27" s="23"/>
      <c r="D27" s="32"/>
      <c r="E27" s="32"/>
      <c r="F27" s="32"/>
      <c r="G27" s="32"/>
      <c r="H27" s="32"/>
      <c r="I27" s="1329"/>
      <c r="J27" s="1329"/>
      <c r="K27" s="1329"/>
      <c r="L27" s="1329"/>
      <c r="M27" s="1332"/>
      <c r="N27" s="1332"/>
      <c r="O27" s="1332"/>
      <c r="P27" s="1332"/>
      <c r="Q27" s="1332"/>
      <c r="R27" s="1332"/>
      <c r="S27" s="1332"/>
      <c r="T27" s="1332"/>
      <c r="U27" s="1332"/>
      <c r="V27" s="1333"/>
      <c r="W27" s="322"/>
      <c r="X27" s="322"/>
      <c r="Y27" s="322"/>
      <c r="Z27" s="322"/>
      <c r="AA27" s="322"/>
      <c r="AB27" s="322"/>
      <c r="AC27" s="322"/>
      <c r="AD27" s="322"/>
      <c r="AE27" s="322"/>
      <c r="AF27" s="322"/>
      <c r="AG27" s="1333"/>
      <c r="AH27" s="322"/>
      <c r="AI27" s="322"/>
      <c r="AJ27" s="322"/>
      <c r="AK27" s="322"/>
      <c r="AL27" s="322"/>
      <c r="AM27" s="322"/>
      <c r="AN27" s="322"/>
      <c r="AO27" s="322"/>
      <c r="AP27" s="322"/>
      <c r="AQ27" s="322"/>
      <c r="AR27" s="1333"/>
      <c r="AS27" s="1332"/>
      <c r="AT27" s="23"/>
      <c r="AU27" s="23"/>
      <c r="AV27" s="32"/>
      <c r="AW27" s="32"/>
      <c r="AX27" s="32"/>
      <c r="AY27" s="32"/>
      <c r="AZ27" s="32"/>
      <c r="BA27" s="1329"/>
      <c r="BB27" s="1329"/>
      <c r="BC27" s="1329"/>
      <c r="BD27" s="1329"/>
    </row>
    <row r="28" spans="2:56" s="9" customFormat="1" ht="16.5" customHeight="1">
      <c r="B28" s="303" t="s">
        <v>795</v>
      </c>
      <c r="C28" s="23"/>
      <c r="D28" s="32"/>
      <c r="E28" s="32"/>
      <c r="F28" s="32"/>
      <c r="G28" s="32"/>
      <c r="H28" s="32"/>
      <c r="I28" s="1329"/>
      <c r="J28" s="1329"/>
      <c r="K28" s="1329"/>
      <c r="L28" s="1329"/>
      <c r="M28" s="1332"/>
      <c r="N28" s="1332"/>
      <c r="O28" s="1332"/>
      <c r="P28" s="1332"/>
      <c r="Q28" s="1332"/>
      <c r="R28" s="1332"/>
      <c r="S28" s="1332"/>
      <c r="T28" s="1332"/>
      <c r="U28" s="1332"/>
      <c r="V28" s="1333"/>
      <c r="W28" s="317">
        <v>20</v>
      </c>
      <c r="X28" s="322"/>
      <c r="Y28" s="322"/>
      <c r="Z28" s="322"/>
      <c r="AA28" s="322"/>
      <c r="AB28" s="322"/>
      <c r="AC28" s="322"/>
      <c r="AD28" s="322"/>
      <c r="AE28" s="322"/>
      <c r="AF28" s="322"/>
      <c r="AG28" s="1333"/>
      <c r="AH28" s="317">
        <v>20</v>
      </c>
      <c r="AI28" s="322"/>
      <c r="AJ28" s="322"/>
      <c r="AK28" s="322"/>
      <c r="AL28" s="322"/>
      <c r="AM28" s="322"/>
      <c r="AN28" s="322"/>
      <c r="AO28" s="322"/>
      <c r="AP28" s="322"/>
      <c r="AQ28" s="322"/>
      <c r="AR28" s="1333"/>
      <c r="AS28" s="1332"/>
      <c r="AT28" s="303" t="s">
        <v>795</v>
      </c>
      <c r="AU28" s="23"/>
      <c r="AV28" s="32"/>
      <c r="AW28" s="32"/>
      <c r="AX28" s="32"/>
      <c r="AY28" s="32"/>
      <c r="AZ28" s="32"/>
      <c r="BA28" s="1329"/>
      <c r="BB28" s="1329"/>
      <c r="BC28" s="1329"/>
      <c r="BD28" s="1329"/>
    </row>
    <row r="29" spans="2:56" s="21" customFormat="1" ht="24.75" customHeight="1">
      <c r="B29" s="302" t="s">
        <v>795</v>
      </c>
      <c r="C29" s="2282">
        <v>575</v>
      </c>
      <c r="D29" s="33"/>
      <c r="E29" s="33"/>
      <c r="F29" s="33"/>
      <c r="G29" s="33"/>
      <c r="H29" s="33"/>
      <c r="I29" s="26"/>
      <c r="J29" s="1329"/>
      <c r="K29" s="1329"/>
      <c r="L29" s="1329"/>
      <c r="N29" s="286" t="s">
        <v>904</v>
      </c>
      <c r="P29" s="319">
        <f>IF($W29=0,0,$W$6)</f>
        <v>0</v>
      </c>
      <c r="Q29" s="331">
        <f>IF($AH29=0,0,$AH$13)</f>
        <v>0</v>
      </c>
      <c r="R29" s="252"/>
      <c r="S29" s="252"/>
      <c r="T29" s="252"/>
      <c r="U29" s="252"/>
      <c r="V29" s="1333"/>
      <c r="W29" s="322">
        <f>IF('Validation summary'!$F$3="WoC",0,IF(ISBLANK($C29)=TRUE,1,0))</f>
        <v>0</v>
      </c>
      <c r="X29" s="322"/>
      <c r="Y29" s="322"/>
      <c r="Z29" s="322"/>
      <c r="AA29" s="322"/>
      <c r="AB29" s="322"/>
      <c r="AC29" s="322"/>
      <c r="AD29" s="322"/>
      <c r="AE29" s="322"/>
      <c r="AF29" s="322"/>
      <c r="AG29" s="1333"/>
      <c r="AH29" s="322">
        <f>IF($C29&lt;0,1,0)</f>
        <v>0</v>
      </c>
      <c r="AI29" s="322"/>
      <c r="AJ29" s="322"/>
      <c r="AK29" s="322"/>
      <c r="AL29" s="322"/>
      <c r="AM29" s="322"/>
      <c r="AN29" s="322"/>
      <c r="AO29" s="322"/>
      <c r="AP29" s="322"/>
      <c r="AQ29" s="322"/>
      <c r="AR29" s="1333"/>
      <c r="AT29" s="1457" t="str">
        <f>B29</f>
        <v>Sewer collapses</v>
      </c>
      <c r="AU29" s="1447" t="s">
        <v>905</v>
      </c>
      <c r="AV29" s="33"/>
      <c r="AW29" s="33"/>
      <c r="AX29" s="33"/>
      <c r="AY29" s="33"/>
      <c r="AZ29" s="33"/>
      <c r="BA29" s="26"/>
      <c r="BB29" s="1329"/>
      <c r="BC29" s="1329"/>
      <c r="BD29" s="1329"/>
    </row>
    <row r="30" spans="2:56" s="9" customFormat="1" ht="16.350000000000001" customHeight="1">
      <c r="B30" s="1342"/>
      <c r="C30" s="1341"/>
      <c r="D30" s="1341"/>
      <c r="E30" s="1329"/>
      <c r="F30" s="1329"/>
      <c r="G30" s="1329"/>
      <c r="H30" s="1329"/>
      <c r="I30" s="1329"/>
      <c r="J30" s="26"/>
      <c r="K30" s="26"/>
      <c r="L30" s="26"/>
      <c r="M30" s="1332"/>
      <c r="N30" s="1332"/>
      <c r="O30" s="1332"/>
      <c r="P30" s="1332"/>
      <c r="Q30" s="1332"/>
      <c r="R30" s="1332"/>
      <c r="S30" s="1332"/>
      <c r="T30" s="1332"/>
      <c r="U30" s="1332"/>
      <c r="V30" s="1336"/>
      <c r="W30" s="1336"/>
      <c r="X30" s="1336"/>
      <c r="Y30" s="1336"/>
      <c r="Z30" s="1336"/>
      <c r="AA30" s="1336"/>
      <c r="AB30" s="1336"/>
      <c r="AC30" s="1336"/>
      <c r="AD30" s="1336"/>
      <c r="AE30" s="1336"/>
      <c r="AF30" s="1336"/>
      <c r="AG30" s="1336"/>
      <c r="AH30" s="1336"/>
      <c r="AI30" s="1336"/>
      <c r="AJ30" s="1336"/>
      <c r="AK30" s="1336"/>
      <c r="AL30" s="1336"/>
      <c r="AM30" s="1336"/>
      <c r="AN30" s="1336"/>
      <c r="AO30" s="1336"/>
      <c r="AP30" s="1336"/>
      <c r="AQ30" s="1336"/>
      <c r="AR30" s="1336"/>
      <c r="AS30" s="1332"/>
      <c r="AT30" s="1332"/>
      <c r="AU30" s="1332"/>
      <c r="AV30" s="1332"/>
      <c r="AW30" s="1332"/>
      <c r="AX30" s="1332"/>
      <c r="AY30" s="1332"/>
      <c r="AZ30" s="1332"/>
      <c r="BA30" s="1332"/>
      <c r="BB30" s="1332"/>
      <c r="BC30" s="1332"/>
      <c r="BD30" s="1332"/>
    </row>
    <row r="31" spans="2:56" s="9" customFormat="1" ht="15">
      <c r="B31" s="270" t="s">
        <v>327</v>
      </c>
      <c r="C31" s="1332"/>
      <c r="D31" s="1332"/>
      <c r="E31" s="1332"/>
      <c r="F31" s="1332"/>
      <c r="G31" s="1332"/>
      <c r="H31" s="1332"/>
      <c r="I31" s="1332"/>
      <c r="J31" s="1329"/>
      <c r="K31" s="1329"/>
      <c r="L31" s="1329"/>
      <c r="M31" s="1332"/>
      <c r="N31" s="1332"/>
      <c r="O31" s="1332"/>
      <c r="P31" s="1332"/>
      <c r="Q31" s="1332"/>
      <c r="R31" s="1332"/>
      <c r="S31" s="1332"/>
      <c r="T31" s="1332"/>
      <c r="U31" s="1332"/>
      <c r="V31" s="1332"/>
      <c r="W31" s="1332"/>
      <c r="X31" s="1332"/>
      <c r="Y31" s="1332"/>
      <c r="Z31" s="1332"/>
      <c r="AA31" s="1332"/>
      <c r="AB31" s="1332"/>
      <c r="AC31" s="1332"/>
      <c r="AD31" s="1332"/>
      <c r="AE31" s="1332"/>
      <c r="AF31" s="1332"/>
      <c r="AG31" s="1332"/>
      <c r="AH31" s="1332"/>
      <c r="AI31" s="1332"/>
      <c r="AJ31" s="1332"/>
      <c r="AK31" s="1332"/>
      <c r="AL31" s="1332"/>
      <c r="AM31" s="1332"/>
      <c r="AN31" s="1332"/>
      <c r="AO31" s="1332"/>
      <c r="AP31" s="1332"/>
      <c r="AQ31" s="1332"/>
      <c r="AR31" s="1332"/>
      <c r="AS31" s="1332"/>
      <c r="AT31" s="1332"/>
      <c r="AU31" s="1332"/>
      <c r="AV31" s="1332"/>
      <c r="AW31" s="1332"/>
      <c r="AX31" s="1332"/>
      <c r="AY31" s="1332"/>
      <c r="AZ31" s="1332"/>
      <c r="BA31" s="1332"/>
      <c r="BB31" s="1332"/>
      <c r="BC31" s="1332"/>
      <c r="BD31" s="1332"/>
    </row>
    <row r="32" spans="2:56"/>
    <row r="33" spans="2:3">
      <c r="B33" s="2395" t="s">
        <v>328</v>
      </c>
      <c r="C33" s="2396"/>
    </row>
    <row r="34" spans="2:3" ht="15" thickBot="1"/>
    <row r="35" spans="2:3" ht="15" thickBot="1">
      <c r="B35" s="2397" t="s">
        <v>329</v>
      </c>
      <c r="C35" s="2398"/>
    </row>
    <row r="36" spans="2:3"/>
    <row r="37" spans="2:3">
      <c r="B37" s="2399" t="s">
        <v>330</v>
      </c>
      <c r="C37" s="2400"/>
    </row>
    <row r="38" spans="2:3"/>
    <row r="39" spans="2:3">
      <c r="B39" s="2401" t="s">
        <v>331</v>
      </c>
      <c r="C39" s="2402"/>
    </row>
    <row r="40" spans="2:3"/>
    <row r="41" spans="2:3" ht="15">
      <c r="B41" s="288" t="str">
        <f>'3A'!$B$53</f>
        <v>Please refer to RAG 4.13 -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5" priority="5" operator="equal">
      <formula>0</formula>
    </cfRule>
  </conditionalFormatting>
  <conditionalFormatting sqref="P15:Q15">
    <cfRule type="cellIs" dxfId="244" priority="4" operator="equal">
      <formula>0</formula>
    </cfRule>
  </conditionalFormatting>
  <conditionalFormatting sqref="P23:Q23">
    <cfRule type="cellIs" dxfId="243" priority="3" operator="equal">
      <formula>0</formula>
    </cfRule>
  </conditionalFormatting>
  <conditionalFormatting sqref="P29:Q29">
    <cfRule type="cellIs" dxfId="242"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75" zeroHeight="1"/>
  <cols>
    <col min="1" max="1" width="28.25" style="163" bestFit="1" customWidth="1"/>
    <col min="2" max="2" width="104.25" style="163" customWidth="1"/>
    <col min="3" max="3" width="23.125" style="163" customWidth="1"/>
    <col min="4" max="4" width="17.875" style="163" customWidth="1"/>
    <col min="5" max="6" width="9.125" style="163" customWidth="1"/>
    <col min="7" max="7" width="4.75" style="163" customWidth="1"/>
    <col min="8" max="16380" width="0" style="163" hidden="1"/>
    <col min="16381" max="16384" width="9.125" style="163" hidden="1"/>
  </cols>
  <sheetData>
    <row r="1" spans="1:6" s="2251" customFormat="1" ht="45" thickBot="1">
      <c r="A1" s="2302" t="e">
        <f ca="1" xml:space="preserve"> RIGHT(CELL("filename", $A$1), LEN(CELL("filename", $A$1)) - SEARCH("]", CELL("filename", $A$1)))</f>
        <v>#VALUE!</v>
      </c>
      <c r="B1" s="159"/>
      <c r="C1" s="159"/>
      <c r="D1" s="159"/>
      <c r="E1" s="159"/>
      <c r="F1" s="159"/>
    </row>
    <row r="2" spans="1:6" ht="16.5">
      <c r="A2" s="160"/>
      <c r="B2" s="160"/>
      <c r="C2" s="160"/>
      <c r="D2" s="160"/>
      <c r="E2" s="160"/>
      <c r="F2" s="160"/>
    </row>
    <row r="3" spans="1:6" ht="22.5">
      <c r="A3" s="388" t="s">
        <v>906</v>
      </c>
      <c r="B3" s="389" t="s">
        <v>907</v>
      </c>
      <c r="C3" s="162"/>
      <c r="D3" s="162"/>
      <c r="E3" s="162"/>
      <c r="F3" s="162"/>
    </row>
    <row r="4" spans="1:6" ht="22.5">
      <c r="A4" s="388" t="s">
        <v>908</v>
      </c>
      <c r="B4" s="1998">
        <v>1.1200000000000001</v>
      </c>
      <c r="C4" s="162"/>
      <c r="D4" s="162"/>
      <c r="E4" s="162"/>
      <c r="F4" s="162"/>
    </row>
    <row r="5" spans="1:6" ht="22.5">
      <c r="A5" s="388" t="s">
        <v>909</v>
      </c>
      <c r="B5" s="389" t="s">
        <v>910</v>
      </c>
      <c r="C5" s="162"/>
      <c r="D5" s="162"/>
      <c r="E5" s="162"/>
      <c r="F5" s="162"/>
    </row>
    <row r="6" spans="1:6" ht="22.5">
      <c r="A6" s="388" t="s">
        <v>911</v>
      </c>
      <c r="B6" s="1920">
        <v>45747</v>
      </c>
      <c r="C6" s="162"/>
      <c r="D6" s="162"/>
      <c r="E6" s="162"/>
      <c r="F6" s="162"/>
    </row>
    <row r="7" spans="1:6" ht="22.5">
      <c r="A7" s="388" t="s">
        <v>912</v>
      </c>
      <c r="B7" s="388" t="s">
        <v>913</v>
      </c>
      <c r="C7" s="162"/>
      <c r="D7" s="162"/>
      <c r="E7" s="162"/>
      <c r="F7" s="162"/>
    </row>
    <row r="8" spans="1:6" ht="22.5">
      <c r="A8" s="388" t="s">
        <v>914</v>
      </c>
      <c r="B8" s="1808" t="s">
        <v>915</v>
      </c>
      <c r="C8" s="162"/>
      <c r="D8" s="162"/>
      <c r="E8" s="162"/>
      <c r="F8" s="162"/>
    </row>
    <row r="9" spans="1:6" ht="3.75" customHeight="1">
      <c r="A9" s="162"/>
      <c r="B9" s="162"/>
      <c r="C9" s="162"/>
      <c r="D9" s="162"/>
      <c r="E9" s="162"/>
      <c r="F9" s="162"/>
    </row>
    <row r="10" spans="1:6"/>
    <row r="11" spans="1:6" ht="246.75" customHeight="1">
      <c r="A11" s="401" t="s">
        <v>916</v>
      </c>
      <c r="B11" s="2405" t="s">
        <v>917</v>
      </c>
      <c r="C11" s="2405"/>
      <c r="D11" s="2405"/>
      <c r="E11" s="2405"/>
    </row>
    <row r="12" spans="1:6" ht="42" customHeight="1">
      <c r="A12" s="401" t="s">
        <v>918</v>
      </c>
      <c r="B12" s="2411" t="s">
        <v>919</v>
      </c>
      <c r="C12" s="2411"/>
      <c r="D12" s="2411"/>
      <c r="E12" s="2411"/>
    </row>
    <row r="13" spans="1:6" ht="121.5" customHeight="1">
      <c r="A13" s="401" t="s">
        <v>920</v>
      </c>
      <c r="B13" s="2406" t="s">
        <v>921</v>
      </c>
      <c r="C13" s="2406"/>
      <c r="D13" s="2406"/>
      <c r="E13" s="2406"/>
    </row>
    <row r="14" spans="1:6" ht="126" customHeight="1">
      <c r="A14" s="401"/>
      <c r="B14" s="2407" t="s">
        <v>922</v>
      </c>
      <c r="C14" s="2407"/>
      <c r="D14" s="2407"/>
      <c r="E14" s="2407"/>
    </row>
    <row r="15" spans="1:6" ht="296.25" customHeight="1">
      <c r="A15" s="401"/>
      <c r="B15" s="2408" t="s">
        <v>923</v>
      </c>
      <c r="C15" s="2408"/>
      <c r="D15" s="2408"/>
      <c r="E15" s="2408"/>
    </row>
    <row r="16" spans="1:6" ht="73.5" customHeight="1">
      <c r="A16" s="401"/>
      <c r="B16" s="2409" t="s">
        <v>924</v>
      </c>
      <c r="C16" s="2409"/>
      <c r="D16" s="2409"/>
      <c r="E16" s="2409"/>
    </row>
    <row r="17" spans="1:1024 1028:2048 2052:3072 3076:4096 4100:5120 5124:6144 6148:7168 7172:8192 8196:9216 9220:10240 10244:11264 11268:12288 12292:13312 13316:14336 14340:15360 15364:16380" s="165" customFormat="1" ht="22.5">
      <c r="A17" s="391"/>
      <c r="B17" s="1343"/>
      <c r="C17" s="1343"/>
      <c r="D17" s="1343"/>
    </row>
    <row r="18" spans="1:1024 1028:2048 2052:3072 3076:4096 4100:5120 5124:6144 6148:7168 7172:8192 8196:9216 9220:10240 10244:11264 11268:12288 12292:13312 13316:14336 14340:15360 15364:16380" s="165" customFormat="1" ht="30" customHeight="1">
      <c r="A18" s="401" t="s">
        <v>925</v>
      </c>
      <c r="B18" s="2410" t="s">
        <v>926</v>
      </c>
      <c r="C18" s="2410"/>
      <c r="D18" s="2410"/>
      <c r="E18" s="2410"/>
    </row>
    <row r="19" spans="1:1024 1028:2048 2052:3072 3076:4096 4100:5120 5124:6144 6148:7168 7172:8192 8196:9216 9220:10240 10244:11264 11268:12288 12292:13312 13316:14336 14340:15360 15364:16380" s="166" customFormat="1" ht="24.7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25">
      <c r="A20" s="1499" t="s">
        <v>927</v>
      </c>
      <c r="B20" s="1500" t="s">
        <v>928</v>
      </c>
      <c r="C20" s="1500" t="s">
        <v>929</v>
      </c>
      <c r="D20" s="163"/>
    </row>
    <row r="21" spans="1:1024 1028:2048 2052:3072 3076:4096 4100:5120 5124:6144 6148:7168 7172:8192 8196:9216 9220:10240 10244:11264 11268:12288 12292:13312 13316:14336 14340:15360 15364:16380" s="165" customFormat="1" ht="42.75" customHeight="1">
      <c r="A21" s="395" t="s">
        <v>930</v>
      </c>
      <c r="B21" s="395" t="s">
        <v>931</v>
      </c>
      <c r="C21" s="395" t="s">
        <v>932</v>
      </c>
      <c r="D21" s="163"/>
    </row>
    <row r="22" spans="1:1024 1028:2048 2052:3072 3076:4096 4100:5120 5124:6144 6148:7168 7172:8192 8196:9216 9220:10240 10244:11264 11268:12288 12292:13312 13316:14336 14340:15360 15364:16380" s="165" customFormat="1" ht="14.25">
      <c r="A22" s="400" t="s">
        <v>933</v>
      </c>
      <c r="B22" s="400" t="s">
        <v>934</v>
      </c>
      <c r="C22" s="400" t="s">
        <v>935</v>
      </c>
      <c r="D22" s="163"/>
    </row>
    <row r="23" spans="1:1024 1028:2048 2052:3072 3076:4096 4100:5120 5124:6144 6148:7168 7172:8192 8196:9216 9220:10240 10244:11264 11268:12288 12292:13312 13316:14336 14340:15360 15364:16380" s="165" customFormat="1" ht="25.5">
      <c r="A23" s="400" t="s">
        <v>936</v>
      </c>
      <c r="B23" s="400" t="s">
        <v>937</v>
      </c>
      <c r="C23" s="400" t="s">
        <v>938</v>
      </c>
      <c r="D23" s="163"/>
    </row>
    <row r="24" spans="1:1024 1028:2048 2052:3072 3076:4096 4100:5120 5124:6144 6148:7168 7172:8192 8196:9216 9220:10240 10244:11264 11268:12288 12292:13312 13316:14336 14340:15360 15364:16380" s="165" customFormat="1" ht="25.5">
      <c r="A24" s="400" t="s">
        <v>933</v>
      </c>
      <c r="B24" s="400" t="s">
        <v>939</v>
      </c>
      <c r="C24" s="400" t="s">
        <v>940</v>
      </c>
      <c r="D24" s="163"/>
    </row>
    <row r="25" spans="1:1024 1028:2048 2052:3072 3076:4096 4100:5120 5124:6144 6148:7168 7172:8192 8196:9216 9220:10240 10244:11264 11268:12288 12292:13312 13316:14336 14340:15360 15364:16380" s="165" customFormat="1" ht="44.25" customHeight="1">
      <c r="A25" s="400" t="s">
        <v>933</v>
      </c>
      <c r="B25" s="400" t="s">
        <v>941</v>
      </c>
      <c r="C25" s="400" t="s">
        <v>938</v>
      </c>
      <c r="D25" s="163"/>
    </row>
    <row r="26" spans="1:1024 1028:2048 2052:3072 3076:4096 4100:5120 5124:6144 6148:7168 7172:8192 8196:9216 9220:10240 10244:11264 11268:12288 12292:13312 13316:14336 14340:15360 15364:16380" s="165" customFormat="1" ht="25.5">
      <c r="A26" s="400" t="s">
        <v>936</v>
      </c>
      <c r="B26" s="400" t="s">
        <v>942</v>
      </c>
      <c r="C26" s="400" t="s">
        <v>943</v>
      </c>
      <c r="D26" s="163"/>
    </row>
    <row r="27" spans="1:1024 1028:2048 2052:3072 3076:4096 4100:5120 5124:6144 6148:7168 7172:8192 8196:9216 9220:10240 10244:11264 11268:12288 12292:13312 13316:14336 14340:15360 15364:16380" s="165" customFormat="1" ht="76.5">
      <c r="A27" s="400" t="s">
        <v>933</v>
      </c>
      <c r="B27" s="400" t="s">
        <v>944</v>
      </c>
      <c r="C27" s="400" t="s">
        <v>943</v>
      </c>
      <c r="D27" s="163"/>
    </row>
    <row r="28" spans="1:1024 1028:2048 2052:3072 3076:4096 4100:5120 5124:6144 6148:7168 7172:8192 8196:9216 9220:10240 10244:11264 11268:12288 12292:13312 13316:14336 14340:15360 15364:16380" s="165" customFormat="1" ht="14.25">
      <c r="A28" s="400" t="s">
        <v>936</v>
      </c>
      <c r="B28" s="400" t="s">
        <v>945</v>
      </c>
      <c r="C28" s="400" t="s">
        <v>938</v>
      </c>
      <c r="D28" s="163"/>
    </row>
    <row r="29" spans="1:1024 1028:2048 2052:3072 3076:4096 4100:5120 5124:6144 6148:7168 7172:8192 8196:9216 9220:10240 10244:11264 11268:12288 12292:13312 13316:14336 14340:15360 15364:16380" s="165" customFormat="1" ht="25.5">
      <c r="A29" s="400" t="s">
        <v>936</v>
      </c>
      <c r="B29" s="400" t="s">
        <v>946</v>
      </c>
      <c r="C29" s="400" t="s">
        <v>943</v>
      </c>
      <c r="D29" s="163"/>
    </row>
    <row r="30" spans="1:1024 1028:2048 2052:3072 3076:4096 4100:5120 5124:6144 6148:7168 7172:8192 8196:9216 9220:10240 10244:11264 11268:12288 12292:13312 13316:14336 14340:15360 15364:16380" s="165" customFormat="1" ht="38.25">
      <c r="A30" s="400" t="s">
        <v>933</v>
      </c>
      <c r="B30" s="400" t="s">
        <v>947</v>
      </c>
      <c r="C30" s="400" t="s">
        <v>948</v>
      </c>
      <c r="D30" s="163"/>
    </row>
    <row r="31" spans="1:1024 1028:2048 2052:3072 3076:4096 4100:5120 5124:6144 6148:7168 7172:8192 8196:9216 9220:10240 10244:11264 11268:12288 12292:13312 13316:14336 14340:15360 15364:16380" s="165" customFormat="1" ht="25.5">
      <c r="A31" s="399" t="s">
        <v>933</v>
      </c>
      <c r="B31" s="399" t="s">
        <v>949</v>
      </c>
      <c r="C31" s="399" t="s">
        <v>950</v>
      </c>
      <c r="D31" s="163"/>
    </row>
    <row r="32" spans="1:1024 1028:2048 2052:3072 3076:4096 4100:5120 5124:6144 6148:7168 7172:8192 8196:9216 9220:10240 10244:11264 11268:12288 12292:13312 13316:14336 14340:15360 15364:16380" s="165" customFormat="1" ht="14.25">
      <c r="A32" s="396" t="s">
        <v>951</v>
      </c>
      <c r="B32" s="396" t="s">
        <v>952</v>
      </c>
      <c r="C32" s="396" t="s">
        <v>950</v>
      </c>
      <c r="D32" s="163"/>
    </row>
    <row r="33" spans="1:16383" s="165" customFormat="1" ht="87.75" customHeight="1">
      <c r="A33" s="396" t="s">
        <v>936</v>
      </c>
      <c r="B33" s="396" t="s">
        <v>953</v>
      </c>
      <c r="C33" s="396" t="s">
        <v>938</v>
      </c>
      <c r="D33" s="163"/>
    </row>
    <row r="34" spans="1:16383" s="165" customFormat="1" ht="14.25">
      <c r="A34" s="396" t="s">
        <v>951</v>
      </c>
      <c r="B34" s="396" t="s">
        <v>954</v>
      </c>
      <c r="C34" s="396" t="s">
        <v>955</v>
      </c>
      <c r="D34" s="163"/>
    </row>
    <row r="35" spans="1:16383" s="165" customFormat="1" ht="38.25">
      <c r="A35" s="396" t="s">
        <v>936</v>
      </c>
      <c r="B35" s="396" t="s">
        <v>956</v>
      </c>
      <c r="C35" s="396" t="s">
        <v>957</v>
      </c>
      <c r="D35" s="163"/>
    </row>
    <row r="36" spans="1:16383" s="165" customFormat="1" ht="41.25" customHeight="1">
      <c r="A36" s="396" t="s">
        <v>936</v>
      </c>
      <c r="B36" s="396" t="s">
        <v>958</v>
      </c>
      <c r="C36" s="396" t="s">
        <v>957</v>
      </c>
      <c r="D36" s="163"/>
    </row>
    <row r="37" spans="1:16383" s="165" customFormat="1" ht="14.25">
      <c r="A37" s="397" t="s">
        <v>933</v>
      </c>
      <c r="B37" s="397" t="s">
        <v>959</v>
      </c>
      <c r="C37" s="397" t="s">
        <v>960</v>
      </c>
      <c r="D37" s="163"/>
    </row>
    <row r="38" spans="1:16383" s="165" customFormat="1" ht="38.25">
      <c r="A38" s="397" t="s">
        <v>951</v>
      </c>
      <c r="B38" s="397" t="s">
        <v>961</v>
      </c>
      <c r="C38" s="397" t="s">
        <v>948</v>
      </c>
      <c r="D38" s="163"/>
    </row>
    <row r="39" spans="1:16383" s="165" customFormat="1" ht="14.25">
      <c r="A39" s="1309" t="s">
        <v>933</v>
      </c>
      <c r="B39" s="1309" t="s">
        <v>962</v>
      </c>
      <c r="C39" s="1309" t="s">
        <v>950</v>
      </c>
      <c r="D39" s="163"/>
    </row>
    <row r="40" spans="1:16383" s="165" customFormat="1" ht="14.25">
      <c r="A40" s="1309" t="s">
        <v>936</v>
      </c>
      <c r="B40" s="1309" t="s">
        <v>963</v>
      </c>
      <c r="C40" s="1309" t="s">
        <v>950</v>
      </c>
      <c r="D40" s="163"/>
    </row>
    <row r="41" spans="1:16383" s="165" customFormat="1" ht="14.25">
      <c r="A41" s="1309" t="s">
        <v>951</v>
      </c>
      <c r="B41" s="1309" t="s">
        <v>964</v>
      </c>
      <c r="C41" s="1309" t="s">
        <v>950</v>
      </c>
      <c r="D41" s="163"/>
    </row>
    <row r="42" spans="1:16383" s="165" customFormat="1" ht="76.5">
      <c r="A42" s="1309" t="s">
        <v>933</v>
      </c>
      <c r="B42" s="1309" t="s">
        <v>965</v>
      </c>
      <c r="C42" s="1309" t="s">
        <v>938</v>
      </c>
      <c r="D42" s="163"/>
    </row>
    <row r="43" spans="1:16383" s="165" customFormat="1" ht="14.25">
      <c r="A43" s="1309" t="s">
        <v>951</v>
      </c>
      <c r="B43" s="1309" t="s">
        <v>966</v>
      </c>
      <c r="C43" s="1309" t="s">
        <v>967</v>
      </c>
      <c r="D43" s="163"/>
    </row>
    <row r="44" spans="1:16383" s="165" customFormat="1" ht="51">
      <c r="A44" s="1309" t="s">
        <v>933</v>
      </c>
      <c r="B44" s="1309" t="s">
        <v>968</v>
      </c>
      <c r="C44" s="1309" t="s">
        <v>969</v>
      </c>
      <c r="D44" s="163"/>
    </row>
    <row r="45" spans="1:16383" s="165" customFormat="1" ht="25.5">
      <c r="A45" s="1309" t="s">
        <v>933</v>
      </c>
      <c r="B45" s="1309" t="s">
        <v>970</v>
      </c>
      <c r="C45" s="1470" t="s">
        <v>971</v>
      </c>
      <c r="D45" s="163"/>
    </row>
    <row r="46" spans="1:16383" s="165" customFormat="1" ht="25.5">
      <c r="A46" s="1309" t="s">
        <v>951</v>
      </c>
      <c r="B46" s="1309" t="s">
        <v>972</v>
      </c>
      <c r="C46" s="1471" t="s">
        <v>973</v>
      </c>
      <c r="D46" s="163"/>
    </row>
    <row r="47" spans="1:16383" s="1755" customFormat="1" ht="25.5">
      <c r="A47" s="1309" t="s">
        <v>936</v>
      </c>
      <c r="B47" s="1309" t="s">
        <v>974</v>
      </c>
      <c r="C47" s="1471" t="s">
        <v>975</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25">
      <c r="A48" s="1309" t="s">
        <v>936</v>
      </c>
      <c r="B48" s="1309" t="s">
        <v>976</v>
      </c>
      <c r="C48" s="1470" t="s">
        <v>975</v>
      </c>
      <c r="D48" s="163"/>
    </row>
    <row r="49" spans="1:4" s="165" customFormat="1" ht="57.75" customHeight="1">
      <c r="A49" s="1915" t="s">
        <v>933</v>
      </c>
      <c r="B49" s="1915" t="s">
        <v>977</v>
      </c>
      <c r="C49" s="1915" t="s">
        <v>978</v>
      </c>
      <c r="D49" s="163"/>
    </row>
    <row r="50" spans="1:4" s="165" customFormat="1" ht="169.5" customHeight="1">
      <c r="A50" s="1915" t="s">
        <v>936</v>
      </c>
      <c r="B50" s="1915" t="s">
        <v>979</v>
      </c>
      <c r="C50" s="1915" t="s">
        <v>938</v>
      </c>
      <c r="D50" s="163"/>
    </row>
    <row r="51" spans="1:4" s="165" customFormat="1" ht="38.25">
      <c r="A51" s="1915" t="s">
        <v>951</v>
      </c>
      <c r="B51" s="1915" t="s">
        <v>980</v>
      </c>
      <c r="C51" s="1915" t="s">
        <v>938</v>
      </c>
      <c r="D51" s="163"/>
    </row>
    <row r="52" spans="1:4" s="165" customFormat="1" ht="63.75">
      <c r="A52" s="1915" t="s">
        <v>936</v>
      </c>
      <c r="B52" s="1915" t="s">
        <v>981</v>
      </c>
      <c r="C52" s="1915" t="s">
        <v>957</v>
      </c>
      <c r="D52" s="163"/>
    </row>
    <row r="53" spans="1:4" s="165" customFormat="1" ht="82.5" customHeight="1">
      <c r="A53" s="1915" t="s">
        <v>933</v>
      </c>
      <c r="B53" s="1915" t="s">
        <v>982</v>
      </c>
      <c r="C53" s="1915" t="s">
        <v>957</v>
      </c>
      <c r="D53" s="163"/>
    </row>
    <row r="54" spans="1:4" s="165" customFormat="1" ht="69.599999999999994" customHeight="1">
      <c r="A54" s="1915" t="s">
        <v>936</v>
      </c>
      <c r="B54" s="1915" t="s">
        <v>983</v>
      </c>
      <c r="C54" s="1915" t="s">
        <v>984</v>
      </c>
      <c r="D54" s="163"/>
    </row>
    <row r="55" spans="1:4" s="165" customFormat="1" ht="14.25">
      <c r="A55" s="1915" t="s">
        <v>951</v>
      </c>
      <c r="B55" s="1915" t="s">
        <v>985</v>
      </c>
      <c r="C55" s="1915" t="s">
        <v>986</v>
      </c>
      <c r="D55" s="163"/>
    </row>
    <row r="56" spans="1:4" s="165" customFormat="1" ht="14.25">
      <c r="A56" s="1915" t="s">
        <v>951</v>
      </c>
      <c r="B56" s="1915" t="s">
        <v>987</v>
      </c>
      <c r="C56" s="1915" t="s">
        <v>986</v>
      </c>
      <c r="D56" s="163"/>
    </row>
    <row r="57" spans="1:4" s="165" customFormat="1" ht="25.5">
      <c r="A57" s="1915" t="s">
        <v>933</v>
      </c>
      <c r="B57" s="1915" t="s">
        <v>988</v>
      </c>
      <c r="C57" s="1915" t="s">
        <v>986</v>
      </c>
      <c r="D57" s="163"/>
    </row>
    <row r="58" spans="1:4" s="165" customFormat="1" ht="25.5">
      <c r="A58" s="1915" t="s">
        <v>936</v>
      </c>
      <c r="B58" s="1915" t="s">
        <v>989</v>
      </c>
      <c r="C58" s="1915" t="s">
        <v>990</v>
      </c>
      <c r="D58" s="163"/>
    </row>
    <row r="59" spans="1:4" s="165" customFormat="1" ht="41.1" customHeight="1">
      <c r="A59" s="2008" t="s">
        <v>936</v>
      </c>
      <c r="B59" s="2008" t="s">
        <v>991</v>
      </c>
      <c r="C59" s="2008" t="s">
        <v>950</v>
      </c>
      <c r="D59" s="163"/>
    </row>
    <row r="60" spans="1:4" s="165" customFormat="1" ht="114.75">
      <c r="A60" s="2008" t="s">
        <v>936</v>
      </c>
      <c r="B60" s="2008" t="s">
        <v>992</v>
      </c>
      <c r="C60" s="2008" t="s">
        <v>938</v>
      </c>
      <c r="D60" s="163"/>
    </row>
    <row r="61" spans="1:4" s="165" customFormat="1" ht="14.25">
      <c r="A61" s="2008" t="s">
        <v>951</v>
      </c>
      <c r="B61" s="2008" t="s">
        <v>993</v>
      </c>
      <c r="C61" s="2008" t="s">
        <v>938</v>
      </c>
      <c r="D61" s="163"/>
    </row>
    <row r="62" spans="1:4" s="165" customFormat="1" ht="76.5">
      <c r="A62" s="2008" t="s">
        <v>933</v>
      </c>
      <c r="B62" s="2008" t="s">
        <v>994</v>
      </c>
      <c r="C62" s="2008" t="s">
        <v>957</v>
      </c>
      <c r="D62" s="163"/>
    </row>
    <row r="63" spans="1:4" s="165" customFormat="1" ht="51">
      <c r="A63" s="2008" t="s">
        <v>951</v>
      </c>
      <c r="B63" s="2008" t="s">
        <v>995</v>
      </c>
      <c r="C63" s="2008" t="s">
        <v>973</v>
      </c>
      <c r="D63" s="163"/>
    </row>
    <row r="64" spans="1:4" s="165" customFormat="1" ht="25.5">
      <c r="A64" s="2008" t="s">
        <v>933</v>
      </c>
      <c r="B64" s="2008" t="s">
        <v>996</v>
      </c>
      <c r="C64" s="2008" t="s">
        <v>973</v>
      </c>
      <c r="D64" s="163"/>
    </row>
    <row r="65" spans="1:6" s="165" customFormat="1" ht="25.5">
      <c r="A65" s="2008" t="s">
        <v>936</v>
      </c>
      <c r="B65" s="2008" t="s">
        <v>997</v>
      </c>
      <c r="C65" s="2008" t="s">
        <v>984</v>
      </c>
      <c r="D65" s="163"/>
    </row>
    <row r="66" spans="1:6" s="165" customFormat="1" ht="14.25">
      <c r="A66" s="2008"/>
      <c r="B66" s="2008"/>
      <c r="C66" s="2008"/>
      <c r="D66" s="163"/>
    </row>
    <row r="67" spans="1:6" s="165" customFormat="1" ht="14.25">
      <c r="A67" s="2008"/>
      <c r="B67" s="2008"/>
      <c r="C67" s="2008"/>
      <c r="D67" s="163"/>
    </row>
    <row r="68" spans="1:6" s="165" customFormat="1" ht="14.25">
      <c r="A68" s="2009"/>
      <c r="B68" s="2009"/>
      <c r="C68" s="2009"/>
      <c r="D68" s="163"/>
    </row>
    <row r="69" spans="1:6">
      <c r="A69" s="164"/>
      <c r="B69" s="164"/>
    </row>
    <row r="70" spans="1:6" ht="83.25" customHeight="1">
      <c r="A70" s="401" t="s">
        <v>998</v>
      </c>
      <c r="B70" s="2404" t="s">
        <v>999</v>
      </c>
      <c r="C70" s="2404"/>
    </row>
    <row r="71" spans="1:6" ht="20.25">
      <c r="A71" s="390"/>
      <c r="B71" s="164"/>
    </row>
    <row r="72" spans="1:6" ht="22.5">
      <c r="A72" s="401" t="s">
        <v>1000</v>
      </c>
      <c r="B72" s="2209" t="s">
        <v>1001</v>
      </c>
      <c r="C72" s="165"/>
    </row>
    <row r="73" spans="1:6">
      <c r="A73" s="164"/>
      <c r="B73" s="164"/>
    </row>
    <row r="74" spans="1:6"/>
    <row r="75" spans="1:6" ht="20.25">
      <c r="A75" s="398" t="s">
        <v>1002</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75"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4.25">
      <c r="A1" s="2302" t="e">
        <f ca="1" xml:space="preserve"> RIGHT(CELL("filename", $A$1), LEN(CELL("filename", $A$1)) - SEARCH("]", CELL("filename", $A$1)))</f>
        <v>#VALUE!</v>
      </c>
      <c r="B1" s="159"/>
      <c r="C1" s="159"/>
      <c r="D1" s="159"/>
      <c r="E1" s="159"/>
      <c r="F1" s="159"/>
      <c r="G1" s="159"/>
      <c r="H1" s="159"/>
      <c r="I1" s="159"/>
      <c r="J1" s="159"/>
      <c r="K1" s="159"/>
    </row>
    <row r="2" spans="1:11" s="163" customFormat="1"/>
    <row r="3" spans="1:11" s="163" customFormat="1" ht="22.5">
      <c r="A3" s="414" t="s">
        <v>1003</v>
      </c>
      <c r="I3" s="169"/>
      <c r="K3" s="169"/>
    </row>
    <row r="4" spans="1:11" s="163" customFormat="1"/>
    <row r="5" spans="1:11" s="163" customFormat="1" ht="20.25">
      <c r="B5" s="415" t="s">
        <v>1004</v>
      </c>
    </row>
    <row r="6" spans="1:11" s="163" customFormat="1">
      <c r="E6" s="402" t="s">
        <v>1005</v>
      </c>
      <c r="F6" s="393"/>
      <c r="G6" s="393" t="s">
        <v>1006</v>
      </c>
    </row>
    <row r="7" spans="1:11" s="163" customFormat="1">
      <c r="E7" s="393"/>
      <c r="F7" s="393"/>
      <c r="G7" s="393"/>
    </row>
    <row r="8" spans="1:11" s="163" customFormat="1">
      <c r="E8" s="403" t="s">
        <v>1007</v>
      </c>
      <c r="F8" s="393"/>
      <c r="G8" s="393" t="s">
        <v>1008</v>
      </c>
    </row>
    <row r="9" spans="1:11" s="163" customFormat="1">
      <c r="E9" s="393"/>
      <c r="F9" s="393"/>
      <c r="G9" s="393"/>
    </row>
    <row r="10" spans="1:11" s="163" customFormat="1">
      <c r="E10" s="404" t="s">
        <v>1009</v>
      </c>
      <c r="F10" s="393"/>
      <c r="G10" s="393" t="s">
        <v>1010</v>
      </c>
    </row>
    <row r="11" spans="1:11" s="163" customFormat="1">
      <c r="E11" s="393"/>
      <c r="F11" s="393"/>
      <c r="G11" s="393"/>
    </row>
    <row r="12" spans="1:11" s="163" customFormat="1">
      <c r="E12" s="393" t="s">
        <v>1011</v>
      </c>
      <c r="F12" s="393"/>
      <c r="G12" s="393"/>
    </row>
    <row r="13" spans="1:11" s="163" customFormat="1">
      <c r="E13" s="393" t="s">
        <v>1012</v>
      </c>
      <c r="F13" s="393"/>
      <c r="G13" s="393"/>
    </row>
    <row r="14" spans="1:11" s="163" customFormat="1">
      <c r="E14" s="393"/>
      <c r="F14" s="393"/>
      <c r="G14" s="393"/>
    </row>
    <row r="15" spans="1:11" s="163" customFormat="1">
      <c r="E15" s="405" t="s">
        <v>1013</v>
      </c>
      <c r="F15" s="393"/>
      <c r="G15" s="393" t="s">
        <v>1014</v>
      </c>
    </row>
    <row r="16" spans="1:11" s="163" customFormat="1">
      <c r="E16" s="393"/>
      <c r="F16" s="393"/>
      <c r="G16" s="393"/>
    </row>
    <row r="17" spans="1:7" s="163" customFormat="1" ht="20.25">
      <c r="B17" s="415" t="s">
        <v>1015</v>
      </c>
      <c r="E17" s="393"/>
      <c r="F17" s="393"/>
      <c r="G17" s="393"/>
    </row>
    <row r="18" spans="1:7" s="163" customFormat="1">
      <c r="E18" s="406" t="s">
        <v>1016</v>
      </c>
      <c r="F18" s="393"/>
      <c r="G18" s="393" t="s">
        <v>1017</v>
      </c>
    </row>
    <row r="19" spans="1:7" s="163" customFormat="1">
      <c r="E19" s="393"/>
      <c r="F19" s="393"/>
      <c r="G19" s="393"/>
    </row>
    <row r="20" spans="1:7" s="163" customFormat="1">
      <c r="E20" s="407" t="s">
        <v>1018</v>
      </c>
      <c r="F20" s="393"/>
      <c r="G20" s="393" t="s">
        <v>1019</v>
      </c>
    </row>
    <row r="21" spans="1:7" s="163" customFormat="1">
      <c r="E21" s="393"/>
      <c r="F21" s="393"/>
      <c r="G21" s="393"/>
    </row>
    <row r="22" spans="1:7" s="163" customFormat="1" ht="20.25">
      <c r="B22" s="415" t="s">
        <v>1020</v>
      </c>
      <c r="E22" s="393"/>
      <c r="F22" s="393"/>
      <c r="G22" s="393"/>
    </row>
    <row r="23" spans="1:7" s="163" customFormat="1">
      <c r="E23" s="408" t="s">
        <v>1021</v>
      </c>
      <c r="F23" s="393"/>
      <c r="G23" s="393" t="s">
        <v>1022</v>
      </c>
    </row>
    <row r="24" spans="1:7" s="163" customFormat="1">
      <c r="E24" s="393"/>
      <c r="F24" s="393"/>
      <c r="G24" s="393"/>
    </row>
    <row r="25" spans="1:7" s="163" customFormat="1">
      <c r="E25" s="409" t="s">
        <v>1023</v>
      </c>
      <c r="F25" s="393"/>
      <c r="G25" s="393" t="s">
        <v>1024</v>
      </c>
    </row>
    <row r="26" spans="1:7" s="163" customFormat="1">
      <c r="E26" s="393"/>
      <c r="F26" s="393"/>
      <c r="G26" s="393"/>
    </row>
    <row r="27" spans="1:7" s="163" customFormat="1">
      <c r="E27" s="393"/>
      <c r="F27" s="393"/>
      <c r="G27" s="393"/>
    </row>
    <row r="28" spans="1:7" s="163" customFormat="1" ht="22.5">
      <c r="A28" s="414" t="s">
        <v>1025</v>
      </c>
      <c r="E28" s="393"/>
      <c r="F28" s="393"/>
      <c r="G28" s="393"/>
    </row>
    <row r="29" spans="1:7" s="163" customFormat="1">
      <c r="E29" s="393"/>
      <c r="F29" s="393"/>
      <c r="G29" s="393"/>
    </row>
    <row r="30" spans="1:7" s="163" customFormat="1">
      <c r="E30" s="410"/>
      <c r="F30" s="393"/>
      <c r="G30" s="393" t="s">
        <v>1026</v>
      </c>
    </row>
    <row r="31" spans="1:7" s="163" customFormat="1">
      <c r="E31" s="393"/>
      <c r="F31" s="393"/>
      <c r="G31" s="393"/>
    </row>
    <row r="32" spans="1:7" s="163" customFormat="1">
      <c r="E32" s="411"/>
      <c r="F32" s="393"/>
      <c r="G32" s="393" t="s">
        <v>1027</v>
      </c>
    </row>
    <row r="33" spans="1:11" s="163" customFormat="1">
      <c r="E33" s="393"/>
      <c r="F33" s="393"/>
      <c r="G33" s="393"/>
    </row>
    <row r="34" spans="1:11" s="163" customFormat="1">
      <c r="E34" s="412"/>
      <c r="F34" s="393"/>
      <c r="G34" s="393" t="s">
        <v>1028</v>
      </c>
    </row>
    <row r="35" spans="1:11" s="163" customFormat="1">
      <c r="E35" s="393"/>
      <c r="F35" s="393"/>
      <c r="G35" s="393"/>
    </row>
    <row r="36" spans="1:11" s="163" customFormat="1">
      <c r="E36" s="413"/>
      <c r="F36" s="393"/>
      <c r="G36" s="393" t="s">
        <v>1029</v>
      </c>
    </row>
    <row r="37" spans="1:11" s="163" customFormat="1"/>
    <row r="38" spans="1:11" s="163" customFormat="1"/>
    <row r="39" spans="1:11" ht="20.25">
      <c r="A39" s="398" t="s">
        <v>1002</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80" zoomScaleNormal="80" workbookViewId="0"/>
  </sheetViews>
  <sheetFormatPr defaultColWidth="0" defaultRowHeight="14.25" zeroHeight="1"/>
  <cols>
    <col min="1" max="1" width="2.625" style="1504" customWidth="1"/>
    <col min="2" max="2" width="2.125" style="1504" customWidth="1"/>
    <col min="3" max="3" width="133" style="165" customWidth="1"/>
    <col min="4" max="4" width="2.125" style="1504" customWidth="1"/>
    <col min="5" max="5" width="8.125" style="1504" customWidth="1"/>
    <col min="6" max="16384" width="9" style="1504" hidden="1"/>
  </cols>
  <sheetData>
    <row r="1" spans="2:4" ht="44.25">
      <c r="B1" s="2311" t="s">
        <v>24</v>
      </c>
      <c r="C1" s="240"/>
      <c r="D1" s="240"/>
    </row>
    <row r="2" spans="2:4" ht="21.75" thickBot="1">
      <c r="B2" s="1505"/>
      <c r="C2" s="1504"/>
    </row>
    <row r="3" spans="2:4" ht="22.5">
      <c r="B3" s="1509" t="s">
        <v>25</v>
      </c>
      <c r="C3" s="1510"/>
      <c r="D3" s="1511"/>
    </row>
    <row r="4" spans="2:4" ht="74.25" customHeight="1">
      <c r="B4" s="1513"/>
      <c r="C4" s="1506" t="s">
        <v>26</v>
      </c>
      <c r="D4" s="1512"/>
    </row>
    <row r="5" spans="2:4" ht="22.5">
      <c r="B5" s="1514" t="s">
        <v>27</v>
      </c>
      <c r="C5" s="1507"/>
      <c r="D5" s="1515"/>
    </row>
    <row r="6" spans="2:4" ht="25.15" customHeight="1">
      <c r="B6" s="1782"/>
      <c r="C6" s="1981" t="s">
        <v>28</v>
      </c>
      <c r="D6" s="1783"/>
    </row>
    <row r="7" spans="2:4" s="1781" customFormat="1" ht="25.15" customHeight="1">
      <c r="B7" s="1782"/>
      <c r="C7" s="1506" t="s">
        <v>29</v>
      </c>
      <c r="D7" s="1783"/>
    </row>
    <row r="8" spans="2:4" s="1781" customFormat="1" ht="15" customHeight="1">
      <c r="B8" s="1782"/>
      <c r="C8" s="1982" t="s">
        <v>30</v>
      </c>
      <c r="D8" s="1783"/>
    </row>
    <row r="9" spans="2:4" s="1781" customFormat="1" ht="15" customHeight="1">
      <c r="B9" s="1782"/>
      <c r="C9" s="1983" t="s">
        <v>31</v>
      </c>
      <c r="D9" s="1783"/>
    </row>
    <row r="10" spans="2:4" s="1781" customFormat="1" ht="15" customHeight="1">
      <c r="B10" s="1782"/>
      <c r="C10" s="1983" t="s">
        <v>32</v>
      </c>
      <c r="D10" s="1783"/>
    </row>
    <row r="11" spans="2:4" s="1781" customFormat="1" ht="15" customHeight="1">
      <c r="B11" s="1782"/>
      <c r="C11" s="1983" t="s">
        <v>33</v>
      </c>
      <c r="D11" s="1783"/>
    </row>
    <row r="12" spans="2:4" s="1781" customFormat="1" ht="15" customHeight="1">
      <c r="B12" s="1782"/>
      <c r="C12" s="1983" t="s">
        <v>34</v>
      </c>
      <c r="D12" s="1783"/>
    </row>
    <row r="13" spans="2:4" s="1781" customFormat="1" ht="35.65" customHeight="1">
      <c r="B13" s="1782"/>
      <c r="C13" s="1984" t="s">
        <v>35</v>
      </c>
      <c r="D13" s="1783"/>
    </row>
    <row r="14" spans="2:4" s="1781" customFormat="1" ht="30" customHeight="1">
      <c r="B14" s="1782"/>
      <c r="C14" s="1983" t="s">
        <v>36</v>
      </c>
      <c r="D14" s="1783"/>
    </row>
    <row r="15" spans="2:4" s="1781" customFormat="1" ht="85.15" customHeight="1">
      <c r="B15" s="1782"/>
      <c r="C15" s="1508" t="s">
        <v>37</v>
      </c>
      <c r="D15" s="1783"/>
    </row>
    <row r="16" spans="2:4" s="1781" customFormat="1" ht="30" customHeight="1">
      <c r="B16" s="1784"/>
      <c r="C16" s="1985" t="s">
        <v>38</v>
      </c>
      <c r="D16" s="1785"/>
    </row>
    <row r="17" spans="2:5" s="1781" customFormat="1" ht="45" customHeight="1">
      <c r="B17" s="1784"/>
      <c r="C17" s="1506" t="s">
        <v>39</v>
      </c>
      <c r="D17" s="1785"/>
    </row>
    <row r="18" spans="2:5" ht="45" customHeight="1">
      <c r="B18" s="1513"/>
      <c r="C18" s="1506" t="s">
        <v>40</v>
      </c>
      <c r="D18" s="1512"/>
    </row>
    <row r="19" spans="2:5" ht="22.5">
      <c r="B19" s="1514" t="s">
        <v>41</v>
      </c>
      <c r="C19" s="1507"/>
      <c r="D19" s="1515"/>
    </row>
    <row r="20" spans="2:5" ht="30" customHeight="1">
      <c r="B20" s="1513"/>
      <c r="C20" s="1506" t="s">
        <v>42</v>
      </c>
      <c r="D20" s="1512"/>
    </row>
    <row r="21" spans="2:5" ht="22.5">
      <c r="B21" s="1514" t="s">
        <v>43</v>
      </c>
      <c r="C21" s="1507"/>
      <c r="D21" s="1515"/>
    </row>
    <row r="22" spans="2:5" ht="45" customHeight="1">
      <c r="B22" s="1513"/>
      <c r="C22" s="1506" t="s">
        <v>44</v>
      </c>
      <c r="D22" s="1512"/>
    </row>
    <row r="23" spans="2:5" ht="22.5">
      <c r="B23" s="1514" t="s">
        <v>45</v>
      </c>
      <c r="C23" s="1507"/>
      <c r="D23" s="1515"/>
    </row>
    <row r="24" spans="2:5" ht="20.25" customHeight="1">
      <c r="B24" s="1513"/>
      <c r="C24" s="2353" t="s">
        <v>46</v>
      </c>
      <c r="D24" s="1512"/>
      <c r="E24" s="1809"/>
    </row>
    <row r="25" spans="2:5" ht="20.25" customHeight="1">
      <c r="B25" s="1513"/>
      <c r="C25" s="2352" t="s">
        <v>47</v>
      </c>
      <c r="D25" s="1512"/>
    </row>
    <row r="26" spans="2:5" ht="20.25" customHeight="1">
      <c r="B26" s="1513"/>
      <c r="C26" s="2348" t="s">
        <v>48</v>
      </c>
      <c r="D26" s="1512"/>
    </row>
    <row r="27" spans="2:5" ht="20.25" customHeight="1">
      <c r="B27" s="1513"/>
      <c r="C27" s="2348" t="s">
        <v>49</v>
      </c>
      <c r="D27" s="1512"/>
    </row>
    <row r="28" spans="2:5" ht="20.25" customHeight="1" thickBot="1">
      <c r="B28" s="1516"/>
      <c r="C28" s="1987"/>
      <c r="D28" s="1517"/>
    </row>
    <row r="29" spans="2:5"/>
    <row r="30" spans="2:5"/>
    <row r="31" spans="2:5" ht="15">
      <c r="C31" s="2207"/>
    </row>
    <row r="32" spans="2:5" ht="15.75">
      <c r="C32" s="1506"/>
    </row>
    <row r="33" spans="3:3" ht="15.75">
      <c r="C33" s="1986"/>
    </row>
    <row r="34" spans="3:3" ht="15.75">
      <c r="C34" s="2196"/>
    </row>
    <row r="35" spans="3:3" ht="15.75">
      <c r="C35" s="2196"/>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75" style="183" customWidth="1"/>
    <col min="2" max="2" width="33.875" style="183" bestFit="1" customWidth="1"/>
    <col min="3" max="3" width="3.25" style="183" customWidth="1"/>
    <col min="4" max="4" width="55.625" style="183" customWidth="1"/>
    <col min="5" max="5" width="3.25" style="183" customWidth="1"/>
    <col min="6" max="6" width="55.625" style="183" customWidth="1"/>
    <col min="7" max="7" width="2.875" style="183" customWidth="1"/>
    <col min="8" max="8" width="68.625" style="183" customWidth="1"/>
    <col min="9" max="9" width="2.875" style="183" customWidth="1"/>
    <col min="10" max="10" width="37.625" style="183" customWidth="1"/>
    <col min="11" max="11" width="25.875" style="183" customWidth="1"/>
    <col min="12" max="12" width="58.625" style="183" hidden="1" customWidth="1"/>
    <col min="13" max="16384" width="8.375" style="183" hidden="1"/>
  </cols>
  <sheetData>
    <row r="1" spans="1:13" s="172" customFormat="1" ht="44.25">
      <c r="A1" s="416" t="e">
        <f ca="1" xml:space="preserve"> RIGHT(CELL("filename", $A$1), LEN(CELL("filename", $A$1)) - SEARCH("]", CELL("filename", $A$1)))</f>
        <v>#VALUE!</v>
      </c>
      <c r="B1" s="170"/>
      <c r="C1" s="170"/>
      <c r="D1" s="170"/>
      <c r="E1" s="170"/>
      <c r="F1" s="170"/>
      <c r="G1" s="170"/>
      <c r="H1" s="170"/>
      <c r="I1" s="170"/>
      <c r="J1" s="170"/>
      <c r="K1" s="170"/>
      <c r="L1" s="170"/>
      <c r="M1" s="171"/>
    </row>
    <row r="2" spans="1:13" s="173" customFormat="1" ht="12.75"/>
    <row r="3" spans="1:13" s="173" customFormat="1" ht="12.75">
      <c r="A3" s="418"/>
      <c r="B3" s="418" t="s">
        <v>1030</v>
      </c>
      <c r="C3" s="418"/>
      <c r="D3" s="418" t="s">
        <v>1031</v>
      </c>
      <c r="E3" s="418"/>
      <c r="F3" s="418" t="s">
        <v>1032</v>
      </c>
      <c r="G3" s="418"/>
      <c r="H3" s="418" t="s">
        <v>1033</v>
      </c>
      <c r="J3" s="174"/>
    </row>
    <row r="4" spans="1:13" s="173" customFormat="1" ht="12.75">
      <c r="A4" s="418"/>
      <c r="B4" s="418"/>
      <c r="C4" s="418"/>
      <c r="D4" s="418"/>
      <c r="E4" s="418"/>
      <c r="F4" s="418"/>
      <c r="G4" s="418"/>
      <c r="H4" s="418"/>
      <c r="J4" s="174"/>
    </row>
    <row r="5" spans="1:13" s="176" customFormat="1" ht="12.75">
      <c r="A5" s="418"/>
      <c r="B5" s="419" t="s">
        <v>1034</v>
      </c>
      <c r="C5" s="418"/>
      <c r="D5" s="2201" t="s">
        <v>1035</v>
      </c>
      <c r="E5" s="418"/>
      <c r="F5" s="421" t="s">
        <v>967</v>
      </c>
      <c r="G5" s="418"/>
      <c r="H5" s="422" t="s">
        <v>957</v>
      </c>
      <c r="I5" s="173"/>
      <c r="J5" s="175"/>
      <c r="K5" s="173"/>
    </row>
    <row r="6" spans="1:13" s="173" customFormat="1" ht="13.15" customHeight="1">
      <c r="A6" s="418"/>
      <c r="B6" s="418" t="s">
        <v>1036</v>
      </c>
      <c r="C6" s="418"/>
      <c r="D6" s="2412" t="s">
        <v>1037</v>
      </c>
      <c r="E6" s="418"/>
      <c r="F6" s="2412" t="s">
        <v>1038</v>
      </c>
      <c r="G6" s="418"/>
      <c r="H6" s="418" t="s">
        <v>1039</v>
      </c>
      <c r="J6" s="174"/>
    </row>
    <row r="7" spans="1:13" s="173" customFormat="1" ht="12.75">
      <c r="A7" s="418"/>
      <c r="B7" s="418"/>
      <c r="C7" s="418"/>
      <c r="D7" s="2414"/>
      <c r="E7" s="418"/>
      <c r="F7" s="2414"/>
      <c r="G7" s="418"/>
      <c r="H7" s="418"/>
      <c r="J7" s="174"/>
    </row>
    <row r="8" spans="1:13" s="176" customFormat="1" ht="12.75">
      <c r="A8" s="418"/>
      <c r="B8" s="419" t="s">
        <v>1040</v>
      </c>
      <c r="C8" s="418"/>
      <c r="D8" s="2201" t="s">
        <v>1041</v>
      </c>
      <c r="E8" s="418"/>
      <c r="F8" s="421" t="s">
        <v>938</v>
      </c>
      <c r="G8" s="418"/>
      <c r="H8" s="422" t="s">
        <v>1042</v>
      </c>
      <c r="I8" s="173"/>
      <c r="J8" s="175"/>
      <c r="K8" s="173"/>
    </row>
    <row r="9" spans="1:13" s="173" customFormat="1" ht="13.15" customHeight="1">
      <c r="A9" s="418"/>
      <c r="B9" s="418" t="s">
        <v>1043</v>
      </c>
      <c r="C9" s="418"/>
      <c r="D9" s="2412" t="s">
        <v>1044</v>
      </c>
      <c r="E9" s="418"/>
      <c r="F9" s="418" t="s">
        <v>1045</v>
      </c>
      <c r="G9" s="418"/>
      <c r="H9" s="2412" t="s">
        <v>1046</v>
      </c>
      <c r="J9" s="174"/>
    </row>
    <row r="10" spans="1:13" s="173" customFormat="1" ht="12.75">
      <c r="A10" s="418"/>
      <c r="B10" s="418"/>
      <c r="C10" s="418"/>
      <c r="D10" s="2413"/>
      <c r="E10" s="418"/>
      <c r="F10" s="423"/>
      <c r="G10" s="418"/>
      <c r="H10" s="2414"/>
      <c r="J10" s="174"/>
    </row>
    <row r="11" spans="1:13" s="176" customFormat="1" ht="12.75">
      <c r="A11" s="418"/>
      <c r="B11" s="419" t="s">
        <v>1047</v>
      </c>
      <c r="C11" s="418"/>
      <c r="D11" s="420" t="s">
        <v>960</v>
      </c>
      <c r="E11" s="418"/>
      <c r="F11" s="421" t="s">
        <v>975</v>
      </c>
      <c r="G11" s="418"/>
      <c r="H11" s="422" t="s">
        <v>986</v>
      </c>
      <c r="I11" s="173"/>
      <c r="J11" s="173"/>
      <c r="K11" s="173"/>
    </row>
    <row r="12" spans="1:13" s="173" customFormat="1" ht="12.75">
      <c r="A12" s="418"/>
      <c r="B12" s="418" t="s">
        <v>1048</v>
      </c>
      <c r="C12" s="418"/>
      <c r="D12" s="2412" t="s">
        <v>1049</v>
      </c>
      <c r="E12" s="418"/>
      <c r="F12" s="418" t="s">
        <v>1050</v>
      </c>
      <c r="G12" s="418"/>
      <c r="H12" s="2412" t="s">
        <v>1051</v>
      </c>
    </row>
    <row r="13" spans="1:13" s="173" customFormat="1" ht="12.75">
      <c r="A13" s="418"/>
      <c r="B13" s="418"/>
      <c r="C13" s="418"/>
      <c r="D13" s="2414"/>
      <c r="E13" s="418"/>
      <c r="F13" s="418"/>
      <c r="G13" s="418"/>
      <c r="H13" s="2414"/>
    </row>
    <row r="14" spans="1:13" s="176" customFormat="1" ht="12.75">
      <c r="A14" s="418"/>
      <c r="B14" s="419" t="s">
        <v>1052</v>
      </c>
      <c r="C14" s="418"/>
      <c r="D14" s="420" t="s">
        <v>1053</v>
      </c>
      <c r="E14" s="418"/>
      <c r="F14" s="421" t="s">
        <v>1054</v>
      </c>
      <c r="G14" s="418"/>
      <c r="H14" s="422" t="s">
        <v>1055</v>
      </c>
      <c r="I14" s="173"/>
      <c r="J14" s="173"/>
      <c r="K14" s="173"/>
    </row>
    <row r="15" spans="1:13" s="173" customFormat="1" ht="12.75">
      <c r="A15" s="418"/>
      <c r="B15" s="418" t="s">
        <v>1056</v>
      </c>
      <c r="C15" s="418"/>
      <c r="D15" s="2412" t="s">
        <v>1049</v>
      </c>
      <c r="E15" s="418"/>
      <c r="F15" s="418" t="s">
        <v>1057</v>
      </c>
      <c r="G15" s="418"/>
      <c r="H15" s="418" t="s">
        <v>1058</v>
      </c>
    </row>
    <row r="16" spans="1:13" s="173" customFormat="1" ht="12.75">
      <c r="A16" s="418"/>
      <c r="B16" s="418"/>
      <c r="C16" s="418"/>
      <c r="D16" s="2413"/>
      <c r="E16" s="418"/>
      <c r="F16" s="418"/>
      <c r="G16" s="418"/>
      <c r="H16" s="418" t="s">
        <v>1059</v>
      </c>
    </row>
    <row r="17" spans="1:8" s="173" customFormat="1" ht="12.75">
      <c r="A17" s="418"/>
      <c r="B17" s="424" t="s">
        <v>1060</v>
      </c>
      <c r="C17" s="418"/>
      <c r="D17" s="420" t="s">
        <v>1061</v>
      </c>
      <c r="E17" s="418"/>
      <c r="F17" s="418"/>
      <c r="G17" s="418"/>
      <c r="H17" s="422" t="s">
        <v>1062</v>
      </c>
    </row>
    <row r="18" spans="1:8" s="173" customFormat="1" ht="12.75">
      <c r="A18" s="418"/>
      <c r="B18" s="418" t="s">
        <v>1063</v>
      </c>
      <c r="C18" s="418"/>
      <c r="D18" s="418" t="s">
        <v>1064</v>
      </c>
      <c r="E18" s="418"/>
      <c r="F18" s="418"/>
      <c r="G18" s="418"/>
      <c r="H18" s="418" t="s">
        <v>1065</v>
      </c>
    </row>
    <row r="19" spans="1:8" s="173" customFormat="1" ht="12.75">
      <c r="A19" s="418"/>
      <c r="B19" s="418"/>
      <c r="C19" s="418"/>
      <c r="E19" s="418"/>
      <c r="F19" s="418"/>
      <c r="G19" s="418"/>
    </row>
    <row r="20" spans="1:8" s="173" customFormat="1" ht="12.75">
      <c r="A20" s="418"/>
      <c r="B20" s="419" t="s">
        <v>1066</v>
      </c>
      <c r="C20" s="418"/>
      <c r="D20" s="420" t="s">
        <v>1067</v>
      </c>
      <c r="E20" s="418"/>
      <c r="F20" s="418"/>
      <c r="G20" s="418"/>
      <c r="H20" s="422" t="s">
        <v>1068</v>
      </c>
    </row>
    <row r="21" spans="1:8" s="173" customFormat="1" ht="12.75">
      <c r="A21" s="418"/>
      <c r="B21" s="418" t="s">
        <v>1069</v>
      </c>
      <c r="C21" s="418"/>
      <c r="D21" s="418" t="s">
        <v>1070</v>
      </c>
      <c r="E21" s="418"/>
      <c r="F21" s="418"/>
      <c r="G21" s="418"/>
      <c r="H21" s="418" t="s">
        <v>1071</v>
      </c>
    </row>
    <row r="22" spans="1:8" s="173" customFormat="1" ht="12.75">
      <c r="A22" s="418"/>
      <c r="B22" s="418"/>
      <c r="C22" s="418"/>
      <c r="D22" s="418" t="s">
        <v>1072</v>
      </c>
      <c r="E22" s="418"/>
      <c r="F22" s="418"/>
      <c r="G22" s="418"/>
      <c r="H22" s="2210"/>
    </row>
    <row r="23" spans="1:8" s="173" customFormat="1" ht="12.75">
      <c r="A23" s="418"/>
      <c r="B23" s="419" t="s">
        <v>1073</v>
      </c>
      <c r="C23" s="418"/>
      <c r="D23" s="418"/>
      <c r="E23" s="418"/>
      <c r="F23" s="418"/>
      <c r="G23" s="418"/>
      <c r="H23" s="2210"/>
    </row>
    <row r="24" spans="1:8" s="173" customFormat="1" ht="12.75">
      <c r="A24" s="418"/>
      <c r="B24" s="418" t="s">
        <v>1074</v>
      </c>
      <c r="C24" s="418"/>
      <c r="D24" s="420" t="s">
        <v>1075</v>
      </c>
      <c r="E24" s="418"/>
      <c r="F24" s="418"/>
      <c r="G24" s="418"/>
      <c r="H24" s="418"/>
    </row>
    <row r="25" spans="1:8" s="173" customFormat="1" ht="12.75">
      <c r="A25" s="418"/>
      <c r="B25" s="418"/>
      <c r="C25" s="418"/>
      <c r="D25" s="418" t="s">
        <v>1076</v>
      </c>
      <c r="E25" s="418"/>
      <c r="F25" s="418"/>
      <c r="G25" s="418"/>
    </row>
    <row r="26" spans="1:8" s="173" customFormat="1" ht="12.75">
      <c r="A26" s="418"/>
      <c r="B26" s="418"/>
      <c r="C26" s="418"/>
      <c r="D26" s="418" t="s">
        <v>1077</v>
      </c>
      <c r="E26" s="418"/>
      <c r="F26" s="418"/>
      <c r="G26" s="418"/>
    </row>
    <row r="27" spans="1:8" s="173" customFormat="1" ht="12.75">
      <c r="A27" s="418"/>
      <c r="B27" s="418"/>
      <c r="C27" s="418"/>
      <c r="D27" s="420" t="s">
        <v>1078</v>
      </c>
      <c r="E27" s="418"/>
      <c r="F27" s="418"/>
      <c r="G27" s="418"/>
      <c r="H27" s="418"/>
    </row>
    <row r="28" spans="1:8" s="173" customFormat="1" ht="12.75">
      <c r="A28" s="418"/>
      <c r="B28" s="418"/>
      <c r="C28" s="418"/>
      <c r="D28" s="418" t="s">
        <v>1079</v>
      </c>
      <c r="E28" s="418"/>
      <c r="F28" s="418"/>
      <c r="G28" s="418"/>
      <c r="H28" s="418"/>
    </row>
    <row r="29" spans="1:8" s="173" customFormat="1" ht="12.75">
      <c r="A29" s="418"/>
      <c r="B29" s="418"/>
      <c r="C29" s="418"/>
      <c r="D29" s="418"/>
      <c r="E29" s="418"/>
      <c r="F29" s="418"/>
      <c r="G29" s="418"/>
      <c r="H29" s="418"/>
    </row>
    <row r="30" spans="1:8" s="173" customFormat="1" ht="12.75">
      <c r="A30" s="418"/>
      <c r="B30" s="418"/>
      <c r="C30" s="418"/>
      <c r="D30" s="420" t="s">
        <v>1080</v>
      </c>
      <c r="E30" s="418"/>
      <c r="F30" s="418"/>
      <c r="G30" s="418"/>
      <c r="H30" s="418"/>
    </row>
    <row r="31" spans="1:8" s="173" customFormat="1" ht="12.75">
      <c r="A31" s="418"/>
      <c r="B31" s="418"/>
      <c r="C31" s="418"/>
      <c r="D31" s="418" t="s">
        <v>1081</v>
      </c>
      <c r="E31" s="418"/>
      <c r="F31" s="418"/>
      <c r="G31" s="418"/>
      <c r="H31" s="418"/>
    </row>
    <row r="32" spans="1:8" s="173" customFormat="1" ht="12.75">
      <c r="A32" s="418"/>
      <c r="B32" s="418"/>
      <c r="C32" s="418"/>
      <c r="D32" s="418"/>
      <c r="E32" s="418"/>
      <c r="F32" s="418"/>
      <c r="G32" s="418"/>
      <c r="H32" s="418"/>
    </row>
    <row r="33" spans="1:8" s="173" customFormat="1" ht="12.75">
      <c r="A33" s="418"/>
      <c r="B33" s="418"/>
      <c r="C33" s="418"/>
      <c r="D33" s="418"/>
      <c r="E33" s="418"/>
      <c r="F33" s="418"/>
      <c r="G33" s="418"/>
      <c r="H33" s="418"/>
    </row>
    <row r="34" spans="1:8" s="173" customFormat="1" ht="12.75">
      <c r="A34" s="418"/>
      <c r="B34" s="418"/>
      <c r="C34" s="418"/>
      <c r="D34" s="418"/>
      <c r="E34" s="418"/>
      <c r="F34" s="418"/>
      <c r="G34" s="418"/>
      <c r="H34" s="418"/>
    </row>
    <row r="35" spans="1:8" s="173" customFormat="1" ht="12.75">
      <c r="A35" s="418"/>
      <c r="B35" s="418"/>
      <c r="C35" s="418"/>
      <c r="D35" s="418"/>
      <c r="E35" s="418"/>
      <c r="F35" s="418"/>
      <c r="G35" s="418"/>
      <c r="H35" s="418"/>
    </row>
    <row r="36" spans="1:8" s="173" customFormat="1" ht="12.75">
      <c r="A36" s="418"/>
      <c r="B36" s="418"/>
      <c r="C36" s="418"/>
      <c r="D36" s="418"/>
      <c r="E36" s="418"/>
      <c r="F36" s="418"/>
      <c r="G36" s="418"/>
      <c r="H36" s="418"/>
    </row>
    <row r="37" spans="1:8" s="173" customFormat="1" ht="12.75">
      <c r="A37" s="418"/>
      <c r="B37" s="418"/>
      <c r="C37" s="418"/>
      <c r="D37" s="418"/>
      <c r="E37" s="418"/>
      <c r="F37" s="418"/>
      <c r="G37" s="418"/>
      <c r="H37" s="418"/>
    </row>
    <row r="38" spans="1:8" s="173" customFormat="1" ht="12.75">
      <c r="A38" s="418"/>
      <c r="B38" s="418"/>
      <c r="C38" s="418"/>
      <c r="D38" s="418"/>
      <c r="E38" s="418"/>
      <c r="F38" s="418"/>
      <c r="G38" s="418"/>
      <c r="H38" s="418"/>
    </row>
    <row r="39" spans="1:8" s="173" customFormat="1" ht="12.75">
      <c r="A39" s="418"/>
      <c r="B39" s="418"/>
      <c r="C39" s="418"/>
      <c r="D39" s="418"/>
      <c r="E39" s="418"/>
      <c r="F39" s="418"/>
      <c r="G39" s="418"/>
      <c r="H39" s="418"/>
    </row>
    <row r="40" spans="1:8" s="173" customFormat="1" ht="12.75">
      <c r="A40" s="418"/>
      <c r="B40" s="418"/>
      <c r="C40" s="418"/>
      <c r="D40" s="418"/>
      <c r="E40" s="418"/>
      <c r="F40" s="418"/>
      <c r="G40" s="418"/>
      <c r="H40" s="418"/>
    </row>
    <row r="41" spans="1:8" s="173" customFormat="1" ht="12.75">
      <c r="A41" s="418"/>
      <c r="B41" s="418"/>
      <c r="C41" s="418"/>
      <c r="D41" s="418"/>
      <c r="E41" s="418"/>
      <c r="F41" s="418"/>
      <c r="G41" s="418"/>
      <c r="H41" s="418"/>
    </row>
    <row r="42" spans="1:8" s="173" customFormat="1" ht="12.75">
      <c r="A42" s="418"/>
      <c r="B42" s="418"/>
      <c r="C42" s="418"/>
      <c r="D42" s="418"/>
      <c r="E42" s="418"/>
      <c r="F42" s="418"/>
      <c r="G42" s="418"/>
      <c r="H42" s="418"/>
    </row>
    <row r="43" spans="1:8" s="173" customFormat="1" ht="12.75">
      <c r="A43" s="418"/>
      <c r="B43" s="418"/>
      <c r="C43" s="418"/>
      <c r="D43" s="418"/>
      <c r="E43" s="418"/>
      <c r="F43" s="418"/>
      <c r="G43" s="418"/>
      <c r="H43" s="418"/>
    </row>
    <row r="44" spans="1:8" s="173" customFormat="1" ht="12.75">
      <c r="A44" s="418"/>
      <c r="B44" s="418"/>
      <c r="C44" s="418"/>
      <c r="D44" s="418"/>
      <c r="E44" s="418"/>
      <c r="F44" s="418"/>
      <c r="G44" s="418"/>
      <c r="H44" s="418"/>
    </row>
    <row r="45" spans="1:8" s="173" customFormat="1" ht="12.75">
      <c r="A45" s="418"/>
      <c r="B45" s="418"/>
      <c r="C45" s="418"/>
      <c r="D45" s="418"/>
      <c r="E45" s="418"/>
      <c r="F45" s="418"/>
      <c r="G45" s="418"/>
      <c r="H45" s="418"/>
    </row>
    <row r="46" spans="1:8" s="173" customFormat="1" ht="12.75">
      <c r="A46" s="418"/>
      <c r="B46" s="418"/>
      <c r="C46" s="418"/>
      <c r="D46" s="418"/>
      <c r="E46" s="418"/>
      <c r="F46" s="418"/>
      <c r="G46" s="418"/>
      <c r="H46" s="418"/>
    </row>
    <row r="47" spans="1:8" s="173" customFormat="1" ht="12.75">
      <c r="A47" s="418"/>
      <c r="B47" s="418"/>
      <c r="C47" s="418"/>
      <c r="D47" s="418"/>
      <c r="E47" s="418"/>
      <c r="F47" s="418"/>
      <c r="G47" s="418"/>
      <c r="H47" s="418"/>
    </row>
    <row r="48" spans="1:8" s="173" customFormat="1" ht="12.75">
      <c r="A48" s="418"/>
      <c r="B48" s="418"/>
      <c r="C48" s="418"/>
      <c r="D48" s="418"/>
      <c r="E48" s="418"/>
      <c r="F48" s="418"/>
      <c r="G48" s="418"/>
      <c r="H48" s="418"/>
    </row>
    <row r="49" spans="1:8" s="173" customFormat="1" ht="12.75">
      <c r="A49" s="418"/>
      <c r="B49" s="418"/>
      <c r="C49" s="418"/>
      <c r="D49" s="418"/>
      <c r="E49" s="418"/>
      <c r="F49" s="418"/>
      <c r="G49" s="418"/>
      <c r="H49" s="418"/>
    </row>
    <row r="50" spans="1:8" s="173" customFormat="1" ht="12.75">
      <c r="A50" s="418"/>
      <c r="B50" s="418"/>
      <c r="C50" s="418"/>
      <c r="D50" s="418"/>
      <c r="E50" s="418"/>
      <c r="F50" s="418"/>
      <c r="G50" s="418"/>
      <c r="H50" s="418"/>
    </row>
    <row r="51" spans="1:8" s="173" customFormat="1" ht="12.75">
      <c r="A51" s="418"/>
      <c r="B51" s="418"/>
      <c r="C51" s="418"/>
      <c r="D51" s="418"/>
      <c r="E51" s="418"/>
      <c r="F51" s="418"/>
      <c r="G51" s="418"/>
      <c r="H51" s="418"/>
    </row>
    <row r="52" spans="1:8" s="173" customFormat="1" ht="12.75">
      <c r="A52" s="418"/>
      <c r="B52" s="418"/>
      <c r="C52" s="418"/>
      <c r="D52" s="418"/>
      <c r="E52" s="418"/>
      <c r="F52" s="418"/>
      <c r="G52" s="418"/>
      <c r="H52" s="418"/>
    </row>
    <row r="53" spans="1:8" s="173" customFormat="1" ht="12.75">
      <c r="A53" s="418"/>
      <c r="B53" s="418"/>
      <c r="C53" s="418"/>
      <c r="D53" s="418"/>
      <c r="E53" s="418"/>
      <c r="F53" s="418"/>
      <c r="G53" s="418"/>
      <c r="H53" s="418"/>
    </row>
    <row r="54" spans="1:8" s="173" customFormat="1" ht="12.75">
      <c r="A54" s="418"/>
      <c r="B54" s="418"/>
      <c r="C54" s="418"/>
      <c r="D54" s="418"/>
      <c r="E54" s="418"/>
      <c r="F54" s="418"/>
      <c r="G54" s="418"/>
      <c r="H54" s="418"/>
    </row>
    <row r="55" spans="1:8" s="173" customFormat="1" ht="12.75">
      <c r="A55" s="418"/>
      <c r="B55" s="418"/>
      <c r="C55" s="418"/>
      <c r="D55" s="418"/>
      <c r="E55" s="418"/>
      <c r="F55" s="418"/>
      <c r="G55" s="418"/>
      <c r="H55" s="418"/>
    </row>
    <row r="56" spans="1:8" s="173" customFormat="1" ht="12.75">
      <c r="A56" s="418"/>
      <c r="B56" s="418"/>
      <c r="C56" s="418"/>
      <c r="D56" s="418"/>
      <c r="E56" s="418"/>
      <c r="F56" s="418"/>
      <c r="G56" s="418"/>
      <c r="H56" s="418"/>
    </row>
    <row r="57" spans="1:8" s="173" customFormat="1" ht="12.75">
      <c r="A57" s="418"/>
      <c r="B57" s="418"/>
      <c r="C57" s="418"/>
      <c r="D57" s="418"/>
      <c r="E57" s="418"/>
      <c r="F57" s="418"/>
      <c r="G57" s="418"/>
      <c r="H57" s="418"/>
    </row>
    <row r="58" spans="1:8" s="173" customFormat="1" ht="12.75">
      <c r="A58" s="418"/>
      <c r="B58" s="418"/>
      <c r="C58" s="418"/>
      <c r="D58" s="418"/>
      <c r="E58" s="418"/>
      <c r="F58" s="418"/>
      <c r="G58" s="418"/>
      <c r="H58" s="418"/>
    </row>
    <row r="59" spans="1:8" s="173" customFormat="1" ht="12.75">
      <c r="A59" s="418"/>
      <c r="B59" s="418"/>
      <c r="C59" s="418"/>
      <c r="D59" s="418"/>
      <c r="E59" s="418"/>
      <c r="F59" s="418"/>
      <c r="G59" s="418"/>
      <c r="H59" s="418"/>
    </row>
    <row r="60" spans="1:8" s="173" customFormat="1" ht="12.75">
      <c r="A60" s="418"/>
      <c r="B60" s="418"/>
      <c r="C60" s="418"/>
      <c r="D60" s="418"/>
      <c r="E60" s="418"/>
      <c r="F60" s="418"/>
      <c r="G60" s="418"/>
      <c r="H60" s="418"/>
    </row>
    <row r="61" spans="1:8" s="173" customFormat="1" ht="12.75">
      <c r="A61" s="418"/>
      <c r="B61" s="418"/>
      <c r="C61" s="418"/>
      <c r="D61" s="418"/>
      <c r="E61" s="418"/>
      <c r="F61" s="418"/>
      <c r="G61" s="418"/>
      <c r="H61" s="418"/>
    </row>
    <row r="62" spans="1:8" s="173" customFormat="1" ht="12.75">
      <c r="A62" s="418"/>
      <c r="B62" s="418"/>
      <c r="C62" s="418"/>
      <c r="D62" s="418"/>
      <c r="E62" s="418"/>
      <c r="F62" s="418"/>
      <c r="G62" s="418"/>
      <c r="H62" s="418"/>
    </row>
    <row r="63" spans="1:8" s="173" customFormat="1" ht="12.75">
      <c r="A63" s="418"/>
      <c r="B63" s="418"/>
      <c r="C63" s="418"/>
      <c r="D63" s="418"/>
      <c r="E63" s="418"/>
      <c r="F63" s="418"/>
      <c r="G63" s="418"/>
      <c r="H63" s="418"/>
    </row>
    <row r="64" spans="1:8" s="173" customFormat="1" ht="12.75">
      <c r="H64" s="174"/>
    </row>
    <row r="65" spans="1:13" s="182" customFormat="1" ht="20.25">
      <c r="A65" s="417" t="s">
        <v>1082</v>
      </c>
      <c r="B65" s="178"/>
      <c r="C65" s="179"/>
      <c r="D65" s="180"/>
      <c r="E65" s="180"/>
      <c r="F65" s="181"/>
      <c r="G65" s="181"/>
      <c r="H65" s="181"/>
      <c r="I65" s="181"/>
      <c r="J65" s="181"/>
      <c r="K65" s="181"/>
      <c r="L65" s="181"/>
      <c r="M65" s="181"/>
    </row>
    <row r="66" spans="1:13" ht="12.75"/>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zoomScaleNormal="100" workbookViewId="0"/>
  </sheetViews>
  <sheetFormatPr defaultColWidth="9" defaultRowHeight="12.7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5">
      <c r="B4" s="109" t="s">
        <v>1083</v>
      </c>
    </row>
    <row r="6" spans="2:34" s="111" customFormat="1">
      <c r="B6" s="132" t="s">
        <v>172</v>
      </c>
      <c r="C6" s="133"/>
      <c r="D6" s="132" t="s">
        <v>179</v>
      </c>
      <c r="E6" s="133"/>
      <c r="F6" s="132" t="s">
        <v>705</v>
      </c>
      <c r="G6" s="133"/>
      <c r="H6" s="132" t="s">
        <v>1084</v>
      </c>
      <c r="I6" s="133"/>
      <c r="J6" s="132" t="s">
        <v>203</v>
      </c>
      <c r="K6" s="133"/>
      <c r="L6" s="132" t="s">
        <v>209</v>
      </c>
      <c r="M6" s="133"/>
      <c r="N6" s="133" t="s">
        <v>784</v>
      </c>
      <c r="O6" s="133"/>
      <c r="P6" s="133" t="s">
        <v>788</v>
      </c>
      <c r="Q6" s="133"/>
      <c r="R6" s="133" t="s">
        <v>795</v>
      </c>
      <c r="S6" s="133"/>
      <c r="T6" s="133" t="s">
        <v>1085</v>
      </c>
      <c r="U6" s="133"/>
      <c r="V6" s="151" t="s">
        <v>567</v>
      </c>
      <c r="W6" s="151"/>
      <c r="X6" s="151" t="s">
        <v>571</v>
      </c>
      <c r="Y6" s="151"/>
      <c r="Z6" s="151" t="s">
        <v>891</v>
      </c>
      <c r="AA6" s="151"/>
      <c r="AB6" s="133" t="s">
        <v>1086</v>
      </c>
      <c r="AC6" s="133"/>
      <c r="AD6" s="133"/>
      <c r="AE6" s="133" t="s">
        <v>1087</v>
      </c>
      <c r="AF6" s="133"/>
      <c r="AG6" s="133" t="s">
        <v>1088</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1089</v>
      </c>
      <c r="D8" s="136" t="str">
        <f t="shared" ref="D8:D24" si="1">MID(E8,5,3)</f>
        <v>AFW</v>
      </c>
      <c r="E8" s="136" t="s">
        <v>1090</v>
      </c>
      <c r="F8" s="136" t="str">
        <f t="shared" ref="F8:L26" si="2">MID(G8,5,3)</f>
        <v>AFW</v>
      </c>
      <c r="G8" s="247" t="s">
        <v>1091</v>
      </c>
      <c r="H8" s="136" t="str">
        <f t="shared" si="2"/>
        <v>AFW</v>
      </c>
      <c r="I8" s="247" t="s">
        <v>1092</v>
      </c>
      <c r="J8" s="136" t="str">
        <f t="shared" si="2"/>
        <v>AFW</v>
      </c>
      <c r="K8" s="136" t="s">
        <v>1093</v>
      </c>
      <c r="L8" s="136" t="str">
        <f t="shared" si="2"/>
        <v>AFW</v>
      </c>
      <c r="M8" s="136" t="s">
        <v>1094</v>
      </c>
      <c r="N8" s="136" t="str">
        <f t="shared" ref="N8:N18" si="3">MID(O8,5,3)</f>
        <v>ANH</v>
      </c>
      <c r="O8" s="137" t="s">
        <v>1095</v>
      </c>
      <c r="P8" s="136" t="str">
        <f t="shared" ref="P8:P19" si="4">MID(Q8,5,3)</f>
        <v>ANH</v>
      </c>
      <c r="Q8" s="137" t="s">
        <v>1096</v>
      </c>
      <c r="R8" s="136" t="str">
        <f t="shared" ref="R8:R18" si="5">MID(S8,5,3)</f>
        <v>ANH</v>
      </c>
      <c r="S8" s="137" t="s">
        <v>1097</v>
      </c>
      <c r="T8" s="136" t="str">
        <f t="shared" ref="T8:V23" si="6">MID(U8,5,3)</f>
        <v>ANH</v>
      </c>
      <c r="U8" s="137" t="s">
        <v>1098</v>
      </c>
      <c r="V8" s="153" t="str">
        <f t="shared" si="6"/>
        <v>AFW</v>
      </c>
      <c r="W8" s="152" t="s">
        <v>1099</v>
      </c>
      <c r="X8" s="153" t="str">
        <f t="shared" ref="X8:X23" si="7">MID(Y8,5,3)</f>
        <v>AFW</v>
      </c>
      <c r="Y8" s="152" t="s">
        <v>1100</v>
      </c>
      <c r="Z8" s="153" t="str">
        <f t="shared" ref="Z8:Z18" si="8">MID(AA8,5,3)</f>
        <v>ANH</v>
      </c>
      <c r="AA8" s="152" t="s">
        <v>1101</v>
      </c>
      <c r="AB8" s="133" t="s">
        <v>1102</v>
      </c>
      <c r="AC8" s="143">
        <f>COUNTIF($B$8:$AA$26,$AB8)</f>
        <v>13</v>
      </c>
      <c r="AD8" s="134"/>
      <c r="AE8" s="133" t="s">
        <v>1102</v>
      </c>
      <c r="AF8" s="143">
        <f>COUNTIF($B$8:$U$26,$AB8)</f>
        <v>10</v>
      </c>
      <c r="AG8" s="133" t="s">
        <v>1102</v>
      </c>
      <c r="AH8" s="143">
        <f>COUNTIF($V$8:$AA$26,$AB8)</f>
        <v>3</v>
      </c>
    </row>
    <row r="9" spans="2:34">
      <c r="B9" s="136" t="str">
        <f t="shared" si="0"/>
        <v>ANH</v>
      </c>
      <c r="C9" s="136" t="s">
        <v>1103</v>
      </c>
      <c r="D9" s="136" t="str">
        <f t="shared" si="1"/>
        <v>ANH</v>
      </c>
      <c r="E9" s="136" t="s">
        <v>1104</v>
      </c>
      <c r="F9" s="136" t="str">
        <f t="shared" si="2"/>
        <v>ANH</v>
      </c>
      <c r="G9" s="247" t="s">
        <v>1105</v>
      </c>
      <c r="H9" s="136" t="str">
        <f t="shared" si="2"/>
        <v>ANH</v>
      </c>
      <c r="I9" s="247" t="s">
        <v>1106</v>
      </c>
      <c r="J9" s="136" t="str">
        <f t="shared" si="2"/>
        <v>ANH</v>
      </c>
      <c r="K9" s="136" t="s">
        <v>1107</v>
      </c>
      <c r="L9" s="136" t="str">
        <f t="shared" si="2"/>
        <v>ANH</v>
      </c>
      <c r="M9" s="136" t="s">
        <v>1108</v>
      </c>
      <c r="N9" s="136" t="str">
        <f t="shared" si="3"/>
        <v>HDD</v>
      </c>
      <c r="O9" s="137" t="s">
        <v>1109</v>
      </c>
      <c r="P9" s="136" t="str">
        <f t="shared" si="4"/>
        <v>HDD</v>
      </c>
      <c r="Q9" s="137" t="s">
        <v>1110</v>
      </c>
      <c r="R9" s="136" t="str">
        <f t="shared" si="5"/>
        <v>HDD</v>
      </c>
      <c r="S9" s="137" t="s">
        <v>1111</v>
      </c>
      <c r="T9" s="136" t="str">
        <f t="shared" si="6"/>
        <v>HDD</v>
      </c>
      <c r="U9" s="137" t="s">
        <v>1112</v>
      </c>
      <c r="V9" s="153" t="str">
        <f t="shared" si="6"/>
        <v>ANH</v>
      </c>
      <c r="W9" s="152" t="s">
        <v>1113</v>
      </c>
      <c r="X9" s="153" t="str">
        <f t="shared" si="7"/>
        <v>ANH</v>
      </c>
      <c r="Y9" s="152" t="s">
        <v>1114</v>
      </c>
      <c r="Z9" s="153" t="str">
        <f t="shared" si="8"/>
        <v>HDD</v>
      </c>
      <c r="AA9" s="152" t="s">
        <v>1115</v>
      </c>
      <c r="AB9" s="133" t="s">
        <v>1116</v>
      </c>
      <c r="AC9" s="143">
        <f t="shared" ref="AC9:AC24" si="9">COUNTIF($B$8:$AA$26,$AB9)</f>
        <v>13</v>
      </c>
      <c r="AD9" s="134"/>
      <c r="AE9" s="133" t="s">
        <v>1116</v>
      </c>
      <c r="AF9" s="143">
        <f t="shared" ref="AF9:AF24" si="10">COUNTIF($B$8:$U$26,$AB9)</f>
        <v>10</v>
      </c>
      <c r="AG9" s="133" t="s">
        <v>1116</v>
      </c>
      <c r="AH9" s="143">
        <f t="shared" ref="AH9:AH24" si="11">COUNTIF($V$8:$AA$26,$AB9)</f>
        <v>3</v>
      </c>
    </row>
    <row r="10" spans="2:34">
      <c r="B10" s="136" t="str">
        <f t="shared" si="0"/>
        <v>BRL</v>
      </c>
      <c r="C10" s="136" t="s">
        <v>1117</v>
      </c>
      <c r="D10" s="136" t="str">
        <f t="shared" si="1"/>
        <v>BRL</v>
      </c>
      <c r="E10" s="136" t="s">
        <v>1118</v>
      </c>
      <c r="F10" s="136" t="str">
        <f t="shared" si="2"/>
        <v>BRL</v>
      </c>
      <c r="G10" s="247" t="s">
        <v>1119</v>
      </c>
      <c r="H10" s="136" t="str">
        <f t="shared" si="2"/>
        <v>BRL</v>
      </c>
      <c r="I10" s="247" t="s">
        <v>1120</v>
      </c>
      <c r="J10" s="136" t="str">
        <f t="shared" si="2"/>
        <v>BRL</v>
      </c>
      <c r="K10" s="136" t="s">
        <v>1121</v>
      </c>
      <c r="L10" s="136" t="str">
        <f t="shared" si="2"/>
        <v>BRL</v>
      </c>
      <c r="M10" s="136" t="s">
        <v>1122</v>
      </c>
      <c r="N10" s="136" t="str">
        <f t="shared" si="3"/>
        <v>NES</v>
      </c>
      <c r="O10" s="137" t="s">
        <v>1123</v>
      </c>
      <c r="P10" s="136" t="str">
        <f t="shared" si="4"/>
        <v>NES</v>
      </c>
      <c r="Q10" s="137" t="s">
        <v>1124</v>
      </c>
      <c r="R10" s="136" t="str">
        <f t="shared" si="5"/>
        <v>NES</v>
      </c>
      <c r="S10" s="137" t="s">
        <v>1125</v>
      </c>
      <c r="T10" s="136" t="str">
        <f t="shared" si="6"/>
        <v>NES</v>
      </c>
      <c r="U10" s="137" t="s">
        <v>1126</v>
      </c>
      <c r="V10" s="153" t="str">
        <f t="shared" si="6"/>
        <v>BRL</v>
      </c>
      <c r="W10" s="152" t="s">
        <v>1127</v>
      </c>
      <c r="X10" s="153" t="str">
        <f t="shared" si="7"/>
        <v>BRL</v>
      </c>
      <c r="Y10" s="152" t="s">
        <v>1128</v>
      </c>
      <c r="Z10" s="153" t="str">
        <f t="shared" si="8"/>
        <v>NES</v>
      </c>
      <c r="AA10" s="152" t="s">
        <v>1129</v>
      </c>
      <c r="AB10" s="133" t="s">
        <v>1130</v>
      </c>
      <c r="AC10" s="143">
        <f t="shared" si="9"/>
        <v>13</v>
      </c>
      <c r="AD10" s="134"/>
      <c r="AE10" s="133" t="s">
        <v>1130</v>
      </c>
      <c r="AF10" s="143">
        <f t="shared" si="10"/>
        <v>10</v>
      </c>
      <c r="AG10" s="133" t="s">
        <v>1130</v>
      </c>
      <c r="AH10" s="143">
        <f t="shared" si="11"/>
        <v>3</v>
      </c>
    </row>
    <row r="11" spans="2:34">
      <c r="B11" s="136" t="str">
        <f t="shared" si="0"/>
        <v>HDD</v>
      </c>
      <c r="C11" s="136" t="s">
        <v>1131</v>
      </c>
      <c r="D11" s="136" t="str">
        <f t="shared" si="1"/>
        <v>HDD</v>
      </c>
      <c r="E11" s="136" t="s">
        <v>1132</v>
      </c>
      <c r="F11" s="136" t="str">
        <f t="shared" si="2"/>
        <v>HDD</v>
      </c>
      <c r="G11" s="247" t="s">
        <v>1133</v>
      </c>
      <c r="H11" s="136" t="str">
        <f t="shared" si="2"/>
        <v>HDD</v>
      </c>
      <c r="I11" s="247" t="s">
        <v>1134</v>
      </c>
      <c r="J11" s="136" t="str">
        <f t="shared" si="2"/>
        <v>HDD</v>
      </c>
      <c r="K11" s="136" t="s">
        <v>1135</v>
      </c>
      <c r="L11" s="136" t="str">
        <f t="shared" si="2"/>
        <v>HDD</v>
      </c>
      <c r="M11" s="136" t="s">
        <v>1136</v>
      </c>
      <c r="N11" s="136" t="str">
        <f t="shared" si="3"/>
        <v>SRN</v>
      </c>
      <c r="O11" s="137" t="s">
        <v>1137</v>
      </c>
      <c r="P11" s="156"/>
      <c r="Q11" s="157"/>
      <c r="R11" s="136" t="str">
        <f t="shared" si="5"/>
        <v>SRN</v>
      </c>
      <c r="S11" s="137" t="s">
        <v>1138</v>
      </c>
      <c r="T11" s="136" t="str">
        <f t="shared" si="6"/>
        <v>SRN</v>
      </c>
      <c r="U11" s="137" t="s">
        <v>1139</v>
      </c>
      <c r="V11" s="153" t="str">
        <f t="shared" si="6"/>
        <v>HDD</v>
      </c>
      <c r="W11" s="152" t="s">
        <v>1140</v>
      </c>
      <c r="X11" s="153" t="str">
        <f t="shared" si="7"/>
        <v>HDD</v>
      </c>
      <c r="Y11" s="152" t="s">
        <v>1141</v>
      </c>
      <c r="Z11" s="153" t="str">
        <f t="shared" si="8"/>
        <v>SRN</v>
      </c>
      <c r="AA11" s="152" t="s">
        <v>1142</v>
      </c>
      <c r="AB11" s="133" t="s">
        <v>1143</v>
      </c>
      <c r="AC11" s="143">
        <f>COUNTIF($B$8:$AA$26,$AB11)+COUNTIF($B$8:$AA$26,"NES1")</f>
        <v>14</v>
      </c>
      <c r="AD11" s="134"/>
      <c r="AE11" s="133" t="s">
        <v>1143</v>
      </c>
      <c r="AF11" s="143">
        <f>COUNTIF($B$8:$U$26,$AB11)+COUNTIF($B$8:$U$26,"NES1")</f>
        <v>11</v>
      </c>
      <c r="AG11" s="133" t="s">
        <v>1143</v>
      </c>
      <c r="AH11" s="143">
        <f t="shared" si="11"/>
        <v>3</v>
      </c>
    </row>
    <row r="12" spans="2:34">
      <c r="B12" s="136" t="str">
        <f t="shared" si="0"/>
        <v>NES</v>
      </c>
      <c r="C12" s="136" t="s">
        <v>1144</v>
      </c>
      <c r="D12" s="136" t="str">
        <f t="shared" si="1"/>
        <v>NES</v>
      </c>
      <c r="E12" s="136" t="s">
        <v>1145</v>
      </c>
      <c r="F12" s="136" t="str">
        <f t="shared" si="2"/>
        <v>NES</v>
      </c>
      <c r="G12" s="247" t="s">
        <v>1146</v>
      </c>
      <c r="H12" s="136" t="str">
        <f t="shared" si="2"/>
        <v>NES</v>
      </c>
      <c r="I12" s="247" t="s">
        <v>1147</v>
      </c>
      <c r="J12" s="136" t="str">
        <f t="shared" si="2"/>
        <v>NES</v>
      </c>
      <c r="K12" s="136" t="s">
        <v>1148</v>
      </c>
      <c r="L12" s="136" t="str">
        <f t="shared" si="2"/>
        <v>NES</v>
      </c>
      <c r="M12" s="136" t="s">
        <v>1149</v>
      </c>
      <c r="N12" s="136" t="str">
        <f t="shared" si="3"/>
        <v>SVE</v>
      </c>
      <c r="O12" s="137" t="s">
        <v>1150</v>
      </c>
      <c r="P12" s="136" t="str">
        <f t="shared" si="4"/>
        <v>SRN</v>
      </c>
      <c r="Q12" s="137" t="s">
        <v>1151</v>
      </c>
      <c r="R12" s="136" t="str">
        <f t="shared" si="5"/>
        <v>SVE</v>
      </c>
      <c r="S12" s="137" t="s">
        <v>1152</v>
      </c>
      <c r="T12" s="136" t="str">
        <f t="shared" si="6"/>
        <v>SVE</v>
      </c>
      <c r="U12" s="137" t="s">
        <v>1153</v>
      </c>
      <c r="V12" s="153" t="str">
        <f t="shared" si="6"/>
        <v>NES</v>
      </c>
      <c r="W12" s="152" t="s">
        <v>1154</v>
      </c>
      <c r="X12" s="153" t="str">
        <f t="shared" si="7"/>
        <v>NES</v>
      </c>
      <c r="Y12" s="152" t="s">
        <v>1155</v>
      </c>
      <c r="Z12" s="153" t="str">
        <f t="shared" si="8"/>
        <v>SVE</v>
      </c>
      <c r="AA12" s="152" t="s">
        <v>1156</v>
      </c>
      <c r="AB12" s="133" t="s">
        <v>1157</v>
      </c>
      <c r="AC12" s="143">
        <f t="shared" si="9"/>
        <v>13</v>
      </c>
      <c r="AD12" s="134"/>
      <c r="AE12" s="133" t="s">
        <v>1157</v>
      </c>
      <c r="AF12" s="143">
        <f t="shared" si="10"/>
        <v>10</v>
      </c>
      <c r="AG12" s="133" t="s">
        <v>1157</v>
      </c>
      <c r="AH12" s="143">
        <f t="shared" si="11"/>
        <v>3</v>
      </c>
    </row>
    <row r="13" spans="2:34">
      <c r="B13" s="136" t="str">
        <f t="shared" si="0"/>
        <v>PRT</v>
      </c>
      <c r="C13" s="136" t="s">
        <v>1158</v>
      </c>
      <c r="D13" s="136" t="str">
        <f t="shared" si="1"/>
        <v>PRT</v>
      </c>
      <c r="E13" s="136" t="s">
        <v>1159</v>
      </c>
      <c r="F13" s="136" t="str">
        <f>MID(G13,5,3)&amp;"1"</f>
        <v>NES1</v>
      </c>
      <c r="G13" s="247" t="s">
        <v>1160</v>
      </c>
      <c r="H13" s="136" t="str">
        <f t="shared" si="2"/>
        <v>PRT</v>
      </c>
      <c r="I13" s="247" t="s">
        <v>1161</v>
      </c>
      <c r="J13" s="136" t="str">
        <f t="shared" si="2"/>
        <v>PRT</v>
      </c>
      <c r="K13" s="136" t="s">
        <v>1162</v>
      </c>
      <c r="L13" s="136" t="str">
        <f t="shared" si="2"/>
        <v>PRT</v>
      </c>
      <c r="M13" s="136" t="s">
        <v>1163</v>
      </c>
      <c r="N13" s="136" t="str">
        <f t="shared" si="3"/>
        <v>SWB</v>
      </c>
      <c r="O13" s="137" t="s">
        <v>1164</v>
      </c>
      <c r="P13" s="136" t="str">
        <f t="shared" si="4"/>
        <v>SVE</v>
      </c>
      <c r="Q13" s="137" t="s">
        <v>1165</v>
      </c>
      <c r="R13" s="136" t="str">
        <f t="shared" si="5"/>
        <v>SWB</v>
      </c>
      <c r="S13" s="137" t="s">
        <v>1166</v>
      </c>
      <c r="T13" s="136" t="str">
        <f t="shared" si="6"/>
        <v>SWB</v>
      </c>
      <c r="U13" s="137" t="s">
        <v>1167</v>
      </c>
      <c r="V13" s="153" t="str">
        <f t="shared" si="6"/>
        <v>PRT</v>
      </c>
      <c r="W13" s="152" t="s">
        <v>1168</v>
      </c>
      <c r="X13" s="153" t="str">
        <f t="shared" si="7"/>
        <v>PRT</v>
      </c>
      <c r="Y13" s="152" t="s">
        <v>1169</v>
      </c>
      <c r="Z13" s="153" t="str">
        <f t="shared" si="8"/>
        <v>SWB</v>
      </c>
      <c r="AA13" s="152" t="s">
        <v>1170</v>
      </c>
      <c r="AB13" s="133" t="s">
        <v>1171</v>
      </c>
      <c r="AC13" s="143">
        <f t="shared" si="9"/>
        <v>13</v>
      </c>
      <c r="AD13" s="134"/>
      <c r="AE13" s="133" t="s">
        <v>1171</v>
      </c>
      <c r="AF13" s="143">
        <f t="shared" si="10"/>
        <v>10</v>
      </c>
      <c r="AG13" s="133" t="s">
        <v>1171</v>
      </c>
      <c r="AH13" s="143">
        <f t="shared" si="11"/>
        <v>3</v>
      </c>
    </row>
    <row r="14" spans="2:34">
      <c r="B14" s="136" t="str">
        <f t="shared" si="0"/>
        <v>SES</v>
      </c>
      <c r="C14" s="136" t="s">
        <v>1172</v>
      </c>
      <c r="D14" s="136" t="str">
        <f t="shared" si="1"/>
        <v>SES</v>
      </c>
      <c r="E14" s="136" t="s">
        <v>1173</v>
      </c>
      <c r="F14" s="136" t="str">
        <f t="shared" si="2"/>
        <v>PRT</v>
      </c>
      <c r="G14" s="247" t="s">
        <v>1174</v>
      </c>
      <c r="H14" s="136" t="str">
        <f t="shared" si="2"/>
        <v>SES</v>
      </c>
      <c r="I14" s="247" t="s">
        <v>1175</v>
      </c>
      <c r="J14" s="136" t="str">
        <f t="shared" si="2"/>
        <v>SES</v>
      </c>
      <c r="K14" s="136" t="s">
        <v>1176</v>
      </c>
      <c r="L14" s="136" t="str">
        <f t="shared" si="2"/>
        <v>SES</v>
      </c>
      <c r="M14" s="136" t="s">
        <v>1177</v>
      </c>
      <c r="N14" s="136" t="str">
        <f t="shared" si="3"/>
        <v>TMS</v>
      </c>
      <c r="O14" s="137" t="s">
        <v>1178</v>
      </c>
      <c r="P14" s="136" t="str">
        <f t="shared" si="4"/>
        <v>SWB</v>
      </c>
      <c r="Q14" s="137" t="s">
        <v>1179</v>
      </c>
      <c r="R14" s="136" t="str">
        <f t="shared" si="5"/>
        <v>TMS</v>
      </c>
      <c r="S14" s="137" t="s">
        <v>1180</v>
      </c>
      <c r="T14" s="136" t="str">
        <f t="shared" si="6"/>
        <v>TMS</v>
      </c>
      <c r="U14" s="137" t="s">
        <v>1181</v>
      </c>
      <c r="V14" s="153" t="str">
        <f t="shared" si="6"/>
        <v>SES</v>
      </c>
      <c r="W14" s="152" t="s">
        <v>1182</v>
      </c>
      <c r="X14" s="153" t="str">
        <f t="shared" si="7"/>
        <v>SES</v>
      </c>
      <c r="Y14" s="152" t="s">
        <v>1183</v>
      </c>
      <c r="Z14" s="153" t="str">
        <f t="shared" si="8"/>
        <v>TMS</v>
      </c>
      <c r="AA14" s="152" t="s">
        <v>1184</v>
      </c>
      <c r="AB14" s="133" t="s">
        <v>1185</v>
      </c>
      <c r="AC14" s="143">
        <f t="shared" si="9"/>
        <v>13</v>
      </c>
      <c r="AD14" s="134"/>
      <c r="AE14" s="133" t="s">
        <v>1185</v>
      </c>
      <c r="AF14" s="143">
        <f t="shared" si="10"/>
        <v>10</v>
      </c>
      <c r="AG14" s="133" t="s">
        <v>1185</v>
      </c>
      <c r="AH14" s="143">
        <f t="shared" si="11"/>
        <v>3</v>
      </c>
    </row>
    <row r="15" spans="2:34">
      <c r="B15" s="136" t="str">
        <f t="shared" si="0"/>
        <v>SEW</v>
      </c>
      <c r="C15" s="136" t="s">
        <v>1186</v>
      </c>
      <c r="D15" s="136" t="str">
        <f t="shared" si="1"/>
        <v>SEW</v>
      </c>
      <c r="E15" s="136" t="s">
        <v>1187</v>
      </c>
      <c r="F15" s="136" t="str">
        <f t="shared" si="2"/>
        <v>SES</v>
      </c>
      <c r="G15" s="247" t="s">
        <v>1188</v>
      </c>
      <c r="H15" s="136" t="str">
        <f t="shared" si="2"/>
        <v>SEW</v>
      </c>
      <c r="I15" s="247" t="s">
        <v>1189</v>
      </c>
      <c r="J15" s="136" t="str">
        <f t="shared" si="2"/>
        <v>SEW</v>
      </c>
      <c r="K15" s="136" t="s">
        <v>1190</v>
      </c>
      <c r="L15" s="136" t="str">
        <f t="shared" si="2"/>
        <v>SEW</v>
      </c>
      <c r="M15" s="136" t="s">
        <v>1191</v>
      </c>
      <c r="N15" s="136" t="str">
        <f t="shared" si="3"/>
        <v>UUW</v>
      </c>
      <c r="O15" s="137" t="s">
        <v>1192</v>
      </c>
      <c r="P15" s="136" t="str">
        <f t="shared" si="4"/>
        <v>TMS</v>
      </c>
      <c r="Q15" s="137" t="s">
        <v>1193</v>
      </c>
      <c r="R15" s="136" t="str">
        <f t="shared" si="5"/>
        <v>UUW</v>
      </c>
      <c r="S15" s="137" t="s">
        <v>1194</v>
      </c>
      <c r="T15" s="136" t="str">
        <f t="shared" si="6"/>
        <v>UUW</v>
      </c>
      <c r="U15" s="137" t="s">
        <v>1195</v>
      </c>
      <c r="V15" s="153" t="str">
        <f t="shared" si="6"/>
        <v>SEW</v>
      </c>
      <c r="W15" s="152" t="s">
        <v>1196</v>
      </c>
      <c r="X15" s="153" t="str">
        <f t="shared" si="7"/>
        <v>SEW</v>
      </c>
      <c r="Y15" s="152" t="s">
        <v>1197</v>
      </c>
      <c r="Z15" s="153" t="str">
        <f t="shared" si="8"/>
        <v>UUW</v>
      </c>
      <c r="AA15" s="152" t="s">
        <v>1198</v>
      </c>
      <c r="AB15" s="133" t="s">
        <v>1199</v>
      </c>
      <c r="AC15" s="143">
        <f t="shared" si="9"/>
        <v>13</v>
      </c>
      <c r="AD15" s="134"/>
      <c r="AE15" s="133" t="s">
        <v>1199</v>
      </c>
      <c r="AF15" s="143">
        <f t="shared" si="10"/>
        <v>10</v>
      </c>
      <c r="AG15" s="133" t="s">
        <v>1199</v>
      </c>
      <c r="AH15" s="143">
        <f t="shared" si="11"/>
        <v>3</v>
      </c>
    </row>
    <row r="16" spans="2:34">
      <c r="B16" s="136" t="str">
        <f t="shared" si="0"/>
        <v>SRN</v>
      </c>
      <c r="C16" s="136" t="s">
        <v>1200</v>
      </c>
      <c r="D16" s="136" t="str">
        <f t="shared" si="1"/>
        <v>SRN</v>
      </c>
      <c r="E16" s="136" t="s">
        <v>1201</v>
      </c>
      <c r="F16" s="136" t="str">
        <f t="shared" si="2"/>
        <v>SEW</v>
      </c>
      <c r="G16" s="247" t="s">
        <v>1202</v>
      </c>
      <c r="H16" s="136" t="str">
        <f t="shared" si="2"/>
        <v>SRN</v>
      </c>
      <c r="I16" s="247" t="s">
        <v>1203</v>
      </c>
      <c r="J16" s="136" t="str">
        <f t="shared" si="2"/>
        <v>SRN</v>
      </c>
      <c r="K16" s="136" t="s">
        <v>1204</v>
      </c>
      <c r="L16" s="136" t="str">
        <f t="shared" si="2"/>
        <v>SRN</v>
      </c>
      <c r="M16" s="136" t="s">
        <v>1205</v>
      </c>
      <c r="N16" s="136" t="str">
        <f t="shared" si="3"/>
        <v>WSH</v>
      </c>
      <c r="O16" s="137" t="s">
        <v>1206</v>
      </c>
      <c r="P16" s="136" t="str">
        <f t="shared" si="4"/>
        <v>UUW</v>
      </c>
      <c r="Q16" s="137" t="s">
        <v>1207</v>
      </c>
      <c r="R16" s="136" t="str">
        <f t="shared" si="5"/>
        <v>WSH</v>
      </c>
      <c r="S16" s="137" t="s">
        <v>1208</v>
      </c>
      <c r="T16" s="136" t="str">
        <f t="shared" si="6"/>
        <v>WSH</v>
      </c>
      <c r="U16" s="137" t="s">
        <v>1209</v>
      </c>
      <c r="V16" s="153" t="str">
        <f t="shared" si="6"/>
        <v>SRN</v>
      </c>
      <c r="W16" s="152" t="s">
        <v>1210</v>
      </c>
      <c r="X16" s="153" t="str">
        <f t="shared" si="7"/>
        <v>SRN</v>
      </c>
      <c r="Y16" s="152" t="s">
        <v>1211</v>
      </c>
      <c r="Z16" s="153" t="str">
        <f t="shared" si="8"/>
        <v>WSH</v>
      </c>
      <c r="AA16" s="152" t="s">
        <v>1212</v>
      </c>
      <c r="AB16" s="133" t="s">
        <v>1213</v>
      </c>
      <c r="AC16" s="143">
        <f t="shared" si="9"/>
        <v>13</v>
      </c>
      <c r="AD16" s="134"/>
      <c r="AE16" s="133" t="s">
        <v>1213</v>
      </c>
      <c r="AF16" s="143">
        <f t="shared" si="10"/>
        <v>10</v>
      </c>
      <c r="AG16" s="133" t="s">
        <v>1213</v>
      </c>
      <c r="AH16" s="143">
        <f t="shared" si="11"/>
        <v>3</v>
      </c>
    </row>
    <row r="17" spans="2:37">
      <c r="B17" s="136" t="str">
        <f t="shared" si="0"/>
        <v>SSC</v>
      </c>
      <c r="C17" s="136" t="s">
        <v>1214</v>
      </c>
      <c r="D17" s="136" t="str">
        <f t="shared" si="1"/>
        <v>SSC</v>
      </c>
      <c r="E17" s="136" t="s">
        <v>1215</v>
      </c>
      <c r="F17" s="136" t="str">
        <f t="shared" si="2"/>
        <v>SRN</v>
      </c>
      <c r="G17" s="247" t="s">
        <v>1216</v>
      </c>
      <c r="H17" s="136" t="str">
        <f t="shared" si="2"/>
        <v>SSC</v>
      </c>
      <c r="I17" s="247" t="s">
        <v>1217</v>
      </c>
      <c r="J17" s="136" t="str">
        <f t="shared" si="2"/>
        <v>SSC</v>
      </c>
      <c r="K17" s="136" t="s">
        <v>1218</v>
      </c>
      <c r="L17" s="136" t="str">
        <f t="shared" si="2"/>
        <v>SSC</v>
      </c>
      <c r="M17" s="136" t="s">
        <v>1219</v>
      </c>
      <c r="N17" s="136" t="str">
        <f t="shared" si="3"/>
        <v>WSX</v>
      </c>
      <c r="O17" s="137" t="s">
        <v>1220</v>
      </c>
      <c r="P17" s="136" t="str">
        <f t="shared" si="4"/>
        <v>WSH</v>
      </c>
      <c r="Q17" s="137" t="s">
        <v>1221</v>
      </c>
      <c r="R17" s="136" t="str">
        <f t="shared" si="5"/>
        <v>WSX</v>
      </c>
      <c r="S17" s="137" t="s">
        <v>1222</v>
      </c>
      <c r="T17" s="136" t="str">
        <f t="shared" si="6"/>
        <v>WSX</v>
      </c>
      <c r="U17" s="137" t="s">
        <v>1223</v>
      </c>
      <c r="V17" s="153" t="str">
        <f t="shared" si="6"/>
        <v>SSC</v>
      </c>
      <c r="W17" s="152" t="s">
        <v>1224</v>
      </c>
      <c r="X17" s="153" t="str">
        <f t="shared" si="7"/>
        <v>SSC</v>
      </c>
      <c r="Y17" s="152" t="s">
        <v>1225</v>
      </c>
      <c r="Z17" s="153" t="str">
        <f t="shared" si="8"/>
        <v>WSX</v>
      </c>
      <c r="AA17" s="152" t="s">
        <v>1226</v>
      </c>
      <c r="AB17" s="133" t="s">
        <v>1227</v>
      </c>
      <c r="AC17" s="143">
        <f t="shared" si="9"/>
        <v>13</v>
      </c>
      <c r="AD17" s="134"/>
      <c r="AE17" s="133" t="s">
        <v>1227</v>
      </c>
      <c r="AF17" s="143">
        <f t="shared" si="10"/>
        <v>10</v>
      </c>
      <c r="AG17" s="133" t="s">
        <v>1227</v>
      </c>
      <c r="AH17" s="143">
        <f t="shared" si="11"/>
        <v>3</v>
      </c>
    </row>
    <row r="18" spans="2:37">
      <c r="B18" s="136" t="str">
        <f t="shared" si="0"/>
        <v>SVE</v>
      </c>
      <c r="C18" s="136" t="s">
        <v>1228</v>
      </c>
      <c r="D18" s="136" t="str">
        <f t="shared" si="1"/>
        <v>SVE</v>
      </c>
      <c r="E18" s="136" t="s">
        <v>1229</v>
      </c>
      <c r="F18" s="136" t="str">
        <f t="shared" si="2"/>
        <v>SSC</v>
      </c>
      <c r="G18" s="247" t="s">
        <v>1230</v>
      </c>
      <c r="H18" s="136" t="str">
        <f>MID(I18,5,3)&amp;"1"</f>
        <v>SSC1</v>
      </c>
      <c r="I18" s="247" t="s">
        <v>1231</v>
      </c>
      <c r="J18" s="136" t="str">
        <f t="shared" si="2"/>
        <v>SVE</v>
      </c>
      <c r="K18" s="136" t="s">
        <v>1232</v>
      </c>
      <c r="L18" s="136" t="str">
        <f t="shared" si="2"/>
        <v>SVE</v>
      </c>
      <c r="M18" s="136" t="s">
        <v>1233</v>
      </c>
      <c r="N18" s="136" t="str">
        <f t="shared" si="3"/>
        <v>YKY</v>
      </c>
      <c r="O18" s="137" t="s">
        <v>1234</v>
      </c>
      <c r="P18" s="136" t="str">
        <f t="shared" si="4"/>
        <v>WSX</v>
      </c>
      <c r="Q18" s="137" t="s">
        <v>1235</v>
      </c>
      <c r="R18" s="136" t="str">
        <f t="shared" si="5"/>
        <v>YKY</v>
      </c>
      <c r="S18" s="137" t="s">
        <v>1236</v>
      </c>
      <c r="T18" s="136" t="str">
        <f t="shared" si="6"/>
        <v>YKY</v>
      </c>
      <c r="U18" s="137" t="s">
        <v>1237</v>
      </c>
      <c r="V18" s="153" t="str">
        <f t="shared" si="6"/>
        <v>SVE</v>
      </c>
      <c r="W18" s="152" t="s">
        <v>1238</v>
      </c>
      <c r="X18" s="153" t="str">
        <f t="shared" si="7"/>
        <v>SVE</v>
      </c>
      <c r="Y18" s="152" t="s">
        <v>1239</v>
      </c>
      <c r="Z18" s="153" t="str">
        <f t="shared" si="8"/>
        <v>YKY</v>
      </c>
      <c r="AA18" s="152" t="s">
        <v>1240</v>
      </c>
      <c r="AB18" s="133" t="s">
        <v>1241</v>
      </c>
      <c r="AC18" s="143">
        <f t="shared" si="9"/>
        <v>13</v>
      </c>
      <c r="AD18" s="134"/>
      <c r="AE18" s="133" t="s">
        <v>1241</v>
      </c>
      <c r="AF18" s="143">
        <f t="shared" si="10"/>
        <v>10</v>
      </c>
      <c r="AG18" s="133" t="s">
        <v>1241</v>
      </c>
      <c r="AH18" s="143">
        <f t="shared" si="11"/>
        <v>3</v>
      </c>
    </row>
    <row r="19" spans="2:37">
      <c r="B19" s="136" t="str">
        <f t="shared" si="0"/>
        <v>SWB</v>
      </c>
      <c r="C19" s="136" t="s">
        <v>1242</v>
      </c>
      <c r="D19" s="136" t="str">
        <f t="shared" si="1"/>
        <v>SWB</v>
      </c>
      <c r="E19" s="136" t="s">
        <v>1243</v>
      </c>
      <c r="F19" s="136" t="str">
        <f>MID(G19,5,3)&amp;"1"</f>
        <v>SSC1</v>
      </c>
      <c r="G19" s="257" t="s">
        <v>1244</v>
      </c>
      <c r="H19" s="136" t="str">
        <f t="shared" si="2"/>
        <v>SVE</v>
      </c>
      <c r="I19" s="247" t="s">
        <v>1245</v>
      </c>
      <c r="J19" s="136" t="str">
        <f t="shared" si="2"/>
        <v>SWB</v>
      </c>
      <c r="K19" s="136" t="s">
        <v>1246</v>
      </c>
      <c r="L19" s="136" t="str">
        <f t="shared" si="2"/>
        <v>SWB</v>
      </c>
      <c r="M19" s="136" t="s">
        <v>1247</v>
      </c>
      <c r="N19" s="137"/>
      <c r="O19" s="137"/>
      <c r="P19" s="136" t="str">
        <f t="shared" si="4"/>
        <v>YKY</v>
      </c>
      <c r="Q19" s="137" t="s">
        <v>1248</v>
      </c>
      <c r="R19" s="137"/>
      <c r="S19" s="137"/>
      <c r="T19" s="137"/>
      <c r="U19" s="137"/>
      <c r="V19" s="153" t="str">
        <f t="shared" si="6"/>
        <v>SWB</v>
      </c>
      <c r="W19" s="152" t="s">
        <v>1249</v>
      </c>
      <c r="X19" s="153" t="str">
        <f t="shared" si="7"/>
        <v>SWB</v>
      </c>
      <c r="Y19" s="152" t="s">
        <v>1250</v>
      </c>
      <c r="Z19" s="152"/>
      <c r="AA19" s="152"/>
      <c r="AB19" s="133" t="s">
        <v>1251</v>
      </c>
      <c r="AC19" s="143">
        <f t="shared" si="9"/>
        <v>8</v>
      </c>
      <c r="AD19" s="134"/>
      <c r="AE19" s="133" t="s">
        <v>1251</v>
      </c>
      <c r="AF19" s="143">
        <f t="shared" si="10"/>
        <v>6</v>
      </c>
      <c r="AG19" s="133" t="s">
        <v>1251</v>
      </c>
      <c r="AH19" s="143">
        <f t="shared" si="11"/>
        <v>2</v>
      </c>
    </row>
    <row r="20" spans="2:37">
      <c r="B20" s="136" t="str">
        <f t="shared" si="0"/>
        <v>TMS</v>
      </c>
      <c r="C20" s="136" t="s">
        <v>1252</v>
      </c>
      <c r="D20" s="136" t="str">
        <f t="shared" si="1"/>
        <v>TMS</v>
      </c>
      <c r="E20" s="136" t="s">
        <v>1253</v>
      </c>
      <c r="F20" s="136" t="str">
        <f t="shared" si="2"/>
        <v>SVE</v>
      </c>
      <c r="G20" s="247" t="s">
        <v>1254</v>
      </c>
      <c r="H20" s="136" t="str">
        <f t="shared" si="2"/>
        <v>SWB</v>
      </c>
      <c r="I20" s="247" t="s">
        <v>1255</v>
      </c>
      <c r="J20" s="136" t="str">
        <f t="shared" si="2"/>
        <v>TMS</v>
      </c>
      <c r="K20" s="136" t="s">
        <v>1256</v>
      </c>
      <c r="L20" s="136" t="str">
        <f t="shared" si="2"/>
        <v>TMS</v>
      </c>
      <c r="M20" s="136" t="s">
        <v>1257</v>
      </c>
      <c r="N20" s="137"/>
      <c r="O20" s="137"/>
      <c r="P20" s="137"/>
      <c r="Q20" s="137"/>
      <c r="R20" s="137"/>
      <c r="S20" s="137"/>
      <c r="T20" s="137"/>
      <c r="U20" s="137"/>
      <c r="V20" s="153" t="str">
        <f t="shared" si="6"/>
        <v>TMS</v>
      </c>
      <c r="W20" s="152" t="s">
        <v>1258</v>
      </c>
      <c r="X20" s="153" t="str">
        <f t="shared" si="7"/>
        <v>TMS</v>
      </c>
      <c r="Y20" s="152" t="s">
        <v>1259</v>
      </c>
      <c r="Z20" s="152"/>
      <c r="AA20" s="152"/>
      <c r="AB20" s="133" t="s">
        <v>1260</v>
      </c>
      <c r="AC20" s="143">
        <f t="shared" si="9"/>
        <v>8</v>
      </c>
      <c r="AD20" s="134"/>
      <c r="AE20" s="133" t="s">
        <v>1260</v>
      </c>
      <c r="AF20" s="143">
        <f t="shared" si="10"/>
        <v>6</v>
      </c>
      <c r="AG20" s="133" t="s">
        <v>1260</v>
      </c>
      <c r="AH20" s="143">
        <f t="shared" si="11"/>
        <v>2</v>
      </c>
    </row>
    <row r="21" spans="2:37">
      <c r="B21" s="136" t="str">
        <f t="shared" si="0"/>
        <v>UUW</v>
      </c>
      <c r="C21" s="136" t="s">
        <v>1261</v>
      </c>
      <c r="D21" s="136" t="str">
        <f t="shared" si="1"/>
        <v>UUW</v>
      </c>
      <c r="E21" s="136" t="s">
        <v>1262</v>
      </c>
      <c r="F21" s="136" t="str">
        <f t="shared" si="2"/>
        <v>SWB</v>
      </c>
      <c r="G21" s="247" t="s">
        <v>1263</v>
      </c>
      <c r="H21" s="136" t="str">
        <f t="shared" si="2"/>
        <v>TMS</v>
      </c>
      <c r="I21" s="247" t="s">
        <v>1264</v>
      </c>
      <c r="J21" s="136" t="str">
        <f t="shared" si="2"/>
        <v>UUW</v>
      </c>
      <c r="K21" s="136" t="s">
        <v>1265</v>
      </c>
      <c r="L21" s="136" t="str">
        <f t="shared" si="2"/>
        <v>UUW</v>
      </c>
      <c r="M21" s="136" t="s">
        <v>1266</v>
      </c>
      <c r="N21" s="137"/>
      <c r="O21" s="137"/>
      <c r="P21" s="137"/>
      <c r="Q21" s="137"/>
      <c r="R21" s="137"/>
      <c r="S21" s="137"/>
      <c r="T21" s="137"/>
      <c r="U21" s="137"/>
      <c r="V21" s="153" t="str">
        <f t="shared" si="6"/>
        <v>UUW</v>
      </c>
      <c r="W21" s="152" t="s">
        <v>1267</v>
      </c>
      <c r="X21" s="153" t="str">
        <f t="shared" si="7"/>
        <v>UUW</v>
      </c>
      <c r="Y21" s="152" t="s">
        <v>1268</v>
      </c>
      <c r="Z21" s="152"/>
      <c r="AA21" s="152"/>
      <c r="AB21" s="133" t="s">
        <v>1269</v>
      </c>
      <c r="AC21" s="143">
        <f t="shared" si="9"/>
        <v>8</v>
      </c>
      <c r="AD21" s="134"/>
      <c r="AE21" s="133" t="s">
        <v>1269</v>
      </c>
      <c r="AF21" s="143">
        <f t="shared" si="10"/>
        <v>6</v>
      </c>
      <c r="AG21" s="133" t="s">
        <v>1269</v>
      </c>
      <c r="AH21" s="143">
        <f t="shared" si="11"/>
        <v>2</v>
      </c>
    </row>
    <row r="22" spans="2:37">
      <c r="B22" s="136" t="str">
        <f t="shared" si="0"/>
        <v>WSH</v>
      </c>
      <c r="C22" s="136" t="s">
        <v>1270</v>
      </c>
      <c r="D22" s="136" t="str">
        <f t="shared" si="1"/>
        <v>WSH</v>
      </c>
      <c r="E22" s="136" t="s">
        <v>1271</v>
      </c>
      <c r="F22" s="136" t="str">
        <f t="shared" si="2"/>
        <v>TMS</v>
      </c>
      <c r="G22" s="247" t="s">
        <v>1272</v>
      </c>
      <c r="H22" s="136" t="str">
        <f t="shared" si="2"/>
        <v>UUW</v>
      </c>
      <c r="I22" s="247" t="s">
        <v>1273</v>
      </c>
      <c r="J22" s="136" t="str">
        <f t="shared" si="2"/>
        <v>WSH</v>
      </c>
      <c r="K22" s="136" t="s">
        <v>1274</v>
      </c>
      <c r="L22" s="136" t="str">
        <f t="shared" si="2"/>
        <v>WSH</v>
      </c>
      <c r="M22" s="136" t="s">
        <v>1275</v>
      </c>
      <c r="N22" s="137"/>
      <c r="O22" s="137"/>
      <c r="P22" s="137"/>
      <c r="Q22" s="137"/>
      <c r="R22" s="137"/>
      <c r="S22" s="137"/>
      <c r="T22" s="137"/>
      <c r="U22" s="137"/>
      <c r="V22" s="153" t="str">
        <f t="shared" si="6"/>
        <v>WSH</v>
      </c>
      <c r="W22" s="152" t="s">
        <v>1276</v>
      </c>
      <c r="X22" s="153" t="str">
        <f t="shared" si="7"/>
        <v>WSH</v>
      </c>
      <c r="Y22" s="152" t="s">
        <v>1277</v>
      </c>
      <c r="Z22" s="152"/>
      <c r="AA22" s="152"/>
      <c r="AB22" s="133" t="s">
        <v>1278</v>
      </c>
      <c r="AC22" s="143">
        <f t="shared" si="9"/>
        <v>8</v>
      </c>
      <c r="AD22" s="134"/>
      <c r="AE22" s="133" t="s">
        <v>1278</v>
      </c>
      <c r="AF22" s="143">
        <f t="shared" si="10"/>
        <v>6</v>
      </c>
      <c r="AG22" s="133" t="s">
        <v>1278</v>
      </c>
      <c r="AH22" s="143">
        <f t="shared" si="11"/>
        <v>2</v>
      </c>
    </row>
    <row r="23" spans="2:37">
      <c r="B23" s="136" t="str">
        <f t="shared" si="0"/>
        <v>WSX</v>
      </c>
      <c r="C23" s="136" t="s">
        <v>1279</v>
      </c>
      <c r="D23" s="136" t="str">
        <f t="shared" si="1"/>
        <v>WSX</v>
      </c>
      <c r="E23" s="136" t="s">
        <v>1280</v>
      </c>
      <c r="F23" s="136" t="str">
        <f t="shared" si="2"/>
        <v>UUW</v>
      </c>
      <c r="G23" s="247" t="s">
        <v>1281</v>
      </c>
      <c r="H23" s="136" t="str">
        <f t="shared" si="2"/>
        <v>WSH</v>
      </c>
      <c r="I23" s="247" t="s">
        <v>1282</v>
      </c>
      <c r="J23" s="136" t="str">
        <f t="shared" si="2"/>
        <v>WSX</v>
      </c>
      <c r="K23" s="136" t="s">
        <v>1283</v>
      </c>
      <c r="L23" s="136" t="str">
        <f t="shared" si="2"/>
        <v>WSX</v>
      </c>
      <c r="M23" s="136" t="s">
        <v>1284</v>
      </c>
      <c r="N23" s="137"/>
      <c r="O23" s="137"/>
      <c r="P23" s="137"/>
      <c r="Q23" s="137"/>
      <c r="R23" s="137"/>
      <c r="S23" s="137"/>
      <c r="T23" s="137"/>
      <c r="U23" s="137"/>
      <c r="V23" s="153" t="str">
        <f t="shared" si="6"/>
        <v>WSX</v>
      </c>
      <c r="W23" s="152" t="s">
        <v>1285</v>
      </c>
      <c r="X23" s="153" t="str">
        <f t="shared" si="7"/>
        <v>WSX</v>
      </c>
      <c r="Y23" s="152" t="s">
        <v>1286</v>
      </c>
      <c r="Z23" s="152"/>
      <c r="AA23" s="152"/>
      <c r="AB23" s="133" t="s">
        <v>1287</v>
      </c>
      <c r="AC23" s="143">
        <f>COUNTIF($B$8:$AA$26,$AB23)+COUNTIF($B$8:$AA$26,"SSC1")</f>
        <v>10</v>
      </c>
      <c r="AD23" s="134"/>
      <c r="AE23" s="133" t="s">
        <v>1287</v>
      </c>
      <c r="AF23" s="143">
        <f>COUNTIF($B$8:$U$26,$AB23)+COUNTIF($B$8:$U$26,"SSC1")</f>
        <v>8</v>
      </c>
      <c r="AG23" s="133" t="s">
        <v>1287</v>
      </c>
      <c r="AH23" s="143">
        <f t="shared" si="11"/>
        <v>2</v>
      </c>
    </row>
    <row r="24" spans="2:37" ht="13.5" thickBot="1">
      <c r="B24" s="136" t="str">
        <f t="shared" si="0"/>
        <v>YKY</v>
      </c>
      <c r="C24" s="136" t="s">
        <v>1288</v>
      </c>
      <c r="D24" s="136" t="str">
        <f t="shared" si="1"/>
        <v>YKY</v>
      </c>
      <c r="E24" s="136" t="s">
        <v>1289</v>
      </c>
      <c r="F24" s="136" t="str">
        <f t="shared" si="2"/>
        <v>WSH</v>
      </c>
      <c r="G24" s="247" t="s">
        <v>1290</v>
      </c>
      <c r="H24" s="136" t="str">
        <f t="shared" si="2"/>
        <v>WSX</v>
      </c>
      <c r="I24" s="247" t="s">
        <v>1291</v>
      </c>
      <c r="J24" s="136" t="str">
        <f t="shared" si="2"/>
        <v>YKY</v>
      </c>
      <c r="K24" s="136" t="s">
        <v>1292</v>
      </c>
      <c r="L24" s="136" t="str">
        <f t="shared" si="2"/>
        <v>YKY</v>
      </c>
      <c r="M24" s="136" t="s">
        <v>1293</v>
      </c>
      <c r="N24" s="137"/>
      <c r="O24" s="137"/>
      <c r="P24" s="137"/>
      <c r="Q24" s="137"/>
      <c r="R24" s="137"/>
      <c r="S24" s="137"/>
      <c r="T24" s="137"/>
      <c r="U24" s="137"/>
      <c r="V24" s="153" t="str">
        <f>MID(W24,5,3)</f>
        <v>YKY</v>
      </c>
      <c r="W24" s="152" t="s">
        <v>1294</v>
      </c>
      <c r="X24" s="153" t="str">
        <f>MID(Y24,5,3)</f>
        <v>YKY</v>
      </c>
      <c r="Y24" s="152" t="s">
        <v>1295</v>
      </c>
      <c r="Z24" s="152"/>
      <c r="AA24" s="152"/>
      <c r="AB24" s="144" t="s">
        <v>1296</v>
      </c>
      <c r="AC24" s="145">
        <f t="shared" si="9"/>
        <v>8</v>
      </c>
      <c r="AD24" s="134"/>
      <c r="AE24" s="144" t="s">
        <v>1296</v>
      </c>
      <c r="AF24" s="145">
        <f t="shared" si="10"/>
        <v>6</v>
      </c>
      <c r="AG24" s="144" t="s">
        <v>1296</v>
      </c>
      <c r="AH24" s="145">
        <f t="shared" si="11"/>
        <v>2</v>
      </c>
    </row>
    <row r="25" spans="2:37" ht="13.5" thickTop="1">
      <c r="B25" s="137"/>
      <c r="C25" s="137"/>
      <c r="D25" s="137"/>
      <c r="E25" s="137"/>
      <c r="F25" s="136" t="str">
        <f t="shared" si="2"/>
        <v>WSX</v>
      </c>
      <c r="G25" s="247" t="s">
        <v>1297</v>
      </c>
      <c r="H25" s="136" t="str">
        <f t="shared" si="2"/>
        <v>YKY</v>
      </c>
      <c r="I25" s="247" t="s">
        <v>1298</v>
      </c>
      <c r="J25" s="136"/>
      <c r="K25" s="136"/>
      <c r="L25" s="136"/>
      <c r="M25" s="136"/>
      <c r="N25" s="137"/>
      <c r="O25" s="137"/>
      <c r="P25" s="137"/>
      <c r="Q25" s="137"/>
      <c r="R25" s="137"/>
      <c r="S25" s="137"/>
      <c r="T25" s="137"/>
      <c r="U25" s="137"/>
      <c r="V25" s="152"/>
      <c r="W25" s="152"/>
      <c r="X25" s="152"/>
      <c r="Y25" s="152"/>
      <c r="Z25" s="152"/>
      <c r="AA25" s="152"/>
      <c r="AB25" s="133" t="s">
        <v>1299</v>
      </c>
      <c r="AC25" s="143">
        <f>SUM(AC8:AC24)</f>
        <v>194</v>
      </c>
      <c r="AD25" s="134"/>
      <c r="AE25" s="133" t="s">
        <v>1299</v>
      </c>
      <c r="AF25" s="143">
        <f>SUM(AF8:AF24)</f>
        <v>149</v>
      </c>
      <c r="AG25" s="133" t="s">
        <v>1299</v>
      </c>
      <c r="AH25" s="143">
        <f>SUM(AH8:AH24)</f>
        <v>45</v>
      </c>
    </row>
    <row r="26" spans="2:37" ht="13.5" thickBot="1">
      <c r="B26" s="140"/>
      <c r="C26" s="140"/>
      <c r="D26" s="140"/>
      <c r="E26" s="140"/>
      <c r="F26" s="141" t="str">
        <f t="shared" si="2"/>
        <v>YKY</v>
      </c>
      <c r="G26" s="248" t="s">
        <v>1300</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1299</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5">
      <c r="B30" s="115" t="s">
        <v>1301</v>
      </c>
      <c r="C30" s="113"/>
      <c r="D30" s="113"/>
      <c r="E30" s="113"/>
      <c r="F30" s="112"/>
      <c r="G30" s="112"/>
      <c r="H30" s="112"/>
      <c r="I30" s="112"/>
      <c r="J30" s="112"/>
      <c r="K30" s="112"/>
      <c r="L30" s="112"/>
      <c r="M30" s="247" t="s">
        <v>1302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1303</v>
      </c>
      <c r="C32" s="128" t="s">
        <v>1251</v>
      </c>
      <c r="D32" s="128"/>
      <c r="E32" s="128" t="s">
        <v>1102</v>
      </c>
      <c r="F32" s="128"/>
      <c r="G32" s="128" t="s">
        <v>1260</v>
      </c>
      <c r="H32" s="128"/>
      <c r="I32" s="128" t="s">
        <v>1130</v>
      </c>
      <c r="J32" s="128"/>
      <c r="K32" s="128" t="s">
        <v>1143</v>
      </c>
      <c r="L32" s="128"/>
      <c r="M32" s="128" t="s">
        <v>1269</v>
      </c>
      <c r="N32" s="128"/>
      <c r="O32" s="128" t="s">
        <v>1296</v>
      </c>
      <c r="P32" s="128"/>
      <c r="Q32" s="128" t="s">
        <v>1278</v>
      </c>
      <c r="R32" s="128"/>
      <c r="S32" s="128" t="s">
        <v>1185</v>
      </c>
      <c r="T32" s="128"/>
      <c r="U32" s="128" t="s">
        <v>1287</v>
      </c>
      <c r="V32" s="128"/>
      <c r="W32" s="128" t="s">
        <v>1157</v>
      </c>
      <c r="X32" s="128"/>
      <c r="Y32" s="128" t="s">
        <v>1171</v>
      </c>
      <c r="Z32" s="128"/>
      <c r="AA32" s="128" t="s">
        <v>1199</v>
      </c>
      <c r="AB32" s="128"/>
      <c r="AC32" s="128" t="s">
        <v>1213</v>
      </c>
      <c r="AD32" s="128"/>
      <c r="AE32" s="128" t="s">
        <v>1116</v>
      </c>
      <c r="AF32" s="128"/>
      <c r="AG32" s="128" t="s">
        <v>1227</v>
      </c>
      <c r="AH32" s="128"/>
      <c r="AI32" s="128" t="s">
        <v>1241</v>
      </c>
      <c r="AJ32" s="116"/>
      <c r="AK32" s="116"/>
    </row>
    <row r="33" spans="2:37">
      <c r="B33" s="112">
        <v>2</v>
      </c>
      <c r="C33" s="112" t="s">
        <v>1304</v>
      </c>
      <c r="D33" s="112"/>
      <c r="E33" s="383" t="s">
        <v>1305</v>
      </c>
      <c r="F33" s="383"/>
      <c r="G33" s="383" t="s">
        <v>1306</v>
      </c>
      <c r="H33" s="383"/>
      <c r="I33" s="383" t="s">
        <v>1307</v>
      </c>
      <c r="J33" s="112"/>
      <c r="K33" s="112" t="s">
        <v>1308</v>
      </c>
      <c r="L33" s="112"/>
      <c r="M33" s="112" t="s">
        <v>1309</v>
      </c>
      <c r="N33" s="112"/>
      <c r="O33" s="112" t="s">
        <v>1310</v>
      </c>
      <c r="P33" s="112"/>
      <c r="Q33" s="112" t="s">
        <v>1311</v>
      </c>
      <c r="R33" s="112"/>
      <c r="S33" s="112" t="s">
        <v>1312</v>
      </c>
      <c r="T33" s="112"/>
      <c r="U33" s="112" t="s">
        <v>1313</v>
      </c>
      <c r="V33" s="112"/>
      <c r="W33" s="112" t="s">
        <v>1314</v>
      </c>
      <c r="X33" s="112"/>
      <c r="Y33" s="383" t="s">
        <v>1315</v>
      </c>
      <c r="Z33" s="383"/>
      <c r="AA33" s="383" t="s">
        <v>1316</v>
      </c>
      <c r="AB33" s="383"/>
      <c r="AC33" s="383" t="s">
        <v>1317</v>
      </c>
      <c r="AD33" s="383"/>
      <c r="AE33" s="383" t="s">
        <v>1318</v>
      </c>
      <c r="AF33" s="383"/>
      <c r="AG33" s="383" t="s">
        <v>1319</v>
      </c>
      <c r="AH33" s="383"/>
      <c r="AI33" s="383" t="s">
        <v>1320</v>
      </c>
      <c r="AJ33" s="113"/>
      <c r="AK33" s="113"/>
    </row>
    <row r="34" spans="2:37">
      <c r="B34" s="112">
        <f>B33+1</f>
        <v>3</v>
      </c>
      <c r="C34" s="112" t="s">
        <v>1321</v>
      </c>
      <c r="D34" s="112"/>
      <c r="E34" s="383" t="s">
        <v>1322</v>
      </c>
      <c r="F34" s="383"/>
      <c r="G34" s="383" t="s">
        <v>1323</v>
      </c>
      <c r="H34" s="383"/>
      <c r="I34" s="383" t="s">
        <v>1324</v>
      </c>
      <c r="J34" s="112"/>
      <c r="K34" s="112" t="s">
        <v>1325</v>
      </c>
      <c r="L34" s="112"/>
      <c r="M34" s="112" t="s">
        <v>1326</v>
      </c>
      <c r="N34" s="112"/>
      <c r="O34" s="112" t="s">
        <v>1327</v>
      </c>
      <c r="P34" s="112"/>
      <c r="Q34" s="112" t="s">
        <v>1328</v>
      </c>
      <c r="R34" s="112"/>
      <c r="S34" s="112" t="s">
        <v>1329</v>
      </c>
      <c r="T34" s="112"/>
      <c r="U34" s="112" t="s">
        <v>1330</v>
      </c>
      <c r="V34" s="112"/>
      <c r="W34" s="112" t="s">
        <v>1331</v>
      </c>
      <c r="X34" s="112"/>
      <c r="Y34" s="383" t="s">
        <v>1332</v>
      </c>
      <c r="Z34" s="383"/>
      <c r="AA34" s="383" t="s">
        <v>1333</v>
      </c>
      <c r="AB34" s="383"/>
      <c r="AC34" s="383" t="s">
        <v>1334</v>
      </c>
      <c r="AD34" s="383"/>
      <c r="AE34" s="383" t="s">
        <v>1335</v>
      </c>
      <c r="AF34" s="383"/>
      <c r="AG34" s="383" t="s">
        <v>1336</v>
      </c>
      <c r="AH34" s="383"/>
      <c r="AI34" s="383" t="s">
        <v>1337</v>
      </c>
      <c r="AJ34" s="113"/>
      <c r="AK34" s="113"/>
    </row>
    <row r="35" spans="2:37">
      <c r="B35" s="112">
        <f t="shared" ref="B35:B53" si="12">B34+1</f>
        <v>4</v>
      </c>
      <c r="C35" s="112" t="s">
        <v>1338</v>
      </c>
      <c r="D35" s="112"/>
      <c r="E35" s="383" t="s">
        <v>1339</v>
      </c>
      <c r="F35" s="383"/>
      <c r="G35" s="383" t="s">
        <v>1340</v>
      </c>
      <c r="H35" s="383"/>
      <c r="I35" s="383" t="s">
        <v>1341</v>
      </c>
      <c r="J35" s="112"/>
      <c r="K35" s="112" t="s">
        <v>1342</v>
      </c>
      <c r="L35" s="112"/>
      <c r="M35" s="112" t="s">
        <v>1343</v>
      </c>
      <c r="N35" s="112"/>
      <c r="O35" s="112" t="s">
        <v>1344</v>
      </c>
      <c r="P35" s="112"/>
      <c r="Q35" s="112" t="s">
        <v>1345</v>
      </c>
      <c r="R35" s="112"/>
      <c r="S35" s="112" t="s">
        <v>1346</v>
      </c>
      <c r="T35" s="112"/>
      <c r="U35" s="112" t="s">
        <v>1347</v>
      </c>
      <c r="V35" s="112"/>
      <c r="W35" s="112" t="s">
        <v>1348</v>
      </c>
      <c r="X35" s="112"/>
      <c r="Y35" s="383" t="s">
        <v>1349</v>
      </c>
      <c r="Z35" s="383"/>
      <c r="AA35" s="383" t="s">
        <v>1350</v>
      </c>
      <c r="AB35" s="383"/>
      <c r="AC35" s="383" t="s">
        <v>1351</v>
      </c>
      <c r="AD35" s="383"/>
      <c r="AE35" s="383" t="s">
        <v>1352</v>
      </c>
      <c r="AF35" s="383"/>
      <c r="AG35" s="383" t="s">
        <v>1353</v>
      </c>
      <c r="AH35" s="383"/>
      <c r="AI35" s="383" t="s">
        <v>1354</v>
      </c>
      <c r="AJ35" s="113"/>
      <c r="AK35" s="113"/>
    </row>
    <row r="36" spans="2:37">
      <c r="B36" s="112">
        <f t="shared" si="12"/>
        <v>5</v>
      </c>
      <c r="C36" s="112" t="s">
        <v>1355</v>
      </c>
      <c r="D36" s="112"/>
      <c r="E36" s="383" t="s">
        <v>1356</v>
      </c>
      <c r="F36" s="383"/>
      <c r="G36" s="383" t="s">
        <v>1357</v>
      </c>
      <c r="H36" s="383"/>
      <c r="I36" s="383" t="s">
        <v>1358</v>
      </c>
      <c r="J36" s="112"/>
      <c r="K36" s="112" t="s">
        <v>1359</v>
      </c>
      <c r="L36" s="112"/>
      <c r="M36" s="112" t="s">
        <v>1360</v>
      </c>
      <c r="N36" s="112"/>
      <c r="O36" s="112" t="s">
        <v>1361</v>
      </c>
      <c r="P36" s="112"/>
      <c r="Q36" s="112" t="s">
        <v>1362</v>
      </c>
      <c r="R36" s="112"/>
      <c r="S36" s="112" t="s">
        <v>1363</v>
      </c>
      <c r="T36" s="112"/>
      <c r="U36" s="112" t="s">
        <v>1364</v>
      </c>
      <c r="V36" s="112"/>
      <c r="W36" s="112" t="s">
        <v>1365</v>
      </c>
      <c r="X36" s="112"/>
      <c r="Y36" s="383" t="s">
        <v>1366</v>
      </c>
      <c r="Z36" s="383"/>
      <c r="AA36" s="383" t="s">
        <v>1367</v>
      </c>
      <c r="AB36" s="383"/>
      <c r="AC36" s="383" t="s">
        <v>1368</v>
      </c>
      <c r="AD36" s="383"/>
      <c r="AE36" s="383" t="s">
        <v>1369</v>
      </c>
      <c r="AF36" s="383"/>
      <c r="AG36" s="383" t="s">
        <v>1370</v>
      </c>
      <c r="AH36" s="383"/>
      <c r="AI36" s="383" t="s">
        <v>1371</v>
      </c>
      <c r="AJ36" s="113"/>
      <c r="AK36" s="113"/>
    </row>
    <row r="37" spans="2:37">
      <c r="B37" s="112">
        <f t="shared" si="12"/>
        <v>6</v>
      </c>
      <c r="C37" s="112" t="s">
        <v>1372</v>
      </c>
      <c r="D37" s="112"/>
      <c r="E37" s="383" t="s">
        <v>1373</v>
      </c>
      <c r="F37" s="383"/>
      <c r="G37" s="383" t="s">
        <v>1374</v>
      </c>
      <c r="H37" s="383"/>
      <c r="I37" s="383" t="s">
        <v>1375</v>
      </c>
      <c r="J37" s="112"/>
      <c r="K37" s="112" t="s">
        <v>1376</v>
      </c>
      <c r="L37" s="112"/>
      <c r="M37" s="383" t="s">
        <v>1377</v>
      </c>
      <c r="N37" s="383"/>
      <c r="O37" s="383" t="s">
        <v>1378</v>
      </c>
      <c r="P37" s="383"/>
      <c r="Q37" s="383" t="s">
        <v>1379</v>
      </c>
      <c r="R37" s="383"/>
      <c r="S37" s="383" t="s">
        <v>1380</v>
      </c>
      <c r="T37" s="112"/>
      <c r="U37" s="112" t="s">
        <v>1381</v>
      </c>
      <c r="V37" s="112"/>
      <c r="W37" s="112" t="s">
        <v>1382</v>
      </c>
      <c r="X37" s="112"/>
      <c r="Y37" s="383" t="s">
        <v>1383</v>
      </c>
      <c r="Z37" s="383"/>
      <c r="AA37" s="383" t="s">
        <v>1384</v>
      </c>
      <c r="AB37" s="383"/>
      <c r="AC37" s="383" t="s">
        <v>1385</v>
      </c>
      <c r="AD37" s="383"/>
      <c r="AE37" s="383" t="s">
        <v>1386</v>
      </c>
      <c r="AF37" s="383"/>
      <c r="AG37" s="383" t="s">
        <v>1387</v>
      </c>
      <c r="AH37" s="383"/>
      <c r="AI37" s="383" t="s">
        <v>1388</v>
      </c>
      <c r="AJ37" s="113"/>
      <c r="AK37" s="113"/>
    </row>
    <row r="38" spans="2:37">
      <c r="B38" s="112">
        <f t="shared" si="12"/>
        <v>7</v>
      </c>
      <c r="C38" s="112" t="s">
        <v>1389</v>
      </c>
      <c r="D38" s="112"/>
      <c r="E38" s="383" t="s">
        <v>1390</v>
      </c>
      <c r="F38" s="383"/>
      <c r="G38" s="383" t="s">
        <v>1391</v>
      </c>
      <c r="H38" s="383"/>
      <c r="I38" s="383" t="s">
        <v>1392</v>
      </c>
      <c r="J38" s="112"/>
      <c r="K38" s="112" t="s">
        <v>1393</v>
      </c>
      <c r="L38" s="112"/>
      <c r="M38" s="383" t="s">
        <v>1394</v>
      </c>
      <c r="N38" s="383"/>
      <c r="O38" s="383" t="s">
        <v>1395</v>
      </c>
      <c r="P38" s="383"/>
      <c r="Q38" s="383" t="s">
        <v>1396</v>
      </c>
      <c r="R38" s="383"/>
      <c r="S38" s="383" t="s">
        <v>1397</v>
      </c>
      <c r="T38" s="112"/>
      <c r="U38" s="112" t="s">
        <v>1398</v>
      </c>
      <c r="V38" s="112"/>
      <c r="W38" s="112" t="s">
        <v>1399</v>
      </c>
      <c r="X38" s="112"/>
      <c r="Y38" s="383" t="s">
        <v>1400</v>
      </c>
      <c r="Z38" s="383"/>
      <c r="AA38" s="383" t="s">
        <v>1401</v>
      </c>
      <c r="AB38" s="383"/>
      <c r="AC38" s="383" t="s">
        <v>1402</v>
      </c>
      <c r="AD38" s="383"/>
      <c r="AE38" s="383" t="s">
        <v>1403</v>
      </c>
      <c r="AF38" s="383"/>
      <c r="AG38" s="383" t="s">
        <v>1404</v>
      </c>
      <c r="AH38" s="383"/>
      <c r="AI38" s="383" t="s">
        <v>1405</v>
      </c>
      <c r="AJ38" s="113"/>
      <c r="AK38" s="113"/>
    </row>
    <row r="39" spans="2:37">
      <c r="B39" s="112">
        <f t="shared" si="12"/>
        <v>8</v>
      </c>
      <c r="C39" s="112" t="s">
        <v>1406</v>
      </c>
      <c r="D39" s="112"/>
      <c r="E39" s="383" t="s">
        <v>1407</v>
      </c>
      <c r="F39" s="383"/>
      <c r="G39" s="383" t="s">
        <v>1408</v>
      </c>
      <c r="H39" s="383"/>
      <c r="I39" s="383" t="s">
        <v>1409</v>
      </c>
      <c r="J39" s="112"/>
      <c r="K39" s="247" t="s">
        <v>1410</v>
      </c>
      <c r="L39" s="112"/>
      <c r="M39" s="383" t="s">
        <v>1411</v>
      </c>
      <c r="N39" s="383"/>
      <c r="O39" s="383" t="s">
        <v>1412</v>
      </c>
      <c r="P39" s="383"/>
      <c r="Q39" s="383" t="s">
        <v>1413</v>
      </c>
      <c r="R39" s="383"/>
      <c r="S39" s="383" t="s">
        <v>1414</v>
      </c>
      <c r="T39" s="112"/>
      <c r="U39" s="112" t="s">
        <v>1415</v>
      </c>
      <c r="V39" s="112"/>
      <c r="W39" s="112" t="s">
        <v>1416</v>
      </c>
      <c r="X39" s="112"/>
      <c r="Y39" s="383" t="s">
        <v>1417</v>
      </c>
      <c r="Z39" s="383"/>
      <c r="AA39" s="383" t="s">
        <v>1418</v>
      </c>
      <c r="AB39" s="383"/>
      <c r="AC39" s="383" t="s">
        <v>1419</v>
      </c>
      <c r="AD39" s="383"/>
      <c r="AE39" s="383" t="s">
        <v>1420</v>
      </c>
      <c r="AF39" s="383"/>
      <c r="AG39" s="383" t="s">
        <v>1421</v>
      </c>
      <c r="AH39" s="383"/>
      <c r="AI39" s="383" t="s">
        <v>1422</v>
      </c>
      <c r="AJ39" s="113"/>
      <c r="AK39" s="113"/>
    </row>
    <row r="40" spans="2:37">
      <c r="B40" s="112">
        <f t="shared" si="12"/>
        <v>9</v>
      </c>
      <c r="C40" s="112" t="s">
        <v>1423</v>
      </c>
      <c r="D40" s="112"/>
      <c r="E40" s="383" t="s">
        <v>1424</v>
      </c>
      <c r="F40" s="383"/>
      <c r="G40" s="383" t="s">
        <v>1425</v>
      </c>
      <c r="H40" s="383"/>
      <c r="I40" s="383"/>
      <c r="J40" s="112"/>
      <c r="K40" s="112" t="s">
        <v>1426</v>
      </c>
      <c r="L40" s="112"/>
      <c r="M40" s="383" t="s">
        <v>1427</v>
      </c>
      <c r="N40" s="383"/>
      <c r="O40" s="383" t="s">
        <v>1428</v>
      </c>
      <c r="P40" s="383"/>
      <c r="Q40" s="383" t="s">
        <v>1429</v>
      </c>
      <c r="R40" s="383"/>
      <c r="S40" s="383" t="s">
        <v>1430</v>
      </c>
      <c r="T40" s="112"/>
      <c r="U40" s="112" t="s">
        <v>1431</v>
      </c>
      <c r="V40" s="112"/>
      <c r="W40" s="112" t="s">
        <v>1432</v>
      </c>
      <c r="X40" s="112"/>
      <c r="Y40" s="383" t="s">
        <v>1433</v>
      </c>
      <c r="Z40" s="383"/>
      <c r="AA40" s="383" t="s">
        <v>1434</v>
      </c>
      <c r="AB40" s="383"/>
      <c r="AC40" s="383" t="s">
        <v>1435</v>
      </c>
      <c r="AD40" s="383"/>
      <c r="AE40" s="383" t="s">
        <v>1436</v>
      </c>
      <c r="AF40" s="383"/>
      <c r="AG40" s="383" t="s">
        <v>1437</v>
      </c>
      <c r="AH40" s="383"/>
      <c r="AI40" s="383" t="s">
        <v>1438</v>
      </c>
      <c r="AJ40" s="113"/>
      <c r="AK40" s="113"/>
    </row>
    <row r="41" spans="2:37">
      <c r="B41" s="112">
        <f t="shared" si="12"/>
        <v>10</v>
      </c>
      <c r="C41" s="112" t="s">
        <v>1439</v>
      </c>
      <c r="D41" s="112"/>
      <c r="E41" s="383" t="s">
        <v>1440</v>
      </c>
      <c r="F41" s="383"/>
      <c r="G41" s="383" t="s">
        <v>1441</v>
      </c>
      <c r="H41" s="383"/>
      <c r="I41" s="383"/>
      <c r="J41" s="112"/>
      <c r="K41" s="112" t="s">
        <v>1442</v>
      </c>
      <c r="L41" s="112"/>
      <c r="M41" s="383" t="s">
        <v>1443</v>
      </c>
      <c r="N41" s="383"/>
      <c r="O41" s="383"/>
      <c r="P41" s="383"/>
      <c r="Q41" s="383" t="s">
        <v>1444</v>
      </c>
      <c r="R41" s="383"/>
      <c r="S41" s="383" t="s">
        <v>1445</v>
      </c>
      <c r="T41" s="112"/>
      <c r="U41" s="112" t="s">
        <v>1446</v>
      </c>
      <c r="V41" s="112"/>
      <c r="W41" s="112" t="s">
        <v>1447</v>
      </c>
      <c r="X41" s="112"/>
      <c r="Y41" s="383" t="s">
        <v>1448</v>
      </c>
      <c r="Z41" s="383"/>
      <c r="AA41" s="383" t="s">
        <v>1449</v>
      </c>
      <c r="AB41" s="383"/>
      <c r="AC41" s="383" t="s">
        <v>1450</v>
      </c>
      <c r="AD41" s="383"/>
      <c r="AE41" s="383" t="s">
        <v>1451</v>
      </c>
      <c r="AF41" s="383"/>
      <c r="AG41" s="383" t="s">
        <v>1452</v>
      </c>
      <c r="AH41" s="383"/>
      <c r="AI41" s="383" t="s">
        <v>1453</v>
      </c>
      <c r="AJ41" s="113"/>
      <c r="AK41" s="113"/>
    </row>
    <row r="42" spans="2:37">
      <c r="B42" s="112">
        <f t="shared" si="12"/>
        <v>11</v>
      </c>
      <c r="C42" s="112"/>
      <c r="D42" s="112"/>
      <c r="E42" s="383" t="s">
        <v>1454</v>
      </c>
      <c r="F42" s="383"/>
      <c r="G42" s="383" t="s">
        <v>1455</v>
      </c>
      <c r="H42" s="383"/>
      <c r="I42" s="383"/>
      <c r="J42" s="112"/>
      <c r="K42" s="247" t="s">
        <v>1456</v>
      </c>
      <c r="L42" s="112"/>
      <c r="M42" s="383" t="s">
        <v>1457</v>
      </c>
      <c r="N42" s="383"/>
      <c r="O42" s="383"/>
      <c r="P42" s="383"/>
      <c r="Q42" s="383" t="s">
        <v>1458</v>
      </c>
      <c r="R42" s="383"/>
      <c r="S42" s="383"/>
      <c r="T42" s="112"/>
      <c r="U42" s="112"/>
      <c r="V42" s="112"/>
      <c r="W42" s="112" t="s">
        <v>1459</v>
      </c>
      <c r="X42" s="112"/>
      <c r="Y42" s="383" t="s">
        <v>1460</v>
      </c>
      <c r="Z42" s="383"/>
      <c r="AA42" s="383" t="s">
        <v>1461</v>
      </c>
      <c r="AB42" s="383"/>
      <c r="AC42" s="383" t="s">
        <v>1462</v>
      </c>
      <c r="AD42" s="383"/>
      <c r="AE42" s="383" t="s">
        <v>1463</v>
      </c>
      <c r="AF42" s="383"/>
      <c r="AG42" s="383" t="s">
        <v>1464</v>
      </c>
      <c r="AH42" s="383"/>
      <c r="AI42" s="383"/>
      <c r="AJ42" s="113"/>
      <c r="AK42" s="113"/>
    </row>
    <row r="43" spans="2:37">
      <c r="B43" s="112">
        <f t="shared" si="12"/>
        <v>12</v>
      </c>
      <c r="C43" s="112"/>
      <c r="D43" s="112"/>
      <c r="E43" s="383"/>
      <c r="F43" s="383"/>
      <c r="G43" s="383" t="s">
        <v>1465</v>
      </c>
      <c r="H43" s="383"/>
      <c r="I43" s="383"/>
      <c r="J43" s="112"/>
      <c r="K43" s="112" t="s">
        <v>1466</v>
      </c>
      <c r="L43" s="112"/>
      <c r="M43" s="383"/>
      <c r="N43" s="383"/>
      <c r="O43" s="383"/>
      <c r="P43" s="383"/>
      <c r="Q43" s="383" t="s">
        <v>1467</v>
      </c>
      <c r="R43" s="383"/>
      <c r="S43" s="383"/>
      <c r="T43" s="112"/>
      <c r="U43" s="112"/>
      <c r="V43" s="112"/>
      <c r="W43" s="112" t="s">
        <v>1468</v>
      </c>
      <c r="X43" s="112"/>
      <c r="Y43" s="383"/>
      <c r="Z43" s="383"/>
      <c r="AA43" s="383" t="s">
        <v>1469</v>
      </c>
      <c r="AB43" s="383"/>
      <c r="AC43" s="383" t="s">
        <v>1470</v>
      </c>
      <c r="AD43" s="383"/>
      <c r="AE43" s="383" t="s">
        <v>1471</v>
      </c>
      <c r="AF43" s="383"/>
      <c r="AG43" s="383" t="s">
        <v>1472</v>
      </c>
      <c r="AH43" s="383"/>
      <c r="AI43" s="383"/>
      <c r="AJ43" s="113"/>
      <c r="AK43" s="113"/>
    </row>
    <row r="44" spans="2:37">
      <c r="B44" s="112">
        <f t="shared" si="12"/>
        <v>13</v>
      </c>
      <c r="C44" s="112"/>
      <c r="D44" s="112"/>
      <c r="E44" s="383"/>
      <c r="F44" s="383"/>
      <c r="G44" s="383" t="s">
        <v>1473</v>
      </c>
      <c r="H44" s="383"/>
      <c r="I44" s="383"/>
      <c r="J44" s="112"/>
      <c r="K44" s="383" t="s">
        <v>1474</v>
      </c>
      <c r="L44" s="383"/>
      <c r="M44" s="383"/>
      <c r="N44" s="383"/>
      <c r="O44" s="383"/>
      <c r="P44" s="383"/>
      <c r="Q44" s="383"/>
      <c r="R44" s="112"/>
      <c r="S44" s="112"/>
      <c r="T44" s="112"/>
      <c r="U44" s="112"/>
      <c r="V44" s="112"/>
      <c r="W44" s="112" t="s">
        <v>1475</v>
      </c>
      <c r="X44" s="112"/>
      <c r="Y44" s="383"/>
      <c r="Z44" s="383"/>
      <c r="AA44" s="383" t="s">
        <v>1476</v>
      </c>
      <c r="AB44" s="383"/>
      <c r="AC44" s="383" t="s">
        <v>1477</v>
      </c>
      <c r="AD44" s="383"/>
      <c r="AE44" s="383"/>
      <c r="AF44" s="383"/>
      <c r="AG44" s="383" t="s">
        <v>1478</v>
      </c>
      <c r="AH44" s="383"/>
      <c r="AI44" s="383"/>
      <c r="AJ44" s="113"/>
      <c r="AK44" s="113"/>
    </row>
    <row r="45" spans="2:37">
      <c r="B45" s="112">
        <f t="shared" si="12"/>
        <v>14</v>
      </c>
      <c r="C45" s="112"/>
      <c r="D45" s="112"/>
      <c r="E45" s="383"/>
      <c r="F45" s="383"/>
      <c r="G45" s="383" t="s">
        <v>1479</v>
      </c>
      <c r="H45" s="383"/>
      <c r="I45" s="383"/>
      <c r="J45" s="112"/>
      <c r="K45" s="383" t="s">
        <v>1480</v>
      </c>
      <c r="L45" s="383"/>
      <c r="M45" s="383"/>
      <c r="N45" s="383"/>
      <c r="O45" s="383"/>
      <c r="P45" s="383"/>
      <c r="Q45" s="383"/>
      <c r="R45" s="112"/>
      <c r="S45" s="112"/>
      <c r="T45" s="112"/>
      <c r="U45" s="112"/>
      <c r="V45" s="112"/>
      <c r="W45" s="112" t="s">
        <v>1481</v>
      </c>
      <c r="X45" s="112"/>
      <c r="Y45" s="383"/>
      <c r="Z45" s="383"/>
      <c r="AA45" s="383" t="s">
        <v>1482</v>
      </c>
      <c r="AB45" s="383"/>
      <c r="AC45" s="383" t="s">
        <v>1483</v>
      </c>
      <c r="AD45" s="383"/>
      <c r="AE45" s="383"/>
      <c r="AF45" s="383"/>
      <c r="AG45" s="383" t="s">
        <v>1484</v>
      </c>
      <c r="AH45" s="383"/>
      <c r="AI45" s="383"/>
      <c r="AJ45" s="113"/>
      <c r="AK45" s="113"/>
    </row>
    <row r="46" spans="2:37">
      <c r="B46" s="112">
        <f t="shared" si="12"/>
        <v>15</v>
      </c>
      <c r="C46" s="112"/>
      <c r="D46" s="112"/>
      <c r="E46" s="383"/>
      <c r="F46" s="383"/>
      <c r="G46" s="383" t="s">
        <v>1485</v>
      </c>
      <c r="H46" s="383"/>
      <c r="I46" s="383"/>
      <c r="J46" s="112"/>
      <c r="K46" s="383" t="s">
        <v>1486</v>
      </c>
      <c r="L46" s="383"/>
      <c r="M46" s="383"/>
      <c r="N46" s="383"/>
      <c r="O46" s="383"/>
      <c r="P46" s="383"/>
      <c r="Q46" s="383"/>
      <c r="R46" s="112"/>
      <c r="S46" s="112"/>
      <c r="T46" s="112"/>
      <c r="U46" s="112"/>
      <c r="V46" s="112"/>
      <c r="W46" s="112" t="s">
        <v>1487</v>
      </c>
      <c r="X46" s="112"/>
      <c r="Y46" s="383"/>
      <c r="Z46" s="383"/>
      <c r="AA46" s="383" t="s">
        <v>1488</v>
      </c>
      <c r="AB46" s="383"/>
      <c r="AC46" s="383" t="s">
        <v>1489</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1490</v>
      </c>
      <c r="AB47" s="383"/>
      <c r="AC47" s="383" t="s">
        <v>1491</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1492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1493</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1299</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5">
      <c r="B56" s="117" t="s">
        <v>1494</v>
      </c>
      <c r="C56" s="119"/>
      <c r="D56" s="119"/>
      <c r="E56" s="119"/>
      <c r="F56" s="119"/>
      <c r="G56" s="119"/>
      <c r="H56" s="119"/>
      <c r="I56" s="119"/>
      <c r="J56" s="119"/>
      <c r="K56" s="119"/>
      <c r="L56" s="119"/>
      <c r="M56" s="247" t="s">
        <v>1302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1303</v>
      </c>
      <c r="C58" s="366" t="s">
        <v>1251</v>
      </c>
      <c r="D58" s="366"/>
      <c r="E58" s="366" t="s">
        <v>1102</v>
      </c>
      <c r="F58" s="366"/>
      <c r="G58" s="366" t="s">
        <v>1260</v>
      </c>
      <c r="H58" s="366"/>
      <c r="I58" s="366" t="s">
        <v>1130</v>
      </c>
      <c r="J58" s="366"/>
      <c r="K58" s="366" t="s">
        <v>1143</v>
      </c>
      <c r="L58" s="366"/>
      <c r="M58" s="366" t="s">
        <v>1269</v>
      </c>
      <c r="N58" s="366"/>
      <c r="O58" s="366" t="s">
        <v>1296</v>
      </c>
      <c r="P58" s="366"/>
      <c r="Q58" s="366" t="s">
        <v>1278</v>
      </c>
      <c r="R58" s="366"/>
      <c r="S58" s="366" t="s">
        <v>1185</v>
      </c>
      <c r="T58" s="366"/>
      <c r="U58" s="366" t="s">
        <v>1287</v>
      </c>
      <c r="V58" s="366"/>
      <c r="W58" s="366" t="s">
        <v>1157</v>
      </c>
      <c r="X58" s="366"/>
      <c r="Y58" s="366" t="s">
        <v>1171</v>
      </c>
      <c r="Z58" s="366"/>
      <c r="AA58" s="366" t="s">
        <v>1199</v>
      </c>
      <c r="AB58" s="366"/>
      <c r="AC58" s="366" t="s">
        <v>1213</v>
      </c>
      <c r="AD58" s="366"/>
      <c r="AE58" s="366" t="s">
        <v>1116</v>
      </c>
      <c r="AF58" s="366"/>
      <c r="AG58" s="366" t="s">
        <v>1227</v>
      </c>
      <c r="AH58" s="366"/>
      <c r="AI58" s="366" t="s">
        <v>1241</v>
      </c>
      <c r="AJ58" s="118"/>
      <c r="AK58" s="118"/>
    </row>
    <row r="59" spans="2:37">
      <c r="B59" s="119">
        <v>2</v>
      </c>
      <c r="C59" s="367"/>
      <c r="D59" s="367"/>
      <c r="E59" s="367" t="s">
        <v>1495</v>
      </c>
      <c r="F59" s="367"/>
      <c r="G59" s="367"/>
      <c r="H59" s="367"/>
      <c r="I59" s="367" t="s">
        <v>1496</v>
      </c>
      <c r="J59" s="367"/>
      <c r="K59" s="367" t="s">
        <v>1497</v>
      </c>
      <c r="L59" s="367"/>
      <c r="M59" s="367"/>
      <c r="N59" s="367"/>
      <c r="O59" s="367"/>
      <c r="P59" s="367"/>
      <c r="Q59" s="367"/>
      <c r="R59" s="367"/>
      <c r="S59" s="367" t="s">
        <v>1498</v>
      </c>
      <c r="T59" s="367"/>
      <c r="U59" s="367"/>
      <c r="V59" s="367"/>
      <c r="W59" s="367" t="s">
        <v>1499</v>
      </c>
      <c r="X59" s="367"/>
      <c r="Y59" s="367" t="s">
        <v>1500</v>
      </c>
      <c r="Z59" s="367"/>
      <c r="AA59" s="369" t="s">
        <v>1501</v>
      </c>
      <c r="AB59" s="367"/>
      <c r="AC59" s="367" t="s">
        <v>1502</v>
      </c>
      <c r="AD59" s="367"/>
      <c r="AE59" s="369" t="s">
        <v>1503</v>
      </c>
      <c r="AF59" s="367"/>
      <c r="AG59" s="369" t="s">
        <v>1504</v>
      </c>
      <c r="AH59" s="367"/>
      <c r="AI59" s="367" t="s">
        <v>1505</v>
      </c>
      <c r="AJ59" s="118"/>
      <c r="AK59" s="118"/>
    </row>
    <row r="60" spans="2:37">
      <c r="B60" s="119">
        <f>B59+1</f>
        <v>3</v>
      </c>
      <c r="C60" s="367"/>
      <c r="D60" s="367"/>
      <c r="E60" s="367" t="s">
        <v>1506</v>
      </c>
      <c r="F60" s="367"/>
      <c r="G60" s="367"/>
      <c r="H60" s="367"/>
      <c r="I60" s="367" t="s">
        <v>1507</v>
      </c>
      <c r="J60" s="367"/>
      <c r="K60" s="367" t="s">
        <v>1508</v>
      </c>
      <c r="L60" s="367"/>
      <c r="M60" s="367"/>
      <c r="N60" s="367"/>
      <c r="O60" s="367"/>
      <c r="P60" s="367"/>
      <c r="Q60" s="367"/>
      <c r="R60" s="367"/>
      <c r="S60" s="367" t="s">
        <v>1509</v>
      </c>
      <c r="T60" s="367"/>
      <c r="U60" s="367"/>
      <c r="V60" s="367"/>
      <c r="W60" s="367" t="s">
        <v>1510</v>
      </c>
      <c r="X60" s="367"/>
      <c r="Y60" s="367" t="s">
        <v>1511</v>
      </c>
      <c r="Z60" s="367"/>
      <c r="AA60" s="369" t="s">
        <v>1512</v>
      </c>
      <c r="AB60" s="367"/>
      <c r="AC60" s="367" t="s">
        <v>1513</v>
      </c>
      <c r="AD60" s="367"/>
      <c r="AE60" s="369" t="s">
        <v>1514</v>
      </c>
      <c r="AF60" s="367"/>
      <c r="AG60" s="367" t="s">
        <v>1515</v>
      </c>
      <c r="AH60" s="367"/>
      <c r="AI60" s="371" t="s">
        <v>1516</v>
      </c>
      <c r="AJ60" s="118"/>
      <c r="AK60" s="118"/>
    </row>
    <row r="61" spans="2:37">
      <c r="B61" s="119">
        <f t="shared" ref="B61:B72" si="13">B60+1</f>
        <v>4</v>
      </c>
      <c r="C61" s="367"/>
      <c r="D61" s="367"/>
      <c r="E61" s="367" t="s">
        <v>1517</v>
      </c>
      <c r="F61" s="367"/>
      <c r="G61" s="367"/>
      <c r="H61" s="367"/>
      <c r="I61" s="367" t="s">
        <v>1518</v>
      </c>
      <c r="J61" s="367"/>
      <c r="K61" s="367" t="s">
        <v>1519</v>
      </c>
      <c r="L61" s="367"/>
      <c r="M61" s="367"/>
      <c r="N61" s="367"/>
      <c r="O61" s="367"/>
      <c r="P61" s="367"/>
      <c r="Q61" s="367"/>
      <c r="R61" s="367"/>
      <c r="S61" s="367" t="s">
        <v>1520</v>
      </c>
      <c r="T61" s="367"/>
      <c r="U61" s="367"/>
      <c r="V61" s="367"/>
      <c r="W61" s="367" t="s">
        <v>1521</v>
      </c>
      <c r="X61" s="367"/>
      <c r="Y61" s="367" t="s">
        <v>1522</v>
      </c>
      <c r="Z61" s="367"/>
      <c r="AA61" s="369" t="s">
        <v>1523</v>
      </c>
      <c r="AB61" s="367"/>
      <c r="AC61" s="257" t="s">
        <v>1524</v>
      </c>
      <c r="AD61" s="367"/>
      <c r="AE61" s="369" t="s">
        <v>1525</v>
      </c>
      <c r="AF61" s="367"/>
      <c r="AG61" s="367" t="s">
        <v>1526</v>
      </c>
      <c r="AH61" s="367"/>
      <c r="AI61" s="367" t="s">
        <v>1527</v>
      </c>
      <c r="AJ61" s="118"/>
      <c r="AK61" s="118"/>
    </row>
    <row r="62" spans="2:37">
      <c r="B62" s="119">
        <f t="shared" si="13"/>
        <v>5</v>
      </c>
      <c r="C62" s="367"/>
      <c r="D62" s="367"/>
      <c r="E62" s="367" t="s">
        <v>1528</v>
      </c>
      <c r="F62" s="367"/>
      <c r="G62" s="367"/>
      <c r="H62" s="367"/>
      <c r="I62" s="367"/>
      <c r="J62" s="367"/>
      <c r="K62" s="367" t="s">
        <v>1529</v>
      </c>
      <c r="L62" s="367"/>
      <c r="M62" s="367"/>
      <c r="N62" s="367"/>
      <c r="O62" s="367"/>
      <c r="P62" s="367"/>
      <c r="Q62" s="367"/>
      <c r="R62" s="367"/>
      <c r="S62" s="367" t="s">
        <v>1530</v>
      </c>
      <c r="T62" s="367"/>
      <c r="U62" s="367"/>
      <c r="V62" s="367"/>
      <c r="W62" s="367" t="s">
        <v>1531</v>
      </c>
      <c r="X62" s="367"/>
      <c r="Y62" s="367" t="s">
        <v>1532</v>
      </c>
      <c r="Z62" s="367"/>
      <c r="AA62" s="369" t="s">
        <v>1533</v>
      </c>
      <c r="AB62" s="367"/>
      <c r="AC62" s="367" t="s">
        <v>1534</v>
      </c>
      <c r="AD62" s="367"/>
      <c r="AE62" s="369" t="s">
        <v>1535</v>
      </c>
      <c r="AF62" s="367"/>
      <c r="AG62" s="367" t="s">
        <v>1536</v>
      </c>
      <c r="AH62" s="367"/>
      <c r="AI62" s="367" t="s">
        <v>1537</v>
      </c>
      <c r="AJ62" s="118"/>
      <c r="AK62" s="118"/>
    </row>
    <row r="63" spans="2:37">
      <c r="B63" s="119">
        <f t="shared" si="13"/>
        <v>6</v>
      </c>
      <c r="C63" s="367"/>
      <c r="D63" s="367"/>
      <c r="E63" s="367" t="s">
        <v>1538</v>
      </c>
      <c r="F63" s="367"/>
      <c r="G63" s="367"/>
      <c r="H63" s="367"/>
      <c r="I63" s="367"/>
      <c r="J63" s="367"/>
      <c r="K63" s="367" t="s">
        <v>1539</v>
      </c>
      <c r="L63" s="367"/>
      <c r="M63" s="367"/>
      <c r="N63" s="367"/>
      <c r="O63" s="367"/>
      <c r="P63" s="367"/>
      <c r="Q63" s="367"/>
      <c r="R63" s="367"/>
      <c r="S63" s="367" t="s">
        <v>1540</v>
      </c>
      <c r="T63" s="367"/>
      <c r="U63" s="367"/>
      <c r="V63" s="367"/>
      <c r="W63" s="367" t="s">
        <v>1541</v>
      </c>
      <c r="X63" s="367"/>
      <c r="Y63" s="367" t="s">
        <v>1542</v>
      </c>
      <c r="Z63" s="367"/>
      <c r="AA63" s="369" t="s">
        <v>1543</v>
      </c>
      <c r="AB63" s="367"/>
      <c r="AC63" s="367" t="s">
        <v>1544</v>
      </c>
      <c r="AD63" s="367"/>
      <c r="AE63" s="369" t="s">
        <v>1545</v>
      </c>
      <c r="AF63" s="367"/>
      <c r="AG63" s="367" t="s">
        <v>1546</v>
      </c>
      <c r="AH63" s="367"/>
      <c r="AI63" s="367" t="s">
        <v>1547</v>
      </c>
      <c r="AJ63" s="118"/>
      <c r="AK63" s="118"/>
    </row>
    <row r="64" spans="2:37">
      <c r="B64" s="119">
        <f t="shared" si="13"/>
        <v>7</v>
      </c>
      <c r="C64" s="367"/>
      <c r="D64" s="367"/>
      <c r="E64" s="367"/>
      <c r="F64" s="367"/>
      <c r="G64" s="367"/>
      <c r="H64" s="367"/>
      <c r="I64" s="367"/>
      <c r="J64" s="367"/>
      <c r="K64" s="367" t="s">
        <v>1548</v>
      </c>
      <c r="L64" s="367"/>
      <c r="M64" s="367"/>
      <c r="N64" s="367"/>
      <c r="O64" s="367"/>
      <c r="P64" s="367"/>
      <c r="Q64" s="367"/>
      <c r="R64" s="367"/>
      <c r="S64" s="367" t="s">
        <v>1549</v>
      </c>
      <c r="T64" s="367"/>
      <c r="U64" s="367"/>
      <c r="V64" s="367"/>
      <c r="W64" s="367" t="s">
        <v>1550</v>
      </c>
      <c r="X64" s="367"/>
      <c r="Y64" s="367" t="s">
        <v>1551</v>
      </c>
      <c r="Z64" s="367"/>
      <c r="AA64" s="369" t="s">
        <v>1552</v>
      </c>
      <c r="AB64" s="367"/>
      <c r="AC64" s="367" t="s">
        <v>1553</v>
      </c>
      <c r="AD64" s="367"/>
      <c r="AE64" s="369" t="s">
        <v>1554</v>
      </c>
      <c r="AF64" s="367"/>
      <c r="AG64" s="367" t="s">
        <v>1555</v>
      </c>
      <c r="AH64" s="367"/>
      <c r="AI64" s="367" t="s">
        <v>1556</v>
      </c>
      <c r="AJ64" s="118"/>
      <c r="AK64" s="118"/>
    </row>
    <row r="65" spans="2:37">
      <c r="B65" s="119">
        <f t="shared" si="13"/>
        <v>8</v>
      </c>
      <c r="C65" s="367"/>
      <c r="D65" s="367"/>
      <c r="E65" s="367"/>
      <c r="F65" s="367"/>
      <c r="G65" s="367"/>
      <c r="H65" s="367"/>
      <c r="I65" s="367"/>
      <c r="J65" s="367"/>
      <c r="K65" s="367" t="s">
        <v>1557</v>
      </c>
      <c r="L65" s="367"/>
      <c r="M65" s="367"/>
      <c r="N65" s="367"/>
      <c r="O65" s="367"/>
      <c r="P65" s="367"/>
      <c r="Q65" s="367"/>
      <c r="R65" s="367"/>
      <c r="S65" s="367" t="s">
        <v>1558</v>
      </c>
      <c r="T65" s="367"/>
      <c r="U65" s="367"/>
      <c r="V65" s="367"/>
      <c r="W65" s="367" t="s">
        <v>1559</v>
      </c>
      <c r="X65" s="367"/>
      <c r="Y65" s="367" t="s">
        <v>1560</v>
      </c>
      <c r="Z65" s="367"/>
      <c r="AA65" s="370" t="s">
        <v>1561</v>
      </c>
      <c r="AB65" s="367"/>
      <c r="AC65" s="367" t="s">
        <v>1562</v>
      </c>
      <c r="AD65" s="367"/>
      <c r="AE65" s="369" t="s">
        <v>1563</v>
      </c>
      <c r="AF65" s="367"/>
      <c r="AG65" s="367" t="s">
        <v>1564</v>
      </c>
      <c r="AH65" s="367"/>
      <c r="AI65" s="367" t="s">
        <v>1565</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1566</v>
      </c>
      <c r="T66" s="367"/>
      <c r="U66" s="367"/>
      <c r="V66" s="367"/>
      <c r="W66" s="367" t="s">
        <v>1567</v>
      </c>
      <c r="X66" s="367"/>
      <c r="Y66" s="367" t="s">
        <v>1568</v>
      </c>
      <c r="Z66" s="367"/>
      <c r="AA66" s="369" t="s">
        <v>1569</v>
      </c>
      <c r="AB66" s="367"/>
      <c r="AC66" s="257" t="s">
        <v>1570</v>
      </c>
      <c r="AD66" s="367"/>
      <c r="AE66" s="369" t="s">
        <v>1571</v>
      </c>
      <c r="AF66" s="367"/>
      <c r="AG66" s="367" t="s">
        <v>1572</v>
      </c>
      <c r="AH66" s="367"/>
      <c r="AI66" s="367" t="s">
        <v>1573</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1574</v>
      </c>
      <c r="T67" s="367"/>
      <c r="U67" s="367"/>
      <c r="V67" s="367"/>
      <c r="W67" s="1858" t="s">
        <v>1575</v>
      </c>
      <c r="X67" s="367"/>
      <c r="Y67" s="367" t="s">
        <v>1576</v>
      </c>
      <c r="Z67" s="367"/>
      <c r="AA67" s="369" t="s">
        <v>1577</v>
      </c>
      <c r="AB67" s="367"/>
      <c r="AC67" s="367" t="s">
        <v>1578</v>
      </c>
      <c r="AD67" s="367"/>
      <c r="AE67" s="367"/>
      <c r="AF67" s="367"/>
      <c r="AG67" s="367" t="s">
        <v>1579</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1580</v>
      </c>
      <c r="T68" s="367"/>
      <c r="U68" s="367"/>
      <c r="V68" s="367"/>
      <c r="W68" s="367"/>
      <c r="X68" s="367"/>
      <c r="Y68" s="367"/>
      <c r="Z68" s="367"/>
      <c r="AA68" s="369" t="s">
        <v>1581</v>
      </c>
      <c r="AB68" s="367"/>
      <c r="AC68" s="367" t="s">
        <v>1582</v>
      </c>
      <c r="AD68" s="367"/>
      <c r="AE68" s="367"/>
      <c r="AF68" s="367"/>
      <c r="AG68" s="367" t="s">
        <v>1583</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1584</v>
      </c>
      <c r="AB69" s="367"/>
      <c r="AC69" s="367"/>
      <c r="AD69" s="367"/>
      <c r="AE69" s="367"/>
      <c r="AF69" s="367"/>
      <c r="AG69" s="367" t="s">
        <v>1585</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1299</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5">
      <c r="B76" s="123" t="s">
        <v>1586</v>
      </c>
      <c r="C76" s="125"/>
      <c r="D76" s="125"/>
      <c r="E76" s="125"/>
      <c r="F76" s="125"/>
      <c r="G76" s="125"/>
      <c r="H76" s="125"/>
      <c r="I76" s="125"/>
      <c r="J76" s="125"/>
      <c r="K76" s="125"/>
      <c r="L76" s="125"/>
      <c r="M76" s="247" t="s">
        <v>1302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1303</v>
      </c>
      <c r="C78" s="130" t="s">
        <v>1251</v>
      </c>
      <c r="D78" s="130"/>
      <c r="E78" s="130" t="s">
        <v>1102</v>
      </c>
      <c r="F78" s="130"/>
      <c r="G78" s="130" t="s">
        <v>1260</v>
      </c>
      <c r="H78" s="130"/>
      <c r="I78" s="130" t="s">
        <v>1130</v>
      </c>
      <c r="J78" s="130"/>
      <c r="K78" s="130" t="s">
        <v>1143</v>
      </c>
      <c r="L78" s="130"/>
      <c r="M78" s="130" t="s">
        <v>1269</v>
      </c>
      <c r="N78" s="130"/>
      <c r="O78" s="130" t="s">
        <v>1296</v>
      </c>
      <c r="P78" s="130"/>
      <c r="Q78" s="130" t="s">
        <v>1278</v>
      </c>
      <c r="R78" s="130"/>
      <c r="S78" s="130" t="s">
        <v>1185</v>
      </c>
      <c r="T78" s="130"/>
      <c r="U78" s="130" t="s">
        <v>1287</v>
      </c>
      <c r="V78" s="130"/>
      <c r="W78" s="130" t="s">
        <v>1157</v>
      </c>
      <c r="X78" s="130"/>
      <c r="Y78" s="130" t="s">
        <v>1171</v>
      </c>
      <c r="Z78" s="130"/>
      <c r="AA78" s="130" t="s">
        <v>1199</v>
      </c>
      <c r="AB78" s="130"/>
      <c r="AC78" s="130" t="s">
        <v>1213</v>
      </c>
      <c r="AD78" s="130"/>
      <c r="AE78" s="130" t="s">
        <v>1116</v>
      </c>
      <c r="AF78" s="130"/>
      <c r="AG78" s="130" t="s">
        <v>1227</v>
      </c>
      <c r="AH78" s="130"/>
      <c r="AI78" s="130" t="s">
        <v>1241</v>
      </c>
      <c r="AJ78" s="124"/>
      <c r="AK78" s="124"/>
    </row>
    <row r="79" spans="2:37">
      <c r="B79" s="125">
        <v>2</v>
      </c>
      <c r="C79" s="125" t="s">
        <v>1587</v>
      </c>
      <c r="D79" s="125"/>
      <c r="E79" s="125" t="s">
        <v>1588</v>
      </c>
      <c r="F79" s="125"/>
      <c r="G79" s="125" t="s">
        <v>1589</v>
      </c>
      <c r="H79" s="125"/>
      <c r="I79" s="125" t="s">
        <v>1590</v>
      </c>
      <c r="J79" s="125"/>
      <c r="K79" s="125" t="s">
        <v>1591</v>
      </c>
      <c r="L79" s="125"/>
      <c r="M79" s="125" t="s">
        <v>1592</v>
      </c>
      <c r="N79" s="125"/>
      <c r="O79" s="125" t="s">
        <v>1593</v>
      </c>
      <c r="P79" s="125"/>
      <c r="Q79" s="125" t="s">
        <v>1594</v>
      </c>
      <c r="R79" s="125"/>
      <c r="S79" s="125" t="s">
        <v>1595</v>
      </c>
      <c r="T79" s="125"/>
      <c r="U79" s="125" t="s">
        <v>1596</v>
      </c>
      <c r="V79" s="125"/>
      <c r="W79" s="125" t="s">
        <v>1597</v>
      </c>
      <c r="X79" s="125"/>
      <c r="Y79" s="125" t="s">
        <v>1598</v>
      </c>
      <c r="Z79" s="125"/>
      <c r="AA79" s="125" t="s">
        <v>1599</v>
      </c>
      <c r="AB79" s="125"/>
      <c r="AC79" s="125" t="s">
        <v>1600</v>
      </c>
      <c r="AD79" s="125"/>
      <c r="AE79" s="125" t="s">
        <v>1601</v>
      </c>
      <c r="AF79" s="125"/>
      <c r="AG79" s="125" t="s">
        <v>1602</v>
      </c>
      <c r="AH79" s="125"/>
      <c r="AI79" s="125" t="s">
        <v>1603</v>
      </c>
      <c r="AJ79" s="124"/>
      <c r="AK79" s="124"/>
    </row>
    <row r="80" spans="2:37">
      <c r="B80" s="125">
        <f>B79+1</f>
        <v>3</v>
      </c>
      <c r="C80" s="125" t="s">
        <v>1604</v>
      </c>
      <c r="D80" s="125"/>
      <c r="E80" s="125" t="s">
        <v>1605</v>
      </c>
      <c r="F80" s="125"/>
      <c r="G80" s="125" t="s">
        <v>1606</v>
      </c>
      <c r="H80" s="125"/>
      <c r="I80" s="125" t="s">
        <v>1607</v>
      </c>
      <c r="J80" s="125"/>
      <c r="K80" s="125" t="s">
        <v>1608</v>
      </c>
      <c r="L80" s="125"/>
      <c r="M80" s="125" t="s">
        <v>1609</v>
      </c>
      <c r="N80" s="125"/>
      <c r="O80" s="125" t="s">
        <v>1610</v>
      </c>
      <c r="P80" s="125"/>
      <c r="Q80" s="125" t="s">
        <v>1611</v>
      </c>
      <c r="R80" s="125"/>
      <c r="S80" s="125" t="s">
        <v>1612</v>
      </c>
      <c r="T80" s="125"/>
      <c r="U80" s="125" t="s">
        <v>1613</v>
      </c>
      <c r="V80" s="125"/>
      <c r="W80" s="125" t="s">
        <v>1614</v>
      </c>
      <c r="X80" s="125"/>
      <c r="Y80" s="125" t="s">
        <v>1615</v>
      </c>
      <c r="Z80" s="125"/>
      <c r="AA80" s="125" t="s">
        <v>1616</v>
      </c>
      <c r="AB80" s="125"/>
      <c r="AC80" s="125" t="s">
        <v>1617</v>
      </c>
      <c r="AD80" s="125"/>
      <c r="AE80" s="125" t="s">
        <v>1618</v>
      </c>
      <c r="AF80" s="125"/>
      <c r="AG80" s="125" t="s">
        <v>1619</v>
      </c>
      <c r="AH80" s="125"/>
      <c r="AI80" s="125" t="s">
        <v>1620</v>
      </c>
      <c r="AJ80" s="124"/>
      <c r="AK80" s="124"/>
    </row>
    <row r="81" spans="2:37">
      <c r="B81" s="125">
        <f t="shared" ref="B81:B102" si="14">B80+1</f>
        <v>4</v>
      </c>
      <c r="C81" s="125" t="s">
        <v>1621</v>
      </c>
      <c r="D81" s="125"/>
      <c r="E81" s="247" t="s">
        <v>1622</v>
      </c>
      <c r="F81" s="125"/>
      <c r="G81" s="125" t="s">
        <v>1623</v>
      </c>
      <c r="H81" s="125"/>
      <c r="I81" s="125" t="s">
        <v>1624</v>
      </c>
      <c r="J81" s="125"/>
      <c r="K81" s="125" t="s">
        <v>1625</v>
      </c>
      <c r="L81" s="125"/>
      <c r="M81" s="247" t="s">
        <v>1626</v>
      </c>
      <c r="N81" s="125"/>
      <c r="O81" s="125" t="s">
        <v>1627</v>
      </c>
      <c r="P81" s="125"/>
      <c r="Q81" s="125" t="s">
        <v>1628</v>
      </c>
      <c r="R81" s="125"/>
      <c r="S81" s="125" t="s">
        <v>1629</v>
      </c>
      <c r="T81" s="125"/>
      <c r="U81" s="125" t="s">
        <v>1630</v>
      </c>
      <c r="V81" s="125"/>
      <c r="W81" s="125" t="s">
        <v>1631</v>
      </c>
      <c r="X81" s="125"/>
      <c r="Y81" s="125" t="s">
        <v>1632</v>
      </c>
      <c r="Z81" s="125"/>
      <c r="AA81" s="125" t="s">
        <v>1633</v>
      </c>
      <c r="AB81" s="125"/>
      <c r="AC81" s="125" t="s">
        <v>1634</v>
      </c>
      <c r="AD81" s="125"/>
      <c r="AE81" s="125" t="s">
        <v>1635</v>
      </c>
      <c r="AF81" s="125"/>
      <c r="AG81" s="125" t="s">
        <v>1636</v>
      </c>
      <c r="AH81" s="125"/>
      <c r="AI81" s="247" t="s">
        <v>1637</v>
      </c>
      <c r="AJ81" s="124"/>
      <c r="AK81" s="124"/>
    </row>
    <row r="82" spans="2:37">
      <c r="B82" s="125">
        <f t="shared" si="14"/>
        <v>5</v>
      </c>
      <c r="C82" s="125" t="s">
        <v>1638</v>
      </c>
      <c r="D82" s="125"/>
      <c r="E82" s="247" t="s">
        <v>1639</v>
      </c>
      <c r="F82" s="125"/>
      <c r="G82" s="125" t="s">
        <v>1640</v>
      </c>
      <c r="H82" s="125"/>
      <c r="I82" s="125" t="s">
        <v>1641</v>
      </c>
      <c r="J82" s="125"/>
      <c r="K82" s="125" t="s">
        <v>1642</v>
      </c>
      <c r="L82" s="125"/>
      <c r="M82" s="125" t="s">
        <v>1643</v>
      </c>
      <c r="N82" s="125"/>
      <c r="O82" s="125" t="s">
        <v>1644</v>
      </c>
      <c r="P82" s="125"/>
      <c r="Q82" s="125" t="s">
        <v>1645</v>
      </c>
      <c r="R82" s="125"/>
      <c r="S82" s="125" t="s">
        <v>1646</v>
      </c>
      <c r="T82" s="125"/>
      <c r="U82" s="125" t="s">
        <v>1647</v>
      </c>
      <c r="V82" s="125"/>
      <c r="W82" s="125"/>
      <c r="X82" s="125"/>
      <c r="Y82" s="125" t="s">
        <v>1648</v>
      </c>
      <c r="Z82" s="125"/>
      <c r="AA82" s="125" t="s">
        <v>1649</v>
      </c>
      <c r="AB82" s="125"/>
      <c r="AC82" s="125" t="s">
        <v>1650</v>
      </c>
      <c r="AD82" s="125"/>
      <c r="AE82" s="125" t="s">
        <v>1651</v>
      </c>
      <c r="AF82" s="125"/>
      <c r="AG82" s="125" t="s">
        <v>1652</v>
      </c>
      <c r="AH82" s="125"/>
      <c r="AI82" s="125" t="s">
        <v>1653</v>
      </c>
      <c r="AJ82" s="124"/>
      <c r="AK82" s="124"/>
    </row>
    <row r="83" spans="2:37">
      <c r="B83" s="125">
        <f t="shared" si="14"/>
        <v>6</v>
      </c>
      <c r="C83" s="125" t="s">
        <v>1654</v>
      </c>
      <c r="D83" s="125"/>
      <c r="E83" s="125" t="s">
        <v>1655</v>
      </c>
      <c r="F83" s="125"/>
      <c r="G83" s="125" t="s">
        <v>1656</v>
      </c>
      <c r="H83" s="125"/>
      <c r="I83" s="125" t="s">
        <v>1657</v>
      </c>
      <c r="J83" s="125"/>
      <c r="K83" s="125" t="s">
        <v>1658</v>
      </c>
      <c r="L83" s="125"/>
      <c r="M83" s="125" t="s">
        <v>1659</v>
      </c>
      <c r="N83" s="125"/>
      <c r="O83" s="125" t="s">
        <v>1660</v>
      </c>
      <c r="P83" s="125"/>
      <c r="Q83" s="125" t="s">
        <v>1661</v>
      </c>
      <c r="R83" s="125"/>
      <c r="S83" s="125" t="s">
        <v>1662</v>
      </c>
      <c r="T83" s="125"/>
      <c r="U83" s="125" t="s">
        <v>1663</v>
      </c>
      <c r="V83" s="125"/>
      <c r="W83" s="125"/>
      <c r="X83" s="125"/>
      <c r="Y83" s="125" t="s">
        <v>1664</v>
      </c>
      <c r="Z83" s="125"/>
      <c r="AA83" s="125" t="s">
        <v>1665</v>
      </c>
      <c r="AB83" s="125"/>
      <c r="AC83" s="125"/>
      <c r="AD83" s="125"/>
      <c r="AE83" s="125" t="s">
        <v>1666</v>
      </c>
      <c r="AF83" s="125"/>
      <c r="AG83" s="125" t="s">
        <v>1667</v>
      </c>
      <c r="AH83" s="125"/>
      <c r="AI83" s="125" t="s">
        <v>1668</v>
      </c>
      <c r="AJ83" s="124"/>
      <c r="AK83" s="124"/>
    </row>
    <row r="84" spans="2:37">
      <c r="B84" s="125">
        <f t="shared" si="14"/>
        <v>7</v>
      </c>
      <c r="C84" s="125" t="s">
        <v>1669</v>
      </c>
      <c r="D84" s="125"/>
      <c r="E84" s="125" t="s">
        <v>1670</v>
      </c>
      <c r="F84" s="125"/>
      <c r="G84" s="125"/>
      <c r="H84" s="125"/>
      <c r="I84" s="125" t="s">
        <v>1671</v>
      </c>
      <c r="J84" s="125"/>
      <c r="K84" s="125" t="s">
        <v>1672</v>
      </c>
      <c r="L84" s="125"/>
      <c r="M84" s="125" t="s">
        <v>1673</v>
      </c>
      <c r="N84" s="125"/>
      <c r="O84" s="125" t="s">
        <v>1674</v>
      </c>
      <c r="P84" s="125"/>
      <c r="Q84" s="125" t="s">
        <v>1675</v>
      </c>
      <c r="R84" s="125"/>
      <c r="S84" s="125" t="s">
        <v>1676</v>
      </c>
      <c r="T84" s="125"/>
      <c r="U84" s="125" t="s">
        <v>1677</v>
      </c>
      <c r="V84" s="125"/>
      <c r="W84" s="125"/>
      <c r="X84" s="125"/>
      <c r="Y84" s="125" t="s">
        <v>1678</v>
      </c>
      <c r="Z84" s="125"/>
      <c r="AA84" s="125" t="s">
        <v>1679</v>
      </c>
      <c r="AB84" s="125"/>
      <c r="AC84" s="125"/>
      <c r="AD84" s="125"/>
      <c r="AE84" s="125" t="s">
        <v>1680</v>
      </c>
      <c r="AF84" s="125"/>
      <c r="AG84" s="125" t="s">
        <v>1681</v>
      </c>
      <c r="AH84" s="125"/>
      <c r="AI84" s="125" t="s">
        <v>1682</v>
      </c>
      <c r="AJ84" s="124"/>
      <c r="AK84" s="124"/>
    </row>
    <row r="85" spans="2:37">
      <c r="B85" s="125">
        <f t="shared" si="14"/>
        <v>8</v>
      </c>
      <c r="C85" s="125" t="s">
        <v>1683</v>
      </c>
      <c r="D85" s="125"/>
      <c r="E85" s="125" t="s">
        <v>1684</v>
      </c>
      <c r="F85" s="125"/>
      <c r="G85" s="125"/>
      <c r="H85" s="125"/>
      <c r="I85" s="125"/>
      <c r="J85" s="125"/>
      <c r="K85" s="125" t="s">
        <v>1685</v>
      </c>
      <c r="L85" s="125"/>
      <c r="M85" s="125"/>
      <c r="N85" s="125"/>
      <c r="O85" s="125" t="s">
        <v>1686</v>
      </c>
      <c r="P85" s="125"/>
      <c r="Q85" s="125" t="s">
        <v>1687</v>
      </c>
      <c r="R85" s="125"/>
      <c r="S85" s="125" t="s">
        <v>1688</v>
      </c>
      <c r="T85" s="125"/>
      <c r="U85" s="125" t="s">
        <v>1689</v>
      </c>
      <c r="V85" s="125"/>
      <c r="W85" s="125"/>
      <c r="X85" s="125"/>
      <c r="Y85" s="125" t="s">
        <v>1690</v>
      </c>
      <c r="Z85" s="125"/>
      <c r="AA85" s="125" t="s">
        <v>1691</v>
      </c>
      <c r="AB85" s="125"/>
      <c r="AC85" s="125"/>
      <c r="AD85" s="125"/>
      <c r="AE85" s="125" t="s">
        <v>1692</v>
      </c>
      <c r="AF85" s="125"/>
      <c r="AG85" s="125" t="s">
        <v>1693</v>
      </c>
      <c r="AH85" s="125"/>
      <c r="AI85" s="125" t="s">
        <v>1694</v>
      </c>
      <c r="AJ85" s="124"/>
      <c r="AK85" s="124"/>
    </row>
    <row r="86" spans="2:37">
      <c r="B86" s="125">
        <f t="shared" si="14"/>
        <v>9</v>
      </c>
      <c r="C86" s="125" t="s">
        <v>1695</v>
      </c>
      <c r="D86" s="125"/>
      <c r="E86" s="125" t="s">
        <v>1696</v>
      </c>
      <c r="F86" s="125"/>
      <c r="G86" s="125"/>
      <c r="H86" s="125"/>
      <c r="I86" s="125"/>
      <c r="J86" s="125"/>
      <c r="K86" s="125" t="s">
        <v>1697</v>
      </c>
      <c r="L86" s="125"/>
      <c r="M86" s="125"/>
      <c r="N86" s="125"/>
      <c r="O86" s="125"/>
      <c r="P86" s="125"/>
      <c r="Q86" s="125" t="s">
        <v>1698</v>
      </c>
      <c r="R86" s="125"/>
      <c r="S86" s="125" t="s">
        <v>1699</v>
      </c>
      <c r="T86" s="125"/>
      <c r="U86" s="125" t="s">
        <v>1700</v>
      </c>
      <c r="V86" s="125"/>
      <c r="W86" s="125"/>
      <c r="X86" s="125"/>
      <c r="Y86" s="125" t="s">
        <v>1701</v>
      </c>
      <c r="Z86" s="125"/>
      <c r="AA86" s="125" t="s">
        <v>1702</v>
      </c>
      <c r="AB86" s="125"/>
      <c r="AC86" s="125"/>
      <c r="AD86" s="125"/>
      <c r="AE86" s="125" t="s">
        <v>1703</v>
      </c>
      <c r="AF86" s="125"/>
      <c r="AG86" s="125"/>
      <c r="AH86" s="125"/>
      <c r="AI86" s="125" t="s">
        <v>1704</v>
      </c>
      <c r="AJ86" s="124"/>
      <c r="AK86" s="124"/>
    </row>
    <row r="87" spans="2:37">
      <c r="B87" s="125">
        <f t="shared" si="14"/>
        <v>10</v>
      </c>
      <c r="C87" s="125" t="s">
        <v>1705</v>
      </c>
      <c r="D87" s="125"/>
      <c r="E87" s="125" t="s">
        <v>1706</v>
      </c>
      <c r="F87" s="125"/>
      <c r="G87" s="125"/>
      <c r="H87" s="125"/>
      <c r="I87" s="125"/>
      <c r="J87" s="125"/>
      <c r="K87" s="125" t="s">
        <v>1707</v>
      </c>
      <c r="L87" s="125"/>
      <c r="M87" s="125"/>
      <c r="N87" s="125"/>
      <c r="O87" s="125"/>
      <c r="P87" s="125"/>
      <c r="Q87" s="247" t="s">
        <v>1708</v>
      </c>
      <c r="R87" s="125"/>
      <c r="S87" s="125" t="s">
        <v>1709</v>
      </c>
      <c r="T87" s="125"/>
      <c r="U87" s="125" t="s">
        <v>1710</v>
      </c>
      <c r="V87" s="125"/>
      <c r="W87" s="125"/>
      <c r="X87" s="125"/>
      <c r="Y87" s="125" t="s">
        <v>1711</v>
      </c>
      <c r="Z87" s="125"/>
      <c r="AA87" s="125" t="s">
        <v>1712</v>
      </c>
      <c r="AB87" s="125"/>
      <c r="AC87" s="125"/>
      <c r="AD87" s="125"/>
      <c r="AE87" s="125" t="s">
        <v>1713</v>
      </c>
      <c r="AF87" s="125"/>
      <c r="AG87" s="125"/>
      <c r="AH87" s="125"/>
      <c r="AI87" s="125" t="s">
        <v>1714</v>
      </c>
      <c r="AJ87" s="124"/>
      <c r="AK87" s="124"/>
    </row>
    <row r="88" spans="2:37">
      <c r="B88" s="125">
        <f t="shared" si="14"/>
        <v>11</v>
      </c>
      <c r="C88" s="125"/>
      <c r="D88" s="125"/>
      <c r="E88" s="125" t="s">
        <v>1715</v>
      </c>
      <c r="F88" s="125"/>
      <c r="G88" s="125"/>
      <c r="H88" s="125"/>
      <c r="I88" s="125"/>
      <c r="J88" s="125"/>
      <c r="K88" s="125" t="s">
        <v>1716</v>
      </c>
      <c r="L88" s="125"/>
      <c r="M88" s="125"/>
      <c r="N88" s="125"/>
      <c r="O88" s="125"/>
      <c r="P88" s="125"/>
      <c r="Q88" s="125" t="s">
        <v>1717</v>
      </c>
      <c r="R88" s="125"/>
      <c r="S88" s="125" t="s">
        <v>1718</v>
      </c>
      <c r="T88" s="125"/>
      <c r="U88" s="125"/>
      <c r="V88" s="125"/>
      <c r="W88" s="125"/>
      <c r="X88" s="125"/>
      <c r="Y88" s="125" t="s">
        <v>1719</v>
      </c>
      <c r="Z88" s="125"/>
      <c r="AA88" s="125" t="s">
        <v>1720</v>
      </c>
      <c r="AB88" s="125"/>
      <c r="AC88" s="125"/>
      <c r="AD88" s="125"/>
      <c r="AE88" s="125" t="s">
        <v>1721</v>
      </c>
      <c r="AF88" s="125"/>
      <c r="AG88" s="125"/>
      <c r="AH88" s="125"/>
      <c r="AI88" s="125" t="s">
        <v>1722</v>
      </c>
      <c r="AJ88" s="124"/>
      <c r="AK88" s="124"/>
    </row>
    <row r="89" spans="2:37">
      <c r="B89" s="125">
        <f t="shared" si="14"/>
        <v>12</v>
      </c>
      <c r="C89" s="125"/>
      <c r="D89" s="125"/>
      <c r="E89" s="125" t="s">
        <v>1723</v>
      </c>
      <c r="F89" s="125"/>
      <c r="G89" s="125"/>
      <c r="H89" s="125"/>
      <c r="I89" s="125"/>
      <c r="J89" s="125"/>
      <c r="K89" s="125" t="s">
        <v>1724</v>
      </c>
      <c r="L89" s="125"/>
      <c r="M89" s="125"/>
      <c r="N89" s="125"/>
      <c r="O89" s="125"/>
      <c r="P89" s="125"/>
      <c r="Q89" s="247" t="s">
        <v>1725</v>
      </c>
      <c r="R89" s="125"/>
      <c r="S89" s="125" t="s">
        <v>1726</v>
      </c>
      <c r="T89" s="125"/>
      <c r="U89" s="125"/>
      <c r="V89" s="125"/>
      <c r="W89" s="125"/>
      <c r="X89" s="125"/>
      <c r="Y89" s="125"/>
      <c r="Z89" s="125"/>
      <c r="AA89" s="125" t="s">
        <v>1727</v>
      </c>
      <c r="AB89" s="125"/>
      <c r="AC89" s="125"/>
      <c r="AD89" s="125"/>
      <c r="AE89" s="125" t="s">
        <v>1728</v>
      </c>
      <c r="AF89" s="125"/>
      <c r="AG89" s="125"/>
      <c r="AH89" s="125"/>
      <c r="AI89" s="125" t="s">
        <v>1729</v>
      </c>
      <c r="AJ89" s="124"/>
      <c r="AK89" s="124"/>
    </row>
    <row r="90" spans="2:37">
      <c r="B90" s="125">
        <f t="shared" si="14"/>
        <v>13</v>
      </c>
      <c r="C90" s="125"/>
      <c r="D90" s="125"/>
      <c r="E90" s="125" t="s">
        <v>1730</v>
      </c>
      <c r="F90" s="125"/>
      <c r="G90" s="125"/>
      <c r="H90" s="125"/>
      <c r="I90" s="125"/>
      <c r="J90" s="125"/>
      <c r="K90" s="125" t="s">
        <v>1731</v>
      </c>
      <c r="L90" s="125"/>
      <c r="M90" s="125"/>
      <c r="N90" s="125"/>
      <c r="O90" s="125"/>
      <c r="P90" s="125"/>
      <c r="Q90" s="125" t="s">
        <v>1732</v>
      </c>
      <c r="R90" s="125"/>
      <c r="S90" s="125" t="s">
        <v>1733</v>
      </c>
      <c r="T90" s="125"/>
      <c r="U90" s="125"/>
      <c r="V90" s="125"/>
      <c r="W90" s="125"/>
      <c r="X90" s="125"/>
      <c r="Y90" s="125"/>
      <c r="Z90" s="125"/>
      <c r="AA90" s="125" t="s">
        <v>1734</v>
      </c>
      <c r="AB90" s="125"/>
      <c r="AC90" s="125"/>
      <c r="AD90" s="125"/>
      <c r="AE90" s="125" t="s">
        <v>1735</v>
      </c>
      <c r="AF90" s="125"/>
      <c r="AG90" s="125"/>
      <c r="AH90" s="125"/>
      <c r="AI90" s="125" t="s">
        <v>1736</v>
      </c>
      <c r="AJ90" s="124"/>
      <c r="AK90" s="124"/>
    </row>
    <row r="91" spans="2:37">
      <c r="B91" s="125">
        <f t="shared" si="14"/>
        <v>14</v>
      </c>
      <c r="C91" s="125"/>
      <c r="D91" s="125"/>
      <c r="E91" s="125" t="s">
        <v>1737</v>
      </c>
      <c r="F91" s="125"/>
      <c r="G91" s="125"/>
      <c r="H91" s="125"/>
      <c r="I91" s="125"/>
      <c r="J91" s="125"/>
      <c r="K91" s="125" t="s">
        <v>1738</v>
      </c>
      <c r="L91" s="125"/>
      <c r="M91" s="125"/>
      <c r="N91" s="125"/>
      <c r="O91" s="125"/>
      <c r="P91" s="125"/>
      <c r="Q91" s="125" t="s">
        <v>1739</v>
      </c>
      <c r="R91" s="125"/>
      <c r="S91" s="125" t="s">
        <v>1740</v>
      </c>
      <c r="T91" s="125"/>
      <c r="U91" s="125"/>
      <c r="V91" s="125"/>
      <c r="W91" s="125"/>
      <c r="X91" s="125"/>
      <c r="Y91" s="125"/>
      <c r="Z91" s="125"/>
      <c r="AA91" s="125" t="s">
        <v>1741</v>
      </c>
      <c r="AB91" s="125"/>
      <c r="AC91" s="125"/>
      <c r="AD91" s="125"/>
      <c r="AE91" s="125" t="s">
        <v>1742</v>
      </c>
      <c r="AF91" s="125"/>
      <c r="AG91" s="125"/>
      <c r="AH91" s="125"/>
      <c r="AI91" s="125"/>
      <c r="AJ91" s="124"/>
      <c r="AK91" s="124"/>
    </row>
    <row r="92" spans="2:37">
      <c r="B92" s="125">
        <f t="shared" si="14"/>
        <v>15</v>
      </c>
      <c r="C92" s="125"/>
      <c r="D92" s="125"/>
      <c r="E92" s="125" t="s">
        <v>1743</v>
      </c>
      <c r="F92" s="125"/>
      <c r="G92" s="125"/>
      <c r="H92" s="125"/>
      <c r="I92" s="125"/>
      <c r="J92" s="125"/>
      <c r="K92" s="125"/>
      <c r="L92" s="125"/>
      <c r="M92" s="125"/>
      <c r="N92" s="125"/>
      <c r="O92" s="125"/>
      <c r="P92" s="125"/>
      <c r="Q92" s="125" t="s">
        <v>1744</v>
      </c>
      <c r="R92" s="125"/>
      <c r="S92" s="125"/>
      <c r="T92" s="125"/>
      <c r="U92" s="125"/>
      <c r="V92" s="125"/>
      <c r="W92" s="125"/>
      <c r="X92" s="125"/>
      <c r="Y92" s="125"/>
      <c r="Z92" s="125"/>
      <c r="AA92" s="125" t="s">
        <v>1745</v>
      </c>
      <c r="AB92" s="125"/>
      <c r="AC92" s="125"/>
      <c r="AD92" s="125"/>
      <c r="AE92" s="125" t="s">
        <v>1746</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1747</v>
      </c>
      <c r="R93" s="125"/>
      <c r="S93" s="125"/>
      <c r="T93" s="125"/>
      <c r="U93" s="125"/>
      <c r="V93" s="125"/>
      <c r="W93" s="125"/>
      <c r="X93" s="125"/>
      <c r="Y93" s="125"/>
      <c r="Z93" s="125"/>
      <c r="AA93" s="125"/>
      <c r="AB93" s="125"/>
      <c r="AC93" s="125"/>
      <c r="AD93" s="125"/>
      <c r="AE93" s="125" t="s">
        <v>1748</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1749</v>
      </c>
      <c r="R94" s="125"/>
      <c r="S94" s="125"/>
      <c r="T94" s="125"/>
      <c r="U94" s="125"/>
      <c r="V94" s="125"/>
      <c r="W94" s="125"/>
      <c r="X94" s="125"/>
      <c r="Y94" s="125"/>
      <c r="Z94" s="125"/>
      <c r="AA94" s="125"/>
      <c r="AB94" s="125"/>
      <c r="AC94" s="125"/>
      <c r="AD94" s="125"/>
      <c r="AE94" s="125" t="s">
        <v>1750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1751</v>
      </c>
      <c r="R95" s="125"/>
      <c r="S95" s="125"/>
      <c r="T95" s="125"/>
      <c r="U95" s="125"/>
      <c r="V95" s="125"/>
      <c r="W95" s="125"/>
      <c r="X95" s="125"/>
      <c r="Y95" s="125"/>
      <c r="Z95" s="125"/>
      <c r="AA95" s="125"/>
      <c r="AB95" s="125"/>
      <c r="AC95" s="125"/>
      <c r="AD95" s="125"/>
      <c r="AE95" s="125" t="s">
        <v>1752</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1753</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1754</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1755</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1756</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1757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1299</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5">
      <c r="B107" s="115" t="s">
        <v>1758</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1303</v>
      </c>
      <c r="C109" s="128" t="s">
        <v>1251</v>
      </c>
      <c r="D109" s="128"/>
      <c r="E109" s="128" t="s">
        <v>1102</v>
      </c>
      <c r="F109" s="128"/>
      <c r="G109" s="128" t="s">
        <v>1260</v>
      </c>
      <c r="H109" s="128"/>
      <c r="I109" s="128" t="s">
        <v>1130</v>
      </c>
      <c r="J109" s="128"/>
      <c r="K109" s="128" t="s">
        <v>1143</v>
      </c>
      <c r="L109" s="128"/>
      <c r="M109" s="128" t="s">
        <v>1269</v>
      </c>
      <c r="N109" s="128"/>
      <c r="O109" s="128" t="s">
        <v>1296</v>
      </c>
      <c r="P109" s="128"/>
      <c r="Q109" s="128" t="s">
        <v>1278</v>
      </c>
      <c r="R109" s="128"/>
      <c r="S109" s="128" t="s">
        <v>1185</v>
      </c>
      <c r="T109" s="128"/>
      <c r="U109" s="128" t="s">
        <v>1287</v>
      </c>
      <c r="V109" s="128"/>
      <c r="W109" s="128" t="s">
        <v>1157</v>
      </c>
      <c r="X109" s="128"/>
      <c r="Y109" s="128" t="s">
        <v>1171</v>
      </c>
      <c r="Z109" s="128"/>
      <c r="AA109" s="128" t="s">
        <v>1199</v>
      </c>
      <c r="AB109" s="128"/>
      <c r="AC109" s="128" t="s">
        <v>1213</v>
      </c>
      <c r="AD109" s="128"/>
      <c r="AE109" s="128" t="s">
        <v>1116</v>
      </c>
      <c r="AF109" s="128"/>
      <c r="AG109" s="128" t="s">
        <v>1227</v>
      </c>
      <c r="AH109" s="128"/>
      <c r="AI109" s="128" t="s">
        <v>1241</v>
      </c>
      <c r="AJ109" s="116"/>
      <c r="AK109" s="116"/>
    </row>
    <row r="110" spans="2:37">
      <c r="B110" s="112">
        <v>2</v>
      </c>
      <c r="C110" s="246" t="s">
        <v>1759</v>
      </c>
      <c r="D110" s="246"/>
      <c r="E110" s="246" t="s">
        <v>1760</v>
      </c>
      <c r="F110" s="246"/>
      <c r="G110" s="246" t="s">
        <v>1761</v>
      </c>
      <c r="H110" s="246"/>
      <c r="I110" s="246" t="s">
        <v>1762</v>
      </c>
      <c r="J110" s="246"/>
      <c r="K110" s="246" t="s">
        <v>1763</v>
      </c>
      <c r="L110" s="246"/>
      <c r="M110" s="246" t="s">
        <v>1764</v>
      </c>
      <c r="N110" s="246"/>
      <c r="O110" s="246" t="s">
        <v>1765</v>
      </c>
      <c r="P110" s="246"/>
      <c r="Q110" s="246" t="s">
        <v>1766</v>
      </c>
      <c r="R110" s="246"/>
      <c r="S110" s="246" t="s">
        <v>1767</v>
      </c>
      <c r="T110" s="246"/>
      <c r="U110" s="246" t="s">
        <v>1768</v>
      </c>
      <c r="V110" s="246"/>
      <c r="W110" s="246" t="s">
        <v>1769</v>
      </c>
      <c r="X110" s="246"/>
      <c r="Y110" s="246" t="s">
        <v>1770</v>
      </c>
      <c r="Z110" s="246"/>
      <c r="AA110" s="246" t="s">
        <v>1771</v>
      </c>
      <c r="AB110" s="246"/>
      <c r="AC110" s="246" t="s">
        <v>1772</v>
      </c>
      <c r="AD110" s="246"/>
      <c r="AE110" s="246" t="s">
        <v>1773</v>
      </c>
      <c r="AF110" s="246"/>
      <c r="AG110" s="246" t="s">
        <v>1774</v>
      </c>
      <c r="AH110" s="246"/>
      <c r="AI110" s="246" t="s">
        <v>1775</v>
      </c>
      <c r="AJ110" s="113"/>
      <c r="AK110" s="113"/>
    </row>
    <row r="111" spans="2:37">
      <c r="B111" s="112">
        <f>B110+1</f>
        <v>3</v>
      </c>
      <c r="C111" s="246" t="s">
        <v>1776</v>
      </c>
      <c r="D111" s="246"/>
      <c r="E111" s="246" t="s">
        <v>1777</v>
      </c>
      <c r="F111" s="246"/>
      <c r="G111" s="246" t="s">
        <v>1778</v>
      </c>
      <c r="H111" s="246"/>
      <c r="I111" s="246" t="s">
        <v>1779</v>
      </c>
      <c r="J111" s="246"/>
      <c r="K111" s="246" t="s">
        <v>1780</v>
      </c>
      <c r="L111" s="246"/>
      <c r="M111" s="246" t="s">
        <v>1781</v>
      </c>
      <c r="N111" s="246"/>
      <c r="O111" s="246" t="s">
        <v>1782</v>
      </c>
      <c r="P111" s="246"/>
      <c r="Q111" s="246" t="s">
        <v>1783</v>
      </c>
      <c r="R111" s="246"/>
      <c r="S111" s="246" t="s">
        <v>1784</v>
      </c>
      <c r="T111" s="246"/>
      <c r="U111" s="246" t="s">
        <v>1785</v>
      </c>
      <c r="V111" s="246"/>
      <c r="W111" s="246" t="s">
        <v>1786</v>
      </c>
      <c r="X111" s="246"/>
      <c r="Y111" s="246" t="s">
        <v>1787</v>
      </c>
      <c r="Z111" s="246"/>
      <c r="AA111" s="246" t="s">
        <v>1788</v>
      </c>
      <c r="AB111" s="246"/>
      <c r="AC111" s="246" t="s">
        <v>1789</v>
      </c>
      <c r="AD111" s="246"/>
      <c r="AE111" s="246" t="s">
        <v>1790</v>
      </c>
      <c r="AF111" s="246"/>
      <c r="AG111" s="246" t="s">
        <v>1791</v>
      </c>
      <c r="AH111" s="246"/>
      <c r="AI111" s="246" t="s">
        <v>1792</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1299</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8.25">
      <c r="B116" s="150" t="s">
        <v>1793</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1794</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
      <c r="B119" s="158" t="s">
        <v>1795</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239" priority="18" operator="equal">
      <formula>0</formula>
    </cfRule>
  </conditionalFormatting>
  <conditionalFormatting sqref="E117">
    <cfRule type="cellIs" dxfId="238" priority="17" operator="equal">
      <formula>0</formula>
    </cfRule>
  </conditionalFormatting>
  <conditionalFormatting sqref="G117">
    <cfRule type="cellIs" dxfId="237" priority="16" operator="equal">
      <formula>0</formula>
    </cfRule>
  </conditionalFormatting>
  <conditionalFormatting sqref="I117">
    <cfRule type="cellIs" dxfId="236" priority="15" operator="equal">
      <formula>0</formula>
    </cfRule>
  </conditionalFormatting>
  <conditionalFormatting sqref="K117">
    <cfRule type="cellIs" dxfId="235" priority="14" operator="equal">
      <formula>0</formula>
    </cfRule>
  </conditionalFormatting>
  <conditionalFormatting sqref="M117">
    <cfRule type="cellIs" dxfId="234" priority="13" operator="equal">
      <formula>0</formula>
    </cfRule>
  </conditionalFormatting>
  <conditionalFormatting sqref="O117">
    <cfRule type="cellIs" dxfId="233" priority="12" operator="equal">
      <formula>0</formula>
    </cfRule>
  </conditionalFormatting>
  <conditionalFormatting sqref="Q117">
    <cfRule type="cellIs" dxfId="232" priority="11" operator="equal">
      <formula>0</formula>
    </cfRule>
  </conditionalFormatting>
  <conditionalFormatting sqref="S117">
    <cfRule type="cellIs" dxfId="231" priority="10" operator="equal">
      <formula>0</formula>
    </cfRule>
  </conditionalFormatting>
  <conditionalFormatting sqref="U117">
    <cfRule type="cellIs" dxfId="230" priority="9" operator="equal">
      <formula>0</formula>
    </cfRule>
  </conditionalFormatting>
  <conditionalFormatting sqref="W117">
    <cfRule type="cellIs" dxfId="229" priority="8" operator="equal">
      <formula>0</formula>
    </cfRule>
  </conditionalFormatting>
  <conditionalFormatting sqref="Y117">
    <cfRule type="cellIs" dxfId="228" priority="7" operator="equal">
      <formula>0</formula>
    </cfRule>
  </conditionalFormatting>
  <conditionalFormatting sqref="AA117">
    <cfRule type="cellIs" dxfId="227" priority="6" operator="equal">
      <formula>0</formula>
    </cfRule>
  </conditionalFormatting>
  <conditionalFormatting sqref="AC117">
    <cfRule type="cellIs" dxfId="226" priority="5" operator="equal">
      <formula>0</formula>
    </cfRule>
  </conditionalFormatting>
  <conditionalFormatting sqref="AE117">
    <cfRule type="cellIs" dxfId="225" priority="4" operator="equal">
      <formula>0</formula>
    </cfRule>
  </conditionalFormatting>
  <conditionalFormatting sqref="AG117">
    <cfRule type="cellIs" dxfId="224" priority="3" operator="equal">
      <formula>0</formula>
    </cfRule>
  </conditionalFormatting>
  <conditionalFormatting sqref="AI117">
    <cfRule type="cellIs" dxfId="223" priority="2" operator="equal">
      <formula>0</formula>
    </cfRule>
  </conditionalFormatting>
  <conditionalFormatting sqref="AK117">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75"/>
  <cols>
    <col min="1" max="1" width="13.5" style="182" customWidth="1"/>
    <col min="2" max="2" width="16.625" style="182" customWidth="1"/>
    <col min="3" max="4" width="9" style="182"/>
    <col min="5" max="5" width="9" style="182" customWidth="1"/>
    <col min="6" max="6" width="20.125" style="182" bestFit="1" customWidth="1"/>
    <col min="7" max="7" width="13.625" style="182" customWidth="1"/>
    <col min="8" max="8" width="10.875" style="182" customWidth="1"/>
    <col min="9" max="9" width="8.125" style="182" customWidth="1"/>
    <col min="10" max="10" width="11.75" style="182" bestFit="1" customWidth="1"/>
    <col min="11" max="11" width="51.625" style="182" bestFit="1" customWidth="1"/>
    <col min="12" max="12" width="9.875" style="182" customWidth="1"/>
    <col min="13" max="13" width="9.25" style="182" customWidth="1"/>
    <col min="14" max="14" width="14.125" style="182" customWidth="1"/>
    <col min="15" max="15" width="9" style="182"/>
    <col min="16" max="16" width="12.75" style="182" customWidth="1"/>
    <col min="17" max="23" width="14.625" style="182" customWidth="1"/>
    <col min="24" max="24" width="9" style="182"/>
    <col min="25" max="25" width="2.625" style="182" customWidth="1"/>
    <col min="26" max="26" width="18" style="182" customWidth="1"/>
    <col min="27" max="27" width="2.625" style="182" customWidth="1"/>
    <col min="28" max="28" width="20.125" style="182" customWidth="1"/>
    <col min="29" max="29" width="25.5" style="182" customWidth="1"/>
    <col min="30" max="30" width="7.625" style="182" customWidth="1"/>
    <col min="31" max="16384" width="9" style="182"/>
  </cols>
  <sheetData>
    <row r="1" spans="1:33" s="172" customFormat="1" ht="44.25">
      <c r="A1" s="416" t="e">
        <f ca="1" xml:space="preserve"> RIGHT(CELL("filename", $A$1), LEN(CELL("filename", $A$1)) - SEARCH("]", CELL("filename", $A$1)))</f>
        <v>#VALUE!</v>
      </c>
      <c r="B1" s="170"/>
      <c r="C1" s="170"/>
      <c r="D1" s="170"/>
      <c r="E1" s="170"/>
      <c r="F1" s="170"/>
      <c r="G1" s="170"/>
      <c r="H1" s="170"/>
      <c r="I1" s="170"/>
      <c r="J1" s="170"/>
      <c r="K1" s="170"/>
      <c r="L1" s="170"/>
      <c r="M1" s="241"/>
      <c r="N1" s="241"/>
      <c r="O1" s="241"/>
      <c r="P1" s="241"/>
      <c r="Q1" s="241"/>
      <c r="R1" s="241"/>
      <c r="S1" s="241"/>
      <c r="T1" s="241"/>
      <c r="U1" s="241"/>
      <c r="V1" s="171"/>
      <c r="W1" s="171"/>
      <c r="X1" s="1388"/>
      <c r="Y1" s="171"/>
      <c r="Z1" s="171"/>
      <c r="AA1" s="241"/>
      <c r="AB1" s="241"/>
      <c r="AC1" s="241"/>
      <c r="AD1" s="241"/>
      <c r="AE1" s="241"/>
      <c r="AF1" s="241"/>
      <c r="AG1" s="1388" t="str">
        <f>InpCompany!$F$5</f>
        <v>Anglian Water</v>
      </c>
    </row>
    <row r="3" spans="1:33" ht="63.75">
      <c r="A3" s="184" t="s">
        <v>1796</v>
      </c>
      <c r="B3" s="184" t="s">
        <v>1797</v>
      </c>
      <c r="C3" s="184" t="s">
        <v>1798</v>
      </c>
      <c r="D3" s="184"/>
      <c r="E3" s="184" t="s">
        <v>1799</v>
      </c>
      <c r="F3" s="184" t="s">
        <v>1800</v>
      </c>
      <c r="G3" s="184" t="s">
        <v>1801</v>
      </c>
      <c r="H3" s="184" t="s">
        <v>1802</v>
      </c>
      <c r="I3" s="184" t="s">
        <v>1803</v>
      </c>
      <c r="J3" s="184" t="s">
        <v>1804</v>
      </c>
      <c r="K3" s="184" t="s">
        <v>1805</v>
      </c>
      <c r="L3" s="184" t="s">
        <v>1806</v>
      </c>
      <c r="M3" s="184" t="s">
        <v>1807</v>
      </c>
      <c r="N3" s="184" t="s">
        <v>1808</v>
      </c>
      <c r="P3" s="184" t="s">
        <v>1796</v>
      </c>
      <c r="Q3" s="242" t="s">
        <v>1809</v>
      </c>
      <c r="R3" s="242" t="s">
        <v>1810</v>
      </c>
      <c r="S3" s="242" t="s">
        <v>1811</v>
      </c>
      <c r="T3" s="242" t="s">
        <v>1812</v>
      </c>
      <c r="U3" s="242" t="s">
        <v>1813</v>
      </c>
      <c r="V3" s="242" t="s">
        <v>1814</v>
      </c>
      <c r="W3" s="242" t="s">
        <v>1815</v>
      </c>
      <c r="X3" s="242" t="s">
        <v>1816</v>
      </c>
      <c r="Z3" s="184" t="s">
        <v>1817</v>
      </c>
      <c r="AB3" s="242" t="s">
        <v>1818</v>
      </c>
      <c r="AC3" s="242" t="s">
        <v>1819</v>
      </c>
      <c r="AD3" s="242" t="s">
        <v>1820</v>
      </c>
    </row>
    <row r="4" spans="1:33">
      <c r="A4" s="185" t="s">
        <v>1821</v>
      </c>
      <c r="B4" s="185"/>
      <c r="C4" s="185"/>
      <c r="D4" s="185"/>
      <c r="E4" s="185"/>
      <c r="F4" s="185"/>
      <c r="G4" s="185"/>
      <c r="H4" s="185"/>
      <c r="I4" s="185"/>
      <c r="J4" s="185"/>
      <c r="K4" s="185"/>
      <c r="L4" s="185"/>
      <c r="M4" s="185"/>
      <c r="N4" s="185"/>
      <c r="P4" s="185"/>
      <c r="Q4" s="243"/>
      <c r="R4" s="243"/>
      <c r="S4" s="243"/>
      <c r="T4" s="243"/>
      <c r="U4" s="243"/>
      <c r="V4" s="243"/>
      <c r="W4" s="243"/>
      <c r="X4" s="243"/>
      <c r="Z4" s="185"/>
      <c r="AB4" s="2310"/>
      <c r="AC4" s="2310"/>
      <c r="AD4" s="2310"/>
    </row>
    <row r="5" spans="1:33" ht="15">
      <c r="A5" s="185" t="s">
        <v>129</v>
      </c>
      <c r="B5" s="185" t="s">
        <v>1822</v>
      </c>
      <c r="C5" s="251" t="s">
        <v>248</v>
      </c>
      <c r="D5" s="185" t="s">
        <v>1823</v>
      </c>
      <c r="E5" s="185" t="s">
        <v>210</v>
      </c>
      <c r="F5" s="185" t="s">
        <v>321</v>
      </c>
      <c r="G5" s="185" t="s">
        <v>1824</v>
      </c>
      <c r="H5" s="185" t="s">
        <v>1825</v>
      </c>
      <c r="I5" s="185" t="s">
        <v>1826</v>
      </c>
      <c r="J5" s="185" t="s">
        <v>1827</v>
      </c>
      <c r="K5" s="185" t="s">
        <v>172</v>
      </c>
      <c r="L5" s="185" t="b">
        <v>1</v>
      </c>
      <c r="M5" s="185" t="s">
        <v>1828</v>
      </c>
      <c r="N5" s="185" t="s">
        <v>1829</v>
      </c>
      <c r="P5" s="185" t="s">
        <v>1830</v>
      </c>
      <c r="Q5" s="243">
        <v>87</v>
      </c>
      <c r="R5" s="243">
        <v>82</v>
      </c>
      <c r="S5" s="243">
        <v>41</v>
      </c>
      <c r="T5" s="243">
        <v>77</v>
      </c>
      <c r="U5" s="243">
        <v>72</v>
      </c>
      <c r="V5" s="243">
        <v>92</v>
      </c>
      <c r="W5" s="243">
        <v>67</v>
      </c>
      <c r="X5" s="243">
        <v>62</v>
      </c>
      <c r="Z5" s="185" t="s">
        <v>1130</v>
      </c>
      <c r="AB5" s="1884" t="s">
        <v>1831</v>
      </c>
      <c r="AC5" s="1884" t="s">
        <v>1832</v>
      </c>
      <c r="AD5" s="1884" t="s">
        <v>1833</v>
      </c>
    </row>
    <row r="6" spans="1:33" ht="15">
      <c r="A6" s="185"/>
      <c r="B6" s="185" t="s">
        <v>131</v>
      </c>
      <c r="C6" s="185" t="s">
        <v>1102</v>
      </c>
      <c r="D6" s="185" t="s">
        <v>1823</v>
      </c>
      <c r="E6" s="185" t="s">
        <v>173</v>
      </c>
      <c r="F6" s="185" t="s">
        <v>1834</v>
      </c>
      <c r="G6" s="185">
        <v>1</v>
      </c>
      <c r="H6" s="185" t="s">
        <v>1835</v>
      </c>
      <c r="I6" s="185" t="s">
        <v>1836</v>
      </c>
      <c r="J6" s="185" t="s">
        <v>1837</v>
      </c>
      <c r="K6" s="185" t="s">
        <v>179</v>
      </c>
      <c r="L6" s="185" t="b">
        <v>0</v>
      </c>
      <c r="M6" s="185" t="s">
        <v>1838</v>
      </c>
      <c r="N6" s="185" t="s">
        <v>1839</v>
      </c>
      <c r="P6" s="185" t="s">
        <v>1840</v>
      </c>
      <c r="Q6" s="243">
        <f>Q5+1</f>
        <v>88</v>
      </c>
      <c r="R6" s="243">
        <f t="shared" ref="R6:W9" si="0">R5+1</f>
        <v>83</v>
      </c>
      <c r="S6" s="243">
        <f t="shared" si="0"/>
        <v>42</v>
      </c>
      <c r="T6" s="243">
        <f t="shared" si="0"/>
        <v>78</v>
      </c>
      <c r="U6" s="243">
        <f t="shared" si="0"/>
        <v>73</v>
      </c>
      <c r="V6" s="243">
        <f t="shared" si="0"/>
        <v>93</v>
      </c>
      <c r="W6" s="243">
        <f t="shared" si="0"/>
        <v>68</v>
      </c>
      <c r="X6" s="243">
        <f>X5+1</f>
        <v>63</v>
      </c>
      <c r="Z6" s="185"/>
      <c r="AB6" s="1884" t="s">
        <v>1841</v>
      </c>
      <c r="AC6" s="1884" t="s">
        <v>1842</v>
      </c>
      <c r="AD6" s="1884" t="s">
        <v>1843</v>
      </c>
    </row>
    <row r="7" spans="1:33" ht="15">
      <c r="A7" s="185"/>
      <c r="B7" s="185" t="s">
        <v>1844</v>
      </c>
      <c r="C7" s="185" t="s">
        <v>1116</v>
      </c>
      <c r="D7" s="185" t="s">
        <v>1823</v>
      </c>
      <c r="E7" s="251" t="s">
        <v>248</v>
      </c>
      <c r="F7" s="185" t="s">
        <v>1845</v>
      </c>
      <c r="G7" s="185">
        <v>2</v>
      </c>
      <c r="H7" s="185" t="s">
        <v>1846</v>
      </c>
      <c r="I7" s="185" t="s">
        <v>1020</v>
      </c>
      <c r="J7" s="185" t="s">
        <v>1020</v>
      </c>
      <c r="K7" s="185" t="s">
        <v>705</v>
      </c>
      <c r="L7" s="185"/>
      <c r="M7" s="185"/>
      <c r="N7" s="185"/>
      <c r="P7" s="185" t="s">
        <v>1847</v>
      </c>
      <c r="Q7" s="243">
        <f>Q6+1</f>
        <v>89</v>
      </c>
      <c r="R7" s="243">
        <f t="shared" si="0"/>
        <v>84</v>
      </c>
      <c r="S7" s="243">
        <f t="shared" si="0"/>
        <v>43</v>
      </c>
      <c r="T7" s="243">
        <f t="shared" si="0"/>
        <v>79</v>
      </c>
      <c r="U7" s="243">
        <f t="shared" si="0"/>
        <v>74</v>
      </c>
      <c r="V7" s="243">
        <f t="shared" si="0"/>
        <v>94</v>
      </c>
      <c r="W7" s="243">
        <f t="shared" si="0"/>
        <v>69</v>
      </c>
      <c r="X7" s="243">
        <f>X6+1</f>
        <v>64</v>
      </c>
      <c r="Z7" s="185"/>
      <c r="AB7" s="1884" t="s">
        <v>1848</v>
      </c>
      <c r="AC7" s="1884" t="s">
        <v>1849</v>
      </c>
      <c r="AD7" s="1884"/>
    </row>
    <row r="8" spans="1:33" ht="15">
      <c r="A8" s="185"/>
      <c r="B8" s="185" t="s">
        <v>1850</v>
      </c>
      <c r="C8" s="185" t="s">
        <v>1130</v>
      </c>
      <c r="D8" s="185" t="s">
        <v>1823</v>
      </c>
      <c r="E8" s="186"/>
      <c r="F8" s="185" t="s">
        <v>1851</v>
      </c>
      <c r="G8" s="185">
        <v>3</v>
      </c>
      <c r="H8" s="185" t="s">
        <v>1852</v>
      </c>
      <c r="I8" s="187"/>
      <c r="J8" s="188"/>
      <c r="K8" s="185" t="s">
        <v>680</v>
      </c>
      <c r="L8" s="188"/>
      <c r="M8" s="188"/>
      <c r="N8" s="188"/>
      <c r="P8" s="185" t="s">
        <v>1853</v>
      </c>
      <c r="Q8" s="243">
        <f>Q7+1</f>
        <v>90</v>
      </c>
      <c r="R8" s="243">
        <f t="shared" si="0"/>
        <v>85</v>
      </c>
      <c r="S8" s="243">
        <f t="shared" si="0"/>
        <v>44</v>
      </c>
      <c r="T8" s="243">
        <f t="shared" si="0"/>
        <v>80</v>
      </c>
      <c r="U8" s="243">
        <f t="shared" si="0"/>
        <v>75</v>
      </c>
      <c r="V8" s="243">
        <f t="shared" si="0"/>
        <v>95</v>
      </c>
      <c r="W8" s="243">
        <f t="shared" si="0"/>
        <v>70</v>
      </c>
      <c r="X8" s="243">
        <f>X7+1</f>
        <v>65</v>
      </c>
      <c r="Z8" s="185"/>
      <c r="AB8" s="1884" t="s">
        <v>1854</v>
      </c>
      <c r="AC8" s="1884" t="s">
        <v>1855</v>
      </c>
      <c r="AD8" s="2310"/>
    </row>
    <row r="9" spans="1:33" ht="15">
      <c r="A9" s="185"/>
      <c r="B9" s="185" t="s">
        <v>1856</v>
      </c>
      <c r="C9" s="185" t="s">
        <v>1143</v>
      </c>
      <c r="D9" s="185" t="s">
        <v>1823</v>
      </c>
      <c r="E9" s="186"/>
      <c r="F9" s="185" t="s">
        <v>1857</v>
      </c>
      <c r="G9" s="185">
        <v>4</v>
      </c>
      <c r="H9" s="186"/>
      <c r="K9" s="185" t="s">
        <v>203</v>
      </c>
      <c r="P9" s="185" t="s">
        <v>129</v>
      </c>
      <c r="Q9" s="243">
        <f>Q8+1</f>
        <v>91</v>
      </c>
      <c r="R9" s="243">
        <f t="shared" si="0"/>
        <v>86</v>
      </c>
      <c r="S9" s="243">
        <f t="shared" si="0"/>
        <v>45</v>
      </c>
      <c r="T9" s="243">
        <f t="shared" si="0"/>
        <v>81</v>
      </c>
      <c r="U9" s="243">
        <f t="shared" si="0"/>
        <v>76</v>
      </c>
      <c r="V9" s="243">
        <f t="shared" si="0"/>
        <v>96</v>
      </c>
      <c r="W9" s="243">
        <f t="shared" si="0"/>
        <v>71</v>
      </c>
      <c r="X9" s="243">
        <f>X8+1</f>
        <v>66</v>
      </c>
      <c r="Z9" s="185"/>
      <c r="AB9" s="1884" t="s">
        <v>1858</v>
      </c>
      <c r="AC9" s="2310"/>
      <c r="AD9" s="2310"/>
    </row>
    <row r="10" spans="1:33" ht="15">
      <c r="A10" s="189"/>
      <c r="B10" s="185" t="s">
        <v>1859</v>
      </c>
      <c r="C10" s="185" t="s">
        <v>1157</v>
      </c>
      <c r="D10" s="185" t="s">
        <v>1823</v>
      </c>
      <c r="E10" s="186"/>
      <c r="F10" s="185" t="s">
        <v>1860</v>
      </c>
      <c r="G10" s="185">
        <v>5</v>
      </c>
      <c r="H10" s="186"/>
      <c r="K10" s="185" t="s">
        <v>209</v>
      </c>
      <c r="Z10" s="185"/>
      <c r="AB10" s="1884" t="s">
        <v>1861</v>
      </c>
      <c r="AC10" s="2310"/>
      <c r="AD10" s="2310"/>
    </row>
    <row r="11" spans="1:33" ht="15">
      <c r="A11" s="190"/>
      <c r="B11" s="185" t="s">
        <v>1862</v>
      </c>
      <c r="C11" s="185" t="s">
        <v>1185</v>
      </c>
      <c r="D11" s="185" t="s">
        <v>1823</v>
      </c>
      <c r="E11" s="186"/>
      <c r="F11" s="185" t="s">
        <v>1863</v>
      </c>
      <c r="G11" s="185">
        <v>6</v>
      </c>
      <c r="H11" s="186"/>
      <c r="K11" s="185" t="s">
        <v>567</v>
      </c>
      <c r="Z11" s="185"/>
      <c r="AB11" s="1884" t="s">
        <v>1864</v>
      </c>
      <c r="AC11" s="2310"/>
      <c r="AD11" s="2310"/>
    </row>
    <row r="12" spans="1:33" ht="15">
      <c r="A12" s="190"/>
      <c r="B12" s="185" t="s">
        <v>1865</v>
      </c>
      <c r="C12" s="185" t="s">
        <v>1171</v>
      </c>
      <c r="D12" s="185" t="s">
        <v>1823</v>
      </c>
      <c r="E12" s="186"/>
      <c r="F12" s="185" t="s">
        <v>1866</v>
      </c>
      <c r="G12" s="185" t="s">
        <v>1867</v>
      </c>
      <c r="H12" s="186"/>
      <c r="K12" s="185" t="s">
        <v>784</v>
      </c>
      <c r="Z12" s="185"/>
      <c r="AB12" s="1884" t="s">
        <v>1868</v>
      </c>
      <c r="AC12" s="2310"/>
      <c r="AD12" s="2310"/>
    </row>
    <row r="13" spans="1:33" ht="15">
      <c r="A13" s="190"/>
      <c r="B13" s="185" t="s">
        <v>1869</v>
      </c>
      <c r="C13" s="185" t="s">
        <v>1199</v>
      </c>
      <c r="D13" s="185" t="s">
        <v>1823</v>
      </c>
      <c r="E13" s="186"/>
      <c r="F13" s="185" t="s">
        <v>1870</v>
      </c>
      <c r="G13" s="185" t="s">
        <v>1871</v>
      </c>
      <c r="H13" s="186"/>
      <c r="K13" s="185" t="s">
        <v>1872</v>
      </c>
      <c r="Z13" s="185"/>
      <c r="AB13" s="1884" t="s">
        <v>1873</v>
      </c>
      <c r="AC13" s="2310"/>
      <c r="AD13" s="2310"/>
    </row>
    <row r="14" spans="1:33" ht="15">
      <c r="A14" s="190"/>
      <c r="B14" s="185" t="s">
        <v>1874</v>
      </c>
      <c r="C14" s="185" t="s">
        <v>1213</v>
      </c>
      <c r="D14" s="185" t="s">
        <v>1823</v>
      </c>
      <c r="E14" s="186"/>
      <c r="F14" s="185" t="s">
        <v>1875</v>
      </c>
      <c r="G14" s="185" t="s">
        <v>1876</v>
      </c>
      <c r="H14" s="186"/>
      <c r="K14" s="185" t="s">
        <v>891</v>
      </c>
      <c r="Z14" s="185"/>
      <c r="AB14" s="1884" t="s">
        <v>1877</v>
      </c>
      <c r="AC14" s="2310"/>
      <c r="AD14" s="2310"/>
    </row>
    <row r="15" spans="1:33" ht="15">
      <c r="A15" s="190"/>
      <c r="B15" s="185" t="s">
        <v>1878</v>
      </c>
      <c r="C15" s="185" t="s">
        <v>1227</v>
      </c>
      <c r="D15" s="185" t="s">
        <v>1823</v>
      </c>
      <c r="E15" s="186"/>
      <c r="F15" s="185" t="s">
        <v>1879</v>
      </c>
      <c r="K15" s="185" t="s">
        <v>795</v>
      </c>
      <c r="Z15" s="185"/>
      <c r="AB15" s="1884" t="s">
        <v>960</v>
      </c>
      <c r="AC15" s="2310"/>
      <c r="AD15" s="2310"/>
    </row>
    <row r="16" spans="1:33" ht="15">
      <c r="A16" s="190"/>
      <c r="B16" s="185" t="s">
        <v>1880</v>
      </c>
      <c r="C16" s="185" t="s">
        <v>1241</v>
      </c>
      <c r="D16" s="185" t="s">
        <v>1823</v>
      </c>
      <c r="E16" s="186"/>
      <c r="F16" s="185" t="s">
        <v>706</v>
      </c>
      <c r="K16" s="185" t="s">
        <v>1085</v>
      </c>
      <c r="Z16" s="185"/>
      <c r="AB16" s="1884" t="s">
        <v>950</v>
      </c>
    </row>
    <row r="17" spans="1:34" ht="15">
      <c r="A17" s="190"/>
      <c r="B17" s="185" t="s">
        <v>1881</v>
      </c>
      <c r="C17" s="185" t="s">
        <v>1251</v>
      </c>
      <c r="D17" s="185" t="s">
        <v>1882</v>
      </c>
      <c r="E17" s="186"/>
      <c r="F17" s="185" t="s">
        <v>1883</v>
      </c>
      <c r="K17" s="185"/>
      <c r="Z17" s="185"/>
      <c r="AB17" s="1884" t="s">
        <v>1061</v>
      </c>
    </row>
    <row r="18" spans="1:34" ht="15">
      <c r="A18" s="190"/>
      <c r="B18" s="185" t="s">
        <v>1884</v>
      </c>
      <c r="C18" s="185" t="s">
        <v>1260</v>
      </c>
      <c r="D18" s="185" t="s">
        <v>1882</v>
      </c>
      <c r="E18" s="186"/>
      <c r="F18" s="185" t="s">
        <v>1885</v>
      </c>
      <c r="K18" s="185" t="s">
        <v>1886</v>
      </c>
      <c r="Z18" s="185"/>
      <c r="AB18" s="1884"/>
    </row>
    <row r="19" spans="1:34" ht="15">
      <c r="A19" s="190"/>
      <c r="B19" s="185" t="s">
        <v>1887</v>
      </c>
      <c r="C19" s="185" t="s">
        <v>1269</v>
      </c>
      <c r="D19" s="185" t="s">
        <v>1882</v>
      </c>
      <c r="E19" s="186"/>
      <c r="F19" s="185" t="s">
        <v>165</v>
      </c>
      <c r="K19" s="185" t="s">
        <v>1888</v>
      </c>
      <c r="Z19" s="185"/>
      <c r="AB19" s="1884"/>
    </row>
    <row r="20" spans="1:34" ht="15">
      <c r="A20" s="190"/>
      <c r="B20" s="185" t="s">
        <v>1889</v>
      </c>
      <c r="C20" s="185" t="s">
        <v>1296</v>
      </c>
      <c r="D20" s="185" t="s">
        <v>1882</v>
      </c>
      <c r="E20" s="186"/>
      <c r="F20" s="185" t="s">
        <v>1890</v>
      </c>
      <c r="K20" s="185" t="s">
        <v>1891</v>
      </c>
      <c r="Z20" s="185"/>
      <c r="AB20" s="1884"/>
    </row>
    <row r="21" spans="1:34">
      <c r="A21" s="190"/>
      <c r="B21" s="185" t="s">
        <v>1892</v>
      </c>
      <c r="C21" s="185" t="s">
        <v>1278</v>
      </c>
      <c r="D21" s="185" t="s">
        <v>1882</v>
      </c>
      <c r="E21" s="186"/>
      <c r="F21" s="185" t="s">
        <v>1893</v>
      </c>
      <c r="K21" s="191"/>
      <c r="Z21" s="185"/>
    </row>
    <row r="22" spans="1:34">
      <c r="B22" s="185" t="s">
        <v>1894</v>
      </c>
      <c r="C22" s="185" t="s">
        <v>1287</v>
      </c>
      <c r="D22" s="185" t="s">
        <v>1882</v>
      </c>
      <c r="F22" s="185" t="s">
        <v>1895</v>
      </c>
      <c r="Z22" s="185"/>
    </row>
    <row r="23" spans="1:34">
      <c r="F23" s="185" t="s">
        <v>1896</v>
      </c>
      <c r="Z23" s="1371"/>
    </row>
    <row r="24" spans="1:34">
      <c r="F24" s="185" t="s">
        <v>1897</v>
      </c>
      <c r="Z24" s="1371"/>
    </row>
    <row r="25" spans="1:34">
      <c r="F25" s="185" t="s">
        <v>1898</v>
      </c>
      <c r="Z25" s="1371"/>
    </row>
    <row r="26" spans="1:34">
      <c r="F26" s="185" t="s">
        <v>1899</v>
      </c>
      <c r="Z26" s="1371"/>
    </row>
    <row r="27" spans="1:34">
      <c r="F27" s="185" t="s">
        <v>1900</v>
      </c>
    </row>
    <row r="28" spans="1:34">
      <c r="F28" s="185" t="s">
        <v>1901</v>
      </c>
    </row>
    <row r="29" spans="1:34">
      <c r="F29" s="185" t="s">
        <v>1902</v>
      </c>
    </row>
    <row r="30" spans="1:34" ht="12" customHeight="1"/>
    <row r="31" spans="1:34" ht="12" customHeight="1"/>
    <row r="32" spans="1:34">
      <c r="A32" s="177" t="s">
        <v>1082</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5" zeroHeight="1"/>
  <cols>
    <col min="1" max="1" width="2.625" style="1343" customWidth="1"/>
    <col min="2" max="2" width="4.25" style="1343" customWidth="1"/>
    <col min="3" max="3" width="37.25" style="1343" customWidth="1"/>
    <col min="4" max="4" width="6.875" style="2024" customWidth="1"/>
    <col min="5" max="5" width="80.625" style="1343" customWidth="1"/>
    <col min="6" max="6" width="59.75" style="1343" customWidth="1"/>
    <col min="7" max="7" width="25.5" style="1343" bestFit="1" customWidth="1"/>
    <col min="8" max="8" width="7.5" style="2024" bestFit="1" customWidth="1"/>
    <col min="9" max="9" width="9" style="1343" customWidth="1"/>
    <col min="10" max="10" width="2.75" style="1343" customWidth="1"/>
    <col min="11" max="16384" width="9" style="1343" hidden="1"/>
  </cols>
  <sheetData>
    <row r="1" spans="2:9"/>
    <row r="2" spans="2:9" ht="40.5">
      <c r="B2" s="2303" t="str">
        <f>"Summary of Ofwat actions and changes to the company's PR19IPD01 ODI performance model for "&amp;'Validation summary'!$B$2</f>
        <v>Summary of Ofwat actions and changes to the company's PR19IPD01 ODI performance model for 2024-25</v>
      </c>
      <c r="I2" s="2304" t="str">
        <f>'Validation summary'!$B$3</f>
        <v>Anglian Water</v>
      </c>
    </row>
    <row r="3" spans="2:9" ht="15.75" thickBot="1"/>
    <row r="4" spans="2:9" ht="49.5">
      <c r="B4" s="2305" t="s">
        <v>1903</v>
      </c>
      <c r="C4" s="2306" t="s">
        <v>1904</v>
      </c>
      <c r="D4" s="2307" t="s">
        <v>1905</v>
      </c>
      <c r="E4" s="2308" t="s">
        <v>1906</v>
      </c>
      <c r="F4" s="2308" t="s">
        <v>1907</v>
      </c>
      <c r="G4" s="2308" t="s">
        <v>1819</v>
      </c>
      <c r="H4" s="2307" t="s">
        <v>1908</v>
      </c>
      <c r="I4" s="2309"/>
    </row>
    <row r="5" spans="2:9">
      <c r="B5" s="2199">
        <v>1</v>
      </c>
      <c r="C5" s="2317"/>
      <c r="D5" s="2318"/>
      <c r="E5" s="2319"/>
      <c r="F5" s="2319"/>
      <c r="G5" s="2319"/>
      <c r="H5" s="2320"/>
      <c r="I5" s="2321"/>
    </row>
    <row r="6" spans="2:9">
      <c r="B6" s="2199">
        <f>B5+1</f>
        <v>2</v>
      </c>
      <c r="C6" s="2317"/>
      <c r="D6" s="2318"/>
      <c r="E6" s="2319"/>
      <c r="F6" s="2319"/>
      <c r="G6" s="2319"/>
      <c r="H6" s="2320"/>
      <c r="I6" s="2321"/>
    </row>
    <row r="7" spans="2:9">
      <c r="B7" s="2199">
        <f t="shared" ref="B7:B53" si="0">B6+1</f>
        <v>3</v>
      </c>
      <c r="C7" s="2317"/>
      <c r="D7" s="2318"/>
      <c r="E7" s="2319"/>
      <c r="F7" s="2319"/>
      <c r="G7" s="2319"/>
      <c r="H7" s="2320"/>
      <c r="I7" s="2321"/>
    </row>
    <row r="8" spans="2:9">
      <c r="B8" s="2199">
        <f t="shared" si="0"/>
        <v>4</v>
      </c>
      <c r="C8" s="2317"/>
      <c r="D8" s="2318"/>
      <c r="E8" s="2319"/>
      <c r="F8" s="2319"/>
      <c r="G8" s="2319"/>
      <c r="H8" s="2320"/>
      <c r="I8" s="2321"/>
    </row>
    <row r="9" spans="2:9">
      <c r="B9" s="2199">
        <f t="shared" si="0"/>
        <v>5</v>
      </c>
      <c r="C9" s="2317"/>
      <c r="D9" s="2318"/>
      <c r="E9" s="2319"/>
      <c r="F9" s="2319"/>
      <c r="G9" s="2319"/>
      <c r="H9" s="2320"/>
      <c r="I9" s="2321"/>
    </row>
    <row r="10" spans="2:9">
      <c r="B10" s="2199">
        <f t="shared" si="0"/>
        <v>6</v>
      </c>
      <c r="C10" s="2317"/>
      <c r="D10" s="2318"/>
      <c r="E10" s="2319"/>
      <c r="F10" s="2319"/>
      <c r="G10" s="2319"/>
      <c r="H10" s="2320"/>
      <c r="I10" s="2321"/>
    </row>
    <row r="11" spans="2:9">
      <c r="B11" s="2199">
        <f t="shared" si="0"/>
        <v>7</v>
      </c>
      <c r="C11" s="2317"/>
      <c r="D11" s="2318"/>
      <c r="E11" s="2319"/>
      <c r="F11" s="2319"/>
      <c r="G11" s="2319"/>
      <c r="H11" s="2320"/>
      <c r="I11" s="2321"/>
    </row>
    <row r="12" spans="2:9">
      <c r="B12" s="2199">
        <f t="shared" si="0"/>
        <v>8</v>
      </c>
      <c r="C12" s="2317"/>
      <c r="D12" s="2318"/>
      <c r="E12" s="2319"/>
      <c r="F12" s="2319"/>
      <c r="G12" s="2319"/>
      <c r="H12" s="2320"/>
      <c r="I12" s="2321"/>
    </row>
    <row r="13" spans="2:9">
      <c r="B13" s="2199">
        <f t="shared" si="0"/>
        <v>9</v>
      </c>
      <c r="C13" s="2317"/>
      <c r="D13" s="2318"/>
      <c r="E13" s="2319"/>
      <c r="F13" s="2319"/>
      <c r="G13" s="2319"/>
      <c r="H13" s="2320"/>
      <c r="I13" s="2321"/>
    </row>
    <row r="14" spans="2:9">
      <c r="B14" s="2199">
        <f t="shared" si="0"/>
        <v>10</v>
      </c>
      <c r="C14" s="2317"/>
      <c r="D14" s="2318"/>
      <c r="E14" s="2319"/>
      <c r="F14" s="2319"/>
      <c r="G14" s="2319"/>
      <c r="H14" s="2320"/>
      <c r="I14" s="2321"/>
    </row>
    <row r="15" spans="2:9">
      <c r="B15" s="2199">
        <f t="shared" si="0"/>
        <v>11</v>
      </c>
      <c r="C15" s="2317"/>
      <c r="D15" s="2318"/>
      <c r="E15" s="2319"/>
      <c r="F15" s="2319"/>
      <c r="G15" s="2319"/>
      <c r="H15" s="2320"/>
      <c r="I15" s="2321"/>
    </row>
    <row r="16" spans="2:9">
      <c r="B16" s="2199">
        <f t="shared" si="0"/>
        <v>12</v>
      </c>
      <c r="C16" s="2317"/>
      <c r="D16" s="2320"/>
      <c r="E16" s="2319"/>
      <c r="F16" s="2319"/>
      <c r="G16" s="2319"/>
      <c r="H16" s="2320"/>
      <c r="I16" s="2321"/>
    </row>
    <row r="17" spans="2:9">
      <c r="B17" s="2199">
        <f t="shared" si="0"/>
        <v>13</v>
      </c>
      <c r="C17" s="2317"/>
      <c r="D17" s="2320"/>
      <c r="E17" s="2319"/>
      <c r="F17" s="2319"/>
      <c r="G17" s="2319"/>
      <c r="H17" s="2320"/>
      <c r="I17" s="2321"/>
    </row>
    <row r="18" spans="2:9">
      <c r="B18" s="2199">
        <f t="shared" si="0"/>
        <v>14</v>
      </c>
      <c r="C18" s="2317"/>
      <c r="D18" s="2320"/>
      <c r="E18" s="2319"/>
      <c r="F18" s="2319"/>
      <c r="G18" s="2319"/>
      <c r="H18" s="2320"/>
      <c r="I18" s="2321"/>
    </row>
    <row r="19" spans="2:9">
      <c r="B19" s="2199">
        <f t="shared" si="0"/>
        <v>15</v>
      </c>
      <c r="C19" s="2317"/>
      <c r="D19" s="2318"/>
      <c r="E19" s="2319"/>
      <c r="F19" s="2319"/>
      <c r="G19" s="2319"/>
      <c r="H19" s="2320"/>
      <c r="I19" s="2321"/>
    </row>
    <row r="20" spans="2:9">
      <c r="B20" s="2199">
        <f t="shared" si="0"/>
        <v>16</v>
      </c>
      <c r="C20" s="2317"/>
      <c r="D20" s="2318"/>
      <c r="E20" s="2319"/>
      <c r="F20" s="2319"/>
      <c r="G20" s="2319"/>
      <c r="H20" s="2320"/>
      <c r="I20" s="2321"/>
    </row>
    <row r="21" spans="2:9">
      <c r="B21" s="2199">
        <f t="shared" si="0"/>
        <v>17</v>
      </c>
      <c r="C21" s="2317"/>
      <c r="D21" s="2318"/>
      <c r="E21" s="2319"/>
      <c r="F21" s="2319"/>
      <c r="G21" s="2319"/>
      <c r="H21" s="2320"/>
      <c r="I21" s="2321"/>
    </row>
    <row r="22" spans="2:9">
      <c r="B22" s="2199">
        <f t="shared" si="0"/>
        <v>18</v>
      </c>
      <c r="C22" s="2317"/>
      <c r="D22" s="2320"/>
      <c r="E22" s="2319"/>
      <c r="F22" s="2319"/>
      <c r="G22" s="2319"/>
      <c r="H22" s="2320"/>
      <c r="I22" s="2321"/>
    </row>
    <row r="23" spans="2:9">
      <c r="B23" s="2199">
        <f t="shared" si="0"/>
        <v>19</v>
      </c>
      <c r="C23" s="2317"/>
      <c r="D23" s="2318"/>
      <c r="E23" s="2319"/>
      <c r="F23" s="2319"/>
      <c r="G23" s="2319"/>
      <c r="H23" s="2320"/>
      <c r="I23" s="2321"/>
    </row>
    <row r="24" spans="2:9">
      <c r="B24" s="2199">
        <f t="shared" si="0"/>
        <v>20</v>
      </c>
      <c r="C24" s="2317"/>
      <c r="D24" s="2320"/>
      <c r="E24" s="2319"/>
      <c r="F24" s="2319"/>
      <c r="G24" s="2319"/>
      <c r="H24" s="2320"/>
      <c r="I24" s="2321"/>
    </row>
    <row r="25" spans="2:9">
      <c r="B25" s="2199">
        <f t="shared" si="0"/>
        <v>21</v>
      </c>
      <c r="C25" s="2317"/>
      <c r="D25" s="2318"/>
      <c r="E25" s="2319"/>
      <c r="F25" s="2319"/>
      <c r="G25" s="2319"/>
      <c r="H25" s="2320"/>
      <c r="I25" s="2321"/>
    </row>
    <row r="26" spans="2:9">
      <c r="B26" s="2199">
        <f t="shared" si="0"/>
        <v>22</v>
      </c>
      <c r="C26" s="2317"/>
      <c r="D26" s="2318"/>
      <c r="E26" s="2319"/>
      <c r="F26" s="2319"/>
      <c r="G26" s="2319"/>
      <c r="H26" s="2320"/>
      <c r="I26" s="2321"/>
    </row>
    <row r="27" spans="2:9">
      <c r="B27" s="2199">
        <f t="shared" si="0"/>
        <v>23</v>
      </c>
      <c r="C27" s="2317"/>
      <c r="D27" s="2320"/>
      <c r="E27" s="2319"/>
      <c r="F27" s="2319"/>
      <c r="G27" s="2319"/>
      <c r="H27" s="2320"/>
      <c r="I27" s="2321"/>
    </row>
    <row r="28" spans="2:9">
      <c r="B28" s="2199">
        <f t="shared" si="0"/>
        <v>24</v>
      </c>
      <c r="C28" s="2317"/>
      <c r="D28" s="2318"/>
      <c r="E28" s="2319"/>
      <c r="F28" s="2319"/>
      <c r="G28" s="2319"/>
      <c r="H28" s="2320"/>
      <c r="I28" s="2321"/>
    </row>
    <row r="29" spans="2:9">
      <c r="B29" s="2199">
        <f t="shared" si="0"/>
        <v>25</v>
      </c>
      <c r="C29" s="2317"/>
      <c r="D29" s="2320"/>
      <c r="E29" s="2319"/>
      <c r="F29" s="2319"/>
      <c r="G29" s="2319"/>
      <c r="H29" s="2320"/>
      <c r="I29" s="2321"/>
    </row>
    <row r="30" spans="2:9">
      <c r="B30" s="2199">
        <f t="shared" si="0"/>
        <v>26</v>
      </c>
      <c r="C30" s="2317"/>
      <c r="D30" s="2320"/>
      <c r="E30" s="2319"/>
      <c r="F30" s="2322"/>
      <c r="G30" s="2319"/>
      <c r="H30" s="2320"/>
      <c r="I30" s="2321"/>
    </row>
    <row r="31" spans="2:9">
      <c r="B31" s="2199">
        <f>B30+1</f>
        <v>27</v>
      </c>
      <c r="C31" s="2317"/>
      <c r="D31" s="2318"/>
      <c r="E31" s="2319"/>
      <c r="F31" s="2319"/>
      <c r="G31" s="2317"/>
      <c r="H31" s="2320"/>
      <c r="I31" s="2321"/>
    </row>
    <row r="32" spans="2:9">
      <c r="B32" s="2199">
        <f t="shared" si="0"/>
        <v>28</v>
      </c>
      <c r="C32" s="2317"/>
      <c r="D32" s="2318"/>
      <c r="E32" s="2319"/>
      <c r="F32" s="2319"/>
      <c r="G32" s="2317"/>
      <c r="H32" s="2320"/>
      <c r="I32" s="2321"/>
    </row>
    <row r="33" spans="2:9">
      <c r="B33" s="2199">
        <f t="shared" si="0"/>
        <v>29</v>
      </c>
      <c r="C33" s="2323"/>
      <c r="D33" s="2324"/>
      <c r="E33" s="2322"/>
      <c r="F33" s="2322"/>
      <c r="G33" s="2322"/>
      <c r="H33" s="2324"/>
      <c r="I33" s="2325"/>
    </row>
    <row r="34" spans="2:9">
      <c r="B34" s="2199">
        <f t="shared" si="0"/>
        <v>30</v>
      </c>
      <c r="C34" s="2317"/>
      <c r="D34" s="2320"/>
      <c r="E34" s="2322"/>
      <c r="F34" s="2319"/>
      <c r="G34" s="2322"/>
      <c r="H34" s="2324"/>
      <c r="I34" s="2321"/>
    </row>
    <row r="35" spans="2:9">
      <c r="B35" s="2199">
        <f t="shared" si="0"/>
        <v>31</v>
      </c>
      <c r="C35" s="2317"/>
      <c r="D35" s="2320"/>
      <c r="E35" s="2319"/>
      <c r="F35" s="2319"/>
      <c r="G35" s="2322"/>
      <c r="H35" s="2324"/>
      <c r="I35" s="2321"/>
    </row>
    <row r="36" spans="2:9">
      <c r="B36" s="2199">
        <f t="shared" si="0"/>
        <v>32</v>
      </c>
      <c r="C36" s="2317"/>
      <c r="D36" s="2320"/>
      <c r="E36" s="2319"/>
      <c r="F36" s="2319"/>
      <c r="G36" s="2319"/>
      <c r="H36" s="2320"/>
      <c r="I36" s="2321"/>
    </row>
    <row r="37" spans="2:9">
      <c r="B37" s="2199">
        <f t="shared" si="0"/>
        <v>33</v>
      </c>
      <c r="C37" s="2317"/>
      <c r="D37" s="2320"/>
      <c r="E37" s="2319"/>
      <c r="F37" s="2319"/>
      <c r="G37" s="2319"/>
      <c r="H37" s="2320"/>
      <c r="I37" s="2321"/>
    </row>
    <row r="38" spans="2:9">
      <c r="B38" s="2199">
        <f t="shared" si="0"/>
        <v>34</v>
      </c>
      <c r="C38" s="2317"/>
      <c r="D38" s="2320"/>
      <c r="E38" s="2319"/>
      <c r="F38" s="2319"/>
      <c r="G38" s="2319"/>
      <c r="H38" s="2320"/>
      <c r="I38" s="2321"/>
    </row>
    <row r="39" spans="2:9">
      <c r="B39" s="2199">
        <f t="shared" si="0"/>
        <v>35</v>
      </c>
      <c r="C39" s="2317"/>
      <c r="D39" s="2320"/>
      <c r="E39" s="2326"/>
      <c r="F39" s="2319"/>
      <c r="G39" s="2319"/>
      <c r="H39" s="2320"/>
      <c r="I39" s="2321"/>
    </row>
    <row r="40" spans="2:9">
      <c r="B40" s="2199">
        <f t="shared" si="0"/>
        <v>36</v>
      </c>
      <c r="C40" s="2317"/>
      <c r="D40" s="2320"/>
      <c r="E40" s="2326"/>
      <c r="F40" s="2319"/>
      <c r="G40" s="2319"/>
      <c r="H40" s="2320"/>
      <c r="I40" s="2321"/>
    </row>
    <row r="41" spans="2:9">
      <c r="B41" s="2199">
        <f t="shared" si="0"/>
        <v>37</v>
      </c>
      <c r="C41" s="2317"/>
      <c r="D41" s="2320"/>
      <c r="E41" s="2326"/>
      <c r="F41" s="2319"/>
      <c r="G41" s="2319"/>
      <c r="H41" s="2320"/>
      <c r="I41" s="2321"/>
    </row>
    <row r="42" spans="2:9">
      <c r="B42" s="2199">
        <f t="shared" si="0"/>
        <v>38</v>
      </c>
      <c r="C42" s="2317"/>
      <c r="D42" s="2320"/>
      <c r="E42" s="2326"/>
      <c r="F42" s="2319"/>
      <c r="G42" s="2319"/>
      <c r="H42" s="2320"/>
      <c r="I42" s="2321"/>
    </row>
    <row r="43" spans="2:9">
      <c r="B43" s="2199">
        <f>B42+1</f>
        <v>39</v>
      </c>
      <c r="C43" s="2317"/>
      <c r="D43" s="2320"/>
      <c r="E43" s="2319"/>
      <c r="F43" s="2319"/>
      <c r="G43" s="2319"/>
      <c r="H43" s="2320"/>
      <c r="I43" s="2321"/>
    </row>
    <row r="44" spans="2:9">
      <c r="B44" s="2199">
        <f t="shared" si="0"/>
        <v>40</v>
      </c>
      <c r="C44" s="2317"/>
      <c r="D44" s="2320"/>
      <c r="E44" s="2319"/>
      <c r="F44" s="2319"/>
      <c r="G44" s="2319"/>
      <c r="H44" s="2320"/>
      <c r="I44" s="2321"/>
    </row>
    <row r="45" spans="2:9">
      <c r="B45" s="2199">
        <f t="shared" si="0"/>
        <v>41</v>
      </c>
      <c r="C45" s="2317"/>
      <c r="D45" s="2320"/>
      <c r="E45" s="2319"/>
      <c r="F45" s="2319"/>
      <c r="G45" s="2319"/>
      <c r="H45" s="2320"/>
      <c r="I45" s="2321"/>
    </row>
    <row r="46" spans="2:9">
      <c r="B46" s="2199">
        <f t="shared" si="0"/>
        <v>42</v>
      </c>
      <c r="C46" s="2317"/>
      <c r="D46" s="2320"/>
      <c r="E46" s="2319"/>
      <c r="F46" s="2319"/>
      <c r="G46" s="2319"/>
      <c r="H46" s="2320"/>
      <c r="I46" s="2321"/>
    </row>
    <row r="47" spans="2:9">
      <c r="B47" s="2199">
        <f t="shared" si="0"/>
        <v>43</v>
      </c>
      <c r="C47" s="2317"/>
      <c r="D47" s="2320"/>
      <c r="E47" s="2319"/>
      <c r="F47" s="2319"/>
      <c r="G47" s="2319"/>
      <c r="H47" s="2320"/>
      <c r="I47" s="2321"/>
    </row>
    <row r="48" spans="2:9">
      <c r="B48" s="2199">
        <f>B47+1</f>
        <v>44</v>
      </c>
      <c r="C48" s="2317"/>
      <c r="D48" s="2320"/>
      <c r="E48" s="2319"/>
      <c r="F48" s="2319"/>
      <c r="G48" s="2319"/>
      <c r="H48" s="2320"/>
      <c r="I48" s="2321"/>
    </row>
    <row r="49" spans="1:18">
      <c r="B49" s="2199">
        <f t="shared" si="0"/>
        <v>45</v>
      </c>
      <c r="C49" s="2317"/>
      <c r="D49" s="2320"/>
      <c r="E49" s="2319"/>
      <c r="F49" s="2319"/>
      <c r="G49" s="2319"/>
      <c r="H49" s="2320"/>
      <c r="I49" s="2321"/>
    </row>
    <row r="50" spans="1:18">
      <c r="B50" s="2199">
        <f t="shared" si="0"/>
        <v>46</v>
      </c>
      <c r="C50" s="2317"/>
      <c r="D50" s="2320"/>
      <c r="E50" s="2319"/>
      <c r="F50" s="2319"/>
      <c r="G50" s="2319"/>
      <c r="H50" s="2320"/>
      <c r="I50" s="2321"/>
    </row>
    <row r="51" spans="1:18">
      <c r="B51" s="2199">
        <f t="shared" si="0"/>
        <v>47</v>
      </c>
      <c r="C51" s="2317"/>
      <c r="D51" s="2320"/>
      <c r="E51" s="2319"/>
      <c r="F51" s="2319"/>
      <c r="G51" s="2319"/>
      <c r="H51" s="2320"/>
      <c r="I51" s="2321"/>
    </row>
    <row r="52" spans="1:18">
      <c r="B52" s="2199">
        <f t="shared" si="0"/>
        <v>48</v>
      </c>
      <c r="C52" s="2317"/>
      <c r="D52" s="2320"/>
      <c r="E52" s="2319"/>
      <c r="F52" s="2319"/>
      <c r="G52" s="2319"/>
      <c r="H52" s="2320"/>
      <c r="I52" s="2321"/>
    </row>
    <row r="53" spans="1:18">
      <c r="B53" s="2199">
        <f t="shared" si="0"/>
        <v>49</v>
      </c>
      <c r="C53" s="2317"/>
      <c r="D53" s="2320"/>
      <c r="E53" s="2319"/>
      <c r="F53" s="2319"/>
      <c r="G53" s="2319"/>
      <c r="H53" s="2320"/>
      <c r="I53" s="2321"/>
    </row>
    <row r="54" spans="1:18" ht="15.75" thickBot="1">
      <c r="B54" s="2200">
        <f>B53+1</f>
        <v>50</v>
      </c>
      <c r="C54" s="2327"/>
      <c r="D54" s="2328"/>
      <c r="E54" s="2329"/>
      <c r="F54" s="2329"/>
      <c r="G54" s="2329"/>
      <c r="H54" s="2328"/>
      <c r="I54" s="2330"/>
    </row>
    <row r="55" spans="1:18"/>
    <row r="56" spans="1:18" ht="20.25">
      <c r="A56" s="514" t="s">
        <v>1082</v>
      </c>
      <c r="B56" s="214"/>
      <c r="C56" s="215"/>
      <c r="D56" s="216"/>
      <c r="E56" s="181"/>
      <c r="F56" s="181"/>
      <c r="G56" s="181"/>
      <c r="H56" s="181"/>
      <c r="I56" s="181"/>
      <c r="J56" s="181"/>
      <c r="K56" s="181"/>
      <c r="L56" s="181"/>
      <c r="M56" s="181"/>
      <c r="N56" s="181"/>
      <c r="O56" s="181"/>
      <c r="P56" s="181"/>
      <c r="Q56" s="181"/>
      <c r="R56" s="181"/>
    </row>
    <row r="57" spans="1:18"/>
    <row r="59" spans="1:18" hidden="1">
      <c r="B59" s="1943"/>
    </row>
    <row r="60" spans="1:18" hidden="1">
      <c r="B60" s="1943"/>
    </row>
    <row r="61" spans="1:18" hidden="1">
      <c r="B61" s="1943"/>
    </row>
  </sheetData>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5"/>
  <cols>
    <col min="1" max="1" width="2.625" style="1343" customWidth="1"/>
    <col min="2" max="4" width="1.625" style="1343" customWidth="1"/>
    <col min="5" max="5" width="10.625" style="1343" customWidth="1"/>
    <col min="6" max="6" width="11.875" style="1343" customWidth="1"/>
    <col min="7" max="10" width="10.625" style="1343" customWidth="1"/>
    <col min="11" max="11" width="6.625" style="1343" bestFit="1" customWidth="1"/>
    <col min="12" max="12" width="7" style="1343" bestFit="1" customWidth="1"/>
    <col min="13" max="32" width="10.625" style="1343" customWidth="1"/>
    <col min="33" max="35" width="9" style="1343" customWidth="1"/>
    <col min="36" max="36" width="3.375" style="1343" customWidth="1"/>
    <col min="37" max="64" width="0" style="1343" hidden="1" customWidth="1"/>
    <col min="65" max="16384" width="9" style="1343" hidden="1"/>
  </cols>
  <sheetData>
    <row r="1" spans="1:64">
      <c r="A1" s="2027"/>
      <c r="B1" s="2027"/>
      <c r="C1" s="2027"/>
    </row>
    <row r="2" spans="1:64" ht="15.75">
      <c r="B2" s="1968" t="s">
        <v>1909</v>
      </c>
    </row>
    <row r="4" spans="1:64" ht="18.75">
      <c r="B4" s="2028" t="s">
        <v>1910</v>
      </c>
    </row>
    <row r="6" spans="1:64">
      <c r="E6" s="1343" t="s">
        <v>1911</v>
      </c>
    </row>
    <row r="7" spans="1:64">
      <c r="E7" s="1343" t="s">
        <v>1912</v>
      </c>
    </row>
    <row r="9" spans="1:64" ht="18.75">
      <c r="C9" s="2028" t="s">
        <v>1913</v>
      </c>
    </row>
    <row r="10" spans="1:64" ht="15.75">
      <c r="E10" s="2035" t="s">
        <v>1914</v>
      </c>
    </row>
    <row r="12" spans="1:64" ht="15.75" thickBot="1">
      <c r="E12" s="2090" t="s">
        <v>1915</v>
      </c>
      <c r="F12" s="2091"/>
      <c r="G12" s="2091"/>
      <c r="H12" s="2091"/>
      <c r="I12" s="2091"/>
      <c r="M12" s="2090" t="s">
        <v>1916</v>
      </c>
      <c r="N12" s="2091"/>
      <c r="O12" s="2091"/>
      <c r="P12" s="2091"/>
      <c r="Q12" s="2091"/>
      <c r="T12" s="2092" t="s">
        <v>1917</v>
      </c>
      <c r="U12" s="2092"/>
      <c r="V12" s="2034"/>
      <c r="W12" s="2093"/>
      <c r="X12" s="2093"/>
      <c r="Y12" s="2093"/>
      <c r="Z12" s="1943" t="s">
        <v>1918</v>
      </c>
      <c r="AB12" s="2034"/>
      <c r="AC12" s="2093"/>
      <c r="AD12" s="2093"/>
      <c r="AE12" s="2093"/>
      <c r="AF12" s="2093"/>
    </row>
    <row r="13" spans="1:64" ht="15.75" thickBot="1">
      <c r="E13" s="2091"/>
      <c r="F13" s="2094" t="s">
        <v>1919</v>
      </c>
      <c r="G13" s="2094" t="s">
        <v>1920</v>
      </c>
      <c r="H13" s="2094" t="s">
        <v>1921</v>
      </c>
      <c r="I13" s="2094" t="s">
        <v>1922</v>
      </c>
      <c r="J13" s="2034"/>
      <c r="K13" s="2034"/>
      <c r="L13" s="2034"/>
      <c r="M13" s="2091"/>
      <c r="N13" s="2094" t="s">
        <v>1919</v>
      </c>
      <c r="O13" s="2094" t="s">
        <v>1920</v>
      </c>
      <c r="P13" s="2094" t="s">
        <v>1921</v>
      </c>
      <c r="Q13" s="2094" t="s">
        <v>1922</v>
      </c>
      <c r="R13" s="2095"/>
      <c r="T13" s="2096"/>
      <c r="U13" s="2096"/>
      <c r="V13" s="2097" t="s">
        <v>1923</v>
      </c>
      <c r="W13" s="2097"/>
      <c r="X13" s="2097"/>
      <c r="Y13" s="2098"/>
      <c r="Z13" s="2098"/>
      <c r="AB13" s="2093"/>
      <c r="AC13" s="2098"/>
      <c r="AD13" s="2098"/>
      <c r="AE13" s="2098"/>
      <c r="AF13" s="2098"/>
      <c r="BF13" s="435"/>
    </row>
    <row r="14" spans="1:64" ht="51.75" thickBot="1">
      <c r="E14" s="2099"/>
      <c r="F14" s="2100" t="s">
        <v>1924</v>
      </c>
      <c r="G14" s="2100" t="s">
        <v>1925</v>
      </c>
      <c r="H14" s="2100" t="s">
        <v>1926</v>
      </c>
      <c r="I14" s="2100" t="s">
        <v>1927</v>
      </c>
      <c r="J14" s="2038"/>
      <c r="L14" s="2038"/>
      <c r="M14" s="2099"/>
      <c r="N14" s="2100" t="s">
        <v>1924</v>
      </c>
      <c r="O14" s="2100" t="s">
        <v>1925</v>
      </c>
      <c r="P14" s="2100" t="s">
        <v>1926</v>
      </c>
      <c r="Q14" s="2100" t="s">
        <v>1927</v>
      </c>
      <c r="X14" s="2038"/>
      <c r="Y14" s="2038"/>
      <c r="Z14" s="2038"/>
      <c r="AB14" s="2101"/>
      <c r="AC14" s="2038"/>
      <c r="AD14" s="2038"/>
      <c r="AE14" s="2038"/>
      <c r="AF14" s="2038"/>
      <c r="BJ14" s="1885"/>
      <c r="BK14" s="1885"/>
      <c r="BL14" s="1885"/>
    </row>
    <row r="15" spans="1:64" ht="15.75" thickBot="1">
      <c r="E15" s="2029" t="s">
        <v>1251</v>
      </c>
      <c r="F15" s="2102">
        <v>9.1999999999999993</v>
      </c>
      <c r="G15" s="2102">
        <v>9.4</v>
      </c>
      <c r="H15" s="2102">
        <v>9.6999999999999993</v>
      </c>
      <c r="I15" s="2102">
        <v>9.4</v>
      </c>
      <c r="J15" s="2039"/>
      <c r="L15" s="2039"/>
      <c r="M15" s="2029" t="s">
        <v>1251</v>
      </c>
      <c r="N15" s="2102">
        <v>2.7</v>
      </c>
      <c r="O15" s="2102">
        <v>2.5</v>
      </c>
      <c r="P15" s="2102">
        <v>2.7</v>
      </c>
      <c r="Q15" s="2102">
        <v>2.9</v>
      </c>
      <c r="T15" s="2103" t="s">
        <v>1251</v>
      </c>
      <c r="U15" s="2104">
        <v>2.2000000000000002</v>
      </c>
      <c r="W15" s="2105"/>
      <c r="X15" s="2105"/>
      <c r="Z15" s="2106" t="s">
        <v>1928</v>
      </c>
      <c r="AA15" s="2106"/>
      <c r="AB15" s="2106"/>
      <c r="AC15" s="2107"/>
      <c r="AD15" s="2108">
        <v>1.8</v>
      </c>
      <c r="AF15" s="2105"/>
      <c r="BH15" s="449"/>
      <c r="BI15" s="2109"/>
      <c r="BJ15" s="2037"/>
      <c r="BK15" s="2037"/>
      <c r="BL15" s="2037"/>
    </row>
    <row r="16" spans="1:64">
      <c r="E16" s="2030" t="s">
        <v>1102</v>
      </c>
      <c r="F16" s="2110">
        <v>10.1</v>
      </c>
      <c r="G16" s="2110">
        <v>10.199999999999999</v>
      </c>
      <c r="H16" s="2110">
        <v>10.3</v>
      </c>
      <c r="I16" s="2110">
        <v>10.199999999999999</v>
      </c>
      <c r="J16" s="2039"/>
      <c r="L16" s="2039"/>
      <c r="M16" s="2030" t="s">
        <v>1102</v>
      </c>
      <c r="N16" s="2110">
        <v>3.3</v>
      </c>
      <c r="O16" s="2110">
        <v>2</v>
      </c>
      <c r="P16" s="2110">
        <v>2.2000000000000002</v>
      </c>
      <c r="Q16" s="2110">
        <v>3.4</v>
      </c>
      <c r="T16" s="2111" t="s">
        <v>1102</v>
      </c>
      <c r="U16" s="2112">
        <v>1.7</v>
      </c>
      <c r="W16" s="2105"/>
      <c r="X16" s="2105"/>
      <c r="Y16" s="2105"/>
      <c r="Z16" s="2105"/>
      <c r="AB16" s="2113"/>
      <c r="AC16" s="2105"/>
      <c r="AD16" s="2105"/>
      <c r="AE16" s="2105"/>
      <c r="AF16" s="2105"/>
      <c r="BH16" s="449"/>
      <c r="BI16" s="449"/>
    </row>
    <row r="17" spans="5:32">
      <c r="E17" s="2029" t="s">
        <v>1260</v>
      </c>
      <c r="F17" s="2102">
        <v>8.3000000000000007</v>
      </c>
      <c r="G17" s="2102">
        <v>8.6999999999999993</v>
      </c>
      <c r="H17" s="2102">
        <v>9.1</v>
      </c>
      <c r="I17" s="2102">
        <v>8.5</v>
      </c>
      <c r="J17" s="2039"/>
      <c r="L17" s="2039"/>
      <c r="M17" s="2029" t="s">
        <v>1260</v>
      </c>
      <c r="N17" s="2102">
        <v>3.3</v>
      </c>
      <c r="O17" s="2102">
        <v>2.2999999999999998</v>
      </c>
      <c r="P17" s="2102">
        <v>2.5</v>
      </c>
      <c r="Q17" s="2102">
        <v>3.5</v>
      </c>
      <c r="T17" s="2114" t="s">
        <v>1260</v>
      </c>
      <c r="U17" s="2115">
        <v>1.2</v>
      </c>
      <c r="W17" s="2105"/>
      <c r="X17" s="2105"/>
      <c r="Y17" s="2105"/>
      <c r="Z17" s="2105"/>
      <c r="AB17" s="2113"/>
    </row>
    <row r="18" spans="5:32">
      <c r="E18" s="2030" t="s">
        <v>1929</v>
      </c>
      <c r="F18" s="2110">
        <v>9.6</v>
      </c>
      <c r="G18" s="2110">
        <v>10.199999999999999</v>
      </c>
      <c r="H18" s="2110">
        <v>10.6</v>
      </c>
      <c r="I18" s="2110">
        <v>9.8000000000000007</v>
      </c>
      <c r="J18" s="2039"/>
      <c r="L18" s="2039"/>
      <c r="M18" s="2030" t="s">
        <v>1929</v>
      </c>
      <c r="N18" s="2110">
        <v>4.0999999999999996</v>
      </c>
      <c r="O18" s="2110">
        <v>2.2999999999999998</v>
      </c>
      <c r="P18" s="2110">
        <v>2.5</v>
      </c>
      <c r="Q18" s="2110">
        <v>4.2</v>
      </c>
      <c r="T18" s="2111" t="s">
        <v>1929</v>
      </c>
      <c r="U18" s="2112">
        <v>1.9</v>
      </c>
      <c r="W18" s="2105"/>
      <c r="X18" s="2105"/>
      <c r="Y18" s="2105"/>
      <c r="Z18" s="2105"/>
      <c r="AB18" s="2113"/>
      <c r="AC18" s="2105"/>
      <c r="AD18" s="2105"/>
      <c r="AE18" s="2105"/>
      <c r="AF18" s="2105"/>
    </row>
    <row r="19" spans="5:32">
      <c r="E19" s="2029" t="s">
        <v>1130</v>
      </c>
      <c r="F19" s="2102">
        <v>13.6</v>
      </c>
      <c r="G19" s="2102">
        <v>12.2</v>
      </c>
      <c r="H19" s="2102">
        <v>11.7</v>
      </c>
      <c r="I19" s="2102">
        <v>13.3</v>
      </c>
      <c r="J19" s="2039"/>
      <c r="L19" s="2039"/>
      <c r="M19" s="2029" t="s">
        <v>1130</v>
      </c>
      <c r="N19" s="2102">
        <v>3.2</v>
      </c>
      <c r="O19" s="2102">
        <v>2.1</v>
      </c>
      <c r="P19" s="2102">
        <v>2.2999999999999998</v>
      </c>
      <c r="Q19" s="2102">
        <v>3.3</v>
      </c>
      <c r="T19" s="2114" t="s">
        <v>1130</v>
      </c>
      <c r="U19" s="2115">
        <v>1.7</v>
      </c>
      <c r="W19" s="2105"/>
      <c r="X19" s="2105"/>
      <c r="Y19" s="2105"/>
      <c r="Z19" s="2105"/>
      <c r="AB19" s="2113"/>
      <c r="AC19" s="2105"/>
      <c r="AD19" s="2105"/>
      <c r="AE19" s="2105"/>
      <c r="AF19" s="2105"/>
    </row>
    <row r="20" spans="5:32">
      <c r="E20" s="2030" t="s">
        <v>1143</v>
      </c>
      <c r="F20" s="2110">
        <v>11.4</v>
      </c>
      <c r="G20" s="2110">
        <v>10.9</v>
      </c>
      <c r="H20" s="2110">
        <v>10.7</v>
      </c>
      <c r="I20" s="2110">
        <v>11.3</v>
      </c>
      <c r="J20" s="2039"/>
      <c r="L20" s="2039"/>
      <c r="M20" s="2030" t="s">
        <v>1143</v>
      </c>
      <c r="N20" s="2110">
        <v>3.1</v>
      </c>
      <c r="O20" s="2110">
        <v>2.2000000000000002</v>
      </c>
      <c r="P20" s="2110">
        <v>2.4</v>
      </c>
      <c r="Q20" s="2110">
        <v>3.2</v>
      </c>
      <c r="T20" s="2111" t="s">
        <v>1143</v>
      </c>
      <c r="U20" s="2112">
        <v>1.5</v>
      </c>
      <c r="W20" s="2105"/>
      <c r="X20" s="2105"/>
      <c r="Y20" s="2105"/>
      <c r="Z20" s="2105"/>
      <c r="AB20" s="2113"/>
      <c r="AC20" s="2105"/>
      <c r="AD20" s="2105"/>
      <c r="AE20" s="2105"/>
      <c r="AF20" s="2105"/>
    </row>
    <row r="21" spans="5:32">
      <c r="E21" s="2029" t="s">
        <v>1269</v>
      </c>
      <c r="F21" s="2102">
        <v>9.6999999999999993</v>
      </c>
      <c r="G21" s="2102">
        <v>9.8000000000000007</v>
      </c>
      <c r="H21" s="2102">
        <v>10</v>
      </c>
      <c r="I21" s="2102">
        <v>9.8000000000000007</v>
      </c>
      <c r="J21" s="2039"/>
      <c r="L21" s="2039"/>
      <c r="M21" s="2029" t="s">
        <v>1269</v>
      </c>
      <c r="N21" s="2102">
        <v>3.6</v>
      </c>
      <c r="O21" s="2102">
        <v>2.2999999999999998</v>
      </c>
      <c r="P21" s="2102">
        <v>2.5</v>
      </c>
      <c r="Q21" s="2102">
        <v>3.7</v>
      </c>
      <c r="T21" s="2114" t="s">
        <v>1269</v>
      </c>
      <c r="U21" s="2115">
        <v>2</v>
      </c>
      <c r="W21" s="2105"/>
      <c r="X21" s="2105"/>
      <c r="Y21" s="2105"/>
      <c r="Z21" s="2105"/>
      <c r="AB21" s="2113"/>
      <c r="AC21" s="2105"/>
      <c r="AD21" s="2105"/>
      <c r="AE21" s="2105"/>
      <c r="AF21" s="2105"/>
    </row>
    <row r="22" spans="5:32">
      <c r="E22" s="2030" t="s">
        <v>1296</v>
      </c>
      <c r="F22" s="2110">
        <v>9.8000000000000007</v>
      </c>
      <c r="G22" s="2110">
        <v>9.6999999999999993</v>
      </c>
      <c r="H22" s="2110">
        <v>9.8000000000000007</v>
      </c>
      <c r="I22" s="2110">
        <v>9.9</v>
      </c>
      <c r="J22" s="2039"/>
      <c r="L22" s="2039"/>
      <c r="M22" s="2030" t="s">
        <v>1296</v>
      </c>
      <c r="N22" s="2110">
        <v>3</v>
      </c>
      <c r="O22" s="2110">
        <v>2.9</v>
      </c>
      <c r="P22" s="2110">
        <v>3.1</v>
      </c>
      <c r="Q22" s="2110">
        <v>3.1</v>
      </c>
      <c r="T22" s="2111" t="s">
        <v>1296</v>
      </c>
      <c r="U22" s="2112">
        <v>2.2000000000000002</v>
      </c>
      <c r="W22" s="2105"/>
      <c r="X22" s="2105"/>
      <c r="Y22" s="2105"/>
      <c r="Z22" s="2105"/>
      <c r="AB22" s="2113"/>
      <c r="AC22" s="2105"/>
      <c r="AD22" s="2105"/>
      <c r="AE22" s="2105"/>
      <c r="AF22" s="2105"/>
    </row>
    <row r="23" spans="5:32">
      <c r="E23" s="2029" t="s">
        <v>1278</v>
      </c>
      <c r="F23" s="2102">
        <v>11.8</v>
      </c>
      <c r="G23" s="2102">
        <v>11.5</v>
      </c>
      <c r="H23" s="2102">
        <v>11.4</v>
      </c>
      <c r="I23" s="2102">
        <v>11.8</v>
      </c>
      <c r="J23" s="2039"/>
      <c r="L23" s="2039"/>
      <c r="M23" s="2029" t="s">
        <v>1278</v>
      </c>
      <c r="N23" s="2102">
        <v>3.8</v>
      </c>
      <c r="O23" s="2102">
        <v>2.1</v>
      </c>
      <c r="P23" s="2102">
        <v>2.2000000000000002</v>
      </c>
      <c r="Q23" s="2102">
        <v>3.9</v>
      </c>
      <c r="T23" s="2114" t="s">
        <v>1278</v>
      </c>
      <c r="U23" s="2115">
        <v>2</v>
      </c>
      <c r="W23" s="2105"/>
      <c r="X23" s="2105"/>
      <c r="Y23" s="2105"/>
      <c r="Z23" s="2105"/>
      <c r="AB23" s="2113"/>
      <c r="AC23" s="2105"/>
      <c r="AD23" s="2105"/>
      <c r="AE23" s="2105"/>
      <c r="AF23" s="2105"/>
    </row>
    <row r="24" spans="5:32">
      <c r="E24" s="2030" t="s">
        <v>1185</v>
      </c>
      <c r="F24" s="2110">
        <v>9.8000000000000007</v>
      </c>
      <c r="G24" s="2110">
        <v>10</v>
      </c>
      <c r="H24" s="2110">
        <v>10.199999999999999</v>
      </c>
      <c r="I24" s="2110">
        <v>10</v>
      </c>
      <c r="J24" s="2039"/>
      <c r="L24" s="2039"/>
      <c r="M24" s="2030" t="s">
        <v>1185</v>
      </c>
      <c r="N24" s="2110">
        <v>3.4</v>
      </c>
      <c r="O24" s="2110">
        <v>2.2999999999999998</v>
      </c>
      <c r="P24" s="2110">
        <v>2.4</v>
      </c>
      <c r="Q24" s="2110">
        <v>3.5</v>
      </c>
      <c r="T24" s="2111" t="s">
        <v>1185</v>
      </c>
      <c r="U24" s="2112">
        <v>2</v>
      </c>
      <c r="W24" s="2105"/>
      <c r="X24" s="2105"/>
      <c r="Y24" s="2105"/>
      <c r="Z24" s="2105"/>
      <c r="AB24" s="2113"/>
      <c r="AC24" s="2105"/>
      <c r="AD24" s="2105"/>
      <c r="AE24" s="2105"/>
      <c r="AF24" s="2105"/>
    </row>
    <row r="25" spans="5:32">
      <c r="E25" s="2029" t="s">
        <v>1930</v>
      </c>
      <c r="F25" s="2102">
        <v>12</v>
      </c>
      <c r="G25" s="2102">
        <v>11.4</v>
      </c>
      <c r="H25" s="2102">
        <v>11.2</v>
      </c>
      <c r="I25" s="2102">
        <v>11.9</v>
      </c>
      <c r="J25" s="2039"/>
      <c r="L25" s="2039"/>
      <c r="M25" s="2029" t="s">
        <v>1930</v>
      </c>
      <c r="N25" s="2102">
        <v>3.1</v>
      </c>
      <c r="O25" s="2102">
        <v>2.4</v>
      </c>
      <c r="P25" s="2102">
        <v>2.6</v>
      </c>
      <c r="Q25" s="2102">
        <v>3.2</v>
      </c>
      <c r="T25" s="2114" t="s">
        <v>1930</v>
      </c>
      <c r="U25" s="2115">
        <v>1.6</v>
      </c>
      <c r="W25" s="2105"/>
      <c r="X25" s="2105"/>
      <c r="Y25" s="2105"/>
      <c r="Z25" s="2105"/>
      <c r="AB25" s="2113"/>
      <c r="AC25" s="2105"/>
      <c r="AD25" s="2105"/>
      <c r="AE25" s="2105"/>
      <c r="AF25" s="2105"/>
    </row>
    <row r="26" spans="5:32">
      <c r="E26" s="2030" t="s">
        <v>1157</v>
      </c>
      <c r="F26" s="2110">
        <v>10.199999999999999</v>
      </c>
      <c r="G26" s="2110">
        <v>10.1</v>
      </c>
      <c r="H26" s="2110">
        <v>10.1</v>
      </c>
      <c r="I26" s="2110">
        <v>10.199999999999999</v>
      </c>
      <c r="J26" s="2039"/>
      <c r="L26" s="2039"/>
      <c r="M26" s="2030" t="s">
        <v>1157</v>
      </c>
      <c r="N26" s="2110">
        <v>3.2</v>
      </c>
      <c r="O26" s="2110">
        <v>2.4</v>
      </c>
      <c r="P26" s="2110">
        <v>2.5</v>
      </c>
      <c r="Q26" s="2110">
        <v>3.3</v>
      </c>
      <c r="T26" s="2111" t="s">
        <v>1157</v>
      </c>
      <c r="U26" s="2112">
        <v>1.4</v>
      </c>
      <c r="W26" s="2105"/>
      <c r="X26" s="2105"/>
      <c r="Y26" s="2105"/>
      <c r="Z26" s="2105"/>
      <c r="AB26" s="2113"/>
      <c r="AC26" s="2105"/>
      <c r="AD26" s="2105"/>
      <c r="AE26" s="2105"/>
      <c r="AF26" s="2105"/>
    </row>
    <row r="27" spans="5:32">
      <c r="E27" s="2029" t="s">
        <v>1171</v>
      </c>
      <c r="F27" s="2102">
        <v>7.5</v>
      </c>
      <c r="G27" s="2102">
        <v>8.1</v>
      </c>
      <c r="H27" s="2102">
        <v>8.5</v>
      </c>
      <c r="I27" s="2102">
        <v>7.8</v>
      </c>
      <c r="J27" s="2039"/>
      <c r="L27" s="2039"/>
      <c r="M27" s="2029" t="s">
        <v>1171</v>
      </c>
      <c r="N27" s="2102">
        <v>2.8</v>
      </c>
      <c r="O27" s="2102">
        <v>1.9</v>
      </c>
      <c r="P27" s="2102">
        <v>2.1</v>
      </c>
      <c r="Q27" s="2102">
        <v>2.9</v>
      </c>
      <c r="T27" s="2114" t="s">
        <v>1171</v>
      </c>
      <c r="U27" s="2115">
        <v>1.2</v>
      </c>
      <c r="W27" s="2105"/>
      <c r="X27" s="2105"/>
      <c r="Y27" s="2105"/>
      <c r="Z27" s="2105"/>
      <c r="AB27" s="2113"/>
      <c r="AC27" s="2105"/>
      <c r="AD27" s="2105"/>
      <c r="AE27" s="2105"/>
      <c r="AF27" s="2105"/>
    </row>
    <row r="28" spans="5:32">
      <c r="E28" s="2030" t="s">
        <v>1199</v>
      </c>
      <c r="F28" s="2110">
        <v>7.3</v>
      </c>
      <c r="G28" s="2110">
        <v>7.8</v>
      </c>
      <c r="H28" s="2110">
        <v>8.1999999999999993</v>
      </c>
      <c r="I28" s="2110">
        <v>7.5</v>
      </c>
      <c r="J28" s="2039"/>
      <c r="L28" s="2039"/>
      <c r="M28" s="2030" t="s">
        <v>1199</v>
      </c>
      <c r="N28" s="2110">
        <v>2.2999999999999998</v>
      </c>
      <c r="O28" s="2110">
        <v>2.8</v>
      </c>
      <c r="P28" s="2110">
        <v>3</v>
      </c>
      <c r="Q28" s="2110">
        <v>2.5</v>
      </c>
      <c r="T28" s="2111" t="s">
        <v>1199</v>
      </c>
      <c r="U28" s="2112">
        <v>2.2999999999999998</v>
      </c>
      <c r="W28" s="2105"/>
      <c r="X28" s="2105"/>
      <c r="Y28" s="2105"/>
      <c r="Z28" s="2105"/>
      <c r="AB28" s="2113"/>
      <c r="AC28" s="2105"/>
      <c r="AD28" s="2105"/>
      <c r="AE28" s="2105"/>
      <c r="AF28" s="2105"/>
    </row>
    <row r="29" spans="5:32">
      <c r="E29" s="2029" t="s">
        <v>1213</v>
      </c>
      <c r="F29" s="2102">
        <v>11.9</v>
      </c>
      <c r="G29" s="2102">
        <v>11.3</v>
      </c>
      <c r="H29" s="2102">
        <v>11.1</v>
      </c>
      <c r="I29" s="2102">
        <v>11.9</v>
      </c>
      <c r="J29" s="2039"/>
      <c r="L29" s="2039"/>
      <c r="M29" s="2029" t="s">
        <v>1213</v>
      </c>
      <c r="N29" s="2102">
        <v>3.1</v>
      </c>
      <c r="O29" s="2102">
        <v>2</v>
      </c>
      <c r="P29" s="2102">
        <v>2.2000000000000002</v>
      </c>
      <c r="Q29" s="2102">
        <v>3.3</v>
      </c>
      <c r="T29" s="2114" t="s">
        <v>1213</v>
      </c>
      <c r="U29" s="2115">
        <v>1.9</v>
      </c>
      <c r="W29" s="2105"/>
      <c r="X29" s="2105"/>
      <c r="Y29" s="2105"/>
      <c r="Z29" s="2105"/>
      <c r="AB29" s="2113"/>
      <c r="AC29" s="2105"/>
      <c r="AD29" s="2105"/>
      <c r="AE29" s="2105"/>
      <c r="AF29" s="2105"/>
    </row>
    <row r="30" spans="5:32">
      <c r="E30" s="2030" t="s">
        <v>1116</v>
      </c>
      <c r="F30" s="2110">
        <v>12</v>
      </c>
      <c r="G30" s="2110">
        <v>11.1</v>
      </c>
      <c r="H30" s="2110">
        <v>10.8</v>
      </c>
      <c r="I30" s="2110">
        <v>11.8</v>
      </c>
      <c r="J30" s="2039"/>
      <c r="L30" s="2039"/>
      <c r="M30" s="2030" t="s">
        <v>1116</v>
      </c>
      <c r="N30" s="2110">
        <v>2.8</v>
      </c>
      <c r="O30" s="2110">
        <v>2.1</v>
      </c>
      <c r="P30" s="2110">
        <v>2.2000000000000002</v>
      </c>
      <c r="Q30" s="2110">
        <v>2.9</v>
      </c>
      <c r="T30" s="2111" t="s">
        <v>1116</v>
      </c>
      <c r="U30" s="2112">
        <v>1.7</v>
      </c>
      <c r="W30" s="2105"/>
      <c r="X30" s="2105"/>
      <c r="Y30" s="2105"/>
      <c r="Z30" s="2105"/>
      <c r="AB30" s="2113"/>
      <c r="AC30" s="2105"/>
      <c r="AD30" s="2105"/>
      <c r="AE30" s="2105"/>
      <c r="AF30" s="2105"/>
    </row>
    <row r="31" spans="5:32">
      <c r="E31" s="2029" t="s">
        <v>1227</v>
      </c>
      <c r="F31" s="2102">
        <v>7.3</v>
      </c>
      <c r="G31" s="2102">
        <v>7.8</v>
      </c>
      <c r="H31" s="2102">
        <v>8.3000000000000007</v>
      </c>
      <c r="I31" s="2102">
        <v>7.5</v>
      </c>
      <c r="J31" s="2039"/>
      <c r="L31" s="2039"/>
      <c r="M31" s="2029" t="s">
        <v>1227</v>
      </c>
      <c r="N31" s="2102">
        <v>2.7</v>
      </c>
      <c r="O31" s="2102">
        <v>1.9</v>
      </c>
      <c r="P31" s="2102">
        <v>2.1</v>
      </c>
      <c r="Q31" s="2102">
        <v>2.8</v>
      </c>
      <c r="T31" s="2114" t="s">
        <v>1227</v>
      </c>
      <c r="U31" s="2115">
        <v>1.2</v>
      </c>
      <c r="W31" s="2105"/>
      <c r="X31" s="2105"/>
      <c r="Y31" s="2105"/>
      <c r="Z31" s="2105"/>
      <c r="AB31" s="2113"/>
      <c r="AC31" s="2105"/>
      <c r="AD31" s="2105"/>
      <c r="AE31" s="2105"/>
      <c r="AF31" s="2105"/>
    </row>
    <row r="32" spans="5:32" ht="15.75" thickBot="1">
      <c r="E32" s="2030" t="s">
        <v>1241</v>
      </c>
      <c r="F32" s="2110">
        <v>10.8</v>
      </c>
      <c r="G32" s="2110">
        <v>10.5</v>
      </c>
      <c r="H32" s="2110">
        <v>10.5</v>
      </c>
      <c r="I32" s="2110">
        <v>10.8</v>
      </c>
      <c r="J32" s="2039"/>
      <c r="L32" s="2039"/>
      <c r="M32" s="2030" t="s">
        <v>1241</v>
      </c>
      <c r="N32" s="2110">
        <v>3.3</v>
      </c>
      <c r="O32" s="2110">
        <v>2.1</v>
      </c>
      <c r="P32" s="2110">
        <v>2.2999999999999998</v>
      </c>
      <c r="Q32" s="2110">
        <v>3.5</v>
      </c>
      <c r="T32" s="2111" t="s">
        <v>1241</v>
      </c>
      <c r="U32" s="2112">
        <v>1.8</v>
      </c>
      <c r="W32" s="2105"/>
      <c r="X32" s="2105"/>
      <c r="Y32" s="2105"/>
      <c r="Z32" s="2105"/>
      <c r="AB32" s="2113"/>
      <c r="AC32" s="2105"/>
      <c r="AD32" s="2105"/>
      <c r="AE32" s="2105"/>
      <c r="AF32" s="2105"/>
    </row>
    <row r="33" spans="3:32" ht="15.75" thickBot="1">
      <c r="E33" s="2031" t="s">
        <v>1931</v>
      </c>
      <c r="F33" s="2116">
        <v>9.9</v>
      </c>
      <c r="G33" s="2116">
        <v>9.9</v>
      </c>
      <c r="H33" s="2116">
        <v>10</v>
      </c>
      <c r="I33" s="2116">
        <v>10</v>
      </c>
      <c r="J33" s="2040"/>
      <c r="L33" s="2040"/>
      <c r="M33" s="2031" t="s">
        <v>1931</v>
      </c>
      <c r="N33" s="2116">
        <v>3</v>
      </c>
      <c r="O33" s="2116">
        <v>2.2999999999999998</v>
      </c>
      <c r="P33" s="2116">
        <v>2.5</v>
      </c>
      <c r="Q33" s="2116">
        <v>3.1</v>
      </c>
      <c r="T33" s="2117" t="s">
        <v>1932</v>
      </c>
      <c r="U33" s="2118">
        <v>1.8</v>
      </c>
      <c r="W33" s="2119"/>
      <c r="X33" s="2119"/>
      <c r="Y33" s="2119"/>
      <c r="Z33" s="2119"/>
      <c r="AB33" s="2113"/>
      <c r="AC33" s="2119"/>
      <c r="AD33" s="2119"/>
      <c r="AE33" s="2119"/>
      <c r="AF33" s="2119"/>
    </row>
    <row r="34" spans="3:32">
      <c r="E34" s="2033" t="s">
        <v>1933</v>
      </c>
      <c r="F34" s="2032"/>
      <c r="G34" s="2032"/>
      <c r="H34" s="2032"/>
      <c r="I34" s="2032"/>
      <c r="J34" s="2032"/>
      <c r="K34" s="2032"/>
      <c r="L34" s="2032"/>
      <c r="M34" s="2033" t="s">
        <v>1933</v>
      </c>
      <c r="N34" s="1329"/>
      <c r="O34" s="1329"/>
      <c r="P34" s="1329"/>
      <c r="Q34" s="1329"/>
      <c r="T34" s="2033" t="s">
        <v>1933</v>
      </c>
      <c r="U34" s="2033"/>
      <c r="W34" s="2120"/>
      <c r="X34" s="2120"/>
      <c r="Y34" s="2120"/>
      <c r="Z34" s="2120"/>
      <c r="AB34" s="2033"/>
      <c r="AC34" s="2120"/>
      <c r="AD34" s="2120"/>
      <c r="AE34" s="2120"/>
      <c r="AF34" s="2120"/>
    </row>
    <row r="36" spans="3:32" ht="18.75">
      <c r="C36" s="2028" t="str">
        <f>"Application of the impacts of COVID-19 on PCC reported performance for " &amp; InpCompany!$F$5</f>
        <v>Application of the impacts of COVID-19 on PCC reported performance for Anglian Water</v>
      </c>
      <c r="N36" s="2244" t="str">
        <f>IF($G38="PR19SSC_C3","_South Staffs region","")</f>
        <v/>
      </c>
      <c r="T36" s="433"/>
      <c r="U36" s="433"/>
    </row>
    <row r="38" spans="3:32">
      <c r="E38" s="2074" t="s">
        <v>1934</v>
      </c>
      <c r="F38" s="2064"/>
      <c r="G38" s="2073" t="str">
        <f>'3A'!$C$13</f>
        <v>PR19ANH_6</v>
      </c>
      <c r="H38" s="2064"/>
      <c r="I38" s="2065" t="str">
        <f>IF('Validation summary'!$B$3="South Staffs Water","SST",InpCompany!$F$6)</f>
        <v>ANH</v>
      </c>
      <c r="M38" s="2415"/>
      <c r="N38" s="2415"/>
      <c r="O38" s="2415"/>
      <c r="P38" s="2415"/>
      <c r="Q38" s="2415"/>
      <c r="R38" s="2415"/>
      <c r="S38" s="2415"/>
      <c r="T38" s="2415"/>
      <c r="U38" s="2358"/>
      <c r="V38" s="1943"/>
    </row>
    <row r="39" spans="3:32">
      <c r="G39" s="2045"/>
      <c r="K39" s="2046"/>
      <c r="M39" s="2416" t="s">
        <v>1935</v>
      </c>
      <c r="N39" s="2416"/>
      <c r="O39" s="2417"/>
      <c r="P39" s="2418" t="s">
        <v>1935</v>
      </c>
      <c r="Q39" s="2416"/>
      <c r="R39" s="2416"/>
      <c r="S39" s="2416"/>
      <c r="T39" s="2417"/>
      <c r="U39" s="2359" t="s">
        <v>1936</v>
      </c>
      <c r="V39" s="1943"/>
    </row>
    <row r="40" spans="3:32">
      <c r="K40" s="435" t="s">
        <v>1937</v>
      </c>
      <c r="L40" s="1885" t="s">
        <v>1938</v>
      </c>
      <c r="M40" s="1885" t="s">
        <v>1939</v>
      </c>
      <c r="N40" s="1885" t="s">
        <v>1940</v>
      </c>
      <c r="O40" s="1888" t="s">
        <v>1941</v>
      </c>
      <c r="P40" s="1885" t="s">
        <v>1830</v>
      </c>
      <c r="Q40" s="1885" t="s">
        <v>1840</v>
      </c>
      <c r="R40" s="1885" t="s">
        <v>1847</v>
      </c>
      <c r="S40" s="1885" t="s">
        <v>1853</v>
      </c>
      <c r="T40" s="1888" t="s">
        <v>129</v>
      </c>
      <c r="U40" s="1885" t="s">
        <v>1942</v>
      </c>
      <c r="V40" s="1955" t="s">
        <v>1943</v>
      </c>
    </row>
    <row r="41" spans="3:32">
      <c r="D41" s="1943" t="s">
        <v>1944</v>
      </c>
      <c r="E41" s="435"/>
      <c r="K41" s="433"/>
      <c r="L41" s="1885"/>
      <c r="M41" s="1885"/>
      <c r="N41" s="1885"/>
      <c r="O41" s="1888"/>
      <c r="P41" s="1885"/>
      <c r="Q41" s="1885"/>
      <c r="R41" s="1885"/>
      <c r="S41" s="1885"/>
      <c r="T41" s="1888"/>
      <c r="U41" s="1885"/>
      <c r="V41" s="1885"/>
    </row>
    <row r="42" spans="3:32">
      <c r="E42" s="433" t="s">
        <v>1945</v>
      </c>
      <c r="K42" s="480" t="s">
        <v>321</v>
      </c>
      <c r="L42" s="433"/>
      <c r="M42" s="433"/>
      <c r="N42" s="433"/>
      <c r="O42" s="2052"/>
      <c r="P42" s="2048" cm="1">
        <f t="array" ref="P42">INDEX(App1bdata,MATCH($G$38,App1bIDnrs,0),VLOOKUP(P$40,ProfileInps,4,0))</f>
        <v>0.8</v>
      </c>
      <c r="Q42" s="2048" cm="1">
        <f t="array" ref="Q42">INDEX(App1bdata,MATCH($G$38,App1bIDnrs,0),VLOOKUP(Q$40,ProfileInps,4,0))</f>
        <v>2</v>
      </c>
      <c r="R42" s="2048" cm="1">
        <f t="array" ref="R42">INDEX(App1bdata,MATCH($G$38,App1bIDnrs,0),VLOOKUP(R$40,ProfileInps,4,0))</f>
        <v>3.2</v>
      </c>
      <c r="S42" s="2048" cm="1">
        <f t="array" ref="S42">INDEX(App1bdata,MATCH($G$38,App1bIDnrs,0),VLOOKUP(S$40,ProfileInps,4,0))</f>
        <v>4.5</v>
      </c>
      <c r="T42" s="2049" cm="1">
        <f t="array" ref="T42">INDEX(App1bdata,MATCH($G$38,App1bIDnrs,0),VLOOKUP(T$40,ProfileInps,4,0))</f>
        <v>5.6</v>
      </c>
      <c r="U42" s="2048"/>
      <c r="V42" s="433" t="s">
        <v>1946</v>
      </c>
    </row>
    <row r="43" spans="3:32">
      <c r="E43" s="2067" t="s">
        <v>1947</v>
      </c>
      <c r="F43" s="2068"/>
      <c r="G43" s="2068"/>
      <c r="H43" s="2068"/>
      <c r="I43" s="2068"/>
      <c r="J43" s="2068"/>
      <c r="K43" s="2067" t="s">
        <v>681</v>
      </c>
      <c r="L43" s="2067"/>
      <c r="M43" s="2067"/>
      <c r="N43" s="2067"/>
      <c r="O43" s="2069"/>
      <c r="P43" s="2121">
        <f>ROUND(P53 * (1-P42/100),1)</f>
        <v>133.9</v>
      </c>
      <c r="Q43" s="2121">
        <f>ROUND(Q53 * (1-Q42/100),1)</f>
        <v>132.30000000000001</v>
      </c>
      <c r="R43" s="2121">
        <f>ROUND(R53 * (1-R42/100),1)</f>
        <v>130.69999999999999</v>
      </c>
      <c r="S43" s="2121">
        <f>ROUND(S53 * (1-S42/100),1)</f>
        <v>128.9</v>
      </c>
      <c r="T43" s="2122">
        <f>ROUND(T53 * (1-T42/100),1)</f>
        <v>127.4</v>
      </c>
      <c r="U43" s="2121"/>
      <c r="V43" s="2067" t="s">
        <v>1948</v>
      </c>
      <c r="W43" s="2068"/>
    </row>
    <row r="44" spans="3:32">
      <c r="E44" s="433" t="s">
        <v>1949</v>
      </c>
      <c r="K44" s="433" t="s">
        <v>321</v>
      </c>
      <c r="L44" s="433"/>
      <c r="M44" s="433"/>
      <c r="N44" s="433"/>
      <c r="O44" s="2052"/>
      <c r="P44" s="2050" t="str" cm="1">
        <f t="array" ref="P44">INDEX(App1bdata,MATCH($G$38,App1bIDnrs,0),VLOOKUP(P$40,ProfileInps,2,0))</f>
        <v/>
      </c>
      <c r="Q44" s="2048" t="str" cm="1">
        <f t="array" ref="Q44">INDEX(App1bdata,MATCH($G$38,App1bIDnrs,0),VLOOKUP(Q$40,ProfileInps,2,0))</f>
        <v/>
      </c>
      <c r="R44" s="2048" t="str" cm="1">
        <f t="array" ref="R44">INDEX(App1bdata,MATCH($G$38,App1bIDnrs,0),VLOOKUP(R$40,ProfileInps,2,0))</f>
        <v/>
      </c>
      <c r="S44" s="2048" t="str" cm="1">
        <f t="array" ref="S44">INDEX(App1bdata,MATCH($G$38,App1bIDnrs,0),VLOOKUP(S$40,ProfileInps,2,0))</f>
        <v/>
      </c>
      <c r="T44" s="2049" t="str" cm="1">
        <f t="array" ref="T44">INDEX(App1bdata,MATCH($G$38,App1bIDnrs,0),VLOOKUP(T$40,ProfileInps,2,0))</f>
        <v/>
      </c>
      <c r="U44" s="2048"/>
      <c r="V44" s="433" t="s">
        <v>1946</v>
      </c>
    </row>
    <row r="45" spans="3:32">
      <c r="E45" s="2067" t="s">
        <v>1950</v>
      </c>
      <c r="F45" s="2068"/>
      <c r="G45" s="2068"/>
      <c r="H45" s="2068"/>
      <c r="I45" s="2068"/>
      <c r="J45" s="2068"/>
      <c r="K45" s="2067" t="s">
        <v>681</v>
      </c>
      <c r="L45" s="2067"/>
      <c r="M45" s="2067"/>
      <c r="N45" s="2067"/>
      <c r="O45" s="2069"/>
      <c r="P45" s="2070" t="str">
        <f>IF(P44="","",ROUND(P$53 * (1-P44/100),1))</f>
        <v/>
      </c>
      <c r="Q45" s="2071" t="str">
        <f>IF(Q44="","",ROUND(Q$53 * (1-Q44/100),1))</f>
        <v/>
      </c>
      <c r="R45" s="2071" t="str">
        <f>IF(R44="","",ROUND(R$53 * (1-R44/100),1))</f>
        <v/>
      </c>
      <c r="S45" s="2071" t="str">
        <f>IF(S44="","",ROUND(S$53 * (1-S44/100),1))</f>
        <v/>
      </c>
      <c r="T45" s="2072" t="str">
        <f>IF(T44="","",ROUND(T$53 * (1-T44/100),1))</f>
        <v/>
      </c>
      <c r="U45" s="2071"/>
      <c r="V45" s="2067" t="s">
        <v>1948</v>
      </c>
      <c r="W45" s="2068"/>
    </row>
    <row r="46" spans="3:32">
      <c r="E46" s="433" t="s">
        <v>1951</v>
      </c>
      <c r="K46" s="433" t="s">
        <v>321</v>
      </c>
      <c r="L46" s="433"/>
      <c r="M46" s="433"/>
      <c r="N46" s="433"/>
      <c r="O46" s="2052"/>
      <c r="P46" s="2050" t="str" cm="1">
        <f t="array" ref="P46">INDEX(App1bdata,MATCH($G$38,App1bIDnrs,0),VLOOKUP(P$40,ProfileInps,6,0))</f>
        <v/>
      </c>
      <c r="Q46" s="2048" t="str" cm="1">
        <f t="array" ref="Q46">INDEX(App1bdata,MATCH($G$38,App1bIDnrs,0),VLOOKUP(Q$40,ProfileInps,6,0))</f>
        <v/>
      </c>
      <c r="R46" s="2048" t="str" cm="1">
        <f t="array" ref="R46">INDEX(App1bdata,MATCH($G$38,App1bIDnrs,0),VLOOKUP(R$40,ProfileInps,6,0))</f>
        <v/>
      </c>
      <c r="S46" s="2048" t="str" cm="1">
        <f t="array" ref="S46">INDEX(App1bdata,MATCH($G$38,App1bIDnrs,0),VLOOKUP(S$40,ProfileInps,6,0))</f>
        <v/>
      </c>
      <c r="T46" s="2049" t="str" cm="1">
        <f t="array" ref="T46">INDEX(App1bdata,MATCH($G$38,App1bIDnrs,0),VLOOKUP(T$40,ProfileInps,6,0))</f>
        <v/>
      </c>
      <c r="U46" s="2048"/>
      <c r="V46" s="433" t="s">
        <v>1946</v>
      </c>
    </row>
    <row r="47" spans="3:32">
      <c r="E47" s="2067" t="s">
        <v>1952</v>
      </c>
      <c r="F47" s="2068"/>
      <c r="G47" s="2068"/>
      <c r="H47" s="2068"/>
      <c r="I47" s="2068"/>
      <c r="J47" s="2068"/>
      <c r="K47" s="2067" t="s">
        <v>681</v>
      </c>
      <c r="L47" s="2067"/>
      <c r="M47" s="2067"/>
      <c r="N47" s="2067"/>
      <c r="O47" s="2069"/>
      <c r="P47" s="2070" t="str">
        <f>IF(P46="","",ROUND(P$53 * (1-P46/100),1))</f>
        <v/>
      </c>
      <c r="Q47" s="2071" t="str">
        <f>IF(Q46="","",ROUND(Q$53 * (1-Q46/100),1))</f>
        <v/>
      </c>
      <c r="R47" s="2071" t="str">
        <f>IF(R46="","",ROUND(R$53 * (1-R46/100),1))</f>
        <v/>
      </c>
      <c r="S47" s="2071" t="str">
        <f>IF(S46="","",ROUND(S$53 * (1-S46/100),1))</f>
        <v/>
      </c>
      <c r="T47" s="2072" t="str">
        <f>IF(T46="","",ROUND(T$53 * (1-T46/100),1))</f>
        <v/>
      </c>
      <c r="U47" s="2071"/>
      <c r="V47" s="2067" t="s">
        <v>1948</v>
      </c>
      <c r="W47" s="2068"/>
    </row>
    <row r="48" spans="3:32">
      <c r="E48" s="433" t="s">
        <v>1953</v>
      </c>
      <c r="K48" s="433" t="s">
        <v>1954</v>
      </c>
      <c r="L48" s="2137">
        <f>IF(INDEX(App1bdata,MATCH($G$38,App1bIDnrs,0),101)="",0,INDEX(App1bdata,MATCH($G$38,App1bIDnrs,0),101))</f>
        <v>0.312</v>
      </c>
      <c r="M48" s="433"/>
      <c r="N48" s="433"/>
      <c r="O48" s="2052"/>
      <c r="P48" s="433"/>
      <c r="Q48" s="2051"/>
      <c r="R48" s="2051"/>
      <c r="S48" s="2051"/>
      <c r="T48" s="2054"/>
      <c r="U48" s="2051"/>
      <c r="V48" s="433" t="s">
        <v>1955</v>
      </c>
    </row>
    <row r="49" spans="4:22">
      <c r="E49" s="433" t="s">
        <v>1956</v>
      </c>
      <c r="K49" s="433" t="s">
        <v>1954</v>
      </c>
      <c r="L49" s="2047">
        <f>INDEX(App1bdata,MATCH($G$38,App1bIDnrs,0),97)</f>
        <v>-0.374</v>
      </c>
      <c r="M49" s="433"/>
      <c r="N49" s="433"/>
      <c r="O49" s="2052"/>
      <c r="P49" s="433"/>
      <c r="Q49" s="2051"/>
      <c r="R49" s="2051"/>
      <c r="S49" s="2051"/>
      <c r="T49" s="2054"/>
      <c r="U49" s="2051"/>
      <c r="V49" s="433" t="s">
        <v>1946</v>
      </c>
    </row>
    <row r="50" spans="4:22">
      <c r="E50" s="433"/>
      <c r="K50" s="433"/>
      <c r="L50" s="433"/>
      <c r="M50" s="433"/>
      <c r="N50" s="433"/>
      <c r="O50" s="2052"/>
      <c r="P50" s="433"/>
      <c r="Q50" s="2051"/>
      <c r="R50" s="2051"/>
      <c r="S50" s="2051"/>
      <c r="T50" s="2054"/>
      <c r="U50" s="2051"/>
      <c r="V50" s="433"/>
    </row>
    <row r="51" spans="4:22">
      <c r="D51" s="1943" t="s">
        <v>1957</v>
      </c>
      <c r="K51" s="433"/>
      <c r="L51" s="433"/>
      <c r="M51" s="433"/>
      <c r="N51" s="433"/>
      <c r="O51" s="2052"/>
      <c r="P51" s="433"/>
      <c r="Q51" s="2051"/>
      <c r="R51" s="2051"/>
      <c r="S51" s="2051"/>
      <c r="T51" s="2054"/>
      <c r="U51" s="2051"/>
      <c r="V51" s="433"/>
    </row>
    <row r="52" spans="4:22">
      <c r="E52" s="433" t="s">
        <v>1958</v>
      </c>
      <c r="K52" s="433" t="s">
        <v>681</v>
      </c>
      <c r="L52" s="433"/>
      <c r="M52" s="2231">
        <f>IF('Validation summary'!$B$3="South Staffs Water",ROUND('3F.1'!D$19,1),ROUND('3F'!D$19,1))</f>
        <v>134.80000000000001</v>
      </c>
      <c r="N52" s="2231">
        <f>IF('Validation summary'!$B$3="South Staffs Water",ROUND('3F.1'!E$19,1),ROUND('3F'!E$19,1))</f>
        <v>136.9</v>
      </c>
      <c r="O52" s="2232">
        <f>IF('Validation summary'!$B$3="South Staffs Water",ROUND('3F.1'!F$19,1),ROUND('3F'!F$19,1))</f>
        <v>133.30000000000001</v>
      </c>
      <c r="P52" s="2231">
        <f>IF('Validation summary'!$B$3="South Staffs Water",ROUND('3F.1'!H$19,1),ROUND('3F'!H$19,1))</f>
        <v>146.9</v>
      </c>
      <c r="Q52" s="2231">
        <f>IF('Validation summary'!$B$3="South Staffs Water",ROUND('3F.1'!I$19,1),ROUND('3F'!I$19,1))</f>
        <v>136</v>
      </c>
      <c r="R52" s="2231">
        <f>IF('Validation summary'!$B$3="South Staffs Water",ROUND('3F.1'!J$19,1),ROUND('3F'!J$19,1))</f>
        <v>132.30000000000001</v>
      </c>
      <c r="S52" s="2231">
        <f>IF('Validation summary'!$B$3="South Staffs Water",ROUND('3F.1'!K$19,1),ROUND('3F'!K$19,1))</f>
        <v>127.6</v>
      </c>
      <c r="T52" s="2233">
        <f>IF('Validation summary'!$B$3="South Staffs Water",ROUND('3F.1'!L$19,1),ROUND('3F'!L$19,1))</f>
        <v>126.2</v>
      </c>
      <c r="U52" s="2048"/>
      <c r="V52" s="433" t="s">
        <v>1959</v>
      </c>
    </row>
    <row r="53" spans="4:22">
      <c r="E53" s="433" t="s">
        <v>1960</v>
      </c>
      <c r="K53" s="433" t="s">
        <v>681</v>
      </c>
      <c r="L53" s="433"/>
      <c r="M53" s="2047"/>
      <c r="N53" s="2047"/>
      <c r="O53" s="2083"/>
      <c r="P53" s="2053">
        <f>ROUND(AVERAGE($M52:$O52),1)</f>
        <v>135</v>
      </c>
      <c r="Q53" s="2053">
        <f t="shared" ref="Q53:T53" si="0">ROUND(AVERAGE($M52:$O52),1)</f>
        <v>135</v>
      </c>
      <c r="R53" s="2053">
        <f t="shared" si="0"/>
        <v>135</v>
      </c>
      <c r="S53" s="2053">
        <f t="shared" si="0"/>
        <v>135</v>
      </c>
      <c r="T53" s="2123">
        <f t="shared" si="0"/>
        <v>135</v>
      </c>
      <c r="U53" s="2048"/>
      <c r="V53" s="433" t="s">
        <v>1961</v>
      </c>
    </row>
    <row r="54" spans="4:22">
      <c r="E54" s="433" t="s">
        <v>1962</v>
      </c>
      <c r="K54" s="433" t="s">
        <v>165</v>
      </c>
      <c r="L54" s="433"/>
      <c r="M54" s="2047"/>
      <c r="N54" s="2047"/>
      <c r="O54" s="2083"/>
      <c r="P54" s="2234">
        <f>IF('Validation summary'!$B$3="South Staffs Water",VLOOKUP("SSC_SST",PCCpayments_FD24,3,0),VLOOKUP($I$38,PCCpayments_FD24,3,0))</f>
        <v>-1.9073999999999978</v>
      </c>
      <c r="Q54" s="2234">
        <f>IF('Validation summary'!$B$3="South Staffs Water",VLOOKUP("SSC_SST",PCCpayments_FD24,4,0),VLOOKUP($I$38,PCCpayments_FD24,4,0))</f>
        <v>-2.3935999999999913</v>
      </c>
      <c r="R54" s="2234">
        <f>IF('Validation summary'!$B$3="South Staffs Water",VLOOKUP("SSC_SST",PCCpayments_FD24,5,0),VLOOKUP($I$38,PCCpayments_FD24,5,0))</f>
        <v>-2.8798000000000066</v>
      </c>
      <c r="S54" s="2234">
        <f>IF('Validation summary'!$B$3="South Staffs Water",VLOOKUP("SSC_SST",PCCpayments_FD24,6,0),VLOOKUP($I$38,PCCpayments_FD24,6,0))</f>
        <v>-1.1593999999999978</v>
      </c>
      <c r="T54" s="2235">
        <f>'3A'!$H$13</f>
        <v>-0.48620000000000002</v>
      </c>
      <c r="U54" s="2239">
        <f>SUM(P54:T54)</f>
        <v>-8.8263999999999943</v>
      </c>
      <c r="V54" s="433" t="s">
        <v>1963</v>
      </c>
    </row>
    <row r="55" spans="4:22">
      <c r="E55" s="433"/>
      <c r="K55" s="433"/>
      <c r="L55" s="433"/>
      <c r="M55" s="433"/>
      <c r="N55" s="433"/>
      <c r="O55" s="2052"/>
      <c r="P55" s="433"/>
      <c r="Q55" s="433"/>
      <c r="R55" s="433"/>
      <c r="S55" s="433"/>
      <c r="T55" s="2052"/>
      <c r="U55" s="433"/>
      <c r="V55" s="433"/>
    </row>
    <row r="56" spans="4:22">
      <c r="D56" s="1943" t="s">
        <v>1964</v>
      </c>
      <c r="K56" s="433"/>
      <c r="L56" s="433"/>
      <c r="M56" s="433"/>
      <c r="N56" s="433"/>
      <c r="O56" s="2052"/>
      <c r="P56" s="433"/>
      <c r="Q56" s="433"/>
      <c r="R56" s="433"/>
      <c r="S56" s="433"/>
      <c r="T56" s="2052"/>
      <c r="U56" s="433"/>
      <c r="V56" s="433"/>
    </row>
    <row r="57" spans="4:22">
      <c r="E57" s="433" t="s">
        <v>1965</v>
      </c>
      <c r="K57" s="433"/>
      <c r="L57" s="433"/>
      <c r="M57" s="433"/>
      <c r="N57" s="433"/>
      <c r="O57" s="2052"/>
      <c r="P57" s="433"/>
      <c r="Q57" s="433"/>
      <c r="R57" s="433"/>
      <c r="S57" s="433"/>
      <c r="T57" s="2052"/>
      <c r="U57" s="433"/>
      <c r="V57" s="433" t="s">
        <v>1966</v>
      </c>
    </row>
    <row r="58" spans="4:22">
      <c r="E58" s="433" t="s">
        <v>1967</v>
      </c>
      <c r="K58" s="433" t="s">
        <v>321</v>
      </c>
      <c r="L58" s="433"/>
      <c r="M58" s="433"/>
      <c r="N58" s="433"/>
      <c r="O58" s="2052"/>
      <c r="P58" s="2236">
        <f>VLOOKUP($I$38,$E$15:$I$32,4,0)</f>
        <v>10.3</v>
      </c>
      <c r="Q58" s="2236">
        <f>VLOOKUP($I$38,$M$15:$Q$32,4,0)</f>
        <v>2.2000000000000002</v>
      </c>
      <c r="R58" s="2237">
        <f>Q58 - (($Q58-$T58) / 3)</f>
        <v>2.0666666666666669</v>
      </c>
      <c r="S58" s="2237">
        <f>R58 - (($Q58-$T58) / 3)</f>
        <v>1.9333333333333336</v>
      </c>
      <c r="T58" s="2238">
        <f>MAX($AD$15,VLOOKUP($I$38,$T$15:$U$32,2,0))</f>
        <v>1.8</v>
      </c>
      <c r="U58" s="2048"/>
      <c r="V58" s="433" t="s">
        <v>1968</v>
      </c>
    </row>
    <row r="59" spans="4:22">
      <c r="E59" s="433"/>
      <c r="K59" s="433"/>
      <c r="L59" s="433"/>
      <c r="M59" s="433"/>
      <c r="N59" s="433"/>
      <c r="O59" s="2052"/>
      <c r="P59" s="433"/>
      <c r="Q59" s="433"/>
      <c r="R59" s="433"/>
      <c r="S59" s="433"/>
      <c r="T59" s="2052"/>
      <c r="U59" s="433"/>
      <c r="V59" s="433"/>
    </row>
    <row r="60" spans="4:22">
      <c r="E60" s="1357" t="s">
        <v>1969</v>
      </c>
      <c r="K60" s="433" t="s">
        <v>681</v>
      </c>
      <c r="L60" s="433"/>
      <c r="M60" s="2053">
        <f>M52</f>
        <v>134.80000000000001</v>
      </c>
      <c r="N60" s="2053">
        <f>N52</f>
        <v>136.9</v>
      </c>
      <c r="O60" s="2123">
        <f>O52</f>
        <v>133.30000000000001</v>
      </c>
      <c r="P60" s="2037">
        <f>P52 * (1 - P58 / 100)</f>
        <v>131.76930000000002</v>
      </c>
      <c r="Q60" s="2037">
        <f t="shared" ref="Q60:T60" si="1">Q52 * (1 - Q58 / 100)</f>
        <v>133.00800000000001</v>
      </c>
      <c r="R60" s="2037">
        <f t="shared" si="1"/>
        <v>129.5658</v>
      </c>
      <c r="S60" s="2037">
        <f t="shared" si="1"/>
        <v>125.13306666666666</v>
      </c>
      <c r="T60" s="2061">
        <f t="shared" si="1"/>
        <v>123.9284</v>
      </c>
      <c r="U60" s="2051"/>
      <c r="V60" s="433" t="s">
        <v>1970</v>
      </c>
    </row>
    <row r="61" spans="4:22">
      <c r="E61" s="1357" t="s">
        <v>1971</v>
      </c>
      <c r="K61" s="433" t="s">
        <v>681</v>
      </c>
      <c r="L61" s="433"/>
      <c r="M61" s="433"/>
      <c r="N61" s="433"/>
      <c r="O61" s="2052"/>
      <c r="P61" s="2037">
        <f>ROUND(AVERAGE(N60:P60),1)</f>
        <v>134</v>
      </c>
      <c r="Q61" s="2037">
        <f>ROUND(AVERAGE(O60:Q60),1)</f>
        <v>132.69999999999999</v>
      </c>
      <c r="R61" s="2037">
        <f>ROUND(AVERAGE(P60:R60),1)</f>
        <v>131.4</v>
      </c>
      <c r="S61" s="2037">
        <f>ROUND(AVERAGE(Q60:S60),1)</f>
        <v>129.19999999999999</v>
      </c>
      <c r="T61" s="2061">
        <f>ROUND(AVERAGE(R60:T60),1)</f>
        <v>126.2</v>
      </c>
      <c r="U61" s="2051"/>
      <c r="V61" s="433" t="s">
        <v>1972</v>
      </c>
    </row>
    <row r="62" spans="4:22">
      <c r="E62" s="1357" t="s">
        <v>1973</v>
      </c>
      <c r="K62" s="433" t="s">
        <v>321</v>
      </c>
      <c r="L62" s="433"/>
      <c r="M62" s="433"/>
      <c r="N62" s="433"/>
      <c r="O62" s="2052"/>
      <c r="P62" s="2037">
        <f>ROUND((1-P61/P53)*100,1)</f>
        <v>0.7</v>
      </c>
      <c r="Q62" s="2037">
        <f>ROUND((1-Q61/Q53)*100,1)</f>
        <v>1.7</v>
      </c>
      <c r="R62" s="2037">
        <f>ROUND((1-R61/R53)*100,1)</f>
        <v>2.7</v>
      </c>
      <c r="S62" s="2037">
        <f>ROUND((1-S61/S53)*100,1)</f>
        <v>4.3</v>
      </c>
      <c r="T62" s="2061">
        <f>ROUND((1-T61/T53)*100,1)</f>
        <v>6.5</v>
      </c>
      <c r="U62" s="2051"/>
      <c r="V62" s="433" t="s">
        <v>1974</v>
      </c>
    </row>
    <row r="63" spans="4:22">
      <c r="E63" s="433" t="s">
        <v>1975</v>
      </c>
      <c r="K63" s="433" t="s">
        <v>1890</v>
      </c>
      <c r="L63" s="433"/>
      <c r="M63" s="433"/>
      <c r="N63" s="433"/>
      <c r="O63" s="2052"/>
      <c r="P63" s="449" t="str">
        <f>IF(P62&lt;=P42,"No","Yes")</f>
        <v>No</v>
      </c>
      <c r="Q63" s="449" t="str">
        <f t="shared" ref="Q63:T63" si="2">IF(Q62&lt;=Q42,"No","Yes")</f>
        <v>No</v>
      </c>
      <c r="R63" s="449" t="str">
        <f t="shared" si="2"/>
        <v>No</v>
      </c>
      <c r="S63" s="449" t="str">
        <f t="shared" si="2"/>
        <v>No</v>
      </c>
      <c r="T63" s="2055" t="str">
        <f t="shared" si="2"/>
        <v>Yes</v>
      </c>
      <c r="U63" s="449"/>
      <c r="V63" s="433"/>
    </row>
    <row r="64" spans="4:22">
      <c r="E64" s="433"/>
      <c r="K64" s="433"/>
      <c r="L64" s="433"/>
      <c r="M64" s="433"/>
      <c r="N64" s="433"/>
      <c r="O64" s="2052"/>
      <c r="P64" s="449"/>
      <c r="Q64" s="449"/>
      <c r="R64" s="449"/>
      <c r="S64" s="449"/>
      <c r="T64" s="2055"/>
      <c r="U64" s="433"/>
      <c r="V64" s="433"/>
    </row>
    <row r="65" spans="4:35">
      <c r="E65" s="438" t="s">
        <v>1976</v>
      </c>
      <c r="K65" s="433"/>
      <c r="L65" s="433"/>
      <c r="M65" s="433"/>
      <c r="N65" s="433"/>
      <c r="O65" s="2052"/>
      <c r="P65" s="449"/>
      <c r="Q65" s="449"/>
      <c r="R65" s="449"/>
      <c r="S65" s="449"/>
      <c r="T65" s="2055"/>
      <c r="U65" s="433"/>
      <c r="V65" s="433"/>
    </row>
    <row r="66" spans="4:35">
      <c r="E66" s="433" t="s">
        <v>1977</v>
      </c>
      <c r="K66" s="433" t="s">
        <v>1890</v>
      </c>
      <c r="L66" s="433"/>
      <c r="M66" s="433"/>
      <c r="N66" s="433"/>
      <c r="O66" s="433"/>
      <c r="P66" s="2056" t="str">
        <f>IF(P44="","na",IF(P62&gt;P44,"Yes","No"))</f>
        <v>na</v>
      </c>
      <c r="Q66" s="449" t="str">
        <f t="shared" ref="Q66:T66" si="3">IF(Q44="","na",IF(Q62&gt;Q44,"Yes","No"))</f>
        <v>na</v>
      </c>
      <c r="R66" s="449" t="str">
        <f t="shared" si="3"/>
        <v>na</v>
      </c>
      <c r="S66" s="449" t="str">
        <f t="shared" si="3"/>
        <v>na</v>
      </c>
      <c r="T66" s="2055" t="str">
        <f t="shared" si="3"/>
        <v>na</v>
      </c>
      <c r="U66" s="449"/>
      <c r="V66" s="433"/>
    </row>
    <row r="67" spans="4:35">
      <c r="E67" s="1357" t="s">
        <v>1978</v>
      </c>
      <c r="K67" s="433" t="s">
        <v>681</v>
      </c>
      <c r="L67" s="433"/>
      <c r="M67" s="433"/>
      <c r="N67" s="433"/>
      <c r="O67" s="433"/>
      <c r="P67" s="2060" t="str">
        <f>IF(P63="No","",IF(AND(P63="Yes",P66="Yes"),P45-P43,P61-P43))</f>
        <v/>
      </c>
      <c r="Q67" s="2037" t="str">
        <f t="shared" ref="Q67:T67" si="4">IF(Q63="No","",IF(AND(Q63="Yes",Q66="Yes"),Q45-Q43,Q61-Q43))</f>
        <v/>
      </c>
      <c r="R67" s="2037" t="str">
        <f t="shared" si="4"/>
        <v/>
      </c>
      <c r="S67" s="2037" t="str">
        <f t="shared" si="4"/>
        <v/>
      </c>
      <c r="T67" s="2061">
        <f t="shared" si="4"/>
        <v>-1.2000000000000028</v>
      </c>
      <c r="U67" s="2051"/>
      <c r="V67" s="433"/>
    </row>
    <row r="68" spans="4:35">
      <c r="E68" s="433"/>
      <c r="K68" s="433"/>
      <c r="L68" s="433"/>
      <c r="M68" s="433"/>
      <c r="N68" s="433"/>
      <c r="O68" s="433"/>
      <c r="P68" s="2056"/>
      <c r="Q68" s="449"/>
      <c r="R68" s="449"/>
      <c r="S68" s="449"/>
      <c r="T68" s="2055"/>
      <c r="U68" s="433"/>
      <c r="V68" s="433"/>
    </row>
    <row r="69" spans="4:35">
      <c r="E69" s="438" t="s">
        <v>1979</v>
      </c>
      <c r="K69" s="433"/>
      <c r="L69" s="433"/>
      <c r="M69" s="433"/>
      <c r="N69" s="433"/>
      <c r="O69" s="433"/>
      <c r="P69" s="2056"/>
      <c r="Q69" s="449"/>
      <c r="R69" s="449"/>
      <c r="S69" s="449"/>
      <c r="T69" s="2055"/>
      <c r="U69" s="433"/>
      <c r="V69" s="433"/>
    </row>
    <row r="70" spans="4:35">
      <c r="E70" s="433" t="s">
        <v>1980</v>
      </c>
      <c r="K70" s="433" t="s">
        <v>1890</v>
      </c>
      <c r="L70" s="433"/>
      <c r="M70" s="433"/>
      <c r="N70" s="433"/>
      <c r="O70" s="433"/>
      <c r="P70" s="2056" t="str">
        <f>IF(P46="","na",IF(P62&lt;P46,"Yes","No"))</f>
        <v>na</v>
      </c>
      <c r="Q70" s="449" t="str">
        <f t="shared" ref="Q70:T70" si="5">IF(Q46="","na",IF(Q62&lt;Q46,"Yes","No"))</f>
        <v>na</v>
      </c>
      <c r="R70" s="449" t="str">
        <f t="shared" si="5"/>
        <v>na</v>
      </c>
      <c r="S70" s="449" t="str">
        <f t="shared" si="5"/>
        <v>na</v>
      </c>
      <c r="T70" s="2055" t="str">
        <f t="shared" si="5"/>
        <v>na</v>
      </c>
      <c r="U70" s="449"/>
      <c r="V70" s="433"/>
    </row>
    <row r="71" spans="4:35">
      <c r="E71" s="1357" t="s">
        <v>1978</v>
      </c>
      <c r="K71" s="433" t="s">
        <v>681</v>
      </c>
      <c r="L71" s="433"/>
      <c r="M71" s="433"/>
      <c r="N71" s="433"/>
      <c r="O71" s="433"/>
      <c r="P71" s="2060">
        <f>IF(P63="Yes","",IF(AND(P63="No",P70="Yes"),P47-P43,P61-P43))</f>
        <v>9.9999999999994316E-2</v>
      </c>
      <c r="Q71" s="2037">
        <f t="shared" ref="Q71:T71" si="6">IF(Q63="Yes","",IF(AND(Q63="No",Q70="Yes"),Q47-Q43,Q61-Q43))</f>
        <v>0.39999999999997726</v>
      </c>
      <c r="R71" s="2037">
        <f t="shared" si="6"/>
        <v>0.70000000000001705</v>
      </c>
      <c r="S71" s="2037">
        <f t="shared" si="6"/>
        <v>0.29999999999998295</v>
      </c>
      <c r="T71" s="2061" t="str">
        <f t="shared" si="6"/>
        <v/>
      </c>
      <c r="U71" s="2037"/>
      <c r="V71" s="433"/>
    </row>
    <row r="72" spans="4:35">
      <c r="E72" s="433"/>
      <c r="K72" s="433"/>
      <c r="L72" s="433"/>
      <c r="M72" s="433"/>
      <c r="N72" s="433"/>
      <c r="O72" s="433"/>
      <c r="P72" s="2056"/>
      <c r="Q72" s="449"/>
      <c r="R72" s="449"/>
      <c r="S72" s="449"/>
      <c r="T72" s="2055"/>
      <c r="U72" s="433"/>
      <c r="V72" s="433"/>
    </row>
    <row r="73" spans="4:35">
      <c r="D73" s="1943" t="s">
        <v>1981</v>
      </c>
      <c r="K73" s="433"/>
      <c r="L73" s="433"/>
      <c r="M73" s="433"/>
      <c r="N73" s="433"/>
      <c r="O73" s="433"/>
      <c r="P73" s="2056"/>
      <c r="Q73" s="449"/>
      <c r="R73" s="449"/>
      <c r="S73" s="449"/>
      <c r="T73" s="2055"/>
      <c r="U73" s="433"/>
      <c r="V73" s="433"/>
    </row>
    <row r="74" spans="4:35">
      <c r="E74" s="1357" t="s">
        <v>1982</v>
      </c>
      <c r="K74" s="433" t="s">
        <v>165</v>
      </c>
      <c r="L74" s="433"/>
      <c r="M74" s="433"/>
      <c r="N74" s="433"/>
      <c r="O74" s="433"/>
      <c r="P74" s="2212">
        <f>IF(P63="No",P71*$L$49,-P67*$L$48)</f>
        <v>-3.7399999999997872E-2</v>
      </c>
      <c r="Q74" s="2213">
        <f>IF(Q63="No",Q71*$L$49,-Q67*$L$48)</f>
        <v>-0.14959999999999149</v>
      </c>
      <c r="R74" s="2213">
        <f>IF(R63="No",R71*$L$49,-R67*$L$48)</f>
        <v>-0.26180000000000636</v>
      </c>
      <c r="S74" s="2213">
        <f>IF(S63="No",S71*$L$49,-S67*$L$48)</f>
        <v>-0.11219999999999362</v>
      </c>
      <c r="T74" s="2214">
        <f>IF(T63="No",T71*$L$49,-T67*$L$48)</f>
        <v>0.3744000000000009</v>
      </c>
      <c r="U74" s="2240">
        <f>SUM(P74:T74)</f>
        <v>-0.1865999999999885</v>
      </c>
      <c r="V74" s="433"/>
    </row>
    <row r="75" spans="4:35">
      <c r="E75" s="2124" t="s">
        <v>1983</v>
      </c>
      <c r="F75" s="2125"/>
      <c r="G75" s="2125"/>
      <c r="H75" s="2125"/>
      <c r="I75" s="2125"/>
      <c r="J75" s="2125"/>
      <c r="K75" s="2126" t="s">
        <v>165</v>
      </c>
      <c r="L75" s="2126"/>
      <c r="M75" s="2126"/>
      <c r="N75" s="2126"/>
      <c r="O75" s="2126"/>
      <c r="P75" s="2215">
        <f>IF(P54&gt;0,P54,IF(P74&gt;0,0,P74))</f>
        <v>-3.7399999999997872E-2</v>
      </c>
      <c r="Q75" s="2216">
        <f t="shared" ref="Q75:S75" si="7">IF(Q54&gt;0,Q54,IF(Q74&gt;0,0,Q74))</f>
        <v>-0.14959999999999149</v>
      </c>
      <c r="R75" s="2216">
        <f t="shared" si="7"/>
        <v>-0.26180000000000636</v>
      </c>
      <c r="S75" s="2216">
        <f t="shared" si="7"/>
        <v>-0.11219999999999362</v>
      </c>
      <c r="T75" s="2217">
        <f>IF(T74&gt;0,0,T74)</f>
        <v>0</v>
      </c>
      <c r="U75" s="2241">
        <f>SUM(P75:T75)</f>
        <v>-0.5609999999999894</v>
      </c>
      <c r="V75" s="2126" t="s">
        <v>1984</v>
      </c>
      <c r="W75" s="2125"/>
      <c r="X75" s="2125"/>
      <c r="Y75" s="2125"/>
      <c r="Z75" s="2125"/>
      <c r="AA75" s="2125"/>
      <c r="AB75" s="2125"/>
      <c r="AC75" s="2125"/>
      <c r="AD75" s="2125"/>
      <c r="AE75" s="2125"/>
      <c r="AF75" s="2125"/>
      <c r="AG75" s="2125"/>
      <c r="AH75" s="2125"/>
      <c r="AI75" s="2125"/>
    </row>
    <row r="76" spans="4:35">
      <c r="E76" s="433" t="s">
        <v>1985</v>
      </c>
      <c r="K76" s="1343" t="s">
        <v>321</v>
      </c>
      <c r="P76" s="2218">
        <f>(P75 - P54) / P54</f>
        <v>-0.98039215686274617</v>
      </c>
      <c r="Q76" s="2219">
        <f t="shared" ref="Q76:U76" si="8">(Q75 - Q54) / Q54</f>
        <v>-0.93750000000000333</v>
      </c>
      <c r="R76" s="2219">
        <f t="shared" si="8"/>
        <v>-0.90909090909090717</v>
      </c>
      <c r="S76" s="2220">
        <f t="shared" si="8"/>
        <v>-0.90322580645161821</v>
      </c>
      <c r="T76" s="2221">
        <f t="shared" si="8"/>
        <v>-1</v>
      </c>
      <c r="U76" s="2242">
        <f t="shared" si="8"/>
        <v>-0.93644067796610286</v>
      </c>
    </row>
    <row r="77" spans="4:35">
      <c r="E77" s="433"/>
      <c r="K77" s="433"/>
      <c r="L77" s="433"/>
      <c r="M77" s="433"/>
      <c r="N77" s="433"/>
      <c r="O77" s="433"/>
      <c r="P77" s="2058"/>
      <c r="Q77" s="2057"/>
      <c r="R77" s="2057"/>
      <c r="S77" s="2057"/>
      <c r="T77" s="2195"/>
      <c r="U77" s="2229"/>
      <c r="V77" s="433"/>
    </row>
    <row r="78" spans="4:35">
      <c r="D78" s="1943" t="s">
        <v>1986</v>
      </c>
      <c r="E78" s="433"/>
      <c r="K78" s="433"/>
      <c r="L78" s="433"/>
      <c r="M78" s="433"/>
      <c r="N78" s="433"/>
      <c r="O78" s="433"/>
      <c r="P78" s="2058"/>
      <c r="Q78" s="2057"/>
      <c r="R78" s="2057"/>
      <c r="S78" s="2057"/>
      <c r="T78" s="2195"/>
      <c r="U78" s="2229"/>
      <c r="V78" s="433"/>
    </row>
    <row r="79" spans="4:35">
      <c r="E79" s="433" t="s">
        <v>1987</v>
      </c>
      <c r="K79" s="433" t="s">
        <v>321</v>
      </c>
      <c r="L79" s="2127">
        <v>0.64</v>
      </c>
      <c r="M79" s="433"/>
      <c r="N79" s="433"/>
      <c r="O79" s="433"/>
      <c r="P79" s="2058"/>
      <c r="Q79" s="2057"/>
      <c r="R79" s="2057"/>
      <c r="S79" s="2057"/>
      <c r="T79" s="2195"/>
      <c r="U79" s="2229"/>
      <c r="V79" s="433" t="s">
        <v>1988</v>
      </c>
    </row>
    <row r="80" spans="4:35">
      <c r="E80" s="433" t="s">
        <v>1989</v>
      </c>
      <c r="K80" s="433" t="s">
        <v>1890</v>
      </c>
      <c r="L80" s="2109" t="str">
        <f>IF(ABS(U76)&lt;L79,"Yes","No")</f>
        <v>No</v>
      </c>
      <c r="M80" s="433"/>
      <c r="N80" s="433"/>
      <c r="O80" s="433"/>
      <c r="P80" s="2058"/>
      <c r="Q80" s="2057"/>
      <c r="R80" s="2057"/>
      <c r="S80" s="2057"/>
      <c r="T80" s="2195"/>
      <c r="U80" s="2229"/>
      <c r="V80" s="433"/>
    </row>
    <row r="81" spans="2:35">
      <c r="E81" s="433" t="s">
        <v>1990</v>
      </c>
      <c r="K81" s="433" t="s">
        <v>1890</v>
      </c>
      <c r="L81" s="2109" t="str">
        <f>IF(COUNTIF(P54:S54,"&gt;0")=1,"Yes","No")</f>
        <v>No</v>
      </c>
      <c r="M81" s="433"/>
      <c r="N81" s="433"/>
      <c r="O81" s="433"/>
      <c r="P81" s="2058"/>
      <c r="Q81" s="2057"/>
      <c r="R81" s="2057"/>
      <c r="S81" s="2057"/>
      <c r="T81" s="2195"/>
      <c r="U81" s="2229"/>
      <c r="V81" s="433"/>
    </row>
    <row r="82" spans="2:35">
      <c r="E82" s="433" t="s">
        <v>1991</v>
      </c>
      <c r="K82" s="433" t="s">
        <v>165</v>
      </c>
      <c r="L82" s="2109"/>
      <c r="M82" s="433"/>
      <c r="N82" s="433"/>
      <c r="O82" s="433"/>
      <c r="P82" s="2228" t="str">
        <f>IF(P54&gt;0,P54,"")</f>
        <v/>
      </c>
      <c r="Q82" s="2229" t="str">
        <f t="shared" ref="Q82:S82" si="9">IF(Q54&gt;0,Q54,"")</f>
        <v/>
      </c>
      <c r="R82" s="2229" t="str">
        <f t="shared" si="9"/>
        <v/>
      </c>
      <c r="S82" s="2229" t="str">
        <f t="shared" si="9"/>
        <v/>
      </c>
      <c r="T82" s="2230"/>
      <c r="U82" s="2229"/>
      <c r="V82" s="433"/>
    </row>
    <row r="83" spans="2:35">
      <c r="E83" s="433" t="s">
        <v>1992</v>
      </c>
      <c r="K83" s="433" t="s">
        <v>165</v>
      </c>
      <c r="L83" s="2109"/>
      <c r="M83" s="433"/>
      <c r="N83" s="433"/>
      <c r="O83" s="433"/>
      <c r="P83" s="2222">
        <f>IF($L80="No",P75,IF(P54&gt;0,P54,(P75/(($U75-SUM($P82:$S82)))*($U83-SUM($P82:$S82)))))</f>
        <v>-3.7399999999997872E-2</v>
      </c>
      <c r="Q83" s="2223">
        <f t="shared" ref="Q83:T83" si="10">IF($L80="No",Q75,IF(Q54&gt;0,Q54,(Q75/(($U75-SUM($P82:$S82)))*($U83-SUM($P82:$S82)))))</f>
        <v>-0.14959999999999149</v>
      </c>
      <c r="R83" s="2223">
        <f t="shared" si="10"/>
        <v>-0.26180000000000636</v>
      </c>
      <c r="S83" s="2223">
        <f t="shared" si="10"/>
        <v>-0.11219999999999362</v>
      </c>
      <c r="T83" s="2224">
        <f t="shared" si="10"/>
        <v>0</v>
      </c>
      <c r="U83" s="2243">
        <f>IF($L80="No",U75,U54-((MAX(ABS($U76),$L79)*$U54)))</f>
        <v>-0.5609999999999894</v>
      </c>
      <c r="V83" s="433" t="s">
        <v>1993</v>
      </c>
    </row>
    <row r="84" spans="2:35">
      <c r="E84" s="2128" t="s">
        <v>1994</v>
      </c>
      <c r="F84" s="2129"/>
      <c r="G84" s="2129"/>
      <c r="H84" s="2129"/>
      <c r="I84" s="2129"/>
      <c r="J84" s="2129"/>
      <c r="K84" s="2128" t="s">
        <v>165</v>
      </c>
      <c r="L84" s="2130"/>
      <c r="M84" s="2128"/>
      <c r="N84" s="2128"/>
      <c r="O84" s="2128"/>
      <c r="P84" s="2225">
        <f>P83</f>
        <v>-3.7399999999997872E-2</v>
      </c>
      <c r="Q84" s="2226">
        <f>Q83</f>
        <v>-0.14959999999999149</v>
      </c>
      <c r="R84" s="2226">
        <f>R83</f>
        <v>-0.26180000000000636</v>
      </c>
      <c r="S84" s="2226">
        <f>S83</f>
        <v>-0.11219999999999362</v>
      </c>
      <c r="T84" s="2227">
        <f t="shared" ref="T84" si="11">IF(T83&gt;0,0,T83)</f>
        <v>0</v>
      </c>
      <c r="U84" s="2226">
        <f>SUM(P84:T84)</f>
        <v>-0.5609999999999894</v>
      </c>
      <c r="V84" s="2128" t="s">
        <v>1984</v>
      </c>
      <c r="W84" s="2129"/>
      <c r="X84" s="2129"/>
      <c r="Y84" s="2129"/>
      <c r="Z84" s="2129"/>
      <c r="AA84" s="2129"/>
      <c r="AB84" s="2129"/>
      <c r="AC84" s="2129"/>
      <c r="AD84" s="2129"/>
      <c r="AE84" s="2129"/>
      <c r="AF84" s="2129"/>
      <c r="AG84" s="2129"/>
      <c r="AH84" s="2129"/>
      <c r="AI84" s="2129"/>
    </row>
    <row r="85" spans="2:35">
      <c r="E85" s="433" t="s">
        <v>1995</v>
      </c>
      <c r="K85" s="433" t="s">
        <v>1890</v>
      </c>
      <c r="L85" s="2109" t="str">
        <f>IF(L80="Yes",(SUM(P84:T84)=U84),"N/A")</f>
        <v>N/A</v>
      </c>
      <c r="M85" s="433"/>
      <c r="N85" s="433"/>
      <c r="O85" s="433"/>
      <c r="P85" s="2228"/>
      <c r="Q85" s="2229"/>
      <c r="R85" s="2229"/>
      <c r="S85" s="2229"/>
      <c r="T85" s="2230"/>
      <c r="U85" s="2229"/>
      <c r="V85" s="433"/>
    </row>
    <row r="86" spans="2:35">
      <c r="E86" s="433" t="s">
        <v>1985</v>
      </c>
      <c r="K86" s="433" t="s">
        <v>321</v>
      </c>
      <c r="L86" s="2109"/>
      <c r="M86" s="433"/>
      <c r="N86" s="433"/>
      <c r="O86" s="433"/>
      <c r="P86" s="2218">
        <f>(P84 - P54) / P54</f>
        <v>-0.98039215686274617</v>
      </c>
      <c r="Q86" s="2219">
        <f t="shared" ref="Q86:U86" si="12">(Q84 - Q54) / Q54</f>
        <v>-0.93750000000000333</v>
      </c>
      <c r="R86" s="2219">
        <f t="shared" si="12"/>
        <v>-0.90909090909090717</v>
      </c>
      <c r="S86" s="2219">
        <f t="shared" si="12"/>
        <v>-0.90322580645161821</v>
      </c>
      <c r="T86" s="2221">
        <f t="shared" si="12"/>
        <v>-1</v>
      </c>
      <c r="U86" s="2219">
        <f t="shared" si="12"/>
        <v>-0.93644067796610286</v>
      </c>
      <c r="V86" s="433"/>
    </row>
    <row r="87" spans="2:35">
      <c r="E87" s="433" t="s">
        <v>1996</v>
      </c>
      <c r="K87" s="433" t="s">
        <v>1890</v>
      </c>
      <c r="L87" s="2109" t="str">
        <f>IF(L80="Yes",ABS(U86)=L79,"N/A")</f>
        <v>N/A</v>
      </c>
      <c r="M87" s="433"/>
      <c r="N87" s="433"/>
      <c r="O87" s="433"/>
      <c r="P87" s="2058"/>
      <c r="Q87" s="2057"/>
      <c r="R87" s="2057"/>
      <c r="S87" s="2057"/>
      <c r="T87" s="2195"/>
      <c r="U87" s="2229"/>
      <c r="V87" s="433"/>
    </row>
    <row r="88" spans="2:35">
      <c r="E88" s="433"/>
      <c r="K88" s="433"/>
      <c r="L88" s="433"/>
      <c r="M88" s="433"/>
      <c r="N88" s="433"/>
      <c r="O88" s="433"/>
      <c r="P88" s="2058"/>
      <c r="Q88" s="2057"/>
      <c r="R88" s="2057"/>
      <c r="S88" s="2057"/>
      <c r="T88" s="2195"/>
      <c r="U88" s="2229"/>
      <c r="V88" s="433"/>
    </row>
    <row r="89" spans="2:35">
      <c r="E89" s="433"/>
      <c r="K89" s="433"/>
      <c r="L89" s="433"/>
      <c r="M89" s="433"/>
      <c r="N89" s="433"/>
      <c r="O89" s="433"/>
      <c r="P89" s="2057"/>
      <c r="Q89" s="2057"/>
      <c r="R89" s="2057"/>
      <c r="S89" s="2057"/>
      <c r="T89" s="2057"/>
      <c r="U89" s="2057"/>
      <c r="V89" s="433"/>
    </row>
    <row r="90" spans="2:35">
      <c r="E90" s="2066" t="s">
        <v>1997</v>
      </c>
      <c r="F90" s="2062"/>
      <c r="G90" s="2036"/>
      <c r="K90" s="433"/>
      <c r="L90" s="433"/>
      <c r="M90" s="433"/>
      <c r="N90" s="433"/>
      <c r="O90" s="433"/>
      <c r="P90" s="2057"/>
      <c r="Q90" s="2057"/>
      <c r="R90" s="2057"/>
      <c r="S90" s="2057"/>
      <c r="T90" s="2057"/>
      <c r="U90" s="2057"/>
      <c r="V90" s="433"/>
    </row>
    <row r="91" spans="2:35">
      <c r="E91" s="2063" t="s">
        <v>1998</v>
      </c>
      <c r="G91" s="2036"/>
      <c r="K91" s="433"/>
      <c r="L91" s="433"/>
      <c r="M91" s="433"/>
      <c r="N91" s="433"/>
      <c r="O91" s="433"/>
      <c r="P91" s="2057"/>
      <c r="Q91" s="2057"/>
      <c r="R91" s="2057"/>
      <c r="S91" s="2057"/>
      <c r="T91" s="2057"/>
      <c r="U91" s="2057"/>
      <c r="V91" s="433"/>
    </row>
    <row r="92" spans="2:35">
      <c r="E92" s="2131" t="s">
        <v>1999</v>
      </c>
      <c r="F92" s="2132"/>
      <c r="G92" s="2036"/>
      <c r="K92" s="433"/>
      <c r="L92" s="433"/>
      <c r="M92" s="433"/>
      <c r="N92" s="433"/>
      <c r="O92" s="433"/>
      <c r="P92" s="2057"/>
      <c r="Q92" s="2057"/>
      <c r="R92" s="2057"/>
      <c r="S92" s="2057"/>
      <c r="T92" s="2057"/>
      <c r="U92" s="2057"/>
      <c r="V92" s="433"/>
    </row>
    <row r="93" spans="2:35">
      <c r="E93" s="2133" t="s">
        <v>330</v>
      </c>
      <c r="G93" s="2036"/>
      <c r="K93" s="433"/>
      <c r="L93" s="433"/>
      <c r="M93" s="433"/>
      <c r="N93" s="433"/>
      <c r="O93" s="433"/>
      <c r="P93" s="2057"/>
      <c r="Q93" s="2057"/>
      <c r="R93" s="2057"/>
      <c r="S93" s="2057"/>
      <c r="T93" s="2057"/>
      <c r="U93" s="2057"/>
      <c r="V93" s="433"/>
    </row>
    <row r="94" spans="2:35">
      <c r="E94" s="2134" t="s">
        <v>2000</v>
      </c>
      <c r="F94" s="2135"/>
      <c r="G94" s="2036"/>
      <c r="K94" s="433"/>
      <c r="L94" s="433"/>
      <c r="M94" s="433"/>
      <c r="N94" s="433"/>
      <c r="O94" s="433"/>
      <c r="P94" s="2057"/>
      <c r="Q94" s="2057"/>
      <c r="R94" s="2057"/>
      <c r="S94" s="2057"/>
      <c r="T94" s="2057"/>
      <c r="U94" s="2057"/>
      <c r="V94" s="433"/>
    </row>
    <row r="95" spans="2:35" ht="15.75" thickBot="1">
      <c r="B95" s="2059"/>
      <c r="C95" s="2059"/>
      <c r="D95" s="2059"/>
      <c r="E95" s="2059"/>
      <c r="F95" s="2059"/>
      <c r="G95" s="2059"/>
      <c r="H95" s="2059"/>
      <c r="I95" s="2059"/>
      <c r="J95" s="2059"/>
      <c r="K95" s="2059"/>
      <c r="L95" s="2059"/>
      <c r="M95" s="2059"/>
      <c r="N95" s="2059"/>
      <c r="O95" s="2059"/>
      <c r="P95" s="2059"/>
      <c r="Q95" s="2059"/>
      <c r="R95" s="2059"/>
      <c r="S95" s="2059"/>
      <c r="T95" s="2059"/>
      <c r="U95" s="2059"/>
      <c r="V95" s="2059"/>
      <c r="W95" s="2059"/>
      <c r="X95" s="2059"/>
      <c r="Y95" s="2059"/>
      <c r="Z95" s="2059"/>
      <c r="AA95" s="2059"/>
      <c r="AB95" s="2059"/>
      <c r="AC95" s="2059"/>
      <c r="AD95" s="2059"/>
      <c r="AE95" s="2059"/>
      <c r="AF95" s="2059"/>
      <c r="AG95" s="2059"/>
      <c r="AH95" s="2059"/>
      <c r="AI95" s="2059"/>
    </row>
    <row r="96" spans="2:35" ht="15.75" thickTop="1"/>
    <row r="97" spans="2:23" ht="21">
      <c r="B97" s="2245" t="s">
        <v>2001</v>
      </c>
    </row>
    <row r="99" spans="2:23" ht="18.75">
      <c r="C99" s="2028" t="str">
        <f>IF('Validation summary'!$B$3="South Staffs Water","Application of the impacts of COVID-19 on PCC reported performance for South Staffs Water_Cambridge region","")</f>
        <v/>
      </c>
      <c r="N99" s="2244"/>
      <c r="T99" s="433"/>
      <c r="U99" s="433"/>
    </row>
    <row r="101" spans="2:23">
      <c r="E101" s="2074" t="s">
        <v>1934</v>
      </c>
      <c r="F101" s="2064"/>
      <c r="G101" s="2073" t="str">
        <f>IF('Validation summary'!$B$3="South Staffs Water",'3A'!$C$14,"")</f>
        <v/>
      </c>
      <c r="H101" s="2064"/>
      <c r="I101" s="2065" t="str">
        <f>IF('Validation summary'!$B$3="South Staffs Water","CAM","")</f>
        <v/>
      </c>
      <c r="M101" s="2415"/>
      <c r="N101" s="2415"/>
      <c r="O101" s="2415"/>
      <c r="P101" s="2415"/>
      <c r="Q101" s="2415"/>
      <c r="R101" s="2415"/>
      <c r="S101" s="2415"/>
      <c r="T101" s="2415"/>
      <c r="U101" s="2358"/>
      <c r="V101" s="1943"/>
    </row>
    <row r="102" spans="2:23">
      <c r="G102" s="2045"/>
      <c r="K102" s="2046"/>
      <c r="M102" s="2416" t="s">
        <v>1935</v>
      </c>
      <c r="N102" s="2416"/>
      <c r="O102" s="2417"/>
      <c r="P102" s="2418" t="s">
        <v>1935</v>
      </c>
      <c r="Q102" s="2416"/>
      <c r="R102" s="2416"/>
      <c r="S102" s="2416"/>
      <c r="T102" s="2417"/>
      <c r="U102" s="2359" t="s">
        <v>1936</v>
      </c>
      <c r="V102" s="1943"/>
    </row>
    <row r="103" spans="2:23">
      <c r="K103" s="435" t="s">
        <v>1937</v>
      </c>
      <c r="L103" s="1885" t="s">
        <v>1938</v>
      </c>
      <c r="M103" s="1885" t="s">
        <v>1939</v>
      </c>
      <c r="N103" s="1885" t="s">
        <v>1940</v>
      </c>
      <c r="O103" s="1888" t="s">
        <v>1941</v>
      </c>
      <c r="P103" s="1885" t="s">
        <v>1830</v>
      </c>
      <c r="Q103" s="1885" t="s">
        <v>1840</v>
      </c>
      <c r="R103" s="1885" t="s">
        <v>1847</v>
      </c>
      <c r="S103" s="1885" t="s">
        <v>1853</v>
      </c>
      <c r="T103" s="1888" t="s">
        <v>129</v>
      </c>
      <c r="U103" s="1885" t="s">
        <v>1942</v>
      </c>
      <c r="V103" s="1955" t="s">
        <v>1943</v>
      </c>
    </row>
    <row r="104" spans="2:23">
      <c r="D104" s="1943" t="s">
        <v>1944</v>
      </c>
      <c r="E104" s="435"/>
      <c r="K104" s="433"/>
      <c r="L104" s="1885"/>
      <c r="M104" s="1885"/>
      <c r="N104" s="1885"/>
      <c r="O104" s="1888"/>
      <c r="P104" s="1885"/>
      <c r="Q104" s="1885"/>
      <c r="R104" s="1885"/>
      <c r="S104" s="1885"/>
      <c r="T104" s="1888"/>
      <c r="U104" s="1885"/>
      <c r="V104" s="1885"/>
    </row>
    <row r="105" spans="2:23">
      <c r="E105" s="433" t="s">
        <v>1945</v>
      </c>
      <c r="K105" s="480" t="s">
        <v>321</v>
      </c>
      <c r="L105" s="433"/>
      <c r="M105" s="433"/>
      <c r="N105" s="433"/>
      <c r="O105" s="2052"/>
      <c r="P105" s="2246" t="e" cm="1">
        <f t="array" ref="P105">INDEX(App1bdata,MATCH($G$101,App1bIDnrs,0),VLOOKUP(P$40,ProfileInps,4,0))</f>
        <v>#N/A</v>
      </c>
      <c r="Q105" s="2246" t="e" cm="1">
        <f t="array" ref="Q105">INDEX(App1bdata,MATCH($G$101,App1bIDnrs,0),VLOOKUP(Q$40,ProfileInps,4,0))</f>
        <v>#N/A</v>
      </c>
      <c r="R105" s="2246" t="e" cm="1">
        <f t="array" ref="R105">INDEX(App1bdata,MATCH($G$101,App1bIDnrs,0),VLOOKUP(R$40,ProfileInps,4,0))</f>
        <v>#N/A</v>
      </c>
      <c r="S105" s="2246" t="e" cm="1">
        <f t="array" ref="S105">INDEX(App1bdata,MATCH($G$101,App1bIDnrs,0),VLOOKUP(S$40,ProfileInps,4,0))</f>
        <v>#N/A</v>
      </c>
      <c r="T105" s="2211" t="e" cm="1">
        <f t="array" ref="T105">INDEX(App1bdata,MATCH($G$101,App1bIDnrs,0),VLOOKUP(T$40,ProfileInps,4,0))</f>
        <v>#N/A</v>
      </c>
      <c r="U105" s="2048"/>
      <c r="V105" s="433" t="s">
        <v>1946</v>
      </c>
    </row>
    <row r="106" spans="2:23">
      <c r="E106" s="2067" t="s">
        <v>1947</v>
      </c>
      <c r="F106" s="2068"/>
      <c r="G106" s="2068"/>
      <c r="H106" s="2068"/>
      <c r="I106" s="2068"/>
      <c r="J106" s="2068"/>
      <c r="K106" s="2067" t="s">
        <v>681</v>
      </c>
      <c r="L106" s="2067"/>
      <c r="M106" s="2067"/>
      <c r="N106" s="2067"/>
      <c r="O106" s="2069"/>
      <c r="P106" s="2247" t="e">
        <f>ROUND(P116 * (1-P105/100),1)</f>
        <v>#DIV/0!</v>
      </c>
      <c r="Q106" s="2247" t="e">
        <f>ROUND(Q116 * (1-Q105/100),1)</f>
        <v>#DIV/0!</v>
      </c>
      <c r="R106" s="2247" t="e">
        <f>ROUND(R116 * (1-R105/100),1)</f>
        <v>#DIV/0!</v>
      </c>
      <c r="S106" s="2247" t="e">
        <f>ROUND(S116 * (1-S105/100),1)</f>
        <v>#DIV/0!</v>
      </c>
      <c r="T106" s="2248" t="e">
        <f>ROUND(T116 * (1-T105/100),1)</f>
        <v>#DIV/0!</v>
      </c>
      <c r="U106" s="2121"/>
      <c r="V106" s="2067" t="s">
        <v>1948</v>
      </c>
      <c r="W106" s="2068"/>
    </row>
    <row r="107" spans="2:23">
      <c r="E107" s="433" t="s">
        <v>1949</v>
      </c>
      <c r="K107" s="433" t="s">
        <v>321</v>
      </c>
      <c r="L107" s="433"/>
      <c r="M107" s="433"/>
      <c r="N107" s="433"/>
      <c r="O107" s="2052"/>
      <c r="P107" s="2249" t="e" cm="1">
        <f t="array" ref="P107">INDEX(App1bdata,MATCH($G$101,App1bIDnrs,0),VLOOKUP(P$40,ProfileInps,2,0))</f>
        <v>#N/A</v>
      </c>
      <c r="Q107" s="2246" t="e" cm="1">
        <f t="array" ref="Q107">INDEX(App1bdata,MATCH($G$101,App1bIDnrs,0),VLOOKUP(Q$40,ProfileInps,2,0))</f>
        <v>#N/A</v>
      </c>
      <c r="R107" s="2246" t="e" cm="1">
        <f t="array" ref="R107">INDEX(App1bdata,MATCH($G$101,App1bIDnrs,0),VLOOKUP(R$40,ProfileInps,2,0))</f>
        <v>#N/A</v>
      </c>
      <c r="S107" s="2246" t="e" cm="1">
        <f t="array" ref="S107">INDEX(App1bdata,MATCH($G$101,App1bIDnrs,0),VLOOKUP(S$40,ProfileInps,2,0))</f>
        <v>#N/A</v>
      </c>
      <c r="T107" s="2211" t="e" cm="1">
        <f t="array" ref="T107">INDEX(App1bdata,MATCH($G$101,App1bIDnrs,0),VLOOKUP(T$40,ProfileInps,2,0))</f>
        <v>#N/A</v>
      </c>
      <c r="U107" s="2048"/>
      <c r="V107" s="433" t="s">
        <v>1946</v>
      </c>
    </row>
    <row r="108" spans="2:23">
      <c r="E108" s="2067" t="s">
        <v>1950</v>
      </c>
      <c r="F108" s="2068"/>
      <c r="G108" s="2068"/>
      <c r="H108" s="2068"/>
      <c r="I108" s="2068"/>
      <c r="J108" s="2068"/>
      <c r="K108" s="2067" t="s">
        <v>681</v>
      </c>
      <c r="L108" s="2067"/>
      <c r="M108" s="2067"/>
      <c r="N108" s="2067"/>
      <c r="O108" s="2069"/>
      <c r="P108" s="2250" t="e">
        <f>IF(P107="","",ROUND(P$116 * (1-P107/100),1))</f>
        <v>#N/A</v>
      </c>
      <c r="Q108" s="2247" t="e">
        <f>IF(Q107="","",ROUND(Q$116 * (1-Q107/100),1))</f>
        <v>#N/A</v>
      </c>
      <c r="R108" s="2247" t="e">
        <f>IF(R107="","",ROUND(R$116 * (1-R107/100),1))</f>
        <v>#N/A</v>
      </c>
      <c r="S108" s="2247" t="e">
        <f>IF(S107="","",ROUND(S$116 * (1-S107/100),1))</f>
        <v>#N/A</v>
      </c>
      <c r="T108" s="2248" t="e">
        <f>IF(T107="","",ROUND(T$116 * (1-T107/100),1))</f>
        <v>#N/A</v>
      </c>
      <c r="U108" s="2071"/>
      <c r="V108" s="2067" t="s">
        <v>1948</v>
      </c>
      <c r="W108" s="2068"/>
    </row>
    <row r="109" spans="2:23">
      <c r="E109" s="433" t="s">
        <v>1951</v>
      </c>
      <c r="K109" s="433" t="s">
        <v>321</v>
      </c>
      <c r="L109" s="433"/>
      <c r="M109" s="433"/>
      <c r="N109" s="433"/>
      <c r="O109" s="2052"/>
      <c r="P109" s="2249" t="e" cm="1">
        <f t="array" ref="P109">INDEX(App1bdata,MATCH($G$101,App1bIDnrs,0),VLOOKUP(P$40,ProfileInps,6,0))</f>
        <v>#N/A</v>
      </c>
      <c r="Q109" s="2246" t="e" cm="1">
        <f t="array" ref="Q109">INDEX(App1bdata,MATCH($G$101,App1bIDnrs,0),VLOOKUP(Q$40,ProfileInps,6,0))</f>
        <v>#N/A</v>
      </c>
      <c r="R109" s="2246" t="e" cm="1">
        <f t="array" ref="R109">INDEX(App1bdata,MATCH($G$101,App1bIDnrs,0),VLOOKUP(R$40,ProfileInps,6,0))</f>
        <v>#N/A</v>
      </c>
      <c r="S109" s="2246" t="e" cm="1">
        <f t="array" ref="S109">INDEX(App1bdata,MATCH($G$101,App1bIDnrs,0),VLOOKUP(S$40,ProfileInps,6,0))</f>
        <v>#N/A</v>
      </c>
      <c r="T109" s="2211" t="e" cm="1">
        <f t="array" ref="T109">INDEX(App1bdata,MATCH($G$101,App1bIDnrs,0),VLOOKUP(T$40,ProfileInps,6,0))</f>
        <v>#N/A</v>
      </c>
      <c r="U109" s="2048"/>
      <c r="V109" s="433" t="s">
        <v>1946</v>
      </c>
    </row>
    <row r="110" spans="2:23">
      <c r="E110" s="2067" t="s">
        <v>1952</v>
      </c>
      <c r="F110" s="2068"/>
      <c r="G110" s="2068"/>
      <c r="H110" s="2068"/>
      <c r="I110" s="2068"/>
      <c r="J110" s="2068"/>
      <c r="K110" s="2067" t="s">
        <v>681</v>
      </c>
      <c r="L110" s="2067"/>
      <c r="M110" s="2067"/>
      <c r="N110" s="2067"/>
      <c r="O110" s="2069"/>
      <c r="P110" s="2250" t="e">
        <f>IF(P109="","",ROUND(P$116 * (1-P109/100),1))</f>
        <v>#N/A</v>
      </c>
      <c r="Q110" s="2247" t="e">
        <f>IF(Q109="","",ROUND(Q$116 * (1-Q109/100),1))</f>
        <v>#N/A</v>
      </c>
      <c r="R110" s="2247" t="e">
        <f>IF(R109="","",ROUND(R$116 * (1-R109/100),1))</f>
        <v>#N/A</v>
      </c>
      <c r="S110" s="2247" t="e">
        <f>IF(S109="","",ROUND(S$116 * (1-S109/100),1))</f>
        <v>#N/A</v>
      </c>
      <c r="T110" s="2248" t="e">
        <f>IF(T109="","",ROUND(T$116 * (1-T109/100),1))</f>
        <v>#N/A</v>
      </c>
      <c r="U110" s="2071"/>
      <c r="V110" s="2067" t="s">
        <v>1948</v>
      </c>
      <c r="W110" s="2068"/>
    </row>
    <row r="111" spans="2:23">
      <c r="E111" s="433" t="s">
        <v>1953</v>
      </c>
      <c r="K111" s="433" t="s">
        <v>1954</v>
      </c>
      <c r="L111" s="2137" t="e">
        <f>IF(INDEX(App1bdata,MATCH($G$101,App1bIDnrs,0),101)="",0,INDEX(App1bdata,MATCH($G$101,App1bIDnrs,0),101))</f>
        <v>#N/A</v>
      </c>
      <c r="M111" s="433"/>
      <c r="N111" s="433"/>
      <c r="O111" s="2052"/>
      <c r="P111" s="433"/>
      <c r="Q111" s="2051"/>
      <c r="R111" s="2051"/>
      <c r="S111" s="2051"/>
      <c r="T111" s="2054"/>
      <c r="U111" s="2051"/>
      <c r="V111" s="433" t="s">
        <v>1955</v>
      </c>
    </row>
    <row r="112" spans="2:23">
      <c r="E112" s="433" t="s">
        <v>1956</v>
      </c>
      <c r="K112" s="433" t="s">
        <v>1954</v>
      </c>
      <c r="L112" s="2047" t="e">
        <f>INDEX(App1bdata,MATCH($G$101,App1bIDnrs,0),97)</f>
        <v>#N/A</v>
      </c>
      <c r="M112" s="433"/>
      <c r="N112" s="433"/>
      <c r="O112" s="2052"/>
      <c r="P112" s="433"/>
      <c r="Q112" s="2051"/>
      <c r="R112" s="2051"/>
      <c r="S112" s="2051"/>
      <c r="T112" s="2054"/>
      <c r="U112" s="2051"/>
      <c r="V112" s="433" t="s">
        <v>1946</v>
      </c>
    </row>
    <row r="113" spans="4:22">
      <c r="E113" s="433"/>
      <c r="K113" s="433"/>
      <c r="L113" s="433"/>
      <c r="M113" s="433"/>
      <c r="N113" s="433"/>
      <c r="O113" s="2052"/>
      <c r="P113" s="433"/>
      <c r="Q113" s="2051"/>
      <c r="R113" s="2051"/>
      <c r="S113" s="2051"/>
      <c r="T113" s="2054"/>
      <c r="U113" s="2051"/>
      <c r="V113" s="433"/>
    </row>
    <row r="114" spans="4:22">
      <c r="D114" s="1943" t="s">
        <v>1957</v>
      </c>
      <c r="K114" s="433"/>
      <c r="L114" s="433"/>
      <c r="M114" s="433"/>
      <c r="N114" s="433"/>
      <c r="O114" s="2052"/>
      <c r="P114" s="433"/>
      <c r="Q114" s="2051"/>
      <c r="R114" s="2051"/>
      <c r="S114" s="2051"/>
      <c r="T114" s="2054"/>
      <c r="U114" s="2051"/>
      <c r="V114" s="433"/>
    </row>
    <row r="115" spans="4:22">
      <c r="E115" s="433" t="s">
        <v>1958</v>
      </c>
      <c r="K115" s="433" t="s">
        <v>681</v>
      </c>
      <c r="L115" s="433"/>
      <c r="M115" s="2231" t="str">
        <f>IF('Validation summary'!$B$3="South Staffs Water",ROUND('3F.2'!D$19,1),"")</f>
        <v/>
      </c>
      <c r="N115" s="2231" t="str">
        <f>IF('Validation summary'!$B$3="South Staffs Water",ROUND('3F.2'!E$19,1),"")</f>
        <v/>
      </c>
      <c r="O115" s="2232" t="str">
        <f>IF('Validation summary'!$B$3="South Staffs Water",ROUND('3F.2'!F$19,1),"")</f>
        <v/>
      </c>
      <c r="P115" s="2231" t="str">
        <f>IF('Validation summary'!$B$3="South Staffs Water",ROUND('3F.2'!H$19,1),"")</f>
        <v/>
      </c>
      <c r="Q115" s="2231" t="str">
        <f>IF('Validation summary'!$B$3="South Staffs Water",ROUND('3F.2'!I$19,1),"")</f>
        <v/>
      </c>
      <c r="R115" s="2231" t="str">
        <f>IF('Validation summary'!$B$3="South Staffs Water",ROUND('3F.2'!J$19,1),"")</f>
        <v/>
      </c>
      <c r="S115" s="2231" t="str">
        <f>IF('Validation summary'!$B$3="South Staffs Water",ROUND('3F.2'!K$19,1),"")</f>
        <v/>
      </c>
      <c r="T115" s="2233" t="str">
        <f>IF('Validation summary'!$B$3="South Staffs Water",ROUND('3F.2'!L$19,1),"")</f>
        <v/>
      </c>
      <c r="U115" s="2048"/>
      <c r="V115" s="433" t="s">
        <v>2002</v>
      </c>
    </row>
    <row r="116" spans="4:22">
      <c r="E116" s="433" t="s">
        <v>1960</v>
      </c>
      <c r="K116" s="433" t="s">
        <v>681</v>
      </c>
      <c r="L116" s="433"/>
      <c r="M116" s="2047"/>
      <c r="N116" s="2047"/>
      <c r="O116" s="2083"/>
      <c r="P116" s="2053" t="e">
        <f>ROUND(AVERAGE($M115:$O115),1)</f>
        <v>#DIV/0!</v>
      </c>
      <c r="Q116" s="2053" t="e">
        <f t="shared" ref="Q116:T116" si="13">ROUND(AVERAGE($M115:$O115),1)</f>
        <v>#DIV/0!</v>
      </c>
      <c r="R116" s="2053" t="e">
        <f t="shared" si="13"/>
        <v>#DIV/0!</v>
      </c>
      <c r="S116" s="2053" t="e">
        <f t="shared" si="13"/>
        <v>#DIV/0!</v>
      </c>
      <c r="T116" s="2123" t="e">
        <f t="shared" si="13"/>
        <v>#DIV/0!</v>
      </c>
      <c r="U116" s="2048"/>
      <c r="V116" s="433" t="s">
        <v>1961</v>
      </c>
    </row>
    <row r="117" spans="4:22">
      <c r="E117" s="433" t="s">
        <v>1962</v>
      </c>
      <c r="K117" s="433" t="s">
        <v>165</v>
      </c>
      <c r="L117" s="433"/>
      <c r="M117" s="2047"/>
      <c r="N117" s="2047"/>
      <c r="O117" s="2083"/>
      <c r="P117" s="2234">
        <f>IF('Validation summary'!$B$3="South Staffs Water",VLOOKUP("SSC_CAM",PCCpayments_FD24,3,0),VLOOKUP($I$38,PCCpayments_FD24,3,0))</f>
        <v>-1.9073999999999978</v>
      </c>
      <c r="Q117" s="2234">
        <f>IF('Validation summary'!$B$3="South Staffs Water",VLOOKUP("SSC_CAM",PCCpayments_FD24,4,0),VLOOKUP($I$38,PCCpayments_FD24,4,0))</f>
        <v>-2.3935999999999913</v>
      </c>
      <c r="R117" s="2234">
        <f>IF('Validation summary'!$B$3="South Staffs Water",VLOOKUP("SSC_CAM",PCCpayments_FD24,5,0),VLOOKUP($I$38,PCCpayments_FD24,5,0))</f>
        <v>-2.8798000000000066</v>
      </c>
      <c r="S117" s="2234">
        <f>IF('Validation summary'!$B$3="South Staffs Water",VLOOKUP("SSC_CAM",PCCpayments_FD24,6,0),VLOOKUP($I$38,PCCpayments_FD24,6,0))</f>
        <v>-1.1593999999999978</v>
      </c>
      <c r="T117" s="2235" t="str">
        <f>IF('Validation summary'!$B$3="South Staffs Water",'3A'!$H$14,"")</f>
        <v/>
      </c>
      <c r="U117" s="2239">
        <f>SUM(P117:T117)</f>
        <v>-8.3401999999999941</v>
      </c>
      <c r="V117" s="433" t="s">
        <v>1963</v>
      </c>
    </row>
    <row r="118" spans="4:22">
      <c r="E118" s="433"/>
      <c r="K118" s="433"/>
      <c r="L118" s="433"/>
      <c r="M118" s="433"/>
      <c r="N118" s="433"/>
      <c r="O118" s="2052"/>
      <c r="P118" s="433"/>
      <c r="Q118" s="433"/>
      <c r="R118" s="433"/>
      <c r="S118" s="433"/>
      <c r="T118" s="2052"/>
      <c r="U118" s="433"/>
      <c r="V118" s="433"/>
    </row>
    <row r="119" spans="4:22">
      <c r="D119" s="1943" t="s">
        <v>1964</v>
      </c>
      <c r="K119" s="433"/>
      <c r="L119" s="433"/>
      <c r="M119" s="433"/>
      <c r="N119" s="433"/>
      <c r="O119" s="2052"/>
      <c r="P119" s="433"/>
      <c r="Q119" s="433"/>
      <c r="R119" s="433"/>
      <c r="S119" s="433"/>
      <c r="T119" s="2052"/>
      <c r="U119" s="433"/>
      <c r="V119" s="433"/>
    </row>
    <row r="120" spans="4:22">
      <c r="E120" s="433" t="s">
        <v>1965</v>
      </c>
      <c r="K120" s="433"/>
      <c r="L120" s="433"/>
      <c r="M120" s="433"/>
      <c r="N120" s="433"/>
      <c r="O120" s="2052"/>
      <c r="P120" s="433"/>
      <c r="Q120" s="433"/>
      <c r="R120" s="433"/>
      <c r="S120" s="433"/>
      <c r="T120" s="2052"/>
      <c r="U120" s="433"/>
      <c r="V120" s="433" t="s">
        <v>1966</v>
      </c>
    </row>
    <row r="121" spans="4:22">
      <c r="E121" s="433" t="s">
        <v>1967</v>
      </c>
      <c r="K121" s="433" t="s">
        <v>321</v>
      </c>
      <c r="L121" s="433"/>
      <c r="M121" s="433"/>
      <c r="N121" s="433"/>
      <c r="O121" s="2052"/>
      <c r="P121" s="2236" t="e">
        <f>VLOOKUP($I$101,$E$15:$I$32,4,0)</f>
        <v>#N/A</v>
      </c>
      <c r="Q121" s="2236" t="e">
        <f>VLOOKUP($I$101,$M$15:$Q$32,4,0)</f>
        <v>#N/A</v>
      </c>
      <c r="R121" s="2237" t="e">
        <f>Q121 - (($Q121-$T121) / 3)</f>
        <v>#N/A</v>
      </c>
      <c r="S121" s="2237" t="e">
        <f>R121 - (($Q121-$T121) / 3)</f>
        <v>#N/A</v>
      </c>
      <c r="T121" s="2238" t="e">
        <f>MAX($AD$15,VLOOKUP($I$101,$T$15:$U$32,2,0))</f>
        <v>#N/A</v>
      </c>
      <c r="U121" s="2048"/>
      <c r="V121" s="433" t="s">
        <v>1968</v>
      </c>
    </row>
    <row r="122" spans="4:22">
      <c r="E122" s="433"/>
      <c r="K122" s="433"/>
      <c r="L122" s="433"/>
      <c r="M122" s="433"/>
      <c r="N122" s="433"/>
      <c r="O122" s="2052"/>
      <c r="P122" s="433"/>
      <c r="Q122" s="433"/>
      <c r="R122" s="433"/>
      <c r="S122" s="433"/>
      <c r="T122" s="2052"/>
      <c r="U122" s="433"/>
      <c r="V122" s="433"/>
    </row>
    <row r="123" spans="4:22">
      <c r="E123" s="1357" t="s">
        <v>1969</v>
      </c>
      <c r="K123" s="433" t="s">
        <v>681</v>
      </c>
      <c r="L123" s="433"/>
      <c r="M123" s="2053" t="str">
        <f>M115</f>
        <v/>
      </c>
      <c r="N123" s="2053" t="str">
        <f>N115</f>
        <v/>
      </c>
      <c r="O123" s="2123" t="str">
        <f>O115</f>
        <v/>
      </c>
      <c r="P123" s="2037" t="e">
        <f>P115 * (1 - P121 / 100)</f>
        <v>#VALUE!</v>
      </c>
      <c r="Q123" s="2037" t="e">
        <f t="shared" ref="Q123:T123" si="14">Q115 * (1 - Q121 / 100)</f>
        <v>#VALUE!</v>
      </c>
      <c r="R123" s="2037" t="e">
        <f t="shared" si="14"/>
        <v>#VALUE!</v>
      </c>
      <c r="S123" s="2037" t="e">
        <f t="shared" si="14"/>
        <v>#VALUE!</v>
      </c>
      <c r="T123" s="2061" t="e">
        <f t="shared" si="14"/>
        <v>#VALUE!</v>
      </c>
      <c r="U123" s="2051"/>
      <c r="V123" s="433" t="s">
        <v>1970</v>
      </c>
    </row>
    <row r="124" spans="4:22">
      <c r="E124" s="1357" t="s">
        <v>1971</v>
      </c>
      <c r="K124" s="433" t="s">
        <v>681</v>
      </c>
      <c r="L124" s="433"/>
      <c r="M124" s="433"/>
      <c r="N124" s="433"/>
      <c r="O124" s="2052"/>
      <c r="P124" s="2037" t="e">
        <f>ROUND(AVERAGE(N123:P123),1)</f>
        <v>#VALUE!</v>
      </c>
      <c r="Q124" s="2037" t="e">
        <f>ROUND(AVERAGE(O123:Q123),1)</f>
        <v>#VALUE!</v>
      </c>
      <c r="R124" s="2037" t="e">
        <f>ROUND(AVERAGE(P123:R123),1)</f>
        <v>#VALUE!</v>
      </c>
      <c r="S124" s="2037" t="e">
        <f>ROUND(AVERAGE(Q123:S123),1)</f>
        <v>#VALUE!</v>
      </c>
      <c r="T124" s="2061" t="e">
        <f>ROUND(AVERAGE(R123:T123),1)</f>
        <v>#VALUE!</v>
      </c>
      <c r="U124" s="2051"/>
      <c r="V124" s="433" t="s">
        <v>1972</v>
      </c>
    </row>
    <row r="125" spans="4:22">
      <c r="E125" s="1357" t="s">
        <v>1973</v>
      </c>
      <c r="K125" s="433" t="s">
        <v>321</v>
      </c>
      <c r="L125" s="433"/>
      <c r="M125" s="433"/>
      <c r="N125" s="433"/>
      <c r="O125" s="2052"/>
      <c r="P125" s="2037" t="e">
        <f>ROUND((1-P124/P116)*100,1)</f>
        <v>#VALUE!</v>
      </c>
      <c r="Q125" s="2037" t="e">
        <f>ROUND((1-Q124/Q116)*100,1)</f>
        <v>#VALUE!</v>
      </c>
      <c r="R125" s="2037" t="e">
        <f>ROUND((1-R124/R116)*100,1)</f>
        <v>#VALUE!</v>
      </c>
      <c r="S125" s="2037" t="e">
        <f>ROUND((1-S124/S116)*100,1)</f>
        <v>#VALUE!</v>
      </c>
      <c r="T125" s="2061" t="e">
        <f>ROUND((1-T124/T116)*100,1)</f>
        <v>#VALUE!</v>
      </c>
      <c r="U125" s="2051"/>
      <c r="V125" s="433" t="s">
        <v>1974</v>
      </c>
    </row>
    <row r="126" spans="4:22">
      <c r="E126" s="433" t="s">
        <v>1975</v>
      </c>
      <c r="K126" s="433" t="s">
        <v>1890</v>
      </c>
      <c r="L126" s="433"/>
      <c r="M126" s="433"/>
      <c r="N126" s="433"/>
      <c r="O126" s="2052"/>
      <c r="P126" s="449" t="e">
        <f>IF(P125&lt;=P105,"No","Yes")</f>
        <v>#VALUE!</v>
      </c>
      <c r="Q126" s="449" t="e">
        <f t="shared" ref="Q126:T126" si="15">IF(Q125&lt;=Q105,"No","Yes")</f>
        <v>#VALUE!</v>
      </c>
      <c r="R126" s="449" t="e">
        <f t="shared" si="15"/>
        <v>#VALUE!</v>
      </c>
      <c r="S126" s="449" t="e">
        <f t="shared" si="15"/>
        <v>#VALUE!</v>
      </c>
      <c r="T126" s="2055" t="e">
        <f t="shared" si="15"/>
        <v>#VALUE!</v>
      </c>
      <c r="U126" s="449"/>
      <c r="V126" s="433"/>
    </row>
    <row r="127" spans="4:22">
      <c r="E127" s="433"/>
      <c r="K127" s="433"/>
      <c r="L127" s="433"/>
      <c r="M127" s="433"/>
      <c r="N127" s="433"/>
      <c r="O127" s="2052"/>
      <c r="P127" s="449"/>
      <c r="Q127" s="449"/>
      <c r="R127" s="449"/>
      <c r="S127" s="449"/>
      <c r="T127" s="2055"/>
      <c r="U127" s="433"/>
      <c r="V127" s="433"/>
    </row>
    <row r="128" spans="4:22">
      <c r="E128" s="438" t="s">
        <v>1976</v>
      </c>
      <c r="K128" s="433"/>
      <c r="L128" s="433"/>
      <c r="M128" s="433"/>
      <c r="N128" s="433"/>
      <c r="O128" s="2052"/>
      <c r="P128" s="449"/>
      <c r="Q128" s="449"/>
      <c r="R128" s="449"/>
      <c r="S128" s="449"/>
      <c r="T128" s="2055"/>
      <c r="U128" s="433"/>
      <c r="V128" s="433"/>
    </row>
    <row r="129" spans="4:36">
      <c r="E129" s="433" t="s">
        <v>1977</v>
      </c>
      <c r="K129" s="433" t="s">
        <v>1890</v>
      </c>
      <c r="L129" s="433"/>
      <c r="M129" s="433"/>
      <c r="N129" s="433"/>
      <c r="O129" s="433"/>
      <c r="P129" s="2056" t="e">
        <f>IF(P107="","na",IF(P125&gt;P107,"Yes","No"))</f>
        <v>#N/A</v>
      </c>
      <c r="Q129" s="449" t="e">
        <f t="shared" ref="Q129:T129" si="16">IF(Q107="","na",IF(Q125&gt;Q107,"Yes","No"))</f>
        <v>#N/A</v>
      </c>
      <c r="R129" s="449" t="e">
        <f t="shared" si="16"/>
        <v>#N/A</v>
      </c>
      <c r="S129" s="449" t="e">
        <f t="shared" si="16"/>
        <v>#N/A</v>
      </c>
      <c r="T129" s="2055" t="e">
        <f t="shared" si="16"/>
        <v>#N/A</v>
      </c>
      <c r="U129" s="449"/>
      <c r="V129" s="433"/>
    </row>
    <row r="130" spans="4:36">
      <c r="E130" s="1357" t="s">
        <v>1978</v>
      </c>
      <c r="K130" s="433" t="s">
        <v>681</v>
      </c>
      <c r="L130" s="433"/>
      <c r="M130" s="433"/>
      <c r="N130" s="433"/>
      <c r="O130" s="433"/>
      <c r="P130" s="2060" t="e">
        <f>IF(P126="No","",IF(AND(P126="Yes",P129="Yes"),P108-P106,P124-P106))</f>
        <v>#VALUE!</v>
      </c>
      <c r="Q130" s="2037" t="e">
        <f t="shared" ref="Q130:T130" si="17">IF(Q126="No","",IF(AND(Q126="Yes",Q129="Yes"),Q108-Q106,Q124-Q106))</f>
        <v>#VALUE!</v>
      </c>
      <c r="R130" s="2037" t="e">
        <f t="shared" si="17"/>
        <v>#VALUE!</v>
      </c>
      <c r="S130" s="2037" t="e">
        <f t="shared" si="17"/>
        <v>#VALUE!</v>
      </c>
      <c r="T130" s="2061" t="e">
        <f t="shared" si="17"/>
        <v>#VALUE!</v>
      </c>
      <c r="U130" s="2051"/>
      <c r="V130" s="433"/>
    </row>
    <row r="131" spans="4:36">
      <c r="E131" s="433"/>
      <c r="K131" s="433"/>
      <c r="L131" s="433"/>
      <c r="M131" s="433"/>
      <c r="N131" s="433"/>
      <c r="O131" s="433"/>
      <c r="P131" s="2056"/>
      <c r="Q131" s="449"/>
      <c r="R131" s="449"/>
      <c r="S131" s="449"/>
      <c r="T131" s="2055"/>
      <c r="U131" s="433"/>
      <c r="V131" s="433"/>
    </row>
    <row r="132" spans="4:36">
      <c r="E132" s="438" t="s">
        <v>1979</v>
      </c>
      <c r="K132" s="433"/>
      <c r="L132" s="433"/>
      <c r="M132" s="433"/>
      <c r="N132" s="433"/>
      <c r="O132" s="433"/>
      <c r="P132" s="2056"/>
      <c r="Q132" s="449"/>
      <c r="R132" s="449"/>
      <c r="S132" s="449"/>
      <c r="T132" s="2055"/>
      <c r="U132" s="433"/>
      <c r="V132" s="433"/>
    </row>
    <row r="133" spans="4:36">
      <c r="E133" s="433" t="s">
        <v>1980</v>
      </c>
      <c r="K133" s="433" t="s">
        <v>1890</v>
      </c>
      <c r="L133" s="433"/>
      <c r="M133" s="433"/>
      <c r="N133" s="433"/>
      <c r="O133" s="433"/>
      <c r="P133" s="2056" t="e">
        <f>IF(P109="","na",IF(P125&lt;P109,"Yes","No"))</f>
        <v>#N/A</v>
      </c>
      <c r="Q133" s="449" t="e">
        <f t="shared" ref="Q133:T133" si="18">IF(Q109="","na",IF(Q125&lt;Q109,"Yes","No"))</f>
        <v>#N/A</v>
      </c>
      <c r="R133" s="449" t="e">
        <f t="shared" si="18"/>
        <v>#N/A</v>
      </c>
      <c r="S133" s="449" t="e">
        <f t="shared" si="18"/>
        <v>#N/A</v>
      </c>
      <c r="T133" s="2055" t="e">
        <f t="shared" si="18"/>
        <v>#N/A</v>
      </c>
      <c r="U133" s="449"/>
      <c r="V133" s="433"/>
    </row>
    <row r="134" spans="4:36">
      <c r="E134" s="1357" t="s">
        <v>1978</v>
      </c>
      <c r="K134" s="433" t="s">
        <v>681</v>
      </c>
      <c r="L134" s="433"/>
      <c r="M134" s="433"/>
      <c r="N134" s="433"/>
      <c r="O134" s="433"/>
      <c r="P134" s="2060" t="e">
        <f>IF(P126="Yes","",IF(AND(P126="No",P133="Yes"),P110-P106,P124-P106))</f>
        <v>#VALUE!</v>
      </c>
      <c r="Q134" s="2037" t="e">
        <f t="shared" ref="Q134:T134" si="19">IF(Q126="Yes","",IF(AND(Q126="No",Q133="Yes"),Q110-Q106,Q124-Q106))</f>
        <v>#VALUE!</v>
      </c>
      <c r="R134" s="2037" t="e">
        <f t="shared" si="19"/>
        <v>#VALUE!</v>
      </c>
      <c r="S134" s="2037" t="e">
        <f t="shared" si="19"/>
        <v>#VALUE!</v>
      </c>
      <c r="T134" s="2061" t="e">
        <f t="shared" si="19"/>
        <v>#VALUE!</v>
      </c>
      <c r="U134" s="2037"/>
      <c r="V134" s="433"/>
    </row>
    <row r="135" spans="4:36">
      <c r="E135" s="433"/>
      <c r="K135" s="433"/>
      <c r="L135" s="433"/>
      <c r="M135" s="433"/>
      <c r="N135" s="433"/>
      <c r="O135" s="433"/>
      <c r="P135" s="2056"/>
      <c r="Q135" s="449"/>
      <c r="R135" s="449"/>
      <c r="S135" s="449"/>
      <c r="T135" s="2055"/>
      <c r="U135" s="433"/>
      <c r="V135" s="433"/>
    </row>
    <row r="136" spans="4:36">
      <c r="D136" s="1943" t="s">
        <v>1981</v>
      </c>
      <c r="K136" s="433"/>
      <c r="L136" s="433"/>
      <c r="M136" s="433"/>
      <c r="N136" s="433"/>
      <c r="O136" s="433"/>
      <c r="P136" s="2056"/>
      <c r="Q136" s="449"/>
      <c r="R136" s="449"/>
      <c r="S136" s="449"/>
      <c r="T136" s="2055"/>
      <c r="U136" s="433"/>
      <c r="V136" s="433"/>
    </row>
    <row r="137" spans="4:36">
      <c r="E137" s="1357" t="s">
        <v>1982</v>
      </c>
      <c r="K137" s="433" t="s">
        <v>165</v>
      </c>
      <c r="L137" s="433"/>
      <c r="M137" s="433"/>
      <c r="N137" s="433"/>
      <c r="O137" s="433"/>
      <c r="P137" s="2212" t="e">
        <f>IF(P126="No",P134*$L$112,-P130*$L$111)</f>
        <v>#VALUE!</v>
      </c>
      <c r="Q137" s="2213" t="e">
        <f>IF(Q126="No",Q134*$L$112,-Q130*$L$111)</f>
        <v>#VALUE!</v>
      </c>
      <c r="R137" s="2213" t="e">
        <f>IF(R126="No",R134*$L$112,-R130*$L$111)</f>
        <v>#VALUE!</v>
      </c>
      <c r="S137" s="2213" t="e">
        <f>IF(S126="No",S134*$L$112,-S130*$L$111)</f>
        <v>#VALUE!</v>
      </c>
      <c r="T137" s="2214" t="e">
        <f>IF(T126="No",T134*$L$112,-T130*$L$111)</f>
        <v>#VALUE!</v>
      </c>
      <c r="U137" s="2240" t="e">
        <f>SUM(P137:T137)</f>
        <v>#VALUE!</v>
      </c>
      <c r="V137" s="433"/>
    </row>
    <row r="138" spans="4:36">
      <c r="E138" s="2124" t="s">
        <v>1983</v>
      </c>
      <c r="F138" s="2125"/>
      <c r="G138" s="2125"/>
      <c r="H138" s="2125"/>
      <c r="I138" s="2125"/>
      <c r="J138" s="2125"/>
      <c r="K138" s="2126" t="s">
        <v>165</v>
      </c>
      <c r="L138" s="2126"/>
      <c r="M138" s="2126"/>
      <c r="N138" s="2126"/>
      <c r="O138" s="2126"/>
      <c r="P138" s="2215" t="e">
        <f>IF(P117&gt;0,P117,IF(P137&gt;0,0,P137))</f>
        <v>#VALUE!</v>
      </c>
      <c r="Q138" s="2216" t="e">
        <f t="shared" ref="Q138:S138" si="20">IF(Q117&gt;0,Q117,IF(Q137&gt;0,0,Q137))</f>
        <v>#VALUE!</v>
      </c>
      <c r="R138" s="2216" t="e">
        <f t="shared" si="20"/>
        <v>#VALUE!</v>
      </c>
      <c r="S138" s="2216" t="e">
        <f t="shared" si="20"/>
        <v>#VALUE!</v>
      </c>
      <c r="T138" s="2217" t="e">
        <f>IF(T137&gt;0,0,T137)</f>
        <v>#VALUE!</v>
      </c>
      <c r="U138" s="2241" t="e">
        <f>SUM(P138:T138)</f>
        <v>#VALUE!</v>
      </c>
      <c r="V138" s="2126" t="s">
        <v>1984</v>
      </c>
      <c r="W138" s="2125"/>
      <c r="X138" s="2125"/>
      <c r="Y138" s="2125"/>
      <c r="Z138" s="2125"/>
      <c r="AA138" s="2125"/>
      <c r="AB138" s="2125"/>
      <c r="AC138" s="2125"/>
      <c r="AD138" s="2125"/>
      <c r="AE138" s="2125"/>
      <c r="AF138" s="2125"/>
      <c r="AG138" s="2125"/>
      <c r="AH138" s="2125"/>
      <c r="AI138" s="2125"/>
      <c r="AJ138" s="2125"/>
    </row>
    <row r="139" spans="4:36">
      <c r="E139" s="433" t="s">
        <v>1985</v>
      </c>
      <c r="K139" s="1343" t="s">
        <v>321</v>
      </c>
      <c r="P139" s="2218" t="e">
        <f>(P138 - P117) / P117</f>
        <v>#VALUE!</v>
      </c>
      <c r="Q139" s="2219" t="e">
        <f t="shared" ref="Q139:U139" si="21">(Q138 - Q117) / Q117</f>
        <v>#VALUE!</v>
      </c>
      <c r="R139" s="2219" t="e">
        <f t="shared" si="21"/>
        <v>#VALUE!</v>
      </c>
      <c r="S139" s="2220" t="e">
        <f t="shared" si="21"/>
        <v>#VALUE!</v>
      </c>
      <c r="T139" s="2221" t="e">
        <f t="shared" si="21"/>
        <v>#VALUE!</v>
      </c>
      <c r="U139" s="2242" t="e">
        <f t="shared" si="21"/>
        <v>#VALUE!</v>
      </c>
    </row>
    <row r="140" spans="4:36">
      <c r="E140" s="433"/>
      <c r="K140" s="433"/>
      <c r="L140" s="433"/>
      <c r="M140" s="433"/>
      <c r="N140" s="433"/>
      <c r="O140" s="433"/>
      <c r="P140" s="2058"/>
      <c r="Q140" s="2057"/>
      <c r="R140" s="2057"/>
      <c r="S140" s="2057"/>
      <c r="T140" s="2195"/>
      <c r="U140" s="2229"/>
      <c r="V140" s="433"/>
    </row>
    <row r="141" spans="4:36">
      <c r="D141" s="1943" t="s">
        <v>1986</v>
      </c>
      <c r="E141" s="433"/>
      <c r="K141" s="433"/>
      <c r="L141" s="433"/>
      <c r="M141" s="433"/>
      <c r="N141" s="433"/>
      <c r="O141" s="433"/>
      <c r="P141" s="2058"/>
      <c r="Q141" s="2057"/>
      <c r="R141" s="2057"/>
      <c r="S141" s="2057"/>
      <c r="T141" s="2195"/>
      <c r="U141" s="2229"/>
      <c r="V141" s="433"/>
    </row>
    <row r="142" spans="4:36">
      <c r="E142" s="433" t="s">
        <v>1987</v>
      </c>
      <c r="K142" s="433" t="s">
        <v>321</v>
      </c>
      <c r="L142" s="2127">
        <v>0.64</v>
      </c>
      <c r="M142" s="433"/>
      <c r="N142" s="433"/>
      <c r="O142" s="433"/>
      <c r="P142" s="2058"/>
      <c r="Q142" s="2057"/>
      <c r="R142" s="2057"/>
      <c r="S142" s="2057"/>
      <c r="T142" s="2195"/>
      <c r="U142" s="2229"/>
      <c r="V142" s="433" t="s">
        <v>1988</v>
      </c>
    </row>
    <row r="143" spans="4:36">
      <c r="E143" s="433" t="s">
        <v>1989</v>
      </c>
      <c r="K143" s="433" t="s">
        <v>1890</v>
      </c>
      <c r="L143" s="2109" t="e">
        <f>IF(ABS(U139)&lt;L142,"Yes","No")</f>
        <v>#VALUE!</v>
      </c>
      <c r="M143" s="433"/>
      <c r="N143" s="433"/>
      <c r="O143" s="433"/>
      <c r="P143" s="2058"/>
      <c r="Q143" s="2057"/>
      <c r="R143" s="2057"/>
      <c r="S143" s="2057"/>
      <c r="T143" s="2195"/>
      <c r="U143" s="2229"/>
      <c r="V143" s="433"/>
    </row>
    <row r="144" spans="4:36">
      <c r="E144" s="433" t="s">
        <v>1990</v>
      </c>
      <c r="K144" s="433" t="s">
        <v>1890</v>
      </c>
      <c r="L144" s="2109" t="str">
        <f>IF(COUNTIF(P117:S117,"&gt;0")=1,"Yes","No")</f>
        <v>No</v>
      </c>
      <c r="M144" s="433"/>
      <c r="N144" s="433"/>
      <c r="O144" s="433"/>
      <c r="P144" s="2058"/>
      <c r="Q144" s="2057"/>
      <c r="R144" s="2057"/>
      <c r="S144" s="2057"/>
      <c r="T144" s="2195"/>
      <c r="U144" s="2229"/>
      <c r="V144" s="433"/>
    </row>
    <row r="145" spans="1:36">
      <c r="E145" s="433" t="s">
        <v>1991</v>
      </c>
      <c r="K145" s="433" t="s">
        <v>165</v>
      </c>
      <c r="L145" s="2109"/>
      <c r="M145" s="433"/>
      <c r="N145" s="433"/>
      <c r="O145" s="433"/>
      <c r="P145" s="2228" t="str">
        <f>IF(P117&gt;0,P117,"")</f>
        <v/>
      </c>
      <c r="Q145" s="2229" t="str">
        <f t="shared" ref="Q145:S145" si="22">IF(Q117&gt;0,Q117,"")</f>
        <v/>
      </c>
      <c r="R145" s="2229" t="str">
        <f t="shared" si="22"/>
        <v/>
      </c>
      <c r="S145" s="2229" t="str">
        <f t="shared" si="22"/>
        <v/>
      </c>
      <c r="T145" s="2230"/>
      <c r="U145" s="2229"/>
      <c r="V145" s="433"/>
    </row>
    <row r="146" spans="1:36">
      <c r="E146" s="433" t="s">
        <v>1992</v>
      </c>
      <c r="K146" s="433" t="s">
        <v>165</v>
      </c>
      <c r="L146" s="2109"/>
      <c r="M146" s="433"/>
      <c r="N146" s="433"/>
      <c r="O146" s="433"/>
      <c r="P146" s="2222" t="e">
        <f>IF($L143="No",P138,IF(P117&gt;0,P117,(P138/(($U138-SUM($P145:$S145)))*($U146-SUM($P145:$S145)))))</f>
        <v>#VALUE!</v>
      </c>
      <c r="Q146" s="2223" t="e">
        <f t="shared" ref="Q146:T146" si="23">IF($L143="No",Q138,IF(Q117&gt;0,Q117,(Q138/(($U138-SUM($P145:$S145)))*($U146-SUM($P145:$S145)))))</f>
        <v>#VALUE!</v>
      </c>
      <c r="R146" s="2223" t="e">
        <f t="shared" si="23"/>
        <v>#VALUE!</v>
      </c>
      <c r="S146" s="2223" t="e">
        <f t="shared" si="23"/>
        <v>#VALUE!</v>
      </c>
      <c r="T146" s="2224" t="e">
        <f t="shared" si="23"/>
        <v>#VALUE!</v>
      </c>
      <c r="U146" s="2243" t="e">
        <f>IF($L143="No",U138,U117-((MAX(ABS($U139),$L142)*$U117)))</f>
        <v>#VALUE!</v>
      </c>
      <c r="V146" s="433" t="s">
        <v>1993</v>
      </c>
    </row>
    <row r="147" spans="1:36">
      <c r="E147" s="2128" t="s">
        <v>1994</v>
      </c>
      <c r="F147" s="2129"/>
      <c r="G147" s="2129"/>
      <c r="H147" s="2129"/>
      <c r="I147" s="2129"/>
      <c r="J147" s="2129"/>
      <c r="K147" s="2128" t="s">
        <v>165</v>
      </c>
      <c r="L147" s="2130"/>
      <c r="M147" s="2128"/>
      <c r="N147" s="2128"/>
      <c r="O147" s="2128"/>
      <c r="P147" s="2225" t="e">
        <f>P146</f>
        <v>#VALUE!</v>
      </c>
      <c r="Q147" s="2226" t="e">
        <f>Q146</f>
        <v>#VALUE!</v>
      </c>
      <c r="R147" s="2226" t="e">
        <f>R146</f>
        <v>#VALUE!</v>
      </c>
      <c r="S147" s="2226" t="e">
        <f>S146</f>
        <v>#VALUE!</v>
      </c>
      <c r="T147" s="2227" t="e">
        <f t="shared" ref="T147" si="24">IF(T146&gt;0,0,T146)</f>
        <v>#VALUE!</v>
      </c>
      <c r="U147" s="2226" t="e">
        <f>SUM(P147:T147)</f>
        <v>#VALUE!</v>
      </c>
      <c r="V147" s="2128" t="s">
        <v>1984</v>
      </c>
      <c r="W147" s="2129"/>
      <c r="X147" s="2129"/>
      <c r="Y147" s="2351"/>
      <c r="Z147" s="2351"/>
      <c r="AA147" s="2351"/>
      <c r="AB147" s="2351"/>
      <c r="AC147" s="2351"/>
      <c r="AD147" s="2351"/>
      <c r="AE147" s="2351"/>
      <c r="AF147" s="2351"/>
      <c r="AG147" s="2351"/>
      <c r="AH147" s="2351"/>
      <c r="AI147" s="2351"/>
      <c r="AJ147" s="2351"/>
    </row>
    <row r="148" spans="1:36">
      <c r="E148" s="433" t="s">
        <v>1995</v>
      </c>
      <c r="K148" s="433" t="s">
        <v>1890</v>
      </c>
      <c r="L148" s="2109" t="e">
        <f>IF(L143="Yes",(SUM(P147:T147)=U147),"N/A")</f>
        <v>#VALUE!</v>
      </c>
      <c r="M148" s="433"/>
      <c r="N148" s="433"/>
      <c r="O148" s="433"/>
      <c r="P148" s="2228"/>
      <c r="Q148" s="2229"/>
      <c r="R148" s="2229"/>
      <c r="S148" s="2229"/>
      <c r="T148" s="2230"/>
      <c r="U148" s="2229"/>
      <c r="V148" s="433"/>
    </row>
    <row r="149" spans="1:36">
      <c r="E149" s="433" t="s">
        <v>1985</v>
      </c>
      <c r="K149" s="433" t="s">
        <v>321</v>
      </c>
      <c r="L149" s="2109"/>
      <c r="M149" s="433"/>
      <c r="N149" s="433"/>
      <c r="O149" s="433"/>
      <c r="P149" s="2218" t="e">
        <f>(P147 - P117) / P117</f>
        <v>#VALUE!</v>
      </c>
      <c r="Q149" s="2219" t="e">
        <f t="shared" ref="Q149:U149" si="25">(Q147 - Q117) / Q117</f>
        <v>#VALUE!</v>
      </c>
      <c r="R149" s="2219" t="e">
        <f t="shared" si="25"/>
        <v>#VALUE!</v>
      </c>
      <c r="S149" s="2219" t="e">
        <f t="shared" si="25"/>
        <v>#VALUE!</v>
      </c>
      <c r="T149" s="2221" t="e">
        <f t="shared" si="25"/>
        <v>#VALUE!</v>
      </c>
      <c r="U149" s="2219" t="e">
        <f t="shared" si="25"/>
        <v>#VALUE!</v>
      </c>
      <c r="V149" s="433"/>
    </row>
    <row r="150" spans="1:36">
      <c r="E150" s="433" t="s">
        <v>1996</v>
      </c>
      <c r="K150" s="433" t="s">
        <v>1890</v>
      </c>
      <c r="L150" s="2109" t="e">
        <f>IF(L143="Yes",ABS(U149)=L142,"N/A")</f>
        <v>#VALUE!</v>
      </c>
      <c r="M150" s="433"/>
      <c r="N150" s="433"/>
      <c r="O150" s="433"/>
      <c r="P150" s="2058"/>
      <c r="Q150" s="2057"/>
      <c r="R150" s="2057"/>
      <c r="S150" s="2057"/>
      <c r="T150" s="2195"/>
      <c r="U150" s="2229"/>
      <c r="V150" s="433"/>
    </row>
    <row r="151" spans="1:36">
      <c r="E151" s="433"/>
      <c r="K151" s="433"/>
      <c r="L151" s="433"/>
      <c r="M151" s="433"/>
      <c r="N151" s="433"/>
      <c r="O151" s="433"/>
      <c r="P151" s="2058"/>
      <c r="Q151" s="2057"/>
      <c r="R151" s="2057"/>
      <c r="S151" s="2057"/>
      <c r="T151" s="2195"/>
      <c r="U151" s="2229"/>
      <c r="V151" s="433"/>
    </row>
    <row r="152" spans="1:36">
      <c r="E152" s="433"/>
      <c r="K152" s="433"/>
      <c r="L152" s="433"/>
      <c r="M152" s="433"/>
      <c r="N152" s="433"/>
      <c r="O152" s="433"/>
      <c r="P152" s="2057"/>
      <c r="Q152" s="2057"/>
      <c r="R152" s="2057"/>
      <c r="S152" s="2057"/>
      <c r="T152" s="2057"/>
      <c r="U152" s="2057"/>
      <c r="V152" s="433"/>
    </row>
    <row r="153" spans="1:36">
      <c r="E153" s="2066" t="s">
        <v>1997</v>
      </c>
      <c r="F153" s="2062"/>
      <c r="G153" s="2036"/>
      <c r="K153" s="433"/>
      <c r="L153" s="433"/>
      <c r="M153" s="433"/>
      <c r="N153" s="433"/>
      <c r="O153" s="433"/>
      <c r="P153" s="2057"/>
      <c r="Q153" s="2057"/>
      <c r="R153" s="2057"/>
      <c r="S153" s="2057"/>
      <c r="T153" s="2057"/>
      <c r="U153" s="2057"/>
      <c r="V153" s="433"/>
    </row>
    <row r="154" spans="1:36">
      <c r="E154" s="2063" t="s">
        <v>1998</v>
      </c>
      <c r="G154" s="2036"/>
      <c r="K154" s="433"/>
      <c r="L154" s="433"/>
      <c r="M154" s="433"/>
      <c r="N154" s="433"/>
      <c r="O154" s="433"/>
      <c r="P154" s="2057"/>
      <c r="Q154" s="2057"/>
      <c r="R154" s="2057"/>
      <c r="S154" s="2057"/>
      <c r="T154" s="2057"/>
      <c r="U154" s="2057"/>
      <c r="V154" s="433"/>
    </row>
    <row r="155" spans="1:36">
      <c r="E155" s="2131" t="s">
        <v>1999</v>
      </c>
      <c r="F155" s="2132"/>
      <c r="G155" s="2036"/>
      <c r="K155" s="433"/>
      <c r="L155" s="433"/>
      <c r="M155" s="433"/>
      <c r="N155" s="433"/>
      <c r="O155" s="433"/>
      <c r="P155" s="2057"/>
      <c r="Q155" s="2057"/>
      <c r="R155" s="2057"/>
      <c r="S155" s="2057"/>
      <c r="T155" s="2057"/>
      <c r="U155" s="2057"/>
      <c r="V155" s="433"/>
    </row>
    <row r="156" spans="1:36">
      <c r="E156" s="2133" t="s">
        <v>330</v>
      </c>
      <c r="G156" s="2036"/>
      <c r="K156" s="433"/>
      <c r="L156" s="433"/>
      <c r="M156" s="433"/>
      <c r="N156" s="433"/>
      <c r="O156" s="433"/>
      <c r="P156" s="2057"/>
      <c r="Q156" s="2057"/>
      <c r="R156" s="2057"/>
      <c r="S156" s="2057"/>
      <c r="T156" s="2057"/>
      <c r="U156" s="2057"/>
      <c r="V156" s="433"/>
    </row>
    <row r="157" spans="1:36">
      <c r="E157" s="2134" t="s">
        <v>2000</v>
      </c>
      <c r="F157" s="2135"/>
      <c r="G157" s="2036"/>
      <c r="K157" s="433"/>
      <c r="L157" s="433"/>
      <c r="M157" s="433"/>
      <c r="N157" s="433"/>
      <c r="O157" s="433"/>
      <c r="P157" s="2057"/>
      <c r="Q157" s="2057"/>
      <c r="R157" s="2057"/>
      <c r="S157" s="2057"/>
      <c r="T157" s="2057"/>
      <c r="U157" s="2057"/>
      <c r="V157" s="433"/>
    </row>
    <row r="159" spans="1:36" s="2136" customFormat="1" ht="20.25">
      <c r="A159" s="514" t="s">
        <v>1082</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topLeftCell="A3" zoomScale="80" zoomScaleNormal="80" zoomScaleSheetLayoutView="80" workbookViewId="0">
      <selection activeCell="F29" sqref="F29"/>
    </sheetView>
  </sheetViews>
  <sheetFormatPr defaultColWidth="8.625" defaultRowHeight="12.75"/>
  <cols>
    <col min="1" max="4" width="1.625" style="200" customWidth="1"/>
    <col min="5" max="5" width="45.625" style="200" customWidth="1"/>
    <col min="6" max="8" width="15.625" style="200" customWidth="1"/>
    <col min="9" max="9" width="2.625" style="200" customWidth="1"/>
    <col min="10" max="16384" width="8.625" style="200"/>
  </cols>
  <sheetData>
    <row r="1" spans="1:19" s="194" customFormat="1" ht="44.25">
      <c r="A1" s="425" t="e">
        <f ca="1" xml:space="preserve"> RIGHT(CELL("filename", $A$1), LEN(CELL("filename", $A$1)) - SEARCH("]", CELL("filename", $A$1)))</f>
        <v>#VALUE!</v>
      </c>
      <c r="B1" s="425"/>
      <c r="C1" s="425"/>
      <c r="D1" s="426"/>
      <c r="E1" s="426"/>
      <c r="F1" s="426"/>
      <c r="G1" s="426"/>
      <c r="H1" s="427" t="str">
        <f>InpCompany!F5</f>
        <v>Anglian Water</v>
      </c>
      <c r="I1" s="193"/>
    </row>
    <row r="2" spans="1:19" s="195" customFormat="1" ht="20.25">
      <c r="F2" s="429" t="s">
        <v>1938</v>
      </c>
      <c r="G2" s="429" t="s">
        <v>155</v>
      </c>
      <c r="H2" s="429" t="s">
        <v>1299</v>
      </c>
    </row>
    <row r="3" spans="1:19" s="199" customFormat="1" ht="20.25">
      <c r="A3" s="428" t="s">
        <v>1017</v>
      </c>
      <c r="B3" s="196"/>
      <c r="C3" s="197"/>
      <c r="D3" s="198"/>
      <c r="E3" s="198"/>
      <c r="F3" s="198"/>
      <c r="G3" s="198"/>
      <c r="H3" s="198"/>
    </row>
    <row r="5" spans="1:19" s="195" customFormat="1">
      <c r="B5" s="431"/>
      <c r="C5" s="431"/>
      <c r="D5" s="431"/>
      <c r="E5" s="431" t="s">
        <v>1797</v>
      </c>
      <c r="F5" s="432" t="str">
        <f>'Validation summary'!$B$3</f>
        <v>Anglian Water</v>
      </c>
      <c r="G5" s="433"/>
      <c r="H5" s="431"/>
      <c r="J5" s="200"/>
      <c r="K5" s="200"/>
      <c r="L5" s="200"/>
      <c r="M5" s="200"/>
      <c r="N5" s="200"/>
      <c r="O5" s="200"/>
      <c r="P5" s="200"/>
      <c r="Q5" s="200"/>
      <c r="R5" s="200"/>
      <c r="S5" s="200"/>
    </row>
    <row r="6" spans="1:19" s="195" customFormat="1">
      <c r="B6" s="431"/>
      <c r="C6" s="431"/>
      <c r="D6" s="431"/>
      <c r="E6" s="431" t="s">
        <v>2003</v>
      </c>
      <c r="F6" s="431" t="str">
        <f>INDEX(Validation!$C$5:$C$22, MATCH($F$5, Validation!$B$5:$B$22, 0))</f>
        <v>ANH</v>
      </c>
      <c r="G6" s="433"/>
      <c r="H6" s="431"/>
      <c r="J6" s="200"/>
      <c r="K6" s="200"/>
      <c r="L6" s="200"/>
      <c r="M6" s="200"/>
      <c r="N6" s="200"/>
      <c r="O6" s="200"/>
      <c r="P6" s="200"/>
      <c r="Q6" s="200"/>
      <c r="R6" s="200"/>
      <c r="S6" s="200"/>
    </row>
    <row r="7" spans="1:19">
      <c r="B7" s="433"/>
      <c r="C7" s="433"/>
      <c r="D7" s="433"/>
      <c r="E7" s="433"/>
      <c r="F7" s="433"/>
      <c r="G7" s="433"/>
      <c r="H7" s="433"/>
    </row>
    <row r="8" spans="1:19">
      <c r="B8" s="433"/>
      <c r="C8" s="433"/>
      <c r="D8" s="433"/>
      <c r="E8" s="433" t="s">
        <v>1796</v>
      </c>
      <c r="F8" s="432" t="str">
        <f>'Validation summary'!$B$2</f>
        <v>2024-25</v>
      </c>
      <c r="G8" s="433" t="s">
        <v>2004</v>
      </c>
      <c r="H8" s="434"/>
      <c r="I8" s="201"/>
    </row>
    <row r="9" spans="1:19">
      <c r="B9" s="433"/>
      <c r="C9" s="433"/>
      <c r="D9" s="433"/>
      <c r="E9" s="433"/>
      <c r="F9" s="433"/>
      <c r="G9" s="435"/>
      <c r="H9" s="435"/>
      <c r="I9" s="202"/>
    </row>
    <row r="10" spans="1:19">
      <c r="B10" s="433"/>
      <c r="C10" s="433"/>
      <c r="D10" s="433"/>
      <c r="E10" s="433" t="s">
        <v>2005</v>
      </c>
      <c r="F10" s="436" t="s">
        <v>1939</v>
      </c>
      <c r="G10" s="433" t="s">
        <v>2004</v>
      </c>
      <c r="H10" s="435"/>
      <c r="I10" s="202"/>
    </row>
    <row r="11" spans="1:19">
      <c r="B11" s="433"/>
      <c r="C11" s="433"/>
      <c r="D11" s="433"/>
      <c r="E11" s="433" t="s">
        <v>2006</v>
      </c>
      <c r="F11" s="433" t="str">
        <f>"£m ("&amp;F10&amp;" prices)"</f>
        <v>£m (2017-18 prices)</v>
      </c>
      <c r="G11" s="433" t="s">
        <v>2007</v>
      </c>
      <c r="H11" s="435"/>
      <c r="I11" s="202"/>
    </row>
    <row r="12" spans="1:19">
      <c r="B12" s="433"/>
      <c r="C12" s="433"/>
      <c r="D12" s="433"/>
      <c r="E12" s="433"/>
      <c r="F12" s="433"/>
      <c r="G12" s="433"/>
      <c r="H12" s="433"/>
    </row>
    <row r="13" spans="1:19" ht="20.25">
      <c r="C13" s="430" t="s">
        <v>2008</v>
      </c>
    </row>
    <row r="14" spans="1:19">
      <c r="B14" s="433"/>
      <c r="C14" s="433"/>
      <c r="D14" s="433"/>
      <c r="E14" s="433"/>
      <c r="F14" s="433"/>
      <c r="G14" s="433"/>
      <c r="H14" s="433"/>
    </row>
    <row r="15" spans="1:19">
      <c r="B15" s="433"/>
      <c r="C15" s="433"/>
      <c r="D15" s="433"/>
      <c r="E15" s="433" t="s">
        <v>2009</v>
      </c>
      <c r="F15" s="2187"/>
      <c r="G15" s="433" t="str">
        <f>$F$11</f>
        <v>£m (2017-18 prices)</v>
      </c>
      <c r="H15" s="433"/>
    </row>
    <row r="16" spans="1:19">
      <c r="B16" s="433"/>
      <c r="C16" s="433"/>
      <c r="D16" s="433"/>
      <c r="E16" s="433" t="s">
        <v>2010</v>
      </c>
      <c r="F16" s="2187"/>
      <c r="G16" s="433" t="str">
        <f>$F$11</f>
        <v>£m (2017-18 prices)</v>
      </c>
      <c r="H16" s="433"/>
    </row>
    <row r="17" spans="1:8">
      <c r="B17" s="433"/>
      <c r="C17" s="433"/>
      <c r="D17" s="433"/>
      <c r="E17" s="433" t="s">
        <v>2011</v>
      </c>
      <c r="F17" s="437">
        <f>SUM(F15:F16)</f>
        <v>0</v>
      </c>
      <c r="G17" s="433" t="str">
        <f>$F$11</f>
        <v>£m (2017-18 prices)</v>
      </c>
      <c r="H17" s="433"/>
    </row>
    <row r="18" spans="1:8">
      <c r="B18" s="433"/>
      <c r="C18" s="433"/>
      <c r="D18" s="433"/>
      <c r="E18" s="433"/>
      <c r="F18" s="437"/>
      <c r="G18" s="433"/>
      <c r="H18" s="433"/>
    </row>
    <row r="19" spans="1:8">
      <c r="B19" s="433"/>
      <c r="C19" s="433"/>
      <c r="D19" s="433"/>
      <c r="E19" s="433" t="s">
        <v>2012</v>
      </c>
      <c r="F19" s="2187"/>
      <c r="G19" s="433" t="str">
        <f>$F$11</f>
        <v>£m (2017-18 prices)</v>
      </c>
      <c r="H19" s="433"/>
    </row>
    <row r="20" spans="1:8">
      <c r="B20" s="433"/>
      <c r="C20" s="433"/>
      <c r="D20" s="433"/>
      <c r="E20" s="433" t="s">
        <v>2013</v>
      </c>
      <c r="F20" s="2187"/>
      <c r="G20" s="433" t="str">
        <f>$F$11</f>
        <v>£m (2017-18 prices)</v>
      </c>
      <c r="H20" s="433"/>
    </row>
    <row r="21" spans="1:8">
      <c r="B21" s="433"/>
      <c r="C21" s="433"/>
      <c r="D21" s="433"/>
      <c r="E21" s="433" t="s">
        <v>2014</v>
      </c>
      <c r="F21" s="437">
        <f>SUM(F19:F20)</f>
        <v>0</v>
      </c>
      <c r="G21" s="433" t="str">
        <f>$F$11</f>
        <v>£m (2017-18 prices)</v>
      </c>
      <c r="H21" s="433"/>
    </row>
    <row r="22" spans="1:8">
      <c r="B22" s="433"/>
      <c r="C22" s="433"/>
      <c r="D22" s="433"/>
      <c r="E22" s="433"/>
      <c r="F22" s="433"/>
      <c r="G22" s="433"/>
      <c r="H22" s="433"/>
    </row>
    <row r="23" spans="1:8">
      <c r="B23" s="433"/>
      <c r="C23" s="433"/>
      <c r="D23" s="438" t="s">
        <v>1808</v>
      </c>
      <c r="E23" s="433"/>
      <c r="F23" s="433"/>
      <c r="G23" s="433"/>
      <c r="H23" s="433"/>
    </row>
    <row r="24" spans="1:8">
      <c r="B24" s="433"/>
      <c r="C24" s="433"/>
      <c r="D24" s="433"/>
      <c r="E24" s="433" t="s">
        <v>2015</v>
      </c>
      <c r="F24" s="439">
        <v>0.4</v>
      </c>
      <c r="G24" s="433" t="s">
        <v>2016</v>
      </c>
      <c r="H24" s="433"/>
    </row>
    <row r="25" spans="1:8">
      <c r="B25" s="433"/>
      <c r="C25" s="433"/>
      <c r="D25" s="433"/>
      <c r="E25" s="433" t="s">
        <v>2017</v>
      </c>
      <c r="F25" s="439">
        <v>0.01</v>
      </c>
      <c r="G25" s="433" t="s">
        <v>2016</v>
      </c>
      <c r="H25" s="433"/>
    </row>
    <row r="27" spans="1:8" ht="20.25">
      <c r="C27" s="430" t="s">
        <v>2018</v>
      </c>
    </row>
    <row r="28" spans="1:8">
      <c r="C28" s="203"/>
      <c r="D28" s="433"/>
      <c r="E28" s="433"/>
      <c r="F28" s="433"/>
      <c r="G28" s="433"/>
      <c r="H28" s="433"/>
    </row>
    <row r="29" spans="1:8">
      <c r="A29" s="201"/>
      <c r="D29" s="433"/>
      <c r="E29" s="433" t="s">
        <v>2019</v>
      </c>
      <c r="F29" s="439">
        <v>0.5</v>
      </c>
      <c r="G29" s="433" t="s">
        <v>2016</v>
      </c>
      <c r="H29" s="433"/>
    </row>
    <row r="30" spans="1:8">
      <c r="A30" s="205">
        <f>SUM(F30*100)</f>
        <v>3</v>
      </c>
      <c r="D30" s="433"/>
      <c r="E30" s="433" t="s">
        <v>2020</v>
      </c>
      <c r="F30" s="439">
        <v>0.03</v>
      </c>
      <c r="G30" s="433" t="s">
        <v>2016</v>
      </c>
      <c r="H30" s="433"/>
    </row>
    <row r="31" spans="1:8">
      <c r="D31" s="433"/>
      <c r="E31" s="433"/>
      <c r="F31" s="433"/>
      <c r="G31" s="433"/>
      <c r="H31" s="433"/>
    </row>
    <row r="32" spans="1:8" ht="20.25">
      <c r="A32" s="417" t="s">
        <v>1082</v>
      </c>
      <c r="B32" s="178"/>
      <c r="C32" s="179"/>
      <c r="D32" s="180"/>
      <c r="E32" s="181"/>
      <c r="F32" s="181"/>
      <c r="G32" s="181"/>
      <c r="H32" s="181"/>
    </row>
  </sheetData>
  <conditionalFormatting sqref="H32">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zoomScale="80" zoomScaleNormal="80" zoomScaleSheetLayoutView="70" workbookViewId="0">
      <pane xSplit="8" ySplit="17" topLeftCell="Y18" activePane="bottomRight" state="frozen"/>
      <selection pane="bottomRight" activeCell="Z28" sqref="Z28"/>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16" width="28.625" style="385" customWidth="1"/>
    <col min="17"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1938</v>
      </c>
      <c r="G2" s="440" t="s">
        <v>155</v>
      </c>
      <c r="H2" s="440" t="s">
        <v>1299</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c r="A3" s="443" t="s">
        <v>2021</v>
      </c>
      <c r="B3" s="444"/>
      <c r="C3" s="445"/>
      <c r="D3" s="446"/>
      <c r="E3" s="446"/>
      <c r="F3" s="446"/>
      <c r="G3" s="446"/>
      <c r="H3" s="446"/>
      <c r="I3" s="446"/>
      <c r="J3" s="447" t="s">
        <v>2022</v>
      </c>
      <c r="K3" s="447" t="s">
        <v>2022</v>
      </c>
      <c r="L3" s="447" t="s">
        <v>2022</v>
      </c>
      <c r="M3" s="447" t="s">
        <v>2022</v>
      </c>
      <c r="N3" s="447" t="s">
        <v>2022</v>
      </c>
      <c r="O3" s="447" t="s">
        <v>2022</v>
      </c>
      <c r="P3" s="447" t="s">
        <v>2022</v>
      </c>
      <c r="Q3" s="448" t="s">
        <v>2022</v>
      </c>
      <c r="R3" s="447" t="s">
        <v>2023</v>
      </c>
      <c r="S3" s="447" t="s">
        <v>2023</v>
      </c>
      <c r="T3" s="447" t="s">
        <v>2023</v>
      </c>
      <c r="U3" s="447" t="s">
        <v>2023</v>
      </c>
      <c r="V3" s="447" t="s">
        <v>2023</v>
      </c>
      <c r="W3" s="447" t="s">
        <v>2023</v>
      </c>
      <c r="X3" s="447" t="s">
        <v>2023</v>
      </c>
      <c r="Y3" s="447" t="s">
        <v>2023</v>
      </c>
      <c r="Z3" s="447" t="s">
        <v>2023</v>
      </c>
      <c r="AA3" s="447" t="s">
        <v>2023</v>
      </c>
      <c r="AB3" s="447" t="s">
        <v>2023</v>
      </c>
      <c r="AC3" s="447" t="s">
        <v>2023</v>
      </c>
      <c r="AD3" s="447" t="s">
        <v>2023</v>
      </c>
      <c r="AE3" s="447" t="s">
        <v>2023</v>
      </c>
      <c r="AF3" s="447" t="s">
        <v>2023</v>
      </c>
      <c r="AG3" s="447" t="s">
        <v>2023</v>
      </c>
      <c r="AH3" s="447" t="s">
        <v>2023</v>
      </c>
      <c r="AI3" s="447" t="s">
        <v>2023</v>
      </c>
      <c r="AJ3" s="447" t="s">
        <v>2023</v>
      </c>
      <c r="AK3" s="448" t="s">
        <v>2023</v>
      </c>
      <c r="AL3" s="447" t="s">
        <v>2024</v>
      </c>
      <c r="AM3" s="447" t="s">
        <v>2024</v>
      </c>
      <c r="AN3" s="447" t="s">
        <v>2024</v>
      </c>
      <c r="AO3" s="448" t="s">
        <v>2024</v>
      </c>
      <c r="AP3" s="447" t="s">
        <v>2025</v>
      </c>
      <c r="AQ3" s="447" t="s">
        <v>2025</v>
      </c>
      <c r="AR3" s="447" t="s">
        <v>2025</v>
      </c>
      <c r="AS3" s="447" t="s">
        <v>2025</v>
      </c>
      <c r="AT3" s="447" t="s">
        <v>2025</v>
      </c>
      <c r="AU3" s="447" t="s">
        <v>2025</v>
      </c>
      <c r="AV3" s="447" t="s">
        <v>2025</v>
      </c>
      <c r="AW3" s="447" t="s">
        <v>2025</v>
      </c>
      <c r="AX3" s="447" t="s">
        <v>2025</v>
      </c>
      <c r="AY3" s="447" t="s">
        <v>2025</v>
      </c>
      <c r="AZ3" s="447" t="s">
        <v>2025</v>
      </c>
      <c r="BA3" s="447" t="s">
        <v>2025</v>
      </c>
      <c r="BB3" s="447" t="s">
        <v>2025</v>
      </c>
      <c r="BC3" s="447" t="s">
        <v>2025</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2026</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2027</v>
      </c>
      <c r="F7" s="431"/>
      <c r="G7" s="431" t="s">
        <v>2028</v>
      </c>
      <c r="H7" s="431"/>
      <c r="I7" s="431"/>
      <c r="J7" s="454">
        <f>IF('3A'!$F9="","",'3A'!$F9)</f>
        <v>2.13</v>
      </c>
      <c r="K7" s="455">
        <f>IF('3A'!$F10="","",'3A'!$F10)</f>
        <v>4.7596344359324451E-3</v>
      </c>
      <c r="L7" s="456">
        <f>IF('3A'!$F11="","",'3A'!$F11)</f>
        <v>3.9155074703760895</v>
      </c>
      <c r="M7" s="456" t="str">
        <f>IF('3A'!$F12="","",'3A'!$F12)</f>
        <v/>
      </c>
      <c r="N7" s="456">
        <f>IF('3A'!$F13="","",'3A'!$F13)</f>
        <v>4.666666666666675</v>
      </c>
      <c r="O7" s="456" t="str">
        <f>IF('3A'!$F14="","",'3A'!$F14)</f>
        <v/>
      </c>
      <c r="P7" s="456">
        <f>IF('3A'!$F15="","",'3A'!$F15)</f>
        <v>133.36935635776922</v>
      </c>
      <c r="Q7" s="457">
        <f>IF('3A'!$F16="","",'3A'!$F16)</f>
        <v>1.8790051410309851</v>
      </c>
      <c r="R7" s="458">
        <f>IF(ISBLANK('3A'!$F19),"",'3A'!$F19)</f>
        <v>22.3</v>
      </c>
      <c r="S7" s="459">
        <f>IF(ISBLANK('3A'!$F20),"",'3A'!$F20)</f>
        <v>62</v>
      </c>
      <c r="T7" s="459">
        <f>IF(ISBLANK('3A'!$F21),"",'3A'!$F21)</f>
        <v>85</v>
      </c>
      <c r="U7" s="458">
        <f>IF(ISBLANK('3A'!$F22),"",'3A'!$F22)</f>
        <v>0.06</v>
      </c>
      <c r="V7" s="459">
        <f>IF(ISBLANK('3A'!$F23),"",'3A'!$F23)</f>
        <v>0.91</v>
      </c>
      <c r="W7" s="459">
        <f>IF(ISBLANK('3A'!$F24),"",'3A'!$F24)</f>
        <v>1096405</v>
      </c>
      <c r="X7" s="459">
        <f>IF(ISBLANK('3A'!$F25),"",'3A'!$F25)</f>
        <v>11.5</v>
      </c>
      <c r="Y7" s="459">
        <f>IF(ISBLANK('3A'!$F26),"",'3A'!$F26)</f>
        <v>100</v>
      </c>
      <c r="Z7" s="459" t="str">
        <f>IF(ISBLANK('3A'!$F27),"",'3A'!$F27)</f>
        <v>n/a</v>
      </c>
      <c r="AA7" s="459" t="str">
        <f>IF(ISBLANK('3A'!$F28),"",'3A'!$F28)</f>
        <v>n/a</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1.4103806036901358</v>
      </c>
      <c r="AM7" s="461">
        <f>IF('3B'!$F10="","",'3B'!$F10)</f>
        <v>57.171265224956507</v>
      </c>
      <c r="AN7" s="461">
        <f>IF('3B'!$F11="","",'3B'!$F11)</f>
        <v>4.5327442893806094</v>
      </c>
      <c r="AO7" s="462">
        <f>IF(ISBLANK('3B'!$F12),"",'3B'!$F12)</f>
        <v>99.28</v>
      </c>
      <c r="AP7" s="463">
        <f>IF(ISBLANK('3B'!$F15),"",'3B'!$F15)</f>
        <v>5232</v>
      </c>
      <c r="AQ7" s="464">
        <f>IF(ISBLANK('3B'!$F16),"",'3B'!$F16)</f>
        <v>31</v>
      </c>
      <c r="AR7" s="464">
        <f>IF(ISBLANK('3B'!$F17),"",'3B'!$F17)</f>
        <v>1698</v>
      </c>
      <c r="AS7" s="464">
        <f>IF(ISBLANK('3B'!$F18),"",'3B'!$F18)</f>
        <v>98</v>
      </c>
      <c r="AT7" s="464">
        <f>IF(ISBLANK('3B'!$F19),"",'3B'!$F19)</f>
        <v>100</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c r="A8" s="431"/>
      <c r="B8" s="431"/>
      <c r="C8" s="431"/>
      <c r="D8" s="431"/>
      <c r="E8" s="431" t="s">
        <v>2029</v>
      </c>
      <c r="F8" s="431"/>
      <c r="G8" s="431" t="s">
        <v>2030</v>
      </c>
      <c r="H8" s="431"/>
      <c r="I8" s="431"/>
      <c r="J8" s="466"/>
      <c r="K8" s="466"/>
      <c r="L8" s="1308">
        <f>IF(OR('3A'!$R$1="NES",'3A'!$R$1="SSC"),'3F.1'!$G$18,'3F'!$G$18)</f>
        <v>194.1</v>
      </c>
      <c r="M8" s="1308" t="str">
        <f>IF(OR('3A'!$R$1="NES",'3A'!$R$1="SSC"),'3F.2'!$G$18,"")</f>
        <v/>
      </c>
      <c r="N8" s="1308">
        <f>IF('3A'!$R$1="SSC",'3F.1'!$G$19,'3F'!$G$19)</f>
        <v>135</v>
      </c>
      <c r="O8" s="1308"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2031</v>
      </c>
      <c r="F11" s="431"/>
      <c r="G11" s="431" t="s">
        <v>461</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2033</v>
      </c>
      <c r="F16" s="431"/>
      <c r="G16" s="431" t="s">
        <v>2007</v>
      </c>
      <c r="H16" s="431"/>
      <c r="I16" s="431"/>
      <c r="J16" s="478" t="str">
        <f>'3A'!$C$9</f>
        <v>PR19ANH_3</v>
      </c>
      <c r="K16" s="478" t="str">
        <f>'3A'!$C$10</f>
        <v>PR19ANH_4</v>
      </c>
      <c r="L16" s="478" t="str">
        <f>'3A'!$C$11</f>
        <v>PR19ANH_5</v>
      </c>
      <c r="M16" s="478" t="str">
        <f>'3A'!$C$12</f>
        <v/>
      </c>
      <c r="N16" s="478" t="str">
        <f>'3A'!$C$13</f>
        <v>PR19ANH_6</v>
      </c>
      <c r="O16" s="478" t="str">
        <f>'3A'!$C$14</f>
        <v/>
      </c>
      <c r="P16" s="478" t="str">
        <f>'3A'!$C$15</f>
        <v>PR19ANH_11</v>
      </c>
      <c r="Q16" s="479" t="str">
        <f>'3A'!$C$16</f>
        <v>PR19ANH_12</v>
      </c>
      <c r="R16" s="478" t="str">
        <f>'3A'!$C$19</f>
        <v>PR19ANH_15</v>
      </c>
      <c r="S16" s="478" t="str">
        <f>'3A'!$C$20</f>
        <v>PR19ANH_16</v>
      </c>
      <c r="T16" s="478" t="str">
        <f>'3A'!$C$21</f>
        <v>PR19ANH_20</v>
      </c>
      <c r="U16" s="478" t="str">
        <f>'3A'!$C$22</f>
        <v>PR19ANH_23</v>
      </c>
      <c r="V16" s="478" t="str">
        <f>'3A'!$C$23</f>
        <v>PR19ANH_34</v>
      </c>
      <c r="W16" s="478" t="str">
        <f>'3A'!$C$24</f>
        <v>PR19ANH_38</v>
      </c>
      <c r="X16" s="478" t="str">
        <f>'3A'!$C$25</f>
        <v>PR19ANH_39</v>
      </c>
      <c r="Y16" s="478" t="str">
        <f>'3A'!$C$26</f>
        <v>PR19ANH_41</v>
      </c>
      <c r="Z16" s="478" t="str">
        <f>'3A'!$C$27</f>
        <v>PR19ANH_47</v>
      </c>
      <c r="AA16" s="478" t="str">
        <f>'3A'!$C$28</f>
        <v>PR19ANH_48</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PR19ANH_7</v>
      </c>
      <c r="AM16" s="478" t="str">
        <f>'3B'!$C$10</f>
        <v>PR19ANH_8</v>
      </c>
      <c r="AN16" s="478" t="str">
        <f>'3B'!$C$11</f>
        <v>PR19ANH_13</v>
      </c>
      <c r="AO16" s="479" t="str">
        <f>'3B'!$C$12</f>
        <v>PR19ANH_14</v>
      </c>
      <c r="AP16" s="478" t="str">
        <f>'3B'!$C$15</f>
        <v>PR19ANH_17</v>
      </c>
      <c r="AQ16" s="478" t="str">
        <f>'3B'!$C$16</f>
        <v>PR19ANH_19</v>
      </c>
      <c r="AR16" s="478" t="str">
        <f>'3B'!$C$17</f>
        <v>PR19ANH_32</v>
      </c>
      <c r="AS16" s="478" t="str">
        <f>'3B'!$C$18</f>
        <v>PR19ANH_42</v>
      </c>
      <c r="AT16" s="478" t="str">
        <f>'3B'!$C$19</f>
        <v>PR19CMA_ANH-01</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8.25">
      <c r="A17" s="480"/>
      <c r="B17" s="480"/>
      <c r="C17" s="480"/>
      <c r="D17" s="480"/>
      <c r="E17" s="480" t="s">
        <v>2034</v>
      </c>
      <c r="F17" s="480"/>
      <c r="G17" s="480" t="s">
        <v>2007</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Percentage of population supplied by a single supply system</v>
      </c>
      <c r="S17" s="481" t="str">
        <f>'3A'!$B$20</f>
        <v>Properties at risk of persistent low pressure</v>
      </c>
      <c r="T17" s="481" t="str">
        <f>'3A'!$B$21</f>
        <v>Abstraction Incentive Mechanism</v>
      </c>
      <c r="U17" s="481" t="str">
        <f>'3A'!$B$22</f>
        <v>Managing void properties</v>
      </c>
      <c r="V17" s="481" t="str">
        <f>'3A'!$B$23</f>
        <v>Water quality contacts</v>
      </c>
      <c r="W17" s="481" t="str">
        <f>'3A'!$B$24</f>
        <v>Smart metering delivery</v>
      </c>
      <c r="X17" s="481" t="str">
        <f>'3A'!$B$25</f>
        <v>Internal interconnection delivery</v>
      </c>
      <c r="Y17" s="481" t="str">
        <f>'3A'!$B$26</f>
        <v>Cyber Security</v>
      </c>
      <c r="Z17" s="481" t="str">
        <f>'3A'!$B$27</f>
        <v>Underperformance incentive for Elsham treatment works and transfer scheme</v>
      </c>
      <c r="AA17" s="481" t="str">
        <f>'3A'!$B$28</f>
        <v>Outperformance payment for Elsham treatment works and transfer scheme</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External Sewer Flooding</v>
      </c>
      <c r="AQ17" s="481" t="str">
        <f>'3B'!$B$16</f>
        <v>Bathing Waters Attaining Excellent Status</v>
      </c>
      <c r="AR17" s="481" t="str">
        <f>'3B'!$B$17</f>
        <v>Water Industry National Environment Programme</v>
      </c>
      <c r="AS17" s="481" t="str">
        <f>'3B'!$B$18</f>
        <v>Partnership working on pluvial and fluvial flood risk</v>
      </c>
      <c r="AT17" s="481" t="str">
        <f>'3B'!$B$19</f>
        <v>Additional sludge treatment capacity at Whitlingham</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c r="A19" s="431"/>
      <c r="B19" s="431"/>
      <c r="C19" s="431"/>
      <c r="D19" s="431"/>
      <c r="E19" s="431" t="s">
        <v>2035</v>
      </c>
      <c r="F19" s="431"/>
      <c r="G19" s="431" t="s">
        <v>461</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c r="A20" s="431"/>
      <c r="B20" s="431"/>
      <c r="C20" s="431"/>
      <c r="D20" s="431"/>
      <c r="E20" s="431" t="s">
        <v>2036</v>
      </c>
      <c r="F20" s="431"/>
      <c r="G20" s="431" t="s">
        <v>461</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c r="A22" s="431"/>
      <c r="B22" s="431"/>
      <c r="C22" s="431"/>
      <c r="D22" s="441" t="s">
        <v>2037</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c r="A23" s="431"/>
      <c r="B23" s="431"/>
      <c r="C23" s="431"/>
      <c r="D23" s="431"/>
      <c r="E23" s="431" t="s">
        <v>2038</v>
      </c>
      <c r="F23" s="431"/>
      <c r="G23" s="431" t="str">
        <f>InpCompany!$F$11</f>
        <v>£m (2017-18 prices)</v>
      </c>
      <c r="H23" s="431"/>
      <c r="I23" s="431"/>
      <c r="J23" s="2262"/>
      <c r="K23" s="2262"/>
      <c r="L23" s="2262"/>
      <c r="M23" s="2262"/>
      <c r="N23" s="2262"/>
      <c r="O23" s="2262"/>
      <c r="P23" s="2262"/>
      <c r="Q23" s="2263"/>
      <c r="R23" s="2262"/>
      <c r="S23" s="2262"/>
      <c r="T23" s="2262"/>
      <c r="U23" s="2262"/>
      <c r="V23" s="2262"/>
      <c r="W23" s="2262"/>
      <c r="X23" s="2262"/>
      <c r="Y23" s="2262"/>
      <c r="Z23" s="2262"/>
      <c r="AA23" s="2262">
        <v>0</v>
      </c>
      <c r="AB23" s="2262"/>
      <c r="AC23" s="2262"/>
      <c r="AD23" s="2262"/>
      <c r="AE23" s="2262"/>
      <c r="AF23" s="2262"/>
      <c r="AG23" s="2262"/>
      <c r="AH23" s="2262"/>
      <c r="AI23" s="2262"/>
      <c r="AJ23" s="2262"/>
      <c r="AK23" s="2263"/>
      <c r="AL23" s="2262"/>
      <c r="AM23" s="2262"/>
      <c r="AN23" s="2262"/>
      <c r="AO23" s="2263"/>
      <c r="AP23" s="2262"/>
      <c r="AQ23" s="2262"/>
      <c r="AR23" s="2262"/>
      <c r="AS23" s="2262"/>
      <c r="AT23" s="2262"/>
      <c r="AU23" s="2262"/>
      <c r="AV23" s="2262"/>
      <c r="AW23" s="2262"/>
      <c r="AX23" s="2262"/>
      <c r="AY23" s="2262"/>
      <c r="AZ23" s="2262"/>
      <c r="BA23" s="2262"/>
      <c r="BB23" s="2262"/>
      <c r="BC23" s="2263"/>
      <c r="BD23" s="1164"/>
      <c r="BE23" s="1164"/>
      <c r="BF23" s="1164"/>
      <c r="BG23" s="1164"/>
      <c r="BH23" s="1164"/>
      <c r="BI23" s="1164"/>
      <c r="BJ23" s="1164"/>
      <c r="BK23" s="1164"/>
      <c r="BL23" s="1164"/>
      <c r="BM23" s="1164"/>
      <c r="BN23" s="1164"/>
      <c r="BO23" s="1164"/>
      <c r="BP23" s="1164"/>
      <c r="BQ23" s="1164"/>
      <c r="BR23" s="1164"/>
      <c r="BS23" s="1164"/>
    </row>
    <row r="24" spans="1:71" s="195" customFormat="1">
      <c r="A24" s="431"/>
      <c r="B24" s="431"/>
      <c r="C24" s="431"/>
      <c r="D24" s="431"/>
      <c r="E24" s="431" t="s">
        <v>2039</v>
      </c>
      <c r="F24" s="431"/>
      <c r="G24" s="431" t="str">
        <f>InpCompany!$F$11</f>
        <v>£m (2017-18 prices)</v>
      </c>
      <c r="H24" s="431"/>
      <c r="I24" s="431"/>
      <c r="J24" s="2262"/>
      <c r="K24" s="2262"/>
      <c r="L24" s="2262"/>
      <c r="M24" s="2262"/>
      <c r="N24" s="2262"/>
      <c r="O24" s="2262"/>
      <c r="P24" s="2262"/>
      <c r="Q24" s="2263"/>
      <c r="R24" s="2262"/>
      <c r="S24" s="2262"/>
      <c r="T24" s="2262"/>
      <c r="U24" s="2262"/>
      <c r="V24" s="2262"/>
      <c r="W24" s="2262"/>
      <c r="X24" s="2262"/>
      <c r="Y24" s="2262"/>
      <c r="Z24" s="2262"/>
      <c r="AA24" s="2262"/>
      <c r="AB24" s="2262"/>
      <c r="AC24" s="2262"/>
      <c r="AD24" s="2262"/>
      <c r="AE24" s="2262"/>
      <c r="AF24" s="2262"/>
      <c r="AG24" s="2262"/>
      <c r="AH24" s="2262"/>
      <c r="AI24" s="2262"/>
      <c r="AJ24" s="2262"/>
      <c r="AK24" s="2263"/>
      <c r="AL24" s="2262"/>
      <c r="AM24" s="2262"/>
      <c r="AN24" s="2262"/>
      <c r="AO24" s="2263"/>
      <c r="AP24" s="2262"/>
      <c r="AQ24" s="2262"/>
      <c r="AR24" s="2262"/>
      <c r="AS24" s="2262"/>
      <c r="AT24" s="2262"/>
      <c r="AU24" s="2262"/>
      <c r="AV24" s="2262"/>
      <c r="AW24" s="2262"/>
      <c r="AX24" s="2262"/>
      <c r="AY24" s="2262"/>
      <c r="AZ24" s="2262"/>
      <c r="BA24" s="2262"/>
      <c r="BB24" s="2262"/>
      <c r="BC24" s="2263"/>
      <c r="BD24" s="1164"/>
      <c r="BE24" s="1164"/>
      <c r="BF24" s="1164"/>
      <c r="BG24" s="1164"/>
      <c r="BH24" s="1164"/>
      <c r="BI24" s="1164"/>
      <c r="BJ24" s="1164"/>
      <c r="BK24" s="1164"/>
      <c r="BL24" s="1164"/>
      <c r="BM24" s="1164"/>
      <c r="BN24" s="1164"/>
      <c r="BO24" s="1164"/>
      <c r="BP24" s="1164"/>
      <c r="BQ24" s="1164"/>
      <c r="BR24" s="1164"/>
      <c r="BS24" s="1164"/>
    </row>
    <row r="25" spans="1:71" s="195" customFormat="1">
      <c r="A25" s="431"/>
      <c r="B25" s="431"/>
      <c r="C25" s="431"/>
      <c r="D25" s="431"/>
      <c r="E25" s="431" t="s">
        <v>2040</v>
      </c>
      <c r="F25" s="431"/>
      <c r="G25" s="431" t="str">
        <f>InpCompany!$F$11</f>
        <v>£m (2017-18 prices)</v>
      </c>
      <c r="H25" s="431"/>
      <c r="I25" s="431"/>
      <c r="J25" s="2262"/>
      <c r="K25" s="2262"/>
      <c r="L25" s="2262"/>
      <c r="M25" s="2262"/>
      <c r="N25" s="2262"/>
      <c r="O25" s="2262"/>
      <c r="P25" s="2262"/>
      <c r="Q25" s="2263"/>
      <c r="R25" s="2262"/>
      <c r="S25" s="2262"/>
      <c r="T25" s="2262"/>
      <c r="U25" s="2262"/>
      <c r="V25" s="2262"/>
      <c r="W25" s="2262"/>
      <c r="X25" s="2262"/>
      <c r="Y25" s="2262"/>
      <c r="Z25" s="2262"/>
      <c r="AA25" s="2262"/>
      <c r="AB25" s="2262"/>
      <c r="AC25" s="2262"/>
      <c r="AD25" s="2262"/>
      <c r="AE25" s="2262"/>
      <c r="AF25" s="2262"/>
      <c r="AG25" s="2262"/>
      <c r="AH25" s="2262"/>
      <c r="AI25" s="2262"/>
      <c r="AJ25" s="2262"/>
      <c r="AK25" s="2263"/>
      <c r="AL25" s="2262"/>
      <c r="AM25" s="2262"/>
      <c r="AN25" s="2262"/>
      <c r="AO25" s="2263"/>
      <c r="AP25" s="2262"/>
      <c r="AQ25" s="2262"/>
      <c r="AR25" s="2262"/>
      <c r="AS25" s="2262"/>
      <c r="AT25" s="2262"/>
      <c r="AU25" s="2262"/>
      <c r="AV25" s="2262"/>
      <c r="AW25" s="2262"/>
      <c r="AX25" s="2262"/>
      <c r="AY25" s="2262"/>
      <c r="AZ25" s="2262"/>
      <c r="BA25" s="2262"/>
      <c r="BB25" s="2262"/>
      <c r="BC25" s="2263"/>
      <c r="BD25" s="1164"/>
      <c r="BE25" s="1164"/>
      <c r="BF25" s="1164"/>
      <c r="BG25" s="1164"/>
      <c r="BH25" s="1164"/>
      <c r="BI25" s="1164"/>
      <c r="BJ25" s="1164"/>
      <c r="BK25" s="1164"/>
      <c r="BL25" s="1164"/>
      <c r="BM25" s="1164"/>
      <c r="BN25" s="1164"/>
      <c r="BO25" s="1164"/>
      <c r="BP25" s="1164"/>
      <c r="BQ25" s="1164"/>
      <c r="BR25" s="1164"/>
      <c r="BS25" s="1164"/>
    </row>
    <row r="26" spans="1:71" s="195" customFormat="1">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c r="A27" s="431"/>
      <c r="B27" s="431"/>
      <c r="C27" s="431"/>
      <c r="D27" s="431"/>
      <c r="E27" s="431" t="s">
        <v>2041</v>
      </c>
      <c r="F27" s="431"/>
      <c r="G27" s="431" t="str">
        <f>InpCompany!$F$11</f>
        <v>£m (2017-18 prices)</v>
      </c>
      <c r="H27" s="431"/>
      <c r="I27" s="431"/>
      <c r="J27" s="2262"/>
      <c r="K27" s="2262"/>
      <c r="L27" s="2262">
        <v>-16.940000000000001</v>
      </c>
      <c r="M27" s="2262"/>
      <c r="N27" s="2262"/>
      <c r="O27" s="2262"/>
      <c r="P27" s="2262"/>
      <c r="Q27" s="2263"/>
      <c r="R27" s="2262"/>
      <c r="S27" s="2262"/>
      <c r="T27" s="2262">
        <v>-8.7999999999999995E-2</v>
      </c>
      <c r="U27" s="2262"/>
      <c r="V27" s="2262"/>
      <c r="W27" s="2262"/>
      <c r="X27" s="2262">
        <v>0</v>
      </c>
      <c r="Y27" s="2262"/>
      <c r="Z27" s="2262">
        <v>0</v>
      </c>
      <c r="AA27" s="2262"/>
      <c r="AB27" s="2262"/>
      <c r="AC27" s="2262"/>
      <c r="AD27" s="2262"/>
      <c r="AE27" s="2262"/>
      <c r="AF27" s="2262"/>
      <c r="AG27" s="2262"/>
      <c r="AH27" s="2262"/>
      <c r="AI27" s="2262"/>
      <c r="AJ27" s="2262"/>
      <c r="AK27" s="2263"/>
      <c r="AL27" s="2262"/>
      <c r="AM27" s="2262"/>
      <c r="AN27" s="2262"/>
      <c r="AO27" s="2263"/>
      <c r="AP27" s="2262"/>
      <c r="AQ27" s="2262"/>
      <c r="AR27" s="2262">
        <v>0</v>
      </c>
      <c r="AS27" s="2262"/>
      <c r="AT27" s="2262"/>
      <c r="AU27" s="2262"/>
      <c r="AV27" s="2262"/>
      <c r="AW27" s="2262"/>
      <c r="AX27" s="2262"/>
      <c r="AY27" s="2262"/>
      <c r="AZ27" s="2262"/>
      <c r="BA27" s="2262"/>
      <c r="BB27" s="2262"/>
      <c r="BC27" s="2263"/>
      <c r="BD27" s="1164"/>
      <c r="BE27" s="1164"/>
      <c r="BF27" s="1164"/>
      <c r="BG27" s="1164"/>
      <c r="BH27" s="1164"/>
      <c r="BI27" s="1164"/>
      <c r="BJ27" s="1164"/>
      <c r="BK27" s="1164"/>
      <c r="BL27" s="1164"/>
      <c r="BM27" s="1164"/>
      <c r="BN27" s="1164"/>
      <c r="BO27" s="1164"/>
      <c r="BP27" s="1164"/>
      <c r="BQ27" s="1164"/>
      <c r="BR27" s="1164"/>
      <c r="BS27" s="1164"/>
    </row>
    <row r="28" spans="1:71" s="195" customFormat="1">
      <c r="A28" s="431"/>
      <c r="B28" s="431"/>
      <c r="C28" s="431"/>
      <c r="D28" s="431"/>
      <c r="E28" s="431" t="s">
        <v>2042</v>
      </c>
      <c r="F28" s="431"/>
      <c r="G28" s="431" t="str">
        <f>InpCompany!$F$11</f>
        <v>£m (2017-18 prices)</v>
      </c>
      <c r="H28" s="431"/>
      <c r="I28" s="431"/>
      <c r="J28" s="2262"/>
      <c r="K28" s="2262"/>
      <c r="L28" s="2262"/>
      <c r="M28" s="2262"/>
      <c r="N28" s="2262"/>
      <c r="O28" s="2262"/>
      <c r="P28" s="2262"/>
      <c r="Q28" s="2263"/>
      <c r="R28" s="2262"/>
      <c r="S28" s="2262"/>
      <c r="T28" s="2262"/>
      <c r="U28" s="2262"/>
      <c r="V28" s="2262"/>
      <c r="W28" s="2262"/>
      <c r="X28" s="2262"/>
      <c r="Y28" s="2262"/>
      <c r="Z28" s="2262"/>
      <c r="AA28" s="2262"/>
      <c r="AB28" s="2262"/>
      <c r="AC28" s="2262"/>
      <c r="AD28" s="2262"/>
      <c r="AE28" s="2262"/>
      <c r="AF28" s="2262"/>
      <c r="AG28" s="2262"/>
      <c r="AH28" s="2262"/>
      <c r="AI28" s="2262"/>
      <c r="AJ28" s="2262"/>
      <c r="AK28" s="2263"/>
      <c r="AL28" s="2262"/>
      <c r="AM28" s="2262"/>
      <c r="AN28" s="2262"/>
      <c r="AO28" s="2263"/>
      <c r="AP28" s="2262"/>
      <c r="AQ28" s="2262"/>
      <c r="AR28" s="2262"/>
      <c r="AS28" s="2262"/>
      <c r="AT28" s="2262"/>
      <c r="AU28" s="2262"/>
      <c r="AV28" s="2262"/>
      <c r="AW28" s="2262"/>
      <c r="AX28" s="2262"/>
      <c r="AY28" s="2262"/>
      <c r="AZ28" s="2262"/>
      <c r="BA28" s="2262"/>
      <c r="BB28" s="2262"/>
      <c r="BC28" s="2263"/>
      <c r="BD28" s="1164"/>
      <c r="BE28" s="1164"/>
      <c r="BF28" s="1164"/>
      <c r="BG28" s="1164"/>
      <c r="BH28" s="1164"/>
      <c r="BI28" s="1164"/>
      <c r="BJ28" s="1164"/>
      <c r="BK28" s="1164"/>
      <c r="BL28" s="1164"/>
      <c r="BM28" s="1164"/>
      <c r="BN28" s="1164"/>
      <c r="BO28" s="1164"/>
      <c r="BP28" s="1164"/>
      <c r="BQ28" s="1164"/>
      <c r="BR28" s="1164"/>
      <c r="BS28" s="1164"/>
    </row>
    <row r="29" spans="1:71" s="195" customFormat="1">
      <c r="A29" s="431"/>
      <c r="B29" s="431"/>
      <c r="C29" s="431"/>
      <c r="D29" s="431"/>
      <c r="E29" s="431" t="s">
        <v>2043</v>
      </c>
      <c r="F29" s="431"/>
      <c r="G29" s="431" t="str">
        <f>InpCompany!$F$11</f>
        <v>£m (2017-18 prices)</v>
      </c>
      <c r="H29" s="431"/>
      <c r="I29" s="431"/>
      <c r="J29" s="2262"/>
      <c r="K29" s="2262"/>
      <c r="L29" s="2262"/>
      <c r="M29" s="2262"/>
      <c r="N29" s="2262"/>
      <c r="O29" s="2262"/>
      <c r="P29" s="2262"/>
      <c r="Q29" s="2263"/>
      <c r="R29" s="2262"/>
      <c r="S29" s="2262"/>
      <c r="T29" s="2262"/>
      <c r="U29" s="2262"/>
      <c r="V29" s="2262"/>
      <c r="W29" s="2262"/>
      <c r="X29" s="2262"/>
      <c r="Y29" s="2262"/>
      <c r="Z29" s="2262"/>
      <c r="AA29" s="2262"/>
      <c r="AB29" s="2262"/>
      <c r="AC29" s="2262"/>
      <c r="AD29" s="2262"/>
      <c r="AE29" s="2262"/>
      <c r="AF29" s="2262"/>
      <c r="AG29" s="2262"/>
      <c r="AH29" s="2262"/>
      <c r="AI29" s="2262"/>
      <c r="AJ29" s="2262"/>
      <c r="AK29" s="2263"/>
      <c r="AL29" s="2262"/>
      <c r="AM29" s="2262"/>
      <c r="AN29" s="2262"/>
      <c r="AO29" s="2263"/>
      <c r="AP29" s="2262"/>
      <c r="AQ29" s="2262"/>
      <c r="AR29" s="2262"/>
      <c r="AS29" s="2262"/>
      <c r="AT29" s="2262"/>
      <c r="AU29" s="2262"/>
      <c r="AV29" s="2262"/>
      <c r="AW29" s="2262"/>
      <c r="AX29" s="2262"/>
      <c r="AY29" s="2262"/>
      <c r="AZ29" s="2262"/>
      <c r="BA29" s="2262"/>
      <c r="BB29" s="2262"/>
      <c r="BC29" s="2263"/>
      <c r="BD29" s="1164"/>
      <c r="BE29" s="1164"/>
      <c r="BF29" s="1164"/>
      <c r="BG29" s="1164"/>
      <c r="BH29" s="1164"/>
      <c r="BI29" s="1164"/>
      <c r="BJ29" s="1164"/>
      <c r="BK29" s="1164"/>
      <c r="BL29" s="1164"/>
      <c r="BM29" s="1164"/>
      <c r="BN29" s="1164"/>
      <c r="BO29" s="1164"/>
      <c r="BP29" s="1164"/>
      <c r="BQ29" s="1164"/>
      <c r="BR29" s="1164"/>
      <c r="BS29" s="1164"/>
    </row>
    <row r="30" spans="1:71" s="195" customFormat="1">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c r="A31" s="431"/>
      <c r="B31" s="431"/>
      <c r="C31" s="431"/>
      <c r="D31" s="431"/>
      <c r="E31" s="431" t="s">
        <v>2028</v>
      </c>
      <c r="F31" s="431"/>
      <c r="G31" s="431" t="s">
        <v>155</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v>
      </c>
      <c r="S31" s="486" t="str">
        <f t="shared" si="1"/>
        <v>nr</v>
      </c>
      <c r="T31" s="486" t="str">
        <f t="shared" si="1"/>
        <v>nr</v>
      </c>
      <c r="U31" s="486" t="str">
        <f t="shared" si="1"/>
        <v>%</v>
      </c>
      <c r="V31" s="486" t="str">
        <f t="shared" si="1"/>
        <v>nr</v>
      </c>
      <c r="W31" s="486" t="str">
        <f t="shared" si="1"/>
        <v>nr</v>
      </c>
      <c r="X31" s="486" t="str">
        <f t="shared" si="1"/>
        <v>nr</v>
      </c>
      <c r="Y31" s="486" t="str">
        <f t="shared" si="1"/>
        <v xml:space="preserve">% </v>
      </c>
      <c r="Z31" s="486" t="str">
        <f t="shared" si="1"/>
        <v>text</v>
      </c>
      <c r="AA31" s="486" t="str">
        <f t="shared" si="1"/>
        <v>text</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number</v>
      </c>
      <c r="AT31" s="486" t="str">
        <f t="shared" si="2"/>
        <v>%</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c r="A33" s="431"/>
      <c r="B33" s="431"/>
      <c r="C33" s="431"/>
      <c r="D33" s="431"/>
      <c r="E33" s="431" t="s">
        <v>1803</v>
      </c>
      <c r="F33" s="431"/>
      <c r="G33" s="431" t="s">
        <v>2007</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RCV</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c r="A34" s="431"/>
      <c r="B34" s="431"/>
      <c r="C34" s="431"/>
      <c r="D34" s="431"/>
      <c r="E34" s="431" t="s">
        <v>1804</v>
      </c>
      <c r="F34" s="431"/>
      <c r="G34" s="431" t="s">
        <v>2007</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End of period</v>
      </c>
      <c r="X34" s="491" t="str">
        <f t="shared" si="7"/>
        <v>End of period</v>
      </c>
      <c r="Y34" s="491" t="str">
        <f t="shared" si="7"/>
        <v>End of period</v>
      </c>
      <c r="Z34" s="491" t="str">
        <f t="shared" si="7"/>
        <v>End of period</v>
      </c>
      <c r="AA34" s="491" t="str">
        <f t="shared" si="7"/>
        <v>End of 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End of period</v>
      </c>
      <c r="AR34" s="491" t="str">
        <f t="shared" si="8"/>
        <v>In-period</v>
      </c>
      <c r="AS34" s="491" t="str">
        <f t="shared" si="8"/>
        <v>End of period</v>
      </c>
      <c r="AT34" s="491" t="str">
        <f t="shared" si="8"/>
        <v>End of period</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c r="A36" s="431"/>
      <c r="B36" s="431"/>
      <c r="C36" s="431"/>
      <c r="D36" s="431"/>
      <c r="E36" s="431" t="s">
        <v>2044</v>
      </c>
      <c r="F36" s="431"/>
      <c r="G36" s="431" t="s">
        <v>461</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c r="A38" s="431"/>
      <c r="B38" s="431"/>
      <c r="C38" s="431"/>
      <c r="D38" s="431"/>
      <c r="E38" s="431" t="s">
        <v>2045</v>
      </c>
      <c r="F38" s="431"/>
      <c r="G38" s="431" t="s">
        <v>2046</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Down</v>
      </c>
      <c r="V38" s="491" t="str">
        <f t="shared" si="10"/>
        <v>Down</v>
      </c>
      <c r="W38" s="491" t="str">
        <f t="shared" si="10"/>
        <v>Up</v>
      </c>
      <c r="X38" s="491" t="str">
        <f t="shared" si="10"/>
        <v>Up</v>
      </c>
      <c r="Y38" s="491" t="str">
        <f t="shared" si="10"/>
        <v>Up</v>
      </c>
      <c r="Z38" s="491" t="str">
        <f t="shared" si="10"/>
        <v>TBC</v>
      </c>
      <c r="AA38" s="491" t="str">
        <f t="shared" si="10"/>
        <v>TBC</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Up</v>
      </c>
      <c r="AR38" s="491" t="str">
        <f t="shared" si="11"/>
        <v>Up</v>
      </c>
      <c r="AS38" s="491" t="str">
        <f t="shared" si="11"/>
        <v>Up</v>
      </c>
      <c r="AT38" s="491" t="str">
        <f t="shared" si="11"/>
        <v>Up</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c r="A40" s="431"/>
      <c r="B40" s="431"/>
      <c r="C40" s="431"/>
      <c r="D40" s="431"/>
      <c r="E40" s="431" t="s">
        <v>156</v>
      </c>
      <c r="F40" s="431"/>
      <c r="G40" s="431" t="s">
        <v>439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1</v>
      </c>
      <c r="S40" s="491">
        <f t="shared" si="13"/>
        <v>0</v>
      </c>
      <c r="T40" s="491">
        <f t="shared" si="13"/>
        <v>0</v>
      </c>
      <c r="U40" s="491">
        <f t="shared" si="13"/>
        <v>2</v>
      </c>
      <c r="V40" s="491">
        <f t="shared" si="13"/>
        <v>2</v>
      </c>
      <c r="W40" s="491">
        <f t="shared" si="13"/>
        <v>0</v>
      </c>
      <c r="X40" s="491">
        <f t="shared" si="13"/>
        <v>1</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0</v>
      </c>
      <c r="AT40" s="491">
        <f t="shared" si="14"/>
        <v>1</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c r="A42" s="431"/>
      <c r="B42" s="431"/>
      <c r="C42" s="431"/>
      <c r="D42" s="441" t="s">
        <v>2047</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c r="A43" s="431"/>
      <c r="B43" s="431"/>
      <c r="C43" s="431"/>
      <c r="D43" s="431"/>
      <c r="E43" s="431" t="s">
        <v>1809</v>
      </c>
      <c r="F43" s="431"/>
      <c r="G43" s="431" t="s">
        <v>2028</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1.689814814814815E-3</v>
      </c>
      <c r="L43" s="1215" t="str">
        <f>IF(L$16="","",IF(INDEX(App1bdata,MATCH(L$16,App1bIDnrs,0),VLOOKUP(InpCompany!$F$8,ProfileInps,2,0))="","",INDEX(App1bdata,MATCH(L$16,App1bIDnrs,0),VLOOKUP(InpCompany!$F$8,ProfileInps,2,0))))</f>
        <v>*</v>
      </c>
      <c r="M43" s="1215" t="str">
        <f>IF(M$16="","",IF(INDEX(App1bdata,MATCH(M$16,App1bIDnrs,0),VLOOKUP(InpCompany!$F$8,ProfileInps,2,0))="","",INDEX(App1bdata,MATCH(M$16,App1bIDnrs,0),VLOOKUP(InpCompany!$F$8,ProfileInps,2,0))))</f>
        <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1.01</v>
      </c>
      <c r="AM43" s="494">
        <f>IF(AM$16="","",IF(INDEX(App1bdata,MATCH(AM$16,App1bIDnrs,0),VLOOKUP(InpCompany!$F$8,ProfileInps,2,0))="","",INDEX(App1bdata,MATCH(AM$16,App1bIDnrs,0),VLOOKUP(InpCompany!$F$8,ProfileInps,2,0))))</f>
        <v>4.5</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2092</v>
      </c>
      <c r="AQ43" s="494">
        <f>IF(AQ$16="","",IF(INDEX(App1data,MATCH(AQ$16,App1IDnrs,0),VLOOKUP(InpCompany!$F$8,ProfileInps,2,0))="","",INDEX(App1data,MATCH(AQ$16,App1IDnrs,0),VLOOKUP(InpCompany!$F$8,ProfileInps,2,0))))</f>
        <v>41</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c r="A44" s="431"/>
      <c r="B44" s="431"/>
      <c r="C44" s="431"/>
      <c r="D44" s="431"/>
      <c r="E44" s="431" t="s">
        <v>1810</v>
      </c>
      <c r="F44" s="431"/>
      <c r="G44" s="431" t="s">
        <v>2028</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c r="A45" s="431"/>
      <c r="B45" s="431"/>
      <c r="C45" s="431"/>
      <c r="D45" s="431"/>
      <c r="E45" s="431" t="s">
        <v>1811</v>
      </c>
      <c r="F45" s="431"/>
      <c r="G45" s="431" t="s">
        <v>2028</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16.399999999999999</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5.6</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132.30000000000001</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14.1</v>
      </c>
      <c r="S45" s="494">
        <f>IF(S$16="","",IF(INDEX(App1data,MATCH(S$16,App1IDnrs,0),VLOOKUP(InpCompany!$F$8,ProfileInps,4,0))="","",INDEX(App1data,MATCH(S$16,App1IDnrs,0),VLOOKUP(InpCompany!$F$8,ProfileInps,4,0))))</f>
        <v>106</v>
      </c>
      <c r="T45" s="494" t="str">
        <f>IF(T$16="","",IF(INDEX(App1data,MATCH(T$16,App1IDnrs,0),VLOOKUP(InpCompany!$F$8,ProfileInps,4,0))="","",INDEX(App1data,MATCH(T$16,App1IDnrs,0),VLOOKUP(InpCompany!$F$8,ProfileInps,4,0))))</f>
        <v/>
      </c>
      <c r="U45" s="494">
        <f>IF(U$16="","",IF(INDEX(App1data,MATCH(U$16,App1IDnrs,0),VLOOKUP(InpCompany!$F$8,ProfileInps,4,0))="","",INDEX(App1data,MATCH(U$16,App1IDnrs,0),VLOOKUP(InpCompany!$F$8,ProfileInps,4,0))))</f>
        <v>0.25</v>
      </c>
      <c r="V45" s="494">
        <f>IF(V$16="","",IF(INDEX(App1data,MATCH(V$16,App1IDnrs,0),VLOOKUP(InpCompany!$F$8,ProfileInps,4,0))="","",INDEX(App1data,MATCH(V$16,App1IDnrs,0),VLOOKUP(InpCompany!$F$8,ProfileInps,4,0))))</f>
        <v>0.77</v>
      </c>
      <c r="W45" s="494">
        <f>IF(W$16="","",IF(INDEX(App1data,MATCH(W$16,App1IDnrs,0),VLOOKUP(InpCompany!$F$8,ProfileInps,4,0))="","",INDEX(App1data,MATCH(W$16,App1IDnrs,0),VLOOKUP(InpCompany!$F$8,ProfileInps,4,0))))</f>
        <v>1096397</v>
      </c>
      <c r="X45" s="494">
        <f>IF(X$16="","",IF(INDEX(App1data,MATCH(X$16,App1IDnrs,0),VLOOKUP(InpCompany!$F$8,ProfileInps,4,0))="","",INDEX(App1data,MATCH(X$16,App1IDnrs,0),VLOOKUP(InpCompany!$F$8,ProfileInps,4,0))))</f>
        <v>469.4</v>
      </c>
      <c r="Y45" s="494">
        <f>IF(Y$16="","",IF(INDEX(App1data,MATCH(Y$16,App1IDnrs,0),VLOOKUP(InpCompany!$F$8,ProfileInps,4,0))="","",INDEX(App1data,MATCH(Y$16,App1IDnrs,0),VLOOKUP(InpCompany!$F$8,ProfileInps,4,0))))</f>
        <v>100</v>
      </c>
      <c r="Z45" s="494" t="str">
        <f>IF(Z$16="","",IF(INDEX(App1data,MATCH(Z$16,App1IDnrs,0),VLOOKUP(InpCompany!$F$8,ProfileInps,4,0))="","",INDEX(App1data,MATCH(Z$16,App1IDnrs,0),VLOOKUP(InpCompany!$F$8,ProfileInps,4,0))))</f>
        <v>TBA</v>
      </c>
      <c r="AA45" s="494" t="str">
        <f>IF(AA$16="","",IF(INDEX(App1data,MATCH(AA$16,App1IDnrs,0),VLOOKUP(InpCompany!$F$8,ProfileInps,4,0))="","",INDEX(App1data,MATCH(AA$16,App1IDnrs,0),VLOOKUP(InpCompany!$F$8,ProfileInps,4,0))))</f>
        <v>TBA</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5.5</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3991</v>
      </c>
      <c r="AQ45" s="494">
        <f>IF(AQ$16="","",IF(INDEX(App1data,MATCH(AQ$16,App1IDnrs,0),VLOOKUP(InpCompany!$F$8,ProfileInps,4,0))="","",INDEX(App1data,MATCH(AQ$16,App1IDnrs,0),VLOOKUP(InpCompany!$F$8,ProfileInps,4,0))))</f>
        <v>36</v>
      </c>
      <c r="AR45" s="494">
        <f>IF(AR$16="","",IF(INDEX(App1data,MATCH(AR$16,App1IDnrs,0),VLOOKUP(InpCompany!$F$8,ProfileInps,4,0))="","",INDEX(App1data,MATCH(AR$16,App1IDnrs,0),VLOOKUP(InpCompany!$F$8,ProfileInps,4,0))))</f>
        <v>1856</v>
      </c>
      <c r="AS45" s="494">
        <f>IF(AS$16="","",IF(INDEX(App1data,MATCH(AS$16,App1IDnrs,0),VLOOKUP(InpCompany!$F$8,ProfileInps,4,0))="","",INDEX(App1data,MATCH(AS$16,App1IDnrs,0),VLOOKUP(InpCompany!$F$8,ProfileInps,4,0))))</f>
        <v>92</v>
      </c>
      <c r="AT45" s="494">
        <f>IF(AT$16="","",IF(INDEX(App1data,MATCH(AT$16,App1IDnrs,0),VLOOKUP(InpCompany!$F$8,ProfileInps,4,0))="","",INDEX(App1data,MATCH(AT$16,App1IDnrs,0),VLOOKUP(InpCompany!$F$8,ProfileInps,4,0))))</f>
        <v>100</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c r="A46" s="431"/>
      <c r="B46" s="431"/>
      <c r="C46" s="431"/>
      <c r="D46" s="431"/>
      <c r="E46" s="431" t="s">
        <v>1812</v>
      </c>
      <c r="F46" s="431"/>
      <c r="G46" s="431" t="s">
        <v>2028</v>
      </c>
      <c r="H46" s="431"/>
      <c r="I46" s="493"/>
      <c r="J46" s="494">
        <f>IF(J$16="","",IF(INDEX(App1bdata,MATCH(J$16,App1bIDnrs,0),VLOOKUP(InpCompany!$F$8,ProfileInps,5,0))="","",INDEX(App1bdata,MATCH(J$16,App1bIDnrs,0),VLOOKUP(InpCompany!$F$8,ProfileInps,5,0))))</f>
        <v>1.5</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f>IF(P$16="","",IF(INDEX(App1bdata,MATCH(P$16,App1bIDnrs,0),VLOOKUP(InpCompany!$F$8,ProfileInps,5,0))="","",INDEX(App1bdata,MATCH(P$16,App1bIDnrs,0),VLOOKUP(InpCompany!$F$8,ProfileInps,5,0))))</f>
        <v>142.30000000000001</v>
      </c>
      <c r="Q46" s="496">
        <f>IF(Q$16="","",IF(INDEX(App1bdata,MATCH(Q$16,App1bIDnrs,0),VLOOKUP(InpCompany!$F$8,ProfileInps,5,0))="","",INDEX(App1bdata,MATCH(Q$16,App1bIDnrs,0),VLOOKUP(InpCompany!$F$8,ProfileInps,5,0))))</f>
        <v>2.81</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c r="A47" s="431"/>
      <c r="B47" s="431"/>
      <c r="C47" s="431"/>
      <c r="D47" s="431"/>
      <c r="E47" s="431" t="s">
        <v>1813</v>
      </c>
      <c r="F47" s="431"/>
      <c r="G47" s="431" t="s">
        <v>2028</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0</v>
      </c>
      <c r="M47" s="1215" t="str">
        <f>IF(M$16="","",IF(INDEX(App1bdata,MATCH(M$16,App1bIDnrs,0),VLOOKUP(InpCompany!$F$8,ProfileInps,6,0))="","",INDEX(App1bdata,MATCH(M$16,App1bIDnrs,0),VLOOKUP(InpCompany!$F$8,ProfileInps,6,0))))</f>
        <v/>
      </c>
      <c r="N47" s="1215" t="str">
        <f>IF(N$16="","",IF(INDEX(App1bdata,MATCH(N$16,App1bIDnrs,0),VLOOKUP(InpCompany!$F$8,ProfileInps,6,0))="","",INDEX(App1bdata,MATCH(N$16,App1bIDnrs,0),VLOOKUP(InpCompany!$F$8,ProfileInps,6,0))))</f>
        <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5.22</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f>IF(U$16="","",IF(INDEX(App1data,MATCH(U$16,App1IDnrs,0),VLOOKUP(InpCompany!$F$8,ProfileInps,6,0))="","",INDEX(App1data,MATCH(U$16,App1IDnrs,0),VLOOKUP(InpCompany!$F$8,ProfileInps,6,0))))</f>
        <v>0.5</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3.35</v>
      </c>
      <c r="AM47" s="494">
        <f>IF(AM$16="","",IF(INDEX(App1bdata,MATCH(AM$16,App1bIDnrs,0),VLOOKUP(InpCompany!$F$8,ProfileInps,6,0))="","",INDEX(App1bdata,MATCH(AM$16,App1bIDnrs,0),VLOOKUP(InpCompany!$F$8,ProfileInps,6,0))))</f>
        <v>41.6</v>
      </c>
      <c r="AN47" s="494">
        <f>IF(AN$16="","",IF(INDEX(App1bdata,MATCH(AN$16,App1bIDnrs,0),VLOOKUP(InpCompany!$F$8,ProfileInps,6,0))="","",INDEX(App1bdata,MATCH(AN$16,App1bIDnrs,0),VLOOKUP(InpCompany!$F$8,ProfileInps,6,0))))</f>
        <v>7.76</v>
      </c>
      <c r="AO47" s="496">
        <f>IF(AO$16="","",IF(INDEX(App1bdata,MATCH(AO$16,App1bIDnrs,0),VLOOKUP(InpCompany!$F$8,ProfileInps,6,0))="","",INDEX(App1bdata,MATCH(AO$16,App1bIDnrs,0),VLOOKUP(InpCompany!$F$8,ProfileInps,6,0))))</f>
        <v>95.4</v>
      </c>
      <c r="AP47" s="494">
        <f>IF(AP$16="","",IF(INDEX(App1data,MATCH(AP$16,App1IDnrs,0),VLOOKUP(InpCompany!$F$8,ProfileInps,6,0))="","",INDEX(App1data,MATCH(AP$16,App1IDnrs,0),VLOOKUP(InpCompany!$F$8,ProfileInps,6,0))))</f>
        <v>6287</v>
      </c>
      <c r="AQ47" s="494">
        <f>IF(AQ$16="","",IF(INDEX(App1data,MATCH(AQ$16,App1IDnrs,0),VLOOKUP(InpCompany!$F$8,ProfileInps,6,0))="","",INDEX(App1data,MATCH(AQ$16,App1IDnrs,0),VLOOKUP(InpCompany!$F$8,ProfileInps,6,0))))</f>
        <v>28</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c r="A49" s="431"/>
      <c r="B49" s="431"/>
      <c r="C49" s="431"/>
      <c r="D49" s="431"/>
      <c r="E49" s="431" t="s">
        <v>2048</v>
      </c>
      <c r="F49" s="431"/>
      <c r="G49" s="431" t="str">
        <f>"£m/unit ("&amp;InpCompany!$F$10&amp;" prices)"</f>
        <v>£m/unit (2017-18 prices)</v>
      </c>
      <c r="H49" s="431"/>
      <c r="I49" s="493"/>
      <c r="J49" s="497">
        <f t="shared" ref="J49:Q49" si="15">IF(J$16="","",IF(INDEX(App1bdata,MATCH(J$16,App1bIDnrs,0),101)="","",INDEX(App1bdata,MATCH(J$16,App1bIDnrs,0),101)))</f>
        <v>0</v>
      </c>
      <c r="K49" s="497">
        <f t="shared" si="15"/>
        <v>1.1459999999999999</v>
      </c>
      <c r="L49" s="497">
        <f t="shared" si="15"/>
        <v>0.219</v>
      </c>
      <c r="M49" s="497" t="str">
        <f t="shared" si="15"/>
        <v/>
      </c>
      <c r="N49" s="497">
        <f t="shared" si="15"/>
        <v>0.312</v>
      </c>
      <c r="O49" s="497" t="str">
        <f t="shared" si="15"/>
        <v/>
      </c>
      <c r="P49" s="497" t="str">
        <f t="shared" si="15"/>
        <v/>
      </c>
      <c r="Q49" s="498" t="str">
        <f t="shared" si="15"/>
        <v/>
      </c>
      <c r="R49" s="497">
        <f t="shared" ref="R49:AK49" si="16">IF(R$16="","",IF(INDEX(App1data,MATCH(R$16,App1IDnrs,0),101)="","",INDEX(App1data,MATCH(R$16,App1IDnrs,0),101)))</f>
        <v>0.42811700000000003</v>
      </c>
      <c r="S49" s="497">
        <f t="shared" si="16"/>
        <v>6.3400000000000001E-3</v>
      </c>
      <c r="T49" s="497" t="str">
        <f t="shared" si="16"/>
        <v/>
      </c>
      <c r="U49" s="497">
        <f t="shared" si="16"/>
        <v>4.7160000000000002</v>
      </c>
      <c r="V49" s="497">
        <f t="shared" si="16"/>
        <v>1.3380000000000001</v>
      </c>
      <c r="W49" s="497" t="str">
        <f t="shared" si="16"/>
        <v/>
      </c>
      <c r="X49" s="497" t="str">
        <f t="shared" si="16"/>
        <v/>
      </c>
      <c r="Y49" s="497" t="str">
        <f t="shared" si="16"/>
        <v/>
      </c>
      <c r="Z49" s="497" t="str">
        <f t="shared" si="16"/>
        <v/>
      </c>
      <c r="AA49" s="497">
        <f t="shared" si="16"/>
        <v>0.94</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10.994</v>
      </c>
      <c r="AM49" s="497">
        <f>IF(AM$16="","",IF(INDEX(App1bdata,MATCH(AM$16,App1bIDnrs,0),101)="","",INDEX(App1bdata,MATCH(AM$16,App1bIDnrs,0),101)))</f>
        <v>0.29499999999999998</v>
      </c>
      <c r="AN49" s="497" t="str">
        <f>IF(AN$16="","",IF(INDEX(App1bdata,MATCH(AN$16,App1bIDnrs,0),101)="","",INDEX(App1bdata,MATCH(AN$16,App1bIDnrs,0),101)))</f>
        <v/>
      </c>
      <c r="AO49" s="498" t="str">
        <f>IF(AO$16="","",IF(INDEX(App1bdata,MATCH(AO$16,App1bIDnrs,0),101)="","",INDEX(App1bdata,MATCH(AO$16,App1bIDnrs,0),101)))</f>
        <v/>
      </c>
      <c r="AP49" s="497">
        <f t="shared" ref="AP49:BC49" si="17">IF(AP$16="","",IF(INDEX(App1data,MATCH(AP$16,App1IDnrs,0),101)="","",INDEX(App1data,MATCH(AP$16,App1IDnrs,0),101)))</f>
        <v>4.1770000000000002E-3</v>
      </c>
      <c r="AQ49" s="497">
        <f t="shared" si="17"/>
        <v>0.1154</v>
      </c>
      <c r="AR49" s="497">
        <f t="shared" si="17"/>
        <v>1.4E-2</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c r="A50" s="431"/>
      <c r="B50" s="431"/>
      <c r="C50" s="431"/>
      <c r="D50" s="431"/>
      <c r="E50" s="431" t="s">
        <v>2049</v>
      </c>
      <c r="F50" s="431"/>
      <c r="G50" s="431" t="str">
        <f>"£m/unit ("&amp;InpCompany!$F$10&amp;" prices)"</f>
        <v>£m/unit (2017-18 prices)</v>
      </c>
      <c r="H50" s="431"/>
      <c r="I50" s="431"/>
      <c r="J50" s="497">
        <f t="shared" ref="J50:Q50" si="18">IF(J$16="","",IF(INDEX(App1bdata,MATCH(J$16,App1bIDnrs,0),97)="","",INDEX(App1bdata,MATCH(J$16,App1bIDnrs,0),97)))</f>
        <v>-0.78800000000000003</v>
      </c>
      <c r="K50" s="497">
        <f t="shared" si="18"/>
        <v>-1.1459999999999999</v>
      </c>
      <c r="L50" s="497">
        <f t="shared" si="18"/>
        <v>-0.36499999999999999</v>
      </c>
      <c r="M50" s="497" t="str">
        <f t="shared" si="18"/>
        <v/>
      </c>
      <c r="N50" s="497">
        <f t="shared" si="18"/>
        <v>-0.374</v>
      </c>
      <c r="O50" s="497" t="str">
        <f t="shared" si="18"/>
        <v/>
      </c>
      <c r="P50" s="497">
        <f t="shared" si="18"/>
        <v>-0.16500000000000001</v>
      </c>
      <c r="Q50" s="498">
        <f t="shared" si="18"/>
        <v>-1.3240000000000001</v>
      </c>
      <c r="R50" s="497" t="str">
        <f t="shared" ref="R50:AK50" si="19">IF(R$16="","",IF(INDEX(App1data,MATCH(R$16,App1IDnrs,0),97)="","",INDEX(App1data,MATCH(R$16,App1IDnrs,0),97)))</f>
        <v/>
      </c>
      <c r="S50" s="497">
        <f t="shared" si="19"/>
        <v>-1.2207000000000001E-2</v>
      </c>
      <c r="T50" s="497" t="str">
        <f t="shared" si="19"/>
        <v/>
      </c>
      <c r="U50" s="497">
        <f t="shared" si="19"/>
        <v>-4.7160000000000002</v>
      </c>
      <c r="V50" s="497">
        <f t="shared" si="19"/>
        <v>-2.6760000000000002</v>
      </c>
      <c r="W50" s="497">
        <f t="shared" si="19"/>
        <v>-3.0000000000000001E-5</v>
      </c>
      <c r="X50" s="497">
        <f t="shared" si="19"/>
        <v>-0.45900000000000002</v>
      </c>
      <c r="Y50" s="497">
        <f t="shared" si="19"/>
        <v>-6.4799999999999996E-2</v>
      </c>
      <c r="Z50" s="497">
        <f t="shared" si="19"/>
        <v>-0.47</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-10.944000000000001</v>
      </c>
      <c r="AM50" s="497">
        <f>IF(AM$16="","",IF(INDEX(App1bdata,MATCH(AM$16,App1bIDnrs,0),97)="","",INDEX(App1bdata,MATCH(AM$16,App1bIDnrs,0),97)))</f>
        <v>-0.44500000000000001</v>
      </c>
      <c r="AN50" s="497">
        <f>IF(AN$16="","",IF(INDEX(App1bdata,MATCH(AN$16,App1bIDnrs,0),97)="","",INDEX(App1bdata,MATCH(AN$16,App1bIDnrs,0),97)))</f>
        <v>-2.298</v>
      </c>
      <c r="AO50" s="498">
        <f>IF(AO$16="","",IF(INDEX(App1bdata,MATCH(AO$16,App1bIDnrs,0),97)="","",INDEX(App1bdata,MATCH(AO$16,App1bIDnrs,0),97)))</f>
        <v>-1.3480000000000001</v>
      </c>
      <c r="AP50" s="497">
        <f t="shared" ref="AP50:BC50" si="20">IF(AP$16="","",IF(INDEX(App1data,MATCH(AP$16,App1IDnrs,0),97)="","",INDEX(App1data,MATCH(AP$16,App1IDnrs,0),97)))</f>
        <v>-4.1770000000000002E-3</v>
      </c>
      <c r="AQ50" s="497">
        <f t="shared" si="20"/>
        <v>-0.2248</v>
      </c>
      <c r="AR50" s="497">
        <f t="shared" si="20"/>
        <v>-1.4E-2</v>
      </c>
      <c r="AS50" s="497">
        <f t="shared" si="20"/>
        <v>-5.9499999999999997E-2</v>
      </c>
      <c r="AT50" s="497">
        <f t="shared" si="20"/>
        <v>-4.7699999999999999E-2</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c r="A52" s="431"/>
      <c r="B52" s="431"/>
      <c r="C52" s="431"/>
      <c r="D52" s="441" t="s">
        <v>2050</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c r="A53" s="431"/>
      <c r="B53" s="431"/>
      <c r="C53" s="431"/>
      <c r="D53" s="431"/>
      <c r="E53" s="431" t="s">
        <v>2051</v>
      </c>
      <c r="F53" s="431"/>
      <c r="G53" s="431" t="s">
        <v>461</v>
      </c>
      <c r="H53" s="431"/>
      <c r="I53" s="431"/>
      <c r="J53" s="483" t="b">
        <v>0</v>
      </c>
      <c r="K53" s="483" t="b">
        <v>0</v>
      </c>
      <c r="L53" s="2188"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c r="A54" s="431"/>
      <c r="B54" s="431"/>
      <c r="C54" s="431"/>
      <c r="D54" s="431"/>
      <c r="E54" s="431" t="s">
        <v>2052</v>
      </c>
      <c r="F54" s="431"/>
      <c r="G54" s="431" t="s">
        <v>2053</v>
      </c>
      <c r="H54" s="431"/>
      <c r="I54" s="431"/>
      <c r="J54" s="483"/>
      <c r="K54" s="483"/>
      <c r="L54" s="2188"/>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c r="A56" s="431"/>
      <c r="B56" s="431"/>
      <c r="C56" s="431"/>
      <c r="D56" s="431"/>
      <c r="E56" s="431" t="s">
        <v>1814</v>
      </c>
      <c r="F56" s="431"/>
      <c r="G56" s="431" t="s">
        <v>2028</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c r="A57" s="431"/>
      <c r="B57" s="431"/>
      <c r="C57" s="431"/>
      <c r="D57" s="431"/>
      <c r="E57" s="431" t="s">
        <v>1815</v>
      </c>
      <c r="F57" s="431"/>
      <c r="G57" s="431" t="s">
        <v>2028</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-109.5</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c r="A59" s="431"/>
      <c r="B59" s="431"/>
      <c r="C59" s="431"/>
      <c r="D59" s="431"/>
      <c r="E59" s="431" t="s">
        <v>2054</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c r="A60" s="431"/>
      <c r="B60" s="431"/>
      <c r="C60" s="431"/>
      <c r="D60" s="431"/>
      <c r="E60" s="431" t="s">
        <v>2055</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c r="A62" s="431"/>
      <c r="B62" s="431"/>
      <c r="C62" s="431"/>
      <c r="D62" s="441" t="s">
        <v>2056</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c r="A63" s="431"/>
      <c r="B63" s="431"/>
      <c r="C63" s="431"/>
      <c r="D63" s="431"/>
      <c r="E63" s="431" t="s">
        <v>2057</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c r="A64" s="431"/>
      <c r="B64" s="431"/>
      <c r="C64" s="431"/>
      <c r="D64" s="431"/>
      <c r="E64" s="431" t="s">
        <v>2058</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c r="A65" s="431"/>
      <c r="B65" s="431"/>
      <c r="C65" s="431"/>
      <c r="D65" s="431"/>
      <c r="E65" s="431" t="s">
        <v>2059</v>
      </c>
      <c r="F65" s="431"/>
      <c r="G65" s="431" t="s">
        <v>461</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c r="A67" s="431"/>
      <c r="B67" s="451"/>
      <c r="C67" s="431"/>
      <c r="D67" s="441" t="s">
        <v>2060</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c r="A68" s="431"/>
      <c r="B68" s="431"/>
      <c r="C68" s="431"/>
      <c r="D68" s="431"/>
      <c r="E68" s="431" t="s">
        <v>2061</v>
      </c>
      <c r="F68" s="431"/>
      <c r="G68" s="431" t="s">
        <v>2016</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v>
      </c>
      <c r="T68" s="511">
        <f t="shared" si="28"/>
        <v>1</v>
      </c>
      <c r="U68" s="511">
        <f t="shared" si="28"/>
        <v>0</v>
      </c>
      <c r="V68" s="511">
        <f t="shared" si="28"/>
        <v>0</v>
      </c>
      <c r="W68" s="511">
        <f t="shared" si="28"/>
        <v>0</v>
      </c>
      <c r="X68" s="511">
        <f t="shared" si="28"/>
        <v>0.06</v>
      </c>
      <c r="Y68" s="511">
        <f t="shared" si="28"/>
        <v>0</v>
      </c>
      <c r="Z68" s="511">
        <f t="shared" si="28"/>
        <v>0</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0.15</v>
      </c>
      <c r="AS68" s="511">
        <f t="shared" si="29"/>
        <v>0</v>
      </c>
      <c r="AT68" s="511">
        <f t="shared" si="29"/>
        <v>0</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c r="A69" s="431"/>
      <c r="B69" s="431"/>
      <c r="C69" s="431"/>
      <c r="D69" s="431"/>
      <c r="E69" s="431" t="s">
        <v>2062</v>
      </c>
      <c r="F69" s="431"/>
      <c r="G69" s="431" t="s">
        <v>2016</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1</v>
      </c>
      <c r="T69" s="511">
        <f t="shared" si="31"/>
        <v>0</v>
      </c>
      <c r="U69" s="511">
        <f t="shared" si="31"/>
        <v>0</v>
      </c>
      <c r="V69" s="511">
        <f t="shared" si="31"/>
        <v>1</v>
      </c>
      <c r="W69" s="511">
        <f t="shared" si="31"/>
        <v>1</v>
      </c>
      <c r="X69" s="511">
        <f t="shared" si="31"/>
        <v>0.94</v>
      </c>
      <c r="Y69" s="511">
        <f t="shared" si="31"/>
        <v>1</v>
      </c>
      <c r="Z69" s="511">
        <f t="shared" si="31"/>
        <v>1</v>
      </c>
      <c r="AA69" s="511">
        <f t="shared" si="31"/>
        <v>1</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f>IF(AO$16="","",INDEX(App1bdata,MATCH(AO$16,App1bIDnrs,0),8))</f>
        <v>0.39</v>
      </c>
      <c r="AP69" s="511">
        <f t="shared" ref="AP69:BC69" si="32">IF(AP$16="","",INDEX(App1data,MATCH(AP$16,App1IDnrs,0),8))</f>
        <v>0</v>
      </c>
      <c r="AQ69" s="511">
        <f t="shared" si="32"/>
        <v>0</v>
      </c>
      <c r="AR69" s="511">
        <f t="shared" si="32"/>
        <v>0</v>
      </c>
      <c r="AS69" s="511">
        <f t="shared" si="32"/>
        <v>0</v>
      </c>
      <c r="AT69" s="511">
        <f t="shared" si="32"/>
        <v>0</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c r="A70" s="431"/>
      <c r="B70" s="431"/>
      <c r="C70" s="431"/>
      <c r="D70" s="431"/>
      <c r="E70" s="431" t="s">
        <v>2063</v>
      </c>
      <c r="F70" s="431"/>
      <c r="G70" s="431" t="s">
        <v>2016</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0.61</v>
      </c>
      <c r="AP70" s="511">
        <f t="shared" ref="AP70:BC70" si="35">IF(AP$16="","",INDEX(App1data,MATCH(AP$16,App1IDnrs,0),9))</f>
        <v>1</v>
      </c>
      <c r="AQ70" s="511">
        <f t="shared" si="35"/>
        <v>1</v>
      </c>
      <c r="AR70" s="511">
        <f t="shared" si="35"/>
        <v>0.85</v>
      </c>
      <c r="AS70" s="511">
        <f t="shared" si="35"/>
        <v>1</v>
      </c>
      <c r="AT70" s="511">
        <f t="shared" si="35"/>
        <v>0</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c r="A71" s="431"/>
      <c r="B71" s="431"/>
      <c r="C71" s="431"/>
      <c r="D71" s="431"/>
      <c r="E71" s="431" t="s">
        <v>2064</v>
      </c>
      <c r="F71" s="431"/>
      <c r="G71" s="431" t="s">
        <v>2016</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c r="A72" s="431"/>
      <c r="B72" s="431"/>
      <c r="C72" s="431"/>
      <c r="D72" s="431"/>
      <c r="E72" s="431" t="s">
        <v>2065</v>
      </c>
      <c r="F72" s="431"/>
      <c r="G72" s="431" t="s">
        <v>2016</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1</v>
      </c>
      <c r="V72" s="511">
        <f t="shared" si="40"/>
        <v>0</v>
      </c>
      <c r="W72" s="511">
        <f t="shared" si="40"/>
        <v>0</v>
      </c>
      <c r="X72" s="511">
        <f t="shared" si="40"/>
        <v>0</v>
      </c>
      <c r="Y72" s="511">
        <f t="shared" si="40"/>
        <v>0</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c r="A73" s="431"/>
      <c r="B73" s="431"/>
      <c r="C73" s="431"/>
      <c r="D73" s="431"/>
      <c r="E73" s="431" t="s">
        <v>2066</v>
      </c>
      <c r="F73" s="431"/>
      <c r="G73" s="431" t="s">
        <v>2016</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c r="A74" s="431"/>
      <c r="B74" s="431"/>
      <c r="C74" s="431"/>
      <c r="D74" s="431"/>
      <c r="E74" s="431" t="s">
        <v>2067</v>
      </c>
      <c r="F74" s="431"/>
      <c r="G74" s="431" t="s">
        <v>2016</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25">
      <c r="A76" s="514" t="s">
        <v>1082</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conditionalFormatting sqref="H76:BS76">
    <cfRule type="cellIs" dxfId="218" priority="14" operator="equal">
      <formula>0</formula>
    </cfRule>
  </conditionalFormatting>
  <conditionalFormatting sqref="J13:BS13">
    <cfRule type="expression" dxfId="217" priority="11">
      <formula>AND(J13=FALSE,J13&lt;&gt;"")</formula>
    </cfRule>
  </conditionalFormatting>
  <conditionalFormatting sqref="J68:BS74">
    <cfRule type="cellIs" dxfId="216"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22" activePane="bottomRight" state="frozen"/>
      <selection pane="bottomRight" activeCell="AQ23" sqref="AQ23"/>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8" customWidth="1"/>
    <col min="56" max="71" width="25.625" style="208" hidden="1" customWidth="1" outlineLevel="1"/>
    <col min="72" max="72" width="8.625" style="208" hidden="1" customWidth="1" collapsed="1"/>
    <col min="73" max="16384" width="8.625" style="208" hidden="1"/>
  </cols>
  <sheetData>
    <row r="1" spans="1:110" s="255" customFormat="1" ht="44.25">
      <c r="A1" s="425" t="e">
        <f ca="1" xml:space="preserve"> RIGHT(CELL("filename", $A$1), LEN(CELL("filename", $A$1)) - SEARCH("]", CELL("filename", $A$1)))</f>
        <v>#VALUE!</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c r="A2" s="431"/>
      <c r="B2" s="431"/>
      <c r="C2" s="431"/>
      <c r="D2" s="431"/>
      <c r="E2" s="431"/>
      <c r="F2" s="440" t="s">
        <v>1938</v>
      </c>
      <c r="G2" s="440" t="s">
        <v>155</v>
      </c>
      <c r="H2" s="440" t="s">
        <v>1299</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c r="A3" s="443" t="s">
        <v>2021</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c r="A5" s="431"/>
      <c r="B5" s="451" t="s">
        <v>2026</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c r="A7" s="431"/>
      <c r="B7" s="431"/>
      <c r="C7" s="431"/>
      <c r="D7" s="431"/>
      <c r="E7" s="431" t="str">
        <f>Company_PC_inputs!E7&amp; " (Intervention)"</f>
        <v>Actual performance (Intervention)</v>
      </c>
      <c r="F7" s="431"/>
      <c r="G7" s="431" t="s">
        <v>2028</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c r="A8" s="431"/>
      <c r="B8" s="431"/>
      <c r="C8" s="431"/>
      <c r="D8" s="431"/>
      <c r="E8" s="431" t="str">
        <f>Company_PC_inputs!E8&amp; " (Intervention)"</f>
        <v>Baseline (if applicable) (Intervention)</v>
      </c>
      <c r="F8" s="431"/>
      <c r="G8" s="431" t="s">
        <v>2030</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c r="A11" s="431"/>
      <c r="B11" s="431"/>
      <c r="C11" s="431"/>
      <c r="D11" s="441"/>
      <c r="E11" s="431" t="str">
        <f>Company_PC_inputs!E11&amp; " (Intervention)"</f>
        <v>Is the HH:MM:SS format being used (Intervention)</v>
      </c>
      <c r="F11" s="431"/>
      <c r="G11" s="431" t="s">
        <v>461</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c r="A15" s="431"/>
      <c r="B15" s="451" t="s">
        <v>2032</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c r="A16" s="431"/>
      <c r="B16" s="431"/>
      <c r="C16" s="431"/>
      <c r="D16" s="431"/>
      <c r="E16" s="431" t="str">
        <f>Company_PC_inputs!E16&amp; " (Intervention)"</f>
        <v>Performance commitment reference (Intervention)</v>
      </c>
      <c r="F16" s="431"/>
      <c r="G16" s="431" t="s">
        <v>2007</v>
      </c>
      <c r="H16" s="431"/>
      <c r="I16" s="431"/>
      <c r="J16" s="522" t="str">
        <f>IF(Company_PC_inputs!J16="","",Company_PC_inputs!J16)</f>
        <v>PR19ANH_3</v>
      </c>
      <c r="K16" s="522" t="str">
        <f>IF(Company_PC_inputs!K16="","",Company_PC_inputs!K16)</f>
        <v>PR19ANH_4</v>
      </c>
      <c r="L16" s="522" t="str">
        <f>IF(Company_PC_inputs!L16="","",Company_PC_inputs!L16)</f>
        <v>PR19ANH_5</v>
      </c>
      <c r="M16" s="522" t="str">
        <f>IF(Company_PC_inputs!M16="","",Company_PC_inputs!M16)</f>
        <v/>
      </c>
      <c r="N16" s="522" t="str">
        <f>IF(Company_PC_inputs!N16="","",Company_PC_inputs!N16)</f>
        <v>PR19ANH_6</v>
      </c>
      <c r="O16" s="522" t="str">
        <f>IF(Company_PC_inputs!O16="","",Company_PC_inputs!O16)</f>
        <v/>
      </c>
      <c r="P16" s="522" t="str">
        <f>IF(Company_PC_inputs!P16="","",Company_PC_inputs!P16)</f>
        <v>PR19ANH_11</v>
      </c>
      <c r="Q16" s="523" t="str">
        <f>IF(Company_PC_inputs!Q16="","",Company_PC_inputs!Q16)</f>
        <v>PR19ANH_12</v>
      </c>
      <c r="R16" s="522" t="str">
        <f>IF(Company_PC_inputs!R16="","",Company_PC_inputs!R16)</f>
        <v>PR19ANH_15</v>
      </c>
      <c r="S16" s="522" t="str">
        <f>IF(Company_PC_inputs!S16="","",Company_PC_inputs!S16)</f>
        <v>PR19ANH_16</v>
      </c>
      <c r="T16" s="522" t="str">
        <f>IF(Company_PC_inputs!T16="","",Company_PC_inputs!T16)</f>
        <v>PR19ANH_20</v>
      </c>
      <c r="U16" s="522" t="str">
        <f>IF(Company_PC_inputs!U16="","",Company_PC_inputs!U16)</f>
        <v>PR19ANH_23</v>
      </c>
      <c r="V16" s="522" t="str">
        <f>IF(Company_PC_inputs!V16="","",Company_PC_inputs!V16)</f>
        <v>PR19ANH_34</v>
      </c>
      <c r="W16" s="522" t="str">
        <f>IF(Company_PC_inputs!W16="","",Company_PC_inputs!W16)</f>
        <v>PR19ANH_38</v>
      </c>
      <c r="X16" s="522" t="str">
        <f>IF(Company_PC_inputs!X16="","",Company_PC_inputs!X16)</f>
        <v>PR19ANH_39</v>
      </c>
      <c r="Y16" s="522" t="str">
        <f>IF(Company_PC_inputs!Y16="","",Company_PC_inputs!Y16)</f>
        <v>PR19ANH_41</v>
      </c>
      <c r="Z16" s="522" t="str">
        <f>IF(Company_PC_inputs!Z16="","",Company_PC_inputs!Z16)</f>
        <v>PR19ANH_47</v>
      </c>
      <c r="AA16" s="522" t="str">
        <f>IF(Company_PC_inputs!AA16="","",Company_PC_inputs!AA16)</f>
        <v>PR19ANH_48</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PR19ANH_7</v>
      </c>
      <c r="AM16" s="522" t="str">
        <f>IF(Company_PC_inputs!AM16="","",Company_PC_inputs!AM16)</f>
        <v>PR19ANH_8</v>
      </c>
      <c r="AN16" s="522" t="str">
        <f>IF(Company_PC_inputs!AN16="","",Company_PC_inputs!AN16)</f>
        <v>PR19ANH_13</v>
      </c>
      <c r="AO16" s="523" t="str">
        <f>IF(Company_PC_inputs!AO16="","",Company_PC_inputs!AO16)</f>
        <v>PR19ANH_14</v>
      </c>
      <c r="AP16" s="522" t="str">
        <f>IF(Company_PC_inputs!AP16="","",Company_PC_inputs!AP16)</f>
        <v>PR19ANH_17</v>
      </c>
      <c r="AQ16" s="522" t="str">
        <f>IF(Company_PC_inputs!AQ16="","",Company_PC_inputs!AQ16)</f>
        <v>PR19ANH_19</v>
      </c>
      <c r="AR16" s="522" t="str">
        <f>IF(Company_PC_inputs!AR16="","",Company_PC_inputs!AR16)</f>
        <v>PR19ANH_32</v>
      </c>
      <c r="AS16" s="522" t="str">
        <f>IF(Company_PC_inputs!AS16="","",Company_PC_inputs!AS16)</f>
        <v>PR19ANH_42</v>
      </c>
      <c r="AT16" s="522" t="str">
        <f>IF(Company_PC_inputs!AT16="","",Company_PC_inputs!AT16)</f>
        <v>PR19CMA_ANH-01</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8.25">
      <c r="A17" s="480"/>
      <c r="B17" s="480"/>
      <c r="C17" s="480"/>
      <c r="D17" s="480"/>
      <c r="E17" s="431" t="str">
        <f>Company_PC_inputs!E17&amp; " (Intervention)"</f>
        <v>Performance commitment name (Intervention)</v>
      </c>
      <c r="F17" s="480"/>
      <c r="G17" s="480" t="s">
        <v>2007</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Percentage of population supplied by a single supply system</v>
      </c>
      <c r="S17" s="481" t="str">
        <f>IF(Company_PC_inputs!S17="","",Company_PC_inputs!S17)</f>
        <v>Properties at risk of persistent low pressure</v>
      </c>
      <c r="T17" s="481" t="str">
        <f>IF(Company_PC_inputs!T17="","",Company_PC_inputs!T17)</f>
        <v>Abstraction Incentive Mechanism</v>
      </c>
      <c r="U17" s="481" t="str">
        <f>IF(Company_PC_inputs!U17="","",Company_PC_inputs!U17)</f>
        <v>Managing void properties</v>
      </c>
      <c r="V17" s="481" t="str">
        <f>IF(Company_PC_inputs!V17="","",Company_PC_inputs!V17)</f>
        <v>Water quality contacts</v>
      </c>
      <c r="W17" s="481" t="str">
        <f>IF(Company_PC_inputs!W17="","",Company_PC_inputs!W17)</f>
        <v>Smart metering delivery</v>
      </c>
      <c r="X17" s="481" t="str">
        <f>IF(Company_PC_inputs!X17="","",Company_PC_inputs!X17)</f>
        <v>Internal interconnection delivery</v>
      </c>
      <c r="Y17" s="481" t="str">
        <f>IF(Company_PC_inputs!Y17="","",Company_PC_inputs!Y17)</f>
        <v>Cyber Security</v>
      </c>
      <c r="Z17" s="481" t="str">
        <f>IF(Company_PC_inputs!Z17="","",Company_PC_inputs!Z17)</f>
        <v>Underperformance incentive for Elsham treatment works and transfer scheme</v>
      </c>
      <c r="AA17" s="481" t="str">
        <f>IF(Company_PC_inputs!AA17="","",Company_PC_inputs!AA17)</f>
        <v>Outperformance payment for Elsham treatment works and transfer scheme</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External Sewer Flooding</v>
      </c>
      <c r="AQ17" s="481" t="str">
        <f>IF(Company_PC_inputs!AQ17="","",Company_PC_inputs!AQ17)</f>
        <v>Bathing Waters Attaining Excellent Status</v>
      </c>
      <c r="AR17" s="481" t="str">
        <f>IF(Company_PC_inputs!AR17="","",Company_PC_inputs!AR17)</f>
        <v>Water Industry National Environment Programme</v>
      </c>
      <c r="AS17" s="481" t="str">
        <f>IF(Company_PC_inputs!AS17="","",Company_PC_inputs!AS17)</f>
        <v>Partnership working on pluvial and fluvial flood risk</v>
      </c>
      <c r="AT17" s="481" t="str">
        <f>IF(Company_PC_inputs!AT17="","",Company_PC_inputs!AT17)</f>
        <v>Additional sludge treatment capacity at Whitlingham</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c r="A19" s="431"/>
      <c r="B19" s="431"/>
      <c r="C19" s="431"/>
      <c r="D19" s="431"/>
      <c r="E19" s="431" t="str">
        <f>Company_PC_inputs!E19&amp; " (Intervention)"</f>
        <v>ODI is calculated in decimal minutes, but the performance commitment is specified in HH:MM:SS (Intervention)</v>
      </c>
      <c r="F19" s="431"/>
      <c r="G19" s="431" t="s">
        <v>461</v>
      </c>
      <c r="H19" s="431"/>
      <c r="I19" s="431"/>
      <c r="J19" s="2188"/>
      <c r="K19" s="2188"/>
      <c r="L19" s="2188"/>
      <c r="M19" s="2188"/>
      <c r="N19" s="2188"/>
      <c r="O19" s="2188"/>
      <c r="P19" s="2188"/>
      <c r="Q19" s="2264"/>
      <c r="R19" s="2188"/>
      <c r="S19" s="2188"/>
      <c r="T19" s="2188"/>
      <c r="U19" s="2188"/>
      <c r="V19" s="2188"/>
      <c r="W19" s="2188"/>
      <c r="X19" s="2188"/>
      <c r="Y19" s="2188"/>
      <c r="Z19" s="2188"/>
      <c r="AA19" s="2188"/>
      <c r="AB19" s="2188"/>
      <c r="AC19" s="2188"/>
      <c r="AD19" s="2188"/>
      <c r="AE19" s="2188"/>
      <c r="AF19" s="2188"/>
      <c r="AG19" s="2188"/>
      <c r="AH19" s="2188"/>
      <c r="AI19" s="2188"/>
      <c r="AJ19" s="2188"/>
      <c r="AK19" s="2264"/>
      <c r="AL19" s="2188"/>
      <c r="AM19" s="2188"/>
      <c r="AN19" s="2188"/>
      <c r="AO19" s="2264"/>
      <c r="AP19" s="2188"/>
      <c r="AQ19" s="2188"/>
      <c r="AR19" s="2188"/>
      <c r="AS19" s="2188"/>
      <c r="AT19" s="2188"/>
      <c r="AU19" s="2188"/>
      <c r="AV19" s="2188"/>
      <c r="AW19" s="2188"/>
      <c r="AX19" s="2188"/>
      <c r="AY19" s="2188"/>
      <c r="AZ19" s="2188"/>
      <c r="BA19" s="2188"/>
      <c r="BB19" s="2188"/>
      <c r="BC19" s="2264"/>
      <c r="BD19" s="526"/>
      <c r="BE19" s="526"/>
      <c r="BF19" s="526"/>
      <c r="BG19" s="526"/>
      <c r="BH19" s="526"/>
      <c r="BI19" s="526"/>
      <c r="BJ19" s="526"/>
      <c r="BK19" s="526"/>
      <c r="BL19" s="526"/>
      <c r="BM19" s="526"/>
      <c r="BN19" s="526"/>
      <c r="BO19" s="526"/>
      <c r="BP19" s="526"/>
      <c r="BQ19" s="526"/>
      <c r="BR19" s="526"/>
      <c r="BS19" s="526"/>
    </row>
    <row r="20" spans="1:71" s="207" customFormat="1">
      <c r="A20" s="431"/>
      <c r="B20" s="431"/>
      <c r="C20" s="431"/>
      <c r="D20" s="431"/>
      <c r="E20" s="431" t="str">
        <f>Company_PC_inputs!E20&amp; " (Intervention)"</f>
        <v>ODI is calculated as a percentage difference to a baseline (Intervention)</v>
      </c>
      <c r="F20" s="431"/>
      <c r="G20" s="431" t="s">
        <v>461</v>
      </c>
      <c r="H20" s="431"/>
      <c r="I20" s="431"/>
      <c r="J20" s="2188"/>
      <c r="K20" s="2188"/>
      <c r="L20" s="2188"/>
      <c r="M20" s="2188"/>
      <c r="N20" s="2188"/>
      <c r="O20" s="2188"/>
      <c r="P20" s="2188"/>
      <c r="Q20" s="2264"/>
      <c r="R20" s="2188"/>
      <c r="S20" s="2188"/>
      <c r="T20" s="2188"/>
      <c r="U20" s="2188"/>
      <c r="V20" s="2188"/>
      <c r="W20" s="2188"/>
      <c r="X20" s="2188"/>
      <c r="Y20" s="2188"/>
      <c r="Z20" s="2188"/>
      <c r="AA20" s="2188"/>
      <c r="AB20" s="2188"/>
      <c r="AC20" s="2188"/>
      <c r="AD20" s="2188"/>
      <c r="AE20" s="2188"/>
      <c r="AF20" s="2188"/>
      <c r="AG20" s="2188"/>
      <c r="AH20" s="2188"/>
      <c r="AI20" s="2188"/>
      <c r="AJ20" s="2188"/>
      <c r="AK20" s="2264"/>
      <c r="AL20" s="2188"/>
      <c r="AM20" s="2188"/>
      <c r="AN20" s="2188"/>
      <c r="AO20" s="2264"/>
      <c r="AP20" s="2188"/>
      <c r="AQ20" s="2188"/>
      <c r="AR20" s="2188"/>
      <c r="AS20" s="2188"/>
      <c r="AT20" s="2188"/>
      <c r="AU20" s="2188"/>
      <c r="AV20" s="2188"/>
      <c r="AW20" s="2188"/>
      <c r="AX20" s="2188"/>
      <c r="AY20" s="2188"/>
      <c r="AZ20" s="2188"/>
      <c r="BA20" s="2188"/>
      <c r="BB20" s="2188"/>
      <c r="BC20" s="2264"/>
      <c r="BD20" s="526"/>
      <c r="BE20" s="526"/>
      <c r="BF20" s="526"/>
      <c r="BG20" s="526"/>
      <c r="BH20" s="526"/>
      <c r="BI20" s="526"/>
      <c r="BJ20" s="526"/>
      <c r="BK20" s="526"/>
      <c r="BL20" s="526"/>
      <c r="BM20" s="526"/>
      <c r="BN20" s="526"/>
      <c r="BO20" s="526"/>
      <c r="BP20" s="526"/>
      <c r="BQ20" s="526"/>
      <c r="BR20" s="526"/>
      <c r="BS20" s="526"/>
    </row>
    <row r="21" spans="1:71" s="207" customFormat="1">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c r="A22" s="431"/>
      <c r="B22" s="431"/>
      <c r="C22" s="431"/>
      <c r="D22" s="441" t="s">
        <v>2037</v>
      </c>
      <c r="E22" s="431"/>
      <c r="F22" s="431"/>
      <c r="G22" s="431"/>
      <c r="H22" s="431"/>
      <c r="I22" s="431"/>
      <c r="J22" s="535"/>
      <c r="K22" s="535"/>
      <c r="L22" s="535"/>
      <c r="M22" s="535"/>
      <c r="N22" s="535"/>
      <c r="O22" s="535"/>
      <c r="P22" s="535"/>
      <c r="Q22" s="2265"/>
      <c r="R22" s="535"/>
      <c r="S22" s="535"/>
      <c r="T22" s="535"/>
      <c r="U22" s="535"/>
      <c r="V22" s="535"/>
      <c r="W22" s="535"/>
      <c r="X22" s="535"/>
      <c r="Y22" s="535"/>
      <c r="Z22" s="535"/>
      <c r="AA22" s="535"/>
      <c r="AB22" s="535"/>
      <c r="AC22" s="535"/>
      <c r="AD22" s="535"/>
      <c r="AE22" s="535"/>
      <c r="AF22" s="535"/>
      <c r="AG22" s="535"/>
      <c r="AH22" s="535"/>
      <c r="AI22" s="535"/>
      <c r="AJ22" s="535"/>
      <c r="AK22" s="2265"/>
      <c r="AL22" s="535"/>
      <c r="AM22" s="535"/>
      <c r="AN22" s="535"/>
      <c r="AO22" s="2265"/>
      <c r="AP22" s="535"/>
      <c r="AQ22" s="535"/>
      <c r="AR22" s="535"/>
      <c r="AS22" s="535"/>
      <c r="AT22" s="535"/>
      <c r="AU22" s="535"/>
      <c r="AV22" s="535"/>
      <c r="AW22" s="535"/>
      <c r="AX22" s="535"/>
      <c r="AY22" s="535"/>
      <c r="AZ22" s="535"/>
      <c r="BA22" s="535"/>
      <c r="BB22" s="535"/>
      <c r="BC22" s="2265"/>
      <c r="BD22" s="520"/>
      <c r="BE22" s="520"/>
      <c r="BF22" s="520"/>
      <c r="BG22" s="520"/>
      <c r="BH22" s="520"/>
      <c r="BI22" s="520"/>
      <c r="BJ22" s="520"/>
      <c r="BK22" s="520"/>
      <c r="BL22" s="520"/>
      <c r="BM22" s="520"/>
      <c r="BN22" s="520"/>
      <c r="BO22" s="520"/>
      <c r="BP22" s="520"/>
      <c r="BQ22" s="520"/>
      <c r="BR22" s="520"/>
      <c r="BS22" s="520"/>
    </row>
    <row r="23" spans="1:71" s="207" customFormat="1">
      <c r="A23" s="431"/>
      <c r="B23" s="431"/>
      <c r="C23" s="431"/>
      <c r="D23" s="431"/>
      <c r="E23" s="431" t="str">
        <f>Company_PC_inputs!E23&amp; " (Intervention)"</f>
        <v>Standard outperformance payments - override (Intervention)</v>
      </c>
      <c r="F23" s="431"/>
      <c r="G23" s="431" t="str">
        <f>InpCompany!$F$11</f>
        <v>£m (2017-18 prices)</v>
      </c>
      <c r="H23" s="431"/>
      <c r="I23" s="431"/>
      <c r="J23" s="2262"/>
      <c r="K23" s="2262"/>
      <c r="L23" s="2262"/>
      <c r="M23" s="2262"/>
      <c r="N23" s="2262"/>
      <c r="O23" s="2262"/>
      <c r="P23" s="2262"/>
      <c r="Q23" s="2263"/>
      <c r="R23" s="2262"/>
      <c r="S23" s="2262"/>
      <c r="T23" s="2262"/>
      <c r="U23" s="2262"/>
      <c r="V23" s="2262"/>
      <c r="W23" s="2262"/>
      <c r="X23" s="2262"/>
      <c r="Y23" s="2262"/>
      <c r="Z23" s="2262"/>
      <c r="AA23" s="2262"/>
      <c r="AB23" s="2262"/>
      <c r="AC23" s="2262"/>
      <c r="AD23" s="2262"/>
      <c r="AE23" s="2262"/>
      <c r="AF23" s="2262"/>
      <c r="AG23" s="2262"/>
      <c r="AH23" s="2262"/>
      <c r="AI23" s="2262"/>
      <c r="AJ23" s="2262"/>
      <c r="AK23" s="2263"/>
      <c r="AL23" s="2262"/>
      <c r="AM23" s="2262"/>
      <c r="AN23" s="2262"/>
      <c r="AO23" s="2263"/>
      <c r="AP23" s="2262"/>
      <c r="AQ23" s="2262"/>
      <c r="AR23" s="2262"/>
      <c r="AS23" s="2262"/>
      <c r="AT23" s="2262"/>
      <c r="AU23" s="2262"/>
      <c r="AV23" s="2262"/>
      <c r="AW23" s="2262"/>
      <c r="AX23" s="2262"/>
      <c r="AY23" s="2262"/>
      <c r="AZ23" s="2262"/>
      <c r="BA23" s="2262"/>
      <c r="BB23" s="2262"/>
      <c r="BC23" s="2263"/>
      <c r="BD23" s="466"/>
      <c r="BE23" s="466"/>
      <c r="BF23" s="466"/>
      <c r="BG23" s="466"/>
      <c r="BH23" s="466"/>
      <c r="BI23" s="466"/>
      <c r="BJ23" s="466"/>
      <c r="BK23" s="466"/>
      <c r="BL23" s="466"/>
      <c r="BM23" s="466"/>
      <c r="BN23" s="466"/>
      <c r="BO23" s="466"/>
      <c r="BP23" s="466"/>
      <c r="BQ23" s="466"/>
      <c r="BR23" s="466"/>
      <c r="BS23" s="466"/>
    </row>
    <row r="24" spans="1:71" s="207" customFormat="1">
      <c r="A24" s="431"/>
      <c r="B24" s="431"/>
      <c r="C24" s="431"/>
      <c r="D24" s="431"/>
      <c r="E24" s="431" t="str">
        <f>Company_PC_inputs!E24&amp; " (Intervention)"</f>
        <v>Enhanced outperformance payments - override (Intervention)</v>
      </c>
      <c r="F24" s="431"/>
      <c r="G24" s="431" t="str">
        <f>InpCompany!$F$11</f>
        <v>£m (2017-18 prices)</v>
      </c>
      <c r="H24" s="431"/>
      <c r="I24" s="431"/>
      <c r="J24" s="2262"/>
      <c r="K24" s="2262"/>
      <c r="L24" s="2262"/>
      <c r="M24" s="2262"/>
      <c r="N24" s="2262"/>
      <c r="O24" s="2262"/>
      <c r="P24" s="2262"/>
      <c r="Q24" s="2263"/>
      <c r="R24" s="2262"/>
      <c r="S24" s="2262"/>
      <c r="T24" s="2262"/>
      <c r="U24" s="2262"/>
      <c r="V24" s="2262"/>
      <c r="W24" s="2262"/>
      <c r="X24" s="2262"/>
      <c r="Y24" s="2262"/>
      <c r="Z24" s="2262"/>
      <c r="AA24" s="2262"/>
      <c r="AB24" s="2262"/>
      <c r="AC24" s="2262"/>
      <c r="AD24" s="2262"/>
      <c r="AE24" s="2262"/>
      <c r="AF24" s="2262"/>
      <c r="AG24" s="2262"/>
      <c r="AH24" s="2262"/>
      <c r="AI24" s="2262"/>
      <c r="AJ24" s="2262"/>
      <c r="AK24" s="2263"/>
      <c r="AL24" s="2262"/>
      <c r="AM24" s="2262"/>
      <c r="AN24" s="2262"/>
      <c r="AO24" s="2263"/>
      <c r="AP24" s="2262"/>
      <c r="AQ24" s="2262"/>
      <c r="AR24" s="2262"/>
      <c r="AS24" s="2262"/>
      <c r="AT24" s="2262"/>
      <c r="AU24" s="2262"/>
      <c r="AV24" s="2262"/>
      <c r="AW24" s="2262"/>
      <c r="AX24" s="2262"/>
      <c r="AY24" s="2262"/>
      <c r="AZ24" s="2262"/>
      <c r="BA24" s="2262"/>
      <c r="BB24" s="2262"/>
      <c r="BC24" s="2263"/>
      <c r="BD24" s="466"/>
      <c r="BE24" s="466"/>
      <c r="BF24" s="466"/>
      <c r="BG24" s="466"/>
      <c r="BH24" s="466"/>
      <c r="BI24" s="466"/>
      <c r="BJ24" s="466"/>
      <c r="BK24" s="466"/>
      <c r="BL24" s="466"/>
      <c r="BM24" s="466"/>
      <c r="BN24" s="466"/>
      <c r="BO24" s="466"/>
      <c r="BP24" s="466"/>
      <c r="BQ24" s="466"/>
      <c r="BR24" s="466"/>
      <c r="BS24" s="466"/>
    </row>
    <row r="25" spans="1:71" s="207" customFormat="1">
      <c r="A25" s="431"/>
      <c r="B25" s="431"/>
      <c r="C25" s="431"/>
      <c r="D25" s="431"/>
      <c r="E25" s="431" t="str">
        <f>Company_PC_inputs!E25&amp; " (Intervention)"</f>
        <v>Additional outperformance payments - override (Intervention)</v>
      </c>
      <c r="F25" s="431"/>
      <c r="G25" s="431" t="str">
        <f>InpCompany!$F$11</f>
        <v>£m (2017-18 prices)</v>
      </c>
      <c r="H25" s="431"/>
      <c r="I25" s="431"/>
      <c r="J25" s="2262"/>
      <c r="K25" s="2262"/>
      <c r="L25" s="2262"/>
      <c r="M25" s="2262"/>
      <c r="N25" s="2262"/>
      <c r="O25" s="2262"/>
      <c r="P25" s="2262"/>
      <c r="Q25" s="2263"/>
      <c r="R25" s="2262"/>
      <c r="S25" s="2262"/>
      <c r="T25" s="2262"/>
      <c r="U25" s="2262"/>
      <c r="V25" s="2262"/>
      <c r="W25" s="2262"/>
      <c r="X25" s="2262"/>
      <c r="Y25" s="2262"/>
      <c r="Z25" s="2262"/>
      <c r="AA25" s="2262"/>
      <c r="AB25" s="2262"/>
      <c r="AC25" s="2262"/>
      <c r="AD25" s="2262"/>
      <c r="AE25" s="2262"/>
      <c r="AF25" s="2262"/>
      <c r="AG25" s="2262"/>
      <c r="AH25" s="2262"/>
      <c r="AI25" s="2262"/>
      <c r="AJ25" s="2262"/>
      <c r="AK25" s="2263"/>
      <c r="AL25" s="2262"/>
      <c r="AM25" s="2262"/>
      <c r="AN25" s="2262"/>
      <c r="AO25" s="2263"/>
      <c r="AP25" s="2262"/>
      <c r="AQ25" s="2262"/>
      <c r="AR25" s="2262"/>
      <c r="AS25" s="2262"/>
      <c r="AT25" s="2262"/>
      <c r="AU25" s="2262"/>
      <c r="AV25" s="2262"/>
      <c r="AW25" s="2262"/>
      <c r="AX25" s="2262"/>
      <c r="AY25" s="2262"/>
      <c r="AZ25" s="2262"/>
      <c r="BA25" s="2262"/>
      <c r="BB25" s="2262"/>
      <c r="BC25" s="2263"/>
      <c r="BD25" s="466"/>
      <c r="BE25" s="466"/>
      <c r="BF25" s="466"/>
      <c r="BG25" s="466"/>
      <c r="BH25" s="466"/>
      <c r="BI25" s="466"/>
      <c r="BJ25" s="466"/>
      <c r="BK25" s="466"/>
      <c r="BL25" s="466"/>
      <c r="BM25" s="466"/>
      <c r="BN25" s="466"/>
      <c r="BO25" s="466"/>
      <c r="BP25" s="466"/>
      <c r="BQ25" s="466"/>
      <c r="BR25" s="466"/>
      <c r="BS25" s="466"/>
    </row>
    <row r="26" spans="1:71" s="207" customFormat="1">
      <c r="A26" s="431"/>
      <c r="B26" s="431"/>
      <c r="C26" s="431"/>
      <c r="D26" s="431"/>
      <c r="E26" s="431"/>
      <c r="F26" s="431"/>
      <c r="G26" s="431"/>
      <c r="H26" s="431"/>
      <c r="I26" s="431"/>
      <c r="J26" s="535"/>
      <c r="K26" s="535"/>
      <c r="L26" s="535"/>
      <c r="M26" s="535"/>
      <c r="N26" s="535"/>
      <c r="O26" s="535"/>
      <c r="P26" s="535"/>
      <c r="Q26" s="2265"/>
      <c r="R26" s="535"/>
      <c r="S26" s="535"/>
      <c r="T26" s="535"/>
      <c r="U26" s="535"/>
      <c r="V26" s="535"/>
      <c r="W26" s="535"/>
      <c r="X26" s="535"/>
      <c r="Y26" s="535"/>
      <c r="Z26" s="535"/>
      <c r="AA26" s="535"/>
      <c r="AB26" s="535"/>
      <c r="AC26" s="535"/>
      <c r="AD26" s="535"/>
      <c r="AE26" s="535"/>
      <c r="AF26" s="535"/>
      <c r="AG26" s="535"/>
      <c r="AH26" s="535"/>
      <c r="AI26" s="535"/>
      <c r="AJ26" s="535"/>
      <c r="AK26" s="2265"/>
      <c r="AL26" s="535"/>
      <c r="AM26" s="535"/>
      <c r="AN26" s="535"/>
      <c r="AO26" s="2265"/>
      <c r="AP26" s="535"/>
      <c r="AQ26" s="535"/>
      <c r="AR26" s="535"/>
      <c r="AS26" s="535"/>
      <c r="AT26" s="535"/>
      <c r="AU26" s="535"/>
      <c r="AV26" s="535"/>
      <c r="AW26" s="535"/>
      <c r="AX26" s="535"/>
      <c r="AY26" s="535"/>
      <c r="AZ26" s="535"/>
      <c r="BA26" s="535"/>
      <c r="BB26" s="535"/>
      <c r="BC26" s="2265"/>
      <c r="BD26" s="520"/>
      <c r="BE26" s="520"/>
      <c r="BF26" s="520"/>
      <c r="BG26" s="520"/>
      <c r="BH26" s="520"/>
      <c r="BI26" s="520"/>
      <c r="BJ26" s="520"/>
      <c r="BK26" s="520"/>
      <c r="BL26" s="520"/>
      <c r="BM26" s="520"/>
      <c r="BN26" s="520"/>
      <c r="BO26" s="520"/>
      <c r="BP26" s="520"/>
      <c r="BQ26" s="520"/>
      <c r="BR26" s="520"/>
      <c r="BS26" s="520"/>
    </row>
    <row r="27" spans="1:71" s="207" customFormat="1" ht="14.25">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62"/>
      <c r="K27" s="2262"/>
      <c r="L27" s="2262"/>
      <c r="M27" s="2262"/>
      <c r="N27" s="2262"/>
      <c r="O27" s="2262"/>
      <c r="P27" s="2262"/>
      <c r="Q27" s="2263"/>
      <c r="R27" s="2262"/>
      <c r="S27" s="2262"/>
      <c r="T27" s="2331"/>
      <c r="U27" s="2262"/>
      <c r="V27" s="2262"/>
      <c r="W27" s="2262"/>
      <c r="X27" s="2262"/>
      <c r="Y27" s="2262"/>
      <c r="Z27" s="2262"/>
      <c r="AA27" s="2262"/>
      <c r="AB27" s="2262"/>
      <c r="AC27" s="2262"/>
      <c r="AD27" s="2262"/>
      <c r="AE27" s="2262"/>
      <c r="AF27" s="2262"/>
      <c r="AG27" s="2262"/>
      <c r="AH27" s="2262"/>
      <c r="AI27" s="2262"/>
      <c r="AJ27" s="2262"/>
      <c r="AK27" s="2263"/>
      <c r="AL27" s="2262"/>
      <c r="AM27" s="2262"/>
      <c r="AN27" s="2262"/>
      <c r="AO27" s="2263"/>
      <c r="AP27" s="2262"/>
      <c r="AQ27" s="2262"/>
      <c r="AR27" s="2262"/>
      <c r="AS27" s="2262"/>
      <c r="AT27" s="2262"/>
      <c r="AU27" s="2262"/>
      <c r="AV27" s="2262"/>
      <c r="AW27" s="2262"/>
      <c r="AX27" s="2262"/>
      <c r="AY27" s="2262"/>
      <c r="AZ27" s="2262"/>
      <c r="BA27" s="2262"/>
      <c r="BB27" s="2262"/>
      <c r="BC27" s="2263"/>
      <c r="BD27" s="466"/>
      <c r="BE27" s="466"/>
      <c r="BF27" s="466"/>
      <c r="BG27" s="466"/>
      <c r="BH27" s="466"/>
      <c r="BI27" s="466"/>
      <c r="BJ27" s="466"/>
      <c r="BK27" s="466"/>
      <c r="BL27" s="466"/>
      <c r="BM27" s="466"/>
      <c r="BN27" s="466"/>
      <c r="BO27" s="466"/>
      <c r="BP27" s="466"/>
      <c r="BQ27" s="466"/>
      <c r="BR27" s="466"/>
      <c r="BS27" s="466"/>
    </row>
    <row r="28" spans="1:71" s="207" customFormat="1">
      <c r="A28" s="431"/>
      <c r="B28" s="431"/>
      <c r="C28" s="431"/>
      <c r="D28" s="431"/>
      <c r="E28" s="431" t="str">
        <f>Company_PC_inputs!E28&amp; " (Intervention)"</f>
        <v>Enhanced underperformance payments - override (Intervention)</v>
      </c>
      <c r="F28" s="431"/>
      <c r="G28" s="431" t="str">
        <f>InpCompany!$F$11</f>
        <v>£m (2017-18 prices)</v>
      </c>
      <c r="H28" s="431"/>
      <c r="I28" s="431"/>
      <c r="J28" s="2262"/>
      <c r="K28" s="2262"/>
      <c r="L28" s="2262"/>
      <c r="M28" s="2262"/>
      <c r="N28" s="2262"/>
      <c r="O28" s="2262"/>
      <c r="P28" s="2262"/>
      <c r="Q28" s="2263"/>
      <c r="R28" s="2262"/>
      <c r="S28" s="2262"/>
      <c r="T28" s="2262"/>
      <c r="U28" s="2262"/>
      <c r="V28" s="2262"/>
      <c r="W28" s="2262"/>
      <c r="X28" s="2262"/>
      <c r="Y28" s="2262"/>
      <c r="Z28" s="2262"/>
      <c r="AA28" s="2262"/>
      <c r="AB28" s="2262"/>
      <c r="AC28" s="2262"/>
      <c r="AD28" s="2262"/>
      <c r="AE28" s="2262"/>
      <c r="AF28" s="2262"/>
      <c r="AG28" s="2262"/>
      <c r="AH28" s="2262"/>
      <c r="AI28" s="2262"/>
      <c r="AJ28" s="2262"/>
      <c r="AK28" s="2263"/>
      <c r="AL28" s="2262"/>
      <c r="AM28" s="2262"/>
      <c r="AN28" s="2262"/>
      <c r="AO28" s="2263"/>
      <c r="AP28" s="2262"/>
      <c r="AQ28" s="2262"/>
      <c r="AR28" s="2262"/>
      <c r="AS28" s="2262"/>
      <c r="AT28" s="2262"/>
      <c r="AU28" s="2262"/>
      <c r="AV28" s="2262"/>
      <c r="AW28" s="2262"/>
      <c r="AX28" s="2262"/>
      <c r="AY28" s="2262"/>
      <c r="AZ28" s="2262"/>
      <c r="BA28" s="2262"/>
      <c r="BB28" s="2262"/>
      <c r="BC28" s="2263"/>
      <c r="BD28" s="466"/>
      <c r="BE28" s="466"/>
      <c r="BF28" s="466"/>
      <c r="BG28" s="466"/>
      <c r="BH28" s="466"/>
      <c r="BI28" s="466"/>
      <c r="BJ28" s="466"/>
      <c r="BK28" s="466"/>
      <c r="BL28" s="466"/>
      <c r="BM28" s="466"/>
      <c r="BN28" s="466"/>
      <c r="BO28" s="466"/>
      <c r="BP28" s="466"/>
      <c r="BQ28" s="466"/>
      <c r="BR28" s="466"/>
      <c r="BS28" s="466"/>
    </row>
    <row r="29" spans="1:71" s="207" customFormat="1">
      <c r="A29" s="431"/>
      <c r="B29" s="431"/>
      <c r="C29" s="431"/>
      <c r="D29" s="431"/>
      <c r="E29" s="431" t="str">
        <f>Company_PC_inputs!E29&amp; " (Intervention)"</f>
        <v>Additional underperformance payments - override (Intervention)</v>
      </c>
      <c r="F29" s="431"/>
      <c r="G29" s="431" t="str">
        <f>InpCompany!$F$11</f>
        <v>£m (2017-18 prices)</v>
      </c>
      <c r="H29" s="431"/>
      <c r="I29" s="431"/>
      <c r="J29" s="2262"/>
      <c r="K29" s="2262"/>
      <c r="L29" s="2262"/>
      <c r="M29" s="2262"/>
      <c r="N29" s="2262"/>
      <c r="O29" s="2262"/>
      <c r="P29" s="2262"/>
      <c r="Q29" s="2263"/>
      <c r="R29" s="2262"/>
      <c r="S29" s="2262"/>
      <c r="T29" s="2262"/>
      <c r="U29" s="2262"/>
      <c r="V29" s="2262"/>
      <c r="W29" s="2262"/>
      <c r="X29" s="2262"/>
      <c r="Y29" s="2262"/>
      <c r="Z29" s="2262"/>
      <c r="AA29" s="2262"/>
      <c r="AB29" s="2262"/>
      <c r="AC29" s="2262"/>
      <c r="AD29" s="2262"/>
      <c r="AE29" s="2262"/>
      <c r="AF29" s="2262"/>
      <c r="AG29" s="2262"/>
      <c r="AH29" s="2262"/>
      <c r="AI29" s="2262"/>
      <c r="AJ29" s="2262"/>
      <c r="AK29" s="2263"/>
      <c r="AL29" s="2262"/>
      <c r="AM29" s="2262"/>
      <c r="AN29" s="2262"/>
      <c r="AO29" s="2263"/>
      <c r="AP29" s="2262"/>
      <c r="AQ29" s="2262"/>
      <c r="AR29" s="2262"/>
      <c r="AS29" s="2262"/>
      <c r="AT29" s="2262"/>
      <c r="AU29" s="2262"/>
      <c r="AV29" s="2262"/>
      <c r="AW29" s="2262"/>
      <c r="AX29" s="2262"/>
      <c r="AY29" s="2262"/>
      <c r="AZ29" s="2262"/>
      <c r="BA29" s="2262"/>
      <c r="BB29" s="2262"/>
      <c r="BC29" s="2263"/>
      <c r="BD29" s="466"/>
      <c r="BE29" s="466"/>
      <c r="BF29" s="466"/>
      <c r="BG29" s="466"/>
      <c r="BH29" s="466"/>
      <c r="BI29" s="466"/>
      <c r="BJ29" s="466"/>
      <c r="BK29" s="466"/>
      <c r="BL29" s="466"/>
      <c r="BM29" s="466"/>
      <c r="BN29" s="466"/>
      <c r="BO29" s="466"/>
      <c r="BP29" s="466"/>
      <c r="BQ29" s="466"/>
      <c r="BR29" s="466"/>
      <c r="BS29" s="466"/>
    </row>
    <row r="30" spans="1:71" s="207" customFormat="1">
      <c r="A30" s="431"/>
      <c r="B30" s="431"/>
      <c r="C30" s="431"/>
      <c r="D30" s="431"/>
      <c r="E30" s="431"/>
      <c r="F30" s="431"/>
      <c r="G30" s="431"/>
      <c r="H30" s="431"/>
      <c r="I30" s="431"/>
      <c r="J30" s="2266"/>
      <c r="K30" s="2266"/>
      <c r="L30" s="2266"/>
      <c r="M30" s="2266"/>
      <c r="N30" s="2266"/>
      <c r="O30" s="2266"/>
      <c r="P30" s="2266"/>
      <c r="Q30" s="2267"/>
      <c r="R30" s="2266"/>
      <c r="S30" s="2266"/>
      <c r="T30" s="2266"/>
      <c r="U30" s="2266"/>
      <c r="V30" s="2266"/>
      <c r="W30" s="2266"/>
      <c r="X30" s="2266"/>
      <c r="Y30" s="2266"/>
      <c r="Z30" s="2266"/>
      <c r="AA30" s="2266"/>
      <c r="AB30" s="2266"/>
      <c r="AC30" s="2266"/>
      <c r="AD30" s="2266"/>
      <c r="AE30" s="2266"/>
      <c r="AF30" s="2266"/>
      <c r="AG30" s="2266"/>
      <c r="AH30" s="2266"/>
      <c r="AI30" s="2266"/>
      <c r="AJ30" s="2266"/>
      <c r="AK30" s="2267"/>
      <c r="AL30" s="2266"/>
      <c r="AM30" s="2266"/>
      <c r="AN30" s="2266"/>
      <c r="AO30" s="2267"/>
      <c r="AP30" s="2266"/>
      <c r="AQ30" s="2266"/>
      <c r="AR30" s="2266"/>
      <c r="AS30" s="2266"/>
      <c r="AT30" s="2266"/>
      <c r="AU30" s="2266"/>
      <c r="AV30" s="2266"/>
      <c r="AW30" s="2266"/>
      <c r="AX30" s="2266"/>
      <c r="AY30" s="2266"/>
      <c r="AZ30" s="2266"/>
      <c r="BA30" s="2266"/>
      <c r="BB30" s="2266"/>
      <c r="BC30" s="2267"/>
      <c r="BD30" s="515"/>
      <c r="BE30" s="515"/>
      <c r="BF30" s="515"/>
      <c r="BG30" s="515"/>
      <c r="BH30" s="515"/>
      <c r="BI30" s="515"/>
      <c r="BJ30" s="515"/>
      <c r="BK30" s="515"/>
      <c r="BL30" s="515"/>
      <c r="BM30" s="515"/>
      <c r="BN30" s="515"/>
      <c r="BO30" s="515"/>
      <c r="BP30" s="515"/>
      <c r="BQ30" s="515"/>
      <c r="BR30" s="515"/>
      <c r="BS30" s="515"/>
    </row>
    <row r="31" spans="1:71" s="207" customFormat="1">
      <c r="A31" s="431"/>
      <c r="B31" s="431"/>
      <c r="C31" s="431"/>
      <c r="D31" s="431"/>
      <c r="E31" s="431" t="str">
        <f>Company_PC_inputs!E31&amp; " (Intervention)"</f>
        <v>Performance commitment unit (Intervention)</v>
      </c>
      <c r="F31" s="431"/>
      <c r="G31" s="431" t="s">
        <v>155</v>
      </c>
      <c r="H31" s="431"/>
      <c r="I31" s="431"/>
      <c r="J31" s="2188"/>
      <c r="K31" s="2188"/>
      <c r="L31" s="2188"/>
      <c r="M31" s="2188"/>
      <c r="N31" s="2188"/>
      <c r="O31" s="2188"/>
      <c r="P31" s="2188"/>
      <c r="Q31" s="2264"/>
      <c r="R31" s="2188"/>
      <c r="S31" s="2188"/>
      <c r="T31" s="2188"/>
      <c r="U31" s="2188"/>
      <c r="V31" s="2188"/>
      <c r="W31" s="2188"/>
      <c r="X31" s="2188"/>
      <c r="Y31" s="2188"/>
      <c r="Z31" s="2188"/>
      <c r="AA31" s="2188"/>
      <c r="AB31" s="2188"/>
      <c r="AC31" s="2188"/>
      <c r="AD31" s="2188"/>
      <c r="AE31" s="2188"/>
      <c r="AF31" s="2188"/>
      <c r="AG31" s="2188"/>
      <c r="AH31" s="2188"/>
      <c r="AI31" s="2188"/>
      <c r="AJ31" s="2188"/>
      <c r="AK31" s="2264"/>
      <c r="AL31" s="2188"/>
      <c r="AM31" s="2188"/>
      <c r="AN31" s="2188"/>
      <c r="AO31" s="2264"/>
      <c r="AP31" s="2188"/>
      <c r="AQ31" s="2188"/>
      <c r="AR31" s="2188"/>
      <c r="AS31" s="2188"/>
      <c r="AT31" s="2188"/>
      <c r="AU31" s="2188"/>
      <c r="AV31" s="2188"/>
      <c r="AW31" s="2188"/>
      <c r="AX31" s="2188"/>
      <c r="AY31" s="2188"/>
      <c r="AZ31" s="2188"/>
      <c r="BA31" s="2188"/>
      <c r="BB31" s="2188"/>
      <c r="BC31" s="2264"/>
      <c r="BD31" s="483"/>
      <c r="BE31" s="483"/>
      <c r="BF31" s="483"/>
      <c r="BG31" s="483"/>
      <c r="BH31" s="483"/>
      <c r="BI31" s="483"/>
      <c r="BJ31" s="483"/>
      <c r="BK31" s="483"/>
      <c r="BL31" s="483"/>
      <c r="BM31" s="483"/>
      <c r="BN31" s="483"/>
      <c r="BO31" s="483"/>
      <c r="BP31" s="483"/>
      <c r="BQ31" s="483"/>
      <c r="BR31" s="483"/>
      <c r="BS31" s="483"/>
    </row>
    <row r="32" spans="1:71" s="213" customFormat="1">
      <c r="A32" s="488"/>
      <c r="B32" s="488"/>
      <c r="C32" s="488"/>
      <c r="D32" s="488"/>
      <c r="E32" s="431"/>
      <c r="F32" s="488"/>
      <c r="G32" s="488"/>
      <c r="H32" s="488"/>
      <c r="I32" s="488"/>
      <c r="J32" s="2268"/>
      <c r="K32" s="2268"/>
      <c r="L32" s="2268"/>
      <c r="M32" s="2268"/>
      <c r="N32" s="2268"/>
      <c r="O32" s="2268"/>
      <c r="P32" s="2268"/>
      <c r="Q32" s="2269"/>
      <c r="R32" s="2268"/>
      <c r="S32" s="2268"/>
      <c r="T32" s="2268"/>
      <c r="U32" s="2268"/>
      <c r="V32" s="2268"/>
      <c r="W32" s="2268"/>
      <c r="X32" s="2268"/>
      <c r="Y32" s="2268"/>
      <c r="Z32" s="2268"/>
      <c r="AA32" s="2268"/>
      <c r="AB32" s="2268"/>
      <c r="AC32" s="2268"/>
      <c r="AD32" s="2268"/>
      <c r="AE32" s="2268"/>
      <c r="AF32" s="2268"/>
      <c r="AG32" s="2268"/>
      <c r="AH32" s="2268"/>
      <c r="AI32" s="2268"/>
      <c r="AJ32" s="2268"/>
      <c r="AK32" s="2269"/>
      <c r="AL32" s="2268"/>
      <c r="AM32" s="2268"/>
      <c r="AN32" s="2268"/>
      <c r="AO32" s="2269"/>
      <c r="AP32" s="2268"/>
      <c r="AQ32" s="2268"/>
      <c r="AR32" s="2268"/>
      <c r="AS32" s="2268"/>
      <c r="AT32" s="2268"/>
      <c r="AU32" s="2268"/>
      <c r="AV32" s="2268"/>
      <c r="AW32" s="2268"/>
      <c r="AX32" s="2268"/>
      <c r="AY32" s="2268"/>
      <c r="AZ32" s="2268"/>
      <c r="BA32" s="2268"/>
      <c r="BB32" s="2268"/>
      <c r="BC32" s="2269"/>
      <c r="BD32" s="527"/>
      <c r="BE32" s="527"/>
      <c r="BF32" s="527"/>
      <c r="BG32" s="527"/>
      <c r="BH32" s="527"/>
      <c r="BI32" s="527"/>
      <c r="BJ32" s="527"/>
      <c r="BK32" s="527"/>
      <c r="BL32" s="527"/>
      <c r="BM32" s="527"/>
      <c r="BN32" s="527"/>
      <c r="BO32" s="527"/>
      <c r="BP32" s="527"/>
      <c r="BQ32" s="527"/>
      <c r="BR32" s="527"/>
      <c r="BS32" s="527"/>
    </row>
    <row r="33" spans="1:71" s="207" customFormat="1">
      <c r="A33" s="431"/>
      <c r="B33" s="431"/>
      <c r="C33" s="431"/>
      <c r="D33" s="431"/>
      <c r="E33" s="431" t="str">
        <f>Company_PC_inputs!E33&amp; " (Intervention)"</f>
        <v>ODI form (Intervention)</v>
      </c>
      <c r="F33" s="431"/>
      <c r="G33" s="431" t="s">
        <v>2007</v>
      </c>
      <c r="H33" s="431"/>
      <c r="I33" s="431"/>
      <c r="J33" s="2188"/>
      <c r="K33" s="2188"/>
      <c r="L33" s="2188"/>
      <c r="M33" s="2188"/>
      <c r="N33" s="2188"/>
      <c r="O33" s="2188"/>
      <c r="P33" s="2188"/>
      <c r="Q33" s="2264"/>
      <c r="R33" s="2188"/>
      <c r="S33" s="2188"/>
      <c r="T33" s="2188"/>
      <c r="U33" s="2188"/>
      <c r="V33" s="2188"/>
      <c r="W33" s="2188"/>
      <c r="X33" s="2188"/>
      <c r="Y33" s="2188"/>
      <c r="Z33" s="2188"/>
      <c r="AA33" s="2188"/>
      <c r="AB33" s="2188"/>
      <c r="AC33" s="2188"/>
      <c r="AD33" s="2188"/>
      <c r="AE33" s="2188"/>
      <c r="AF33" s="2188"/>
      <c r="AG33" s="2188"/>
      <c r="AH33" s="2188"/>
      <c r="AI33" s="2188"/>
      <c r="AJ33" s="2188"/>
      <c r="AK33" s="2264"/>
      <c r="AL33" s="2188"/>
      <c r="AM33" s="2188"/>
      <c r="AN33" s="2188"/>
      <c r="AO33" s="2264"/>
      <c r="AP33" s="2188"/>
      <c r="AQ33" s="2188"/>
      <c r="AR33" s="2188"/>
      <c r="AS33" s="2188"/>
      <c r="AT33" s="2188"/>
      <c r="AU33" s="2188"/>
      <c r="AV33" s="2188"/>
      <c r="AW33" s="2188"/>
      <c r="AX33" s="2188"/>
      <c r="AY33" s="2188"/>
      <c r="AZ33" s="2188"/>
      <c r="BA33" s="2188"/>
      <c r="BB33" s="2188"/>
      <c r="BC33" s="2264"/>
      <c r="BD33" s="483"/>
      <c r="BE33" s="483"/>
      <c r="BF33" s="483"/>
      <c r="BG33" s="483"/>
      <c r="BH33" s="483"/>
      <c r="BI33" s="483"/>
      <c r="BJ33" s="483"/>
      <c r="BK33" s="483"/>
      <c r="BL33" s="483"/>
      <c r="BM33" s="483"/>
      <c r="BN33" s="483"/>
      <c r="BO33" s="483"/>
      <c r="BP33" s="483"/>
      <c r="BQ33" s="483"/>
      <c r="BR33" s="483"/>
      <c r="BS33" s="483"/>
    </row>
    <row r="34" spans="1:71" s="207" customFormat="1">
      <c r="A34" s="431"/>
      <c r="B34" s="431"/>
      <c r="C34" s="431"/>
      <c r="D34" s="431"/>
      <c r="E34" s="431" t="str">
        <f>Company_PC_inputs!E34&amp; " (Intervention)"</f>
        <v>ODI timing (Intervention)</v>
      </c>
      <c r="F34" s="431"/>
      <c r="G34" s="431" t="s">
        <v>2007</v>
      </c>
      <c r="H34" s="431"/>
      <c r="I34" s="431"/>
      <c r="J34" s="2188"/>
      <c r="K34" s="2188"/>
      <c r="L34" s="2188"/>
      <c r="M34" s="2188"/>
      <c r="N34" s="2188"/>
      <c r="O34" s="2188"/>
      <c r="P34" s="2188"/>
      <c r="Q34" s="2264"/>
      <c r="R34" s="2188"/>
      <c r="S34" s="2188"/>
      <c r="T34" s="2188"/>
      <c r="U34" s="2188"/>
      <c r="V34" s="2188"/>
      <c r="W34" s="2188"/>
      <c r="X34" s="2188"/>
      <c r="Y34" s="2188"/>
      <c r="Z34" s="2188"/>
      <c r="AA34" s="2188"/>
      <c r="AB34" s="2188"/>
      <c r="AC34" s="2188"/>
      <c r="AD34" s="2188"/>
      <c r="AE34" s="2188"/>
      <c r="AF34" s="2188"/>
      <c r="AG34" s="2188"/>
      <c r="AH34" s="2188"/>
      <c r="AI34" s="2188"/>
      <c r="AJ34" s="2188"/>
      <c r="AK34" s="2264"/>
      <c r="AL34" s="2188"/>
      <c r="AM34" s="2188"/>
      <c r="AN34" s="2188"/>
      <c r="AO34" s="2264"/>
      <c r="AP34" s="2188"/>
      <c r="AQ34" s="2188"/>
      <c r="AR34" s="2188"/>
      <c r="AS34" s="2188"/>
      <c r="AT34" s="2188"/>
      <c r="AU34" s="2188"/>
      <c r="AV34" s="2188"/>
      <c r="AW34" s="2188"/>
      <c r="AX34" s="2188"/>
      <c r="AY34" s="2188"/>
      <c r="AZ34" s="2188"/>
      <c r="BA34" s="2188"/>
      <c r="BB34" s="2188"/>
      <c r="BC34" s="2264"/>
      <c r="BD34" s="483"/>
      <c r="BE34" s="483"/>
      <c r="BF34" s="483"/>
      <c r="BG34" s="483"/>
      <c r="BH34" s="483"/>
      <c r="BI34" s="483"/>
      <c r="BJ34" s="483"/>
      <c r="BK34" s="483"/>
      <c r="BL34" s="483"/>
      <c r="BM34" s="483"/>
      <c r="BN34" s="483"/>
      <c r="BO34" s="483"/>
      <c r="BP34" s="483"/>
      <c r="BQ34" s="483"/>
      <c r="BR34" s="483"/>
      <c r="BS34" s="483"/>
    </row>
    <row r="35" spans="1:71" s="207" customFormat="1">
      <c r="A35" s="431"/>
      <c r="B35" s="431"/>
      <c r="C35" s="431"/>
      <c r="D35" s="431"/>
      <c r="E35" s="431"/>
      <c r="F35" s="431"/>
      <c r="G35" s="431"/>
      <c r="H35" s="431"/>
      <c r="I35" s="431"/>
      <c r="J35" s="535"/>
      <c r="K35" s="535"/>
      <c r="L35" s="535"/>
      <c r="M35" s="535"/>
      <c r="N35" s="535"/>
      <c r="O35" s="535"/>
      <c r="P35" s="535"/>
      <c r="Q35" s="2265"/>
      <c r="R35" s="535"/>
      <c r="S35" s="535"/>
      <c r="T35" s="535"/>
      <c r="U35" s="535"/>
      <c r="V35" s="535"/>
      <c r="W35" s="535"/>
      <c r="X35" s="535"/>
      <c r="Y35" s="535"/>
      <c r="Z35" s="535"/>
      <c r="AA35" s="535"/>
      <c r="AB35" s="535"/>
      <c r="AC35" s="535"/>
      <c r="AD35" s="535"/>
      <c r="AE35" s="535"/>
      <c r="AF35" s="535"/>
      <c r="AG35" s="535"/>
      <c r="AH35" s="535"/>
      <c r="AI35" s="535"/>
      <c r="AJ35" s="535"/>
      <c r="AK35" s="2265"/>
      <c r="AL35" s="535"/>
      <c r="AM35" s="535"/>
      <c r="AN35" s="535"/>
      <c r="AO35" s="2265"/>
      <c r="AP35" s="535"/>
      <c r="AQ35" s="535"/>
      <c r="AR35" s="535"/>
      <c r="AS35" s="535"/>
      <c r="AT35" s="535"/>
      <c r="AU35" s="535"/>
      <c r="AV35" s="535"/>
      <c r="AW35" s="535"/>
      <c r="AX35" s="535"/>
      <c r="AY35" s="535"/>
      <c r="AZ35" s="535"/>
      <c r="BA35" s="535"/>
      <c r="BB35" s="535"/>
      <c r="BC35" s="2265"/>
      <c r="BD35" s="520"/>
      <c r="BE35" s="520"/>
      <c r="BF35" s="520"/>
      <c r="BG35" s="520"/>
      <c r="BH35" s="520"/>
      <c r="BI35" s="520"/>
      <c r="BJ35" s="520"/>
      <c r="BK35" s="520"/>
      <c r="BL35" s="520"/>
      <c r="BM35" s="520"/>
      <c r="BN35" s="520"/>
      <c r="BO35" s="520"/>
      <c r="BP35" s="520"/>
      <c r="BQ35" s="520"/>
      <c r="BR35" s="520"/>
      <c r="BS35" s="520"/>
    </row>
    <row r="36" spans="1:71" s="207" customFormat="1">
      <c r="A36" s="431"/>
      <c r="B36" s="431"/>
      <c r="C36" s="431"/>
      <c r="D36" s="431"/>
      <c r="E36" s="431" t="str">
        <f>Company_PC_inputs!E36&amp; " (Intervention)"</f>
        <v>Financial incentives apply or accrue this year? (Intervention)</v>
      </c>
      <c r="F36" s="431"/>
      <c r="G36" s="431" t="s">
        <v>461</v>
      </c>
      <c r="H36" s="431"/>
      <c r="I36" s="431"/>
      <c r="J36" s="2188"/>
      <c r="K36" s="2188"/>
      <c r="L36" s="2188"/>
      <c r="M36" s="2188"/>
      <c r="N36" s="2188"/>
      <c r="O36" s="2188"/>
      <c r="P36" s="2188"/>
      <c r="Q36" s="2264"/>
      <c r="R36" s="2188"/>
      <c r="S36" s="2188"/>
      <c r="T36" s="2188"/>
      <c r="U36" s="2188"/>
      <c r="V36" s="2188"/>
      <c r="W36" s="2188"/>
      <c r="X36" s="2188"/>
      <c r="Y36" s="2188"/>
      <c r="Z36" s="2188"/>
      <c r="AA36" s="2188"/>
      <c r="AB36" s="2188"/>
      <c r="AC36" s="2188"/>
      <c r="AD36" s="2188"/>
      <c r="AE36" s="2188"/>
      <c r="AF36" s="2188"/>
      <c r="AG36" s="2188"/>
      <c r="AH36" s="2188"/>
      <c r="AI36" s="2188"/>
      <c r="AJ36" s="2188"/>
      <c r="AK36" s="2264"/>
      <c r="AL36" s="2188"/>
      <c r="AM36" s="2188"/>
      <c r="AN36" s="2188"/>
      <c r="AO36" s="2264"/>
      <c r="AP36" s="2188"/>
      <c r="AQ36" s="2188"/>
      <c r="AR36" s="2188"/>
      <c r="AS36" s="2188"/>
      <c r="AT36" s="2188"/>
      <c r="AU36" s="2188"/>
      <c r="AV36" s="2188"/>
      <c r="AW36" s="2188"/>
      <c r="AX36" s="2188"/>
      <c r="AY36" s="2188"/>
      <c r="AZ36" s="2188"/>
      <c r="BA36" s="2188"/>
      <c r="BB36" s="2188"/>
      <c r="BC36" s="2264"/>
      <c r="BD36" s="526"/>
      <c r="BE36" s="526"/>
      <c r="BF36" s="526"/>
      <c r="BG36" s="526"/>
      <c r="BH36" s="526"/>
      <c r="BI36" s="526"/>
      <c r="BJ36" s="526"/>
      <c r="BK36" s="526"/>
      <c r="BL36" s="526"/>
      <c r="BM36" s="526"/>
      <c r="BN36" s="526"/>
      <c r="BO36" s="526"/>
      <c r="BP36" s="526"/>
      <c r="BQ36" s="526"/>
      <c r="BR36" s="526"/>
      <c r="BS36" s="526"/>
    </row>
    <row r="37" spans="1:71" s="207" customFormat="1">
      <c r="A37" s="431"/>
      <c r="B37" s="431"/>
      <c r="C37" s="431"/>
      <c r="D37" s="431"/>
      <c r="E37" s="431"/>
      <c r="F37" s="431"/>
      <c r="G37" s="431"/>
      <c r="H37" s="431"/>
      <c r="I37" s="431"/>
      <c r="J37" s="535"/>
      <c r="K37" s="535"/>
      <c r="L37" s="535"/>
      <c r="M37" s="535"/>
      <c r="N37" s="535"/>
      <c r="O37" s="535"/>
      <c r="P37" s="535"/>
      <c r="Q37" s="2265"/>
      <c r="R37" s="535"/>
      <c r="S37" s="535"/>
      <c r="T37" s="535"/>
      <c r="U37" s="535"/>
      <c r="V37" s="535"/>
      <c r="W37" s="535"/>
      <c r="X37" s="535"/>
      <c r="Y37" s="535"/>
      <c r="Z37" s="535"/>
      <c r="AA37" s="535"/>
      <c r="AB37" s="535"/>
      <c r="AC37" s="535"/>
      <c r="AD37" s="535"/>
      <c r="AE37" s="535"/>
      <c r="AF37" s="535"/>
      <c r="AG37" s="535"/>
      <c r="AH37" s="535"/>
      <c r="AI37" s="535"/>
      <c r="AJ37" s="535"/>
      <c r="AK37" s="2265"/>
      <c r="AL37" s="535"/>
      <c r="AM37" s="535"/>
      <c r="AN37" s="535"/>
      <c r="AO37" s="2265"/>
      <c r="AP37" s="535"/>
      <c r="AQ37" s="535"/>
      <c r="AR37" s="535"/>
      <c r="AS37" s="535"/>
      <c r="AT37" s="535"/>
      <c r="AU37" s="535"/>
      <c r="AV37" s="535"/>
      <c r="AW37" s="535"/>
      <c r="AX37" s="535"/>
      <c r="AY37" s="535"/>
      <c r="AZ37" s="535"/>
      <c r="BA37" s="535"/>
      <c r="BB37" s="535"/>
      <c r="BC37" s="2265"/>
      <c r="BD37" s="520"/>
      <c r="BE37" s="520"/>
      <c r="BF37" s="520"/>
      <c r="BG37" s="520"/>
      <c r="BH37" s="520"/>
      <c r="BI37" s="520"/>
      <c r="BJ37" s="520"/>
      <c r="BK37" s="520"/>
      <c r="BL37" s="520"/>
      <c r="BM37" s="520"/>
      <c r="BN37" s="520"/>
      <c r="BO37" s="520"/>
      <c r="BP37" s="520"/>
      <c r="BQ37" s="520"/>
      <c r="BR37" s="520"/>
      <c r="BS37" s="520"/>
    </row>
    <row r="38" spans="1:71" s="207" customFormat="1">
      <c r="A38" s="431"/>
      <c r="B38" s="431"/>
      <c r="C38" s="431"/>
      <c r="D38" s="431"/>
      <c r="E38" s="431" t="str">
        <f>Company_PC_inputs!E38&amp; " (Intervention)"</f>
        <v>Direction of improving performance (Intervention)</v>
      </c>
      <c r="F38" s="431"/>
      <c r="G38" s="431" t="s">
        <v>2046</v>
      </c>
      <c r="H38" s="431"/>
      <c r="I38" s="431"/>
      <c r="J38" s="2188"/>
      <c r="K38" s="2188"/>
      <c r="L38" s="2188"/>
      <c r="M38" s="2188"/>
      <c r="N38" s="2188"/>
      <c r="O38" s="2188"/>
      <c r="P38" s="2188"/>
      <c r="Q38" s="2264"/>
      <c r="R38" s="2188"/>
      <c r="S38" s="2188"/>
      <c r="T38" s="2188"/>
      <c r="U38" s="2188"/>
      <c r="V38" s="2188"/>
      <c r="W38" s="2188"/>
      <c r="X38" s="2188"/>
      <c r="Y38" s="2188"/>
      <c r="Z38" s="2188"/>
      <c r="AA38" s="2188"/>
      <c r="AB38" s="2188"/>
      <c r="AC38" s="2188"/>
      <c r="AD38" s="2188"/>
      <c r="AE38" s="2188"/>
      <c r="AF38" s="2188"/>
      <c r="AG38" s="2188"/>
      <c r="AH38" s="2188"/>
      <c r="AI38" s="2188"/>
      <c r="AJ38" s="2188"/>
      <c r="AK38" s="2264"/>
      <c r="AL38" s="2188"/>
      <c r="AM38" s="2188"/>
      <c r="AN38" s="2188"/>
      <c r="AO38" s="2264"/>
      <c r="AP38" s="2188"/>
      <c r="AQ38" s="2188"/>
      <c r="AR38" s="2188"/>
      <c r="AS38" s="2188"/>
      <c r="AT38" s="2188"/>
      <c r="AU38" s="2188"/>
      <c r="AV38" s="2188"/>
      <c r="AW38" s="2188"/>
      <c r="AX38" s="2188"/>
      <c r="AY38" s="2188"/>
      <c r="AZ38" s="2188"/>
      <c r="BA38" s="2188"/>
      <c r="BB38" s="2188"/>
      <c r="BC38" s="2264"/>
      <c r="BD38" s="483"/>
      <c r="BE38" s="483"/>
      <c r="BF38" s="483"/>
      <c r="BG38" s="483"/>
      <c r="BH38" s="483"/>
      <c r="BI38" s="483"/>
      <c r="BJ38" s="483"/>
      <c r="BK38" s="483"/>
      <c r="BL38" s="483"/>
      <c r="BM38" s="483"/>
      <c r="BN38" s="483"/>
      <c r="BO38" s="483"/>
      <c r="BP38" s="483"/>
      <c r="BQ38" s="483"/>
      <c r="BR38" s="483"/>
      <c r="BS38" s="483"/>
    </row>
    <row r="39" spans="1:71" s="207" customFormat="1">
      <c r="A39" s="431"/>
      <c r="B39" s="431"/>
      <c r="C39" s="431"/>
      <c r="D39" s="431"/>
      <c r="E39" s="431"/>
      <c r="F39" s="431"/>
      <c r="G39" s="431"/>
      <c r="H39" s="431"/>
      <c r="I39" s="431"/>
      <c r="J39" s="535"/>
      <c r="K39" s="535"/>
      <c r="L39" s="535"/>
      <c r="M39" s="535"/>
      <c r="N39" s="535"/>
      <c r="O39" s="535"/>
      <c r="P39" s="535"/>
      <c r="Q39" s="2265"/>
      <c r="R39" s="535"/>
      <c r="S39" s="535"/>
      <c r="T39" s="535"/>
      <c r="U39" s="535"/>
      <c r="V39" s="535"/>
      <c r="W39" s="535"/>
      <c r="X39" s="535"/>
      <c r="Y39" s="535"/>
      <c r="Z39" s="535"/>
      <c r="AA39" s="535"/>
      <c r="AB39" s="535"/>
      <c r="AC39" s="535"/>
      <c r="AD39" s="535"/>
      <c r="AE39" s="535"/>
      <c r="AF39" s="535"/>
      <c r="AG39" s="535"/>
      <c r="AH39" s="535"/>
      <c r="AI39" s="535"/>
      <c r="AJ39" s="535"/>
      <c r="AK39" s="2265"/>
      <c r="AL39" s="535"/>
      <c r="AM39" s="535"/>
      <c r="AN39" s="535"/>
      <c r="AO39" s="2265"/>
      <c r="AP39" s="535"/>
      <c r="AQ39" s="535"/>
      <c r="AR39" s="535"/>
      <c r="AS39" s="535"/>
      <c r="AT39" s="535"/>
      <c r="AU39" s="535"/>
      <c r="AV39" s="535"/>
      <c r="AW39" s="535"/>
      <c r="AX39" s="535"/>
      <c r="AY39" s="535"/>
      <c r="AZ39" s="535"/>
      <c r="BA39" s="535"/>
      <c r="BB39" s="535"/>
      <c r="BC39" s="2265"/>
      <c r="BD39" s="520"/>
      <c r="BE39" s="520"/>
      <c r="BF39" s="520"/>
      <c r="BG39" s="520"/>
      <c r="BH39" s="520"/>
      <c r="BI39" s="520"/>
      <c r="BJ39" s="520"/>
      <c r="BK39" s="520"/>
      <c r="BL39" s="520"/>
      <c r="BM39" s="520"/>
      <c r="BN39" s="520"/>
      <c r="BO39" s="520"/>
      <c r="BP39" s="520"/>
      <c r="BQ39" s="520"/>
      <c r="BR39" s="520"/>
      <c r="BS39" s="520"/>
    </row>
    <row r="40" spans="1:71" s="207" customFormat="1">
      <c r="A40" s="431"/>
      <c r="B40" s="431"/>
      <c r="C40" s="431"/>
      <c r="D40" s="431"/>
      <c r="E40" s="431" t="str">
        <f>Company_PC_inputs!E40&amp; " (Intervention)"</f>
        <v>Decimal places (Intervention)</v>
      </c>
      <c r="F40" s="431"/>
      <c r="G40" s="431" t="s">
        <v>439</v>
      </c>
      <c r="H40" s="431"/>
      <c r="I40" s="431"/>
      <c r="J40" s="2188"/>
      <c r="K40" s="2188"/>
      <c r="L40" s="2188"/>
      <c r="M40" s="2188"/>
      <c r="N40" s="2188"/>
      <c r="O40" s="2188"/>
      <c r="P40" s="2188"/>
      <c r="Q40" s="2264"/>
      <c r="R40" s="2188"/>
      <c r="S40" s="2188"/>
      <c r="T40" s="2188"/>
      <c r="U40" s="2188"/>
      <c r="V40" s="2188"/>
      <c r="W40" s="2188"/>
      <c r="X40" s="2188"/>
      <c r="Y40" s="2188"/>
      <c r="Z40" s="2188"/>
      <c r="AA40" s="2188"/>
      <c r="AB40" s="2188"/>
      <c r="AC40" s="2188"/>
      <c r="AD40" s="2188"/>
      <c r="AE40" s="2188"/>
      <c r="AF40" s="2188"/>
      <c r="AG40" s="2188"/>
      <c r="AH40" s="2188"/>
      <c r="AI40" s="2188"/>
      <c r="AJ40" s="2188"/>
      <c r="AK40" s="2264"/>
      <c r="AL40" s="2188"/>
      <c r="AM40" s="2188"/>
      <c r="AN40" s="2188"/>
      <c r="AO40" s="2264"/>
      <c r="AP40" s="2188"/>
      <c r="AQ40" s="2188"/>
      <c r="AR40" s="2188"/>
      <c r="AS40" s="2188"/>
      <c r="AT40" s="2188"/>
      <c r="AU40" s="2188"/>
      <c r="AV40" s="2188"/>
      <c r="AW40" s="2188"/>
      <c r="AX40" s="2188"/>
      <c r="AY40" s="2188"/>
      <c r="AZ40" s="2188"/>
      <c r="BA40" s="2188"/>
      <c r="BB40" s="2188"/>
      <c r="BC40" s="2264"/>
      <c r="BD40" s="483"/>
      <c r="BE40" s="483"/>
      <c r="BF40" s="483"/>
      <c r="BG40" s="483"/>
      <c r="BH40" s="483"/>
      <c r="BI40" s="483"/>
      <c r="BJ40" s="483"/>
      <c r="BK40" s="483"/>
      <c r="BL40" s="483"/>
      <c r="BM40" s="483"/>
      <c r="BN40" s="483"/>
      <c r="BO40" s="483"/>
      <c r="BP40" s="483"/>
      <c r="BQ40" s="483"/>
      <c r="BR40" s="483"/>
      <c r="BS40" s="483"/>
    </row>
    <row r="41" spans="1:71" s="207" customFormat="1">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c r="A42" s="431"/>
      <c r="B42" s="431"/>
      <c r="C42" s="431"/>
      <c r="D42" s="441" t="s">
        <v>2047</v>
      </c>
      <c r="E42" s="431"/>
      <c r="F42" s="431"/>
      <c r="G42" s="431"/>
      <c r="H42" s="431"/>
      <c r="I42" s="431"/>
      <c r="J42" s="535"/>
      <c r="K42" s="535"/>
      <c r="L42" s="535"/>
      <c r="M42" s="535"/>
      <c r="N42" s="535"/>
      <c r="O42" s="535"/>
      <c r="P42" s="535"/>
      <c r="Q42" s="2265"/>
      <c r="R42" s="535"/>
      <c r="S42" s="535"/>
      <c r="T42" s="535"/>
      <c r="U42" s="535"/>
      <c r="V42" s="535"/>
      <c r="W42" s="535"/>
      <c r="X42" s="535"/>
      <c r="Y42" s="535"/>
      <c r="Z42" s="535"/>
      <c r="AA42" s="535"/>
      <c r="AB42" s="535"/>
      <c r="AC42" s="535"/>
      <c r="AD42" s="535"/>
      <c r="AE42" s="535"/>
      <c r="AF42" s="535"/>
      <c r="AG42" s="535"/>
      <c r="AH42" s="535"/>
      <c r="AI42" s="535"/>
      <c r="AJ42" s="535"/>
      <c r="AK42" s="2265"/>
      <c r="AL42" s="535"/>
      <c r="AM42" s="535"/>
      <c r="AN42" s="535"/>
      <c r="AO42" s="2265"/>
      <c r="AP42" s="535"/>
      <c r="AQ42" s="535"/>
      <c r="AR42" s="535"/>
      <c r="AS42" s="535"/>
      <c r="AT42" s="535"/>
      <c r="AU42" s="535"/>
      <c r="AV42" s="535"/>
      <c r="AW42" s="535"/>
      <c r="AX42" s="535"/>
      <c r="AY42" s="535"/>
      <c r="AZ42" s="535"/>
      <c r="BA42" s="535"/>
      <c r="BB42" s="535"/>
      <c r="BC42" s="2265"/>
      <c r="BD42" s="520"/>
      <c r="BE42" s="520"/>
      <c r="BF42" s="520"/>
      <c r="BG42" s="520"/>
      <c r="BH42" s="520"/>
      <c r="BI42" s="520"/>
      <c r="BJ42" s="520"/>
      <c r="BK42" s="520"/>
      <c r="BL42" s="520"/>
      <c r="BM42" s="520"/>
      <c r="BN42" s="520"/>
      <c r="BO42" s="520"/>
      <c r="BP42" s="520"/>
      <c r="BQ42" s="520"/>
      <c r="BR42" s="520"/>
      <c r="BS42" s="520"/>
    </row>
    <row r="43" spans="1:71" s="207" customFormat="1">
      <c r="A43" s="431"/>
      <c r="B43" s="431"/>
      <c r="C43" s="431"/>
      <c r="D43" s="431"/>
      <c r="E43" s="431" t="str">
        <f>Company_PC_inputs!E43&amp; " (Intervention)"</f>
        <v>Standard outperformance cap (Intervention)</v>
      </c>
      <c r="F43" s="431"/>
      <c r="G43" s="431" t="s">
        <v>2028</v>
      </c>
      <c r="H43" s="431"/>
      <c r="I43" s="431"/>
      <c r="J43" s="2262"/>
      <c r="K43" s="2262"/>
      <c r="L43" s="2262"/>
      <c r="M43" s="2262"/>
      <c r="N43" s="2262"/>
      <c r="O43" s="2262"/>
      <c r="P43" s="2262"/>
      <c r="Q43" s="2263"/>
      <c r="R43" s="2262"/>
      <c r="S43" s="2262"/>
      <c r="T43" s="2262"/>
      <c r="U43" s="2262"/>
      <c r="V43" s="2262"/>
      <c r="W43" s="2262"/>
      <c r="X43" s="2262"/>
      <c r="Y43" s="2262"/>
      <c r="Z43" s="2262"/>
      <c r="AA43" s="2262"/>
      <c r="AB43" s="2262"/>
      <c r="AC43" s="2262"/>
      <c r="AD43" s="2262"/>
      <c r="AE43" s="2262"/>
      <c r="AF43" s="2262"/>
      <c r="AG43" s="2262"/>
      <c r="AH43" s="2262"/>
      <c r="AI43" s="2262"/>
      <c r="AJ43" s="2262"/>
      <c r="AK43" s="2263"/>
      <c r="AL43" s="2262"/>
      <c r="AM43" s="2262"/>
      <c r="AN43" s="2262"/>
      <c r="AO43" s="2263"/>
      <c r="AP43" s="2262"/>
      <c r="AQ43" s="2262"/>
      <c r="AR43" s="2262"/>
      <c r="AS43" s="2262"/>
      <c r="AT43" s="2262"/>
      <c r="AU43" s="2262"/>
      <c r="AV43" s="2262"/>
      <c r="AW43" s="2262"/>
      <c r="AX43" s="2262"/>
      <c r="AY43" s="2262"/>
      <c r="AZ43" s="2262"/>
      <c r="BA43" s="2262"/>
      <c r="BB43" s="2262"/>
      <c r="BC43" s="2263"/>
      <c r="BD43" s="466"/>
      <c r="BE43" s="466"/>
      <c r="BF43" s="466"/>
      <c r="BG43" s="466"/>
      <c r="BH43" s="466"/>
      <c r="BI43" s="466"/>
      <c r="BJ43" s="466"/>
      <c r="BK43" s="466"/>
      <c r="BL43" s="466"/>
      <c r="BM43" s="466"/>
      <c r="BN43" s="466"/>
      <c r="BO43" s="466"/>
      <c r="BP43" s="466"/>
      <c r="BQ43" s="466"/>
      <c r="BR43" s="466"/>
      <c r="BS43" s="466"/>
    </row>
    <row r="44" spans="1:71" s="207" customFormat="1">
      <c r="A44" s="431"/>
      <c r="B44" s="431"/>
      <c r="C44" s="431"/>
      <c r="D44" s="431"/>
      <c r="E44" s="431" t="str">
        <f>Company_PC_inputs!E44&amp; " (Intervention)"</f>
        <v>Outperformance deadband (Intervention)</v>
      </c>
      <c r="F44" s="431"/>
      <c r="G44" s="431" t="s">
        <v>2028</v>
      </c>
      <c r="H44" s="431"/>
      <c r="I44" s="431"/>
      <c r="J44" s="2262"/>
      <c r="K44" s="2262"/>
      <c r="L44" s="2262"/>
      <c r="M44" s="2262"/>
      <c r="N44" s="2262"/>
      <c r="O44" s="2262"/>
      <c r="P44" s="2262"/>
      <c r="Q44" s="2263"/>
      <c r="R44" s="2262"/>
      <c r="S44" s="2262"/>
      <c r="T44" s="2262"/>
      <c r="U44" s="2262"/>
      <c r="V44" s="2262"/>
      <c r="W44" s="2262"/>
      <c r="X44" s="2262"/>
      <c r="Y44" s="2262"/>
      <c r="Z44" s="2262"/>
      <c r="AA44" s="2262"/>
      <c r="AB44" s="2262"/>
      <c r="AC44" s="2262"/>
      <c r="AD44" s="2262"/>
      <c r="AE44" s="2262"/>
      <c r="AF44" s="2262"/>
      <c r="AG44" s="2262"/>
      <c r="AH44" s="2262"/>
      <c r="AI44" s="2262"/>
      <c r="AJ44" s="2262"/>
      <c r="AK44" s="2263"/>
      <c r="AL44" s="2262"/>
      <c r="AM44" s="2262"/>
      <c r="AN44" s="2262"/>
      <c r="AO44" s="2263"/>
      <c r="AP44" s="2262"/>
      <c r="AQ44" s="2262"/>
      <c r="AR44" s="2262"/>
      <c r="AS44" s="2262"/>
      <c r="AT44" s="2262"/>
      <c r="AU44" s="2262"/>
      <c r="AV44" s="2262"/>
      <c r="AW44" s="2262"/>
      <c r="AX44" s="2262"/>
      <c r="AY44" s="2262"/>
      <c r="AZ44" s="2262"/>
      <c r="BA44" s="2262"/>
      <c r="BB44" s="2262"/>
      <c r="BC44" s="2263"/>
      <c r="BD44" s="466"/>
      <c r="BE44" s="466"/>
      <c r="BF44" s="466"/>
      <c r="BG44" s="466"/>
      <c r="BH44" s="466"/>
      <c r="BI44" s="466"/>
      <c r="BJ44" s="466"/>
      <c r="BK44" s="466"/>
      <c r="BL44" s="466"/>
      <c r="BM44" s="466"/>
      <c r="BN44" s="466"/>
      <c r="BO44" s="466"/>
      <c r="BP44" s="466"/>
      <c r="BQ44" s="466"/>
      <c r="BR44" s="466"/>
      <c r="BS44" s="466"/>
    </row>
    <row r="45" spans="1:71" s="207" customFormat="1">
      <c r="A45" s="431"/>
      <c r="B45" s="431"/>
      <c r="C45" s="431"/>
      <c r="D45" s="431"/>
      <c r="E45" s="431" t="str">
        <f>Company_PC_inputs!E45&amp; " (Intervention)"</f>
        <v>Performance commitment level (Intervention)</v>
      </c>
      <c r="F45" s="431"/>
      <c r="G45" s="431" t="s">
        <v>2028</v>
      </c>
      <c r="H45" s="431"/>
      <c r="I45" s="431"/>
      <c r="J45" s="2262"/>
      <c r="K45" s="2262"/>
      <c r="L45" s="2262"/>
      <c r="M45" s="2262"/>
      <c r="N45" s="2262"/>
      <c r="O45" s="2262"/>
      <c r="P45" s="2262"/>
      <c r="Q45" s="2263"/>
      <c r="R45" s="2262"/>
      <c r="S45" s="2262"/>
      <c r="T45" s="2262"/>
      <c r="U45" s="2262"/>
      <c r="V45" s="2262"/>
      <c r="W45" s="2262"/>
      <c r="X45" s="2262"/>
      <c r="Y45" s="2262"/>
      <c r="Z45" s="2262"/>
      <c r="AA45" s="2262"/>
      <c r="AB45" s="2262"/>
      <c r="AC45" s="2262"/>
      <c r="AD45" s="2262"/>
      <c r="AE45" s="2262"/>
      <c r="AF45" s="2262"/>
      <c r="AG45" s="2262"/>
      <c r="AH45" s="2262"/>
      <c r="AI45" s="2262"/>
      <c r="AJ45" s="2262"/>
      <c r="AK45" s="2263"/>
      <c r="AL45" s="2262"/>
      <c r="AM45" s="2262"/>
      <c r="AN45" s="2262"/>
      <c r="AO45" s="2263"/>
      <c r="AP45" s="2262"/>
      <c r="AQ45" s="2262"/>
      <c r="AR45" s="2262"/>
      <c r="AS45" s="2262"/>
      <c r="AT45" s="2262"/>
      <c r="AU45" s="2262"/>
      <c r="AV45" s="2262"/>
      <c r="AW45" s="2262"/>
      <c r="AX45" s="2262"/>
      <c r="AY45" s="2262"/>
      <c r="AZ45" s="2262"/>
      <c r="BA45" s="2262"/>
      <c r="BB45" s="2262"/>
      <c r="BC45" s="2263"/>
      <c r="BD45" s="466"/>
      <c r="BE45" s="466"/>
      <c r="BF45" s="466"/>
      <c r="BG45" s="466"/>
      <c r="BH45" s="466"/>
      <c r="BI45" s="466"/>
      <c r="BJ45" s="466"/>
      <c r="BK45" s="466"/>
      <c r="BL45" s="466"/>
      <c r="BM45" s="466"/>
      <c r="BN45" s="466"/>
      <c r="BO45" s="466"/>
      <c r="BP45" s="466"/>
      <c r="BQ45" s="466"/>
      <c r="BR45" s="466"/>
      <c r="BS45" s="466"/>
    </row>
    <row r="46" spans="1:71" s="207" customFormat="1">
      <c r="A46" s="431"/>
      <c r="B46" s="431"/>
      <c r="C46" s="431"/>
      <c r="D46" s="431"/>
      <c r="E46" s="431" t="str">
        <f>Company_PC_inputs!E46&amp; " (Intervention)"</f>
        <v>Underperformance deadband (Intervention)</v>
      </c>
      <c r="F46" s="431"/>
      <c r="G46" s="431" t="s">
        <v>2028</v>
      </c>
      <c r="H46" s="431"/>
      <c r="I46" s="431"/>
      <c r="J46" s="2262"/>
      <c r="K46" s="2262"/>
      <c r="L46" s="2262"/>
      <c r="M46" s="2262"/>
      <c r="N46" s="2262"/>
      <c r="O46" s="2262"/>
      <c r="P46" s="2262"/>
      <c r="Q46" s="2263"/>
      <c r="R46" s="2262"/>
      <c r="S46" s="2262"/>
      <c r="T46" s="2262"/>
      <c r="U46" s="2262"/>
      <c r="V46" s="2262"/>
      <c r="W46" s="2262"/>
      <c r="X46" s="2262"/>
      <c r="Y46" s="2262"/>
      <c r="Z46" s="2262"/>
      <c r="AA46" s="2262"/>
      <c r="AB46" s="2262"/>
      <c r="AC46" s="2262"/>
      <c r="AD46" s="2262"/>
      <c r="AE46" s="2262"/>
      <c r="AF46" s="2262"/>
      <c r="AG46" s="2262"/>
      <c r="AH46" s="2262"/>
      <c r="AI46" s="2262"/>
      <c r="AJ46" s="2262"/>
      <c r="AK46" s="2263"/>
      <c r="AL46" s="2262"/>
      <c r="AM46" s="2262"/>
      <c r="AN46" s="2262"/>
      <c r="AO46" s="2263"/>
      <c r="AP46" s="2262"/>
      <c r="AQ46" s="2262"/>
      <c r="AR46" s="2262"/>
      <c r="AS46" s="2262"/>
      <c r="AT46" s="2262"/>
      <c r="AU46" s="2262"/>
      <c r="AV46" s="2262"/>
      <c r="AW46" s="2262"/>
      <c r="AX46" s="2262"/>
      <c r="AY46" s="2262"/>
      <c r="AZ46" s="2262"/>
      <c r="BA46" s="2262"/>
      <c r="BB46" s="2262"/>
      <c r="BC46" s="2263"/>
      <c r="BD46" s="466"/>
      <c r="BE46" s="466"/>
      <c r="BF46" s="466"/>
      <c r="BG46" s="466"/>
      <c r="BH46" s="466"/>
      <c r="BI46" s="466"/>
      <c r="BJ46" s="466"/>
      <c r="BK46" s="466"/>
      <c r="BL46" s="466"/>
      <c r="BM46" s="466"/>
      <c r="BN46" s="466"/>
      <c r="BO46" s="466"/>
      <c r="BP46" s="466"/>
      <c r="BQ46" s="466"/>
      <c r="BR46" s="466"/>
      <c r="BS46" s="466"/>
    </row>
    <row r="47" spans="1:71" s="207" customFormat="1">
      <c r="A47" s="431"/>
      <c r="B47" s="431"/>
      <c r="C47" s="431"/>
      <c r="D47" s="431"/>
      <c r="E47" s="431" t="str">
        <f>Company_PC_inputs!E47&amp; " (Intervention)"</f>
        <v>Standard underperformance collar (Intervention)</v>
      </c>
      <c r="F47" s="431"/>
      <c r="G47" s="431" t="s">
        <v>2028</v>
      </c>
      <c r="H47" s="431"/>
      <c r="I47" s="431"/>
      <c r="J47" s="2262"/>
      <c r="K47" s="2262"/>
      <c r="L47" s="2262"/>
      <c r="M47" s="2262"/>
      <c r="N47" s="2262"/>
      <c r="O47" s="2262"/>
      <c r="P47" s="2262"/>
      <c r="Q47" s="2263"/>
      <c r="R47" s="2262"/>
      <c r="S47" s="2262"/>
      <c r="T47" s="2262"/>
      <c r="U47" s="2262"/>
      <c r="V47" s="2262"/>
      <c r="W47" s="2262"/>
      <c r="X47" s="2262"/>
      <c r="Y47" s="2262"/>
      <c r="Z47" s="2262"/>
      <c r="AA47" s="2262"/>
      <c r="AB47" s="2262"/>
      <c r="AC47" s="2262"/>
      <c r="AD47" s="2262"/>
      <c r="AE47" s="2262"/>
      <c r="AF47" s="2262"/>
      <c r="AG47" s="2262"/>
      <c r="AH47" s="2262"/>
      <c r="AI47" s="2262"/>
      <c r="AJ47" s="2262"/>
      <c r="AK47" s="2263"/>
      <c r="AL47" s="2262"/>
      <c r="AM47" s="2262"/>
      <c r="AN47" s="2262"/>
      <c r="AO47" s="2263"/>
      <c r="AP47" s="2262"/>
      <c r="AQ47" s="2262"/>
      <c r="AR47" s="2262"/>
      <c r="AS47" s="2262"/>
      <c r="AT47" s="2262"/>
      <c r="AU47" s="2262"/>
      <c r="AV47" s="2262"/>
      <c r="AW47" s="2262"/>
      <c r="AX47" s="2262"/>
      <c r="AY47" s="2262"/>
      <c r="AZ47" s="2262"/>
      <c r="BA47" s="2262"/>
      <c r="BB47" s="2262"/>
      <c r="BC47" s="2263"/>
      <c r="BD47" s="466"/>
      <c r="BE47" s="466"/>
      <c r="BF47" s="466"/>
      <c r="BG47" s="466"/>
      <c r="BH47" s="466"/>
      <c r="BI47" s="466"/>
      <c r="BJ47" s="466"/>
      <c r="BK47" s="466"/>
      <c r="BL47" s="466"/>
      <c r="BM47" s="466"/>
      <c r="BN47" s="466"/>
      <c r="BO47" s="466"/>
      <c r="BP47" s="466"/>
      <c r="BQ47" s="466"/>
      <c r="BR47" s="466"/>
      <c r="BS47" s="466"/>
    </row>
    <row r="48" spans="1:71" s="207" customFormat="1">
      <c r="A48" s="431"/>
      <c r="B48" s="431"/>
      <c r="C48" s="431"/>
      <c r="D48" s="431"/>
      <c r="E48" s="431"/>
      <c r="F48" s="431"/>
      <c r="G48" s="431"/>
      <c r="H48" s="431"/>
      <c r="I48" s="431"/>
      <c r="J48" s="535"/>
      <c r="K48" s="535"/>
      <c r="L48" s="535"/>
      <c r="M48" s="535"/>
      <c r="N48" s="535"/>
      <c r="O48" s="535"/>
      <c r="P48" s="535"/>
      <c r="Q48" s="2265"/>
      <c r="R48" s="535"/>
      <c r="S48" s="535"/>
      <c r="T48" s="535"/>
      <c r="U48" s="535"/>
      <c r="V48" s="535"/>
      <c r="W48" s="535"/>
      <c r="X48" s="535"/>
      <c r="Y48" s="535"/>
      <c r="Z48" s="535"/>
      <c r="AA48" s="535"/>
      <c r="AB48" s="535"/>
      <c r="AC48" s="535"/>
      <c r="AD48" s="535"/>
      <c r="AE48" s="535"/>
      <c r="AF48" s="535"/>
      <c r="AG48" s="535"/>
      <c r="AH48" s="535"/>
      <c r="AI48" s="535"/>
      <c r="AJ48" s="535"/>
      <c r="AK48" s="2265"/>
      <c r="AL48" s="535"/>
      <c r="AM48" s="535"/>
      <c r="AN48" s="535"/>
      <c r="AO48" s="2265"/>
      <c r="AP48" s="535"/>
      <c r="AQ48" s="535"/>
      <c r="AR48" s="535"/>
      <c r="AS48" s="535"/>
      <c r="AT48" s="535"/>
      <c r="AU48" s="535"/>
      <c r="AV48" s="535"/>
      <c r="AW48" s="535"/>
      <c r="AX48" s="535"/>
      <c r="AY48" s="535"/>
      <c r="AZ48" s="535"/>
      <c r="BA48" s="535"/>
      <c r="BB48" s="535"/>
      <c r="BC48" s="2265"/>
      <c r="BD48" s="520"/>
      <c r="BE48" s="520"/>
      <c r="BF48" s="520"/>
      <c r="BG48" s="520"/>
      <c r="BH48" s="520"/>
      <c r="BI48" s="520"/>
      <c r="BJ48" s="520"/>
      <c r="BK48" s="520"/>
      <c r="BL48" s="520"/>
      <c r="BM48" s="520"/>
      <c r="BN48" s="520"/>
      <c r="BO48" s="520"/>
      <c r="BP48" s="520"/>
      <c r="BQ48" s="520"/>
      <c r="BR48" s="520"/>
      <c r="BS48" s="520"/>
    </row>
    <row r="49" spans="1:71" s="207" customFormat="1">
      <c r="A49" s="431"/>
      <c r="B49" s="431"/>
      <c r="C49" s="431"/>
      <c r="D49" s="431"/>
      <c r="E49" s="431" t="str">
        <f>Company_PC_inputs!E49&amp; " (Intervention)"</f>
        <v>Standard outperformance rate (Intervention)</v>
      </c>
      <c r="F49" s="431"/>
      <c r="G49" s="431" t="str">
        <f>"£m/unit ("&amp;InpCompany!$F$10&amp;" prices)"</f>
        <v>£m/unit (2017-18 prices)</v>
      </c>
      <c r="H49" s="431"/>
      <c r="I49" s="431"/>
      <c r="J49" s="2270"/>
      <c r="K49" s="2270"/>
      <c r="L49" s="2270"/>
      <c r="M49" s="2270"/>
      <c r="N49" s="2270"/>
      <c r="O49" s="2270"/>
      <c r="P49" s="2270"/>
      <c r="Q49" s="2271"/>
      <c r="R49" s="2270"/>
      <c r="S49" s="2270"/>
      <c r="T49" s="2270"/>
      <c r="U49" s="2270"/>
      <c r="V49" s="2270"/>
      <c r="W49" s="2270"/>
      <c r="X49" s="2270"/>
      <c r="Y49" s="2270"/>
      <c r="Z49" s="2270"/>
      <c r="AA49" s="2270"/>
      <c r="AB49" s="2270"/>
      <c r="AC49" s="2270"/>
      <c r="AD49" s="2270"/>
      <c r="AE49" s="2270"/>
      <c r="AF49" s="2270"/>
      <c r="AG49" s="2270"/>
      <c r="AH49" s="2270"/>
      <c r="AI49" s="2270"/>
      <c r="AJ49" s="2270"/>
      <c r="AK49" s="2271"/>
      <c r="AL49" s="2270"/>
      <c r="AM49" s="2270"/>
      <c r="AN49" s="2270"/>
      <c r="AO49" s="2271"/>
      <c r="AP49" s="2270"/>
      <c r="AQ49" s="2270"/>
      <c r="AR49" s="2270"/>
      <c r="AS49" s="2270"/>
      <c r="AT49" s="2270"/>
      <c r="AU49" s="2270"/>
      <c r="AV49" s="2270"/>
      <c r="AW49" s="2270"/>
      <c r="AX49" s="2270"/>
      <c r="AY49" s="2270"/>
      <c r="AZ49" s="2270"/>
      <c r="BA49" s="2270"/>
      <c r="BB49" s="2270"/>
      <c r="BC49" s="2271"/>
      <c r="BD49" s="505"/>
      <c r="BE49" s="505"/>
      <c r="BF49" s="505"/>
      <c r="BG49" s="505"/>
      <c r="BH49" s="505"/>
      <c r="BI49" s="505"/>
      <c r="BJ49" s="505"/>
      <c r="BK49" s="505"/>
      <c r="BL49" s="505"/>
      <c r="BM49" s="505"/>
      <c r="BN49" s="505"/>
      <c r="BO49" s="505"/>
      <c r="BP49" s="505"/>
      <c r="BQ49" s="505"/>
      <c r="BR49" s="505"/>
      <c r="BS49" s="505"/>
    </row>
    <row r="50" spans="1:71" s="207" customFormat="1">
      <c r="A50" s="431"/>
      <c r="B50" s="431"/>
      <c r="C50" s="431"/>
      <c r="D50" s="431"/>
      <c r="E50" s="431" t="str">
        <f>Company_PC_inputs!E50&amp; " (Intervention)"</f>
        <v>Standard underperformance rate (Intervention)</v>
      </c>
      <c r="F50" s="431"/>
      <c r="G50" s="431" t="str">
        <f>"£m/unit ("&amp;InpCompany!$F$10&amp;" prices)"</f>
        <v>£m/unit (2017-18 prices)</v>
      </c>
      <c r="H50" s="431"/>
      <c r="I50" s="431"/>
      <c r="J50" s="2270"/>
      <c r="K50" s="2270"/>
      <c r="L50" s="2270"/>
      <c r="M50" s="2270"/>
      <c r="N50" s="2270"/>
      <c r="O50" s="2270"/>
      <c r="P50" s="2270"/>
      <c r="Q50" s="2271"/>
      <c r="R50" s="2270"/>
      <c r="S50" s="2270"/>
      <c r="T50" s="2270"/>
      <c r="U50" s="2270"/>
      <c r="V50" s="2270"/>
      <c r="W50" s="2270"/>
      <c r="X50" s="2270"/>
      <c r="Y50" s="2270"/>
      <c r="Z50" s="2270"/>
      <c r="AA50" s="2270"/>
      <c r="AB50" s="2270"/>
      <c r="AC50" s="2270"/>
      <c r="AD50" s="2270"/>
      <c r="AE50" s="2270"/>
      <c r="AF50" s="2270"/>
      <c r="AG50" s="2270"/>
      <c r="AH50" s="2270"/>
      <c r="AI50" s="2270"/>
      <c r="AJ50" s="2270"/>
      <c r="AK50" s="2271"/>
      <c r="AL50" s="2270"/>
      <c r="AM50" s="2270"/>
      <c r="AN50" s="2270"/>
      <c r="AO50" s="2271"/>
      <c r="AP50" s="2270"/>
      <c r="AQ50" s="2270"/>
      <c r="AR50" s="2270"/>
      <c r="AS50" s="2270"/>
      <c r="AT50" s="2270"/>
      <c r="AU50" s="2270"/>
      <c r="AV50" s="2270"/>
      <c r="AW50" s="2270"/>
      <c r="AX50" s="2270"/>
      <c r="AY50" s="2270"/>
      <c r="AZ50" s="2270"/>
      <c r="BA50" s="2270"/>
      <c r="BB50" s="2270"/>
      <c r="BC50" s="2271"/>
      <c r="BD50" s="505"/>
      <c r="BE50" s="505"/>
      <c r="BF50" s="505"/>
      <c r="BG50" s="505"/>
      <c r="BH50" s="505"/>
      <c r="BI50" s="505"/>
      <c r="BJ50" s="505"/>
      <c r="BK50" s="505"/>
      <c r="BL50" s="505"/>
      <c r="BM50" s="505"/>
      <c r="BN50" s="505"/>
      <c r="BO50" s="505"/>
      <c r="BP50" s="505"/>
      <c r="BQ50" s="505"/>
      <c r="BR50" s="505"/>
      <c r="BS50" s="505"/>
    </row>
    <row r="51" spans="1:71" s="207" customFormat="1">
      <c r="A51" s="431"/>
      <c r="B51" s="431"/>
      <c r="C51" s="431"/>
      <c r="D51" s="431"/>
      <c r="E51" s="431"/>
      <c r="F51" s="431"/>
      <c r="G51" s="431"/>
      <c r="H51" s="431"/>
      <c r="I51" s="431"/>
      <c r="J51" s="2272"/>
      <c r="K51" s="2272"/>
      <c r="L51" s="2272"/>
      <c r="M51" s="2272"/>
      <c r="N51" s="2272"/>
      <c r="O51" s="2272"/>
      <c r="P51" s="2272"/>
      <c r="Q51" s="2273"/>
      <c r="R51" s="2272"/>
      <c r="S51" s="2272"/>
      <c r="T51" s="2272"/>
      <c r="U51" s="2272"/>
      <c r="V51" s="2272"/>
      <c r="W51" s="2272"/>
      <c r="X51" s="2272"/>
      <c r="Y51" s="2272"/>
      <c r="Z51" s="2272"/>
      <c r="AA51" s="2272"/>
      <c r="AB51" s="2272"/>
      <c r="AC51" s="2272"/>
      <c r="AD51" s="2272"/>
      <c r="AE51" s="2272"/>
      <c r="AF51" s="2272"/>
      <c r="AG51" s="2272"/>
      <c r="AH51" s="2272"/>
      <c r="AI51" s="2272"/>
      <c r="AJ51" s="2272"/>
      <c r="AK51" s="2273"/>
      <c r="AL51" s="2272"/>
      <c r="AM51" s="2272"/>
      <c r="AN51" s="2272"/>
      <c r="AO51" s="2273"/>
      <c r="AP51" s="2272"/>
      <c r="AQ51" s="2272"/>
      <c r="AR51" s="2272"/>
      <c r="AS51" s="2272"/>
      <c r="AT51" s="2272"/>
      <c r="AU51" s="2272"/>
      <c r="AV51" s="2272"/>
      <c r="AW51" s="2272"/>
      <c r="AX51" s="2272"/>
      <c r="AY51" s="2272"/>
      <c r="AZ51" s="2272"/>
      <c r="BA51" s="2272"/>
      <c r="BB51" s="2272"/>
      <c r="BC51" s="2273"/>
      <c r="BD51" s="528"/>
      <c r="BE51" s="528"/>
      <c r="BF51" s="528"/>
      <c r="BG51" s="528"/>
      <c r="BH51" s="528"/>
      <c r="BI51" s="528"/>
      <c r="BJ51" s="528"/>
      <c r="BK51" s="528"/>
      <c r="BL51" s="528"/>
      <c r="BM51" s="528"/>
      <c r="BN51" s="528"/>
      <c r="BO51" s="528"/>
      <c r="BP51" s="528"/>
      <c r="BQ51" s="528"/>
      <c r="BR51" s="528"/>
      <c r="BS51" s="528"/>
    </row>
    <row r="52" spans="1:71" s="207" customFormat="1">
      <c r="A52" s="431"/>
      <c r="B52" s="431"/>
      <c r="C52" s="431"/>
      <c r="D52" s="441" t="s">
        <v>2050</v>
      </c>
      <c r="E52" s="431"/>
      <c r="F52" s="431"/>
      <c r="G52" s="431"/>
      <c r="H52" s="431"/>
      <c r="I52" s="431"/>
      <c r="J52" s="535"/>
      <c r="K52" s="535"/>
      <c r="L52" s="535"/>
      <c r="M52" s="535"/>
      <c r="N52" s="535"/>
      <c r="O52" s="535"/>
      <c r="P52" s="535"/>
      <c r="Q52" s="2265"/>
      <c r="R52" s="535"/>
      <c r="S52" s="535"/>
      <c r="T52" s="535"/>
      <c r="U52" s="535"/>
      <c r="V52" s="535"/>
      <c r="W52" s="535"/>
      <c r="X52" s="535"/>
      <c r="Y52" s="535"/>
      <c r="Z52" s="535"/>
      <c r="AA52" s="535"/>
      <c r="AB52" s="535"/>
      <c r="AC52" s="535"/>
      <c r="AD52" s="535"/>
      <c r="AE52" s="535"/>
      <c r="AF52" s="535"/>
      <c r="AG52" s="535"/>
      <c r="AH52" s="535"/>
      <c r="AI52" s="535"/>
      <c r="AJ52" s="535"/>
      <c r="AK52" s="2265"/>
      <c r="AL52" s="535"/>
      <c r="AM52" s="535"/>
      <c r="AN52" s="535"/>
      <c r="AO52" s="2265"/>
      <c r="AP52" s="535"/>
      <c r="AQ52" s="535"/>
      <c r="AR52" s="535"/>
      <c r="AS52" s="535"/>
      <c r="AT52" s="535"/>
      <c r="AU52" s="535"/>
      <c r="AV52" s="535"/>
      <c r="AW52" s="535"/>
      <c r="AX52" s="535"/>
      <c r="AY52" s="535"/>
      <c r="AZ52" s="535"/>
      <c r="BA52" s="535"/>
      <c r="BB52" s="535"/>
      <c r="BC52" s="2265"/>
      <c r="BD52" s="520"/>
      <c r="BE52" s="520"/>
      <c r="BF52" s="520"/>
      <c r="BG52" s="520"/>
      <c r="BH52" s="520"/>
      <c r="BI52" s="520"/>
      <c r="BJ52" s="520"/>
      <c r="BK52" s="520"/>
      <c r="BL52" s="520"/>
      <c r="BM52" s="520"/>
      <c r="BN52" s="520"/>
      <c r="BO52" s="520"/>
      <c r="BP52" s="520"/>
      <c r="BQ52" s="520"/>
      <c r="BR52" s="520"/>
      <c r="BS52" s="520"/>
    </row>
    <row r="53" spans="1:71" s="207" customFormat="1">
      <c r="A53" s="431"/>
      <c r="B53" s="431"/>
      <c r="C53" s="431"/>
      <c r="D53" s="431"/>
      <c r="E53" s="431" t="str">
        <f>Company_PC_inputs!E53&amp; " (Intervention)"</f>
        <v>Enhanced (or two tiered ODI)? (Intervention)</v>
      </c>
      <c r="F53" s="431"/>
      <c r="G53" s="431" t="s">
        <v>461</v>
      </c>
      <c r="H53" s="431"/>
      <c r="I53" s="431"/>
      <c r="J53" s="2188"/>
      <c r="K53" s="2188"/>
      <c r="L53" s="2188"/>
      <c r="M53" s="2188"/>
      <c r="N53" s="2188"/>
      <c r="O53" s="2188"/>
      <c r="P53" s="2188"/>
      <c r="Q53" s="2264"/>
      <c r="R53" s="2188"/>
      <c r="S53" s="2188"/>
      <c r="T53" s="2188"/>
      <c r="U53" s="2188"/>
      <c r="V53" s="2188"/>
      <c r="W53" s="2188"/>
      <c r="X53" s="2188"/>
      <c r="Y53" s="2188"/>
      <c r="Z53" s="2188"/>
      <c r="AA53" s="2188"/>
      <c r="AB53" s="2188"/>
      <c r="AC53" s="2188"/>
      <c r="AD53" s="2188"/>
      <c r="AE53" s="2188"/>
      <c r="AF53" s="2188"/>
      <c r="AG53" s="2188"/>
      <c r="AH53" s="2188"/>
      <c r="AI53" s="2188"/>
      <c r="AJ53" s="2188"/>
      <c r="AK53" s="2264"/>
      <c r="AL53" s="2188"/>
      <c r="AM53" s="2188"/>
      <c r="AN53" s="2188"/>
      <c r="AO53" s="2264"/>
      <c r="AP53" s="2188"/>
      <c r="AQ53" s="2188"/>
      <c r="AR53" s="2188"/>
      <c r="AS53" s="2188"/>
      <c r="AT53" s="2188"/>
      <c r="AU53" s="2188"/>
      <c r="AV53" s="2188"/>
      <c r="AW53" s="2188"/>
      <c r="AX53" s="2188"/>
      <c r="AY53" s="2188"/>
      <c r="AZ53" s="2188"/>
      <c r="BA53" s="2188"/>
      <c r="BB53" s="2188"/>
      <c r="BC53" s="2264"/>
      <c r="BD53" s="526"/>
      <c r="BE53" s="526"/>
      <c r="BF53" s="526"/>
      <c r="BG53" s="526"/>
      <c r="BH53" s="526"/>
      <c r="BI53" s="526"/>
      <c r="BJ53" s="526"/>
      <c r="BK53" s="526"/>
      <c r="BL53" s="526"/>
      <c r="BM53" s="526"/>
      <c r="BN53" s="526"/>
      <c r="BO53" s="526"/>
      <c r="BP53" s="526"/>
      <c r="BQ53" s="526"/>
      <c r="BR53" s="526"/>
      <c r="BS53" s="526"/>
    </row>
    <row r="54" spans="1:71" s="207" customFormat="1">
      <c r="A54" s="431"/>
      <c r="B54" s="431"/>
      <c r="C54" s="431"/>
      <c r="D54" s="431"/>
      <c r="E54" s="431" t="str">
        <f>Company_PC_inputs!E54&amp; " (Intervention)"</f>
        <v>For enhanced ODIs: wholesale water or wholesale wastewater? (Intervention)</v>
      </c>
      <c r="F54" s="431"/>
      <c r="G54" s="431" t="s">
        <v>2053</v>
      </c>
      <c r="H54" s="431"/>
      <c r="I54" s="431"/>
      <c r="J54" s="2262"/>
      <c r="K54" s="2262"/>
      <c r="L54" s="2262"/>
      <c r="M54" s="2262"/>
      <c r="N54" s="2262"/>
      <c r="O54" s="2262"/>
      <c r="P54" s="2262"/>
      <c r="Q54" s="2263"/>
      <c r="R54" s="2262"/>
      <c r="S54" s="2262"/>
      <c r="T54" s="2262"/>
      <c r="U54" s="2262"/>
      <c r="V54" s="2262"/>
      <c r="W54" s="2262"/>
      <c r="X54" s="2262"/>
      <c r="Y54" s="2262"/>
      <c r="Z54" s="2262"/>
      <c r="AA54" s="2262"/>
      <c r="AB54" s="2262"/>
      <c r="AC54" s="2262"/>
      <c r="AD54" s="2262"/>
      <c r="AE54" s="2262"/>
      <c r="AF54" s="2262"/>
      <c r="AG54" s="2262"/>
      <c r="AH54" s="2262"/>
      <c r="AI54" s="2262"/>
      <c r="AJ54" s="2262"/>
      <c r="AK54" s="2263"/>
      <c r="AL54" s="2262"/>
      <c r="AM54" s="2262"/>
      <c r="AN54" s="2262"/>
      <c r="AO54" s="2263"/>
      <c r="AP54" s="2262"/>
      <c r="AQ54" s="2262"/>
      <c r="AR54" s="2262"/>
      <c r="AS54" s="2262"/>
      <c r="AT54" s="2262"/>
      <c r="AU54" s="2262"/>
      <c r="AV54" s="2262"/>
      <c r="AW54" s="2262"/>
      <c r="AX54" s="2262"/>
      <c r="AY54" s="2262"/>
      <c r="AZ54" s="2262"/>
      <c r="BA54" s="2262"/>
      <c r="BB54" s="2262"/>
      <c r="BC54" s="2263"/>
      <c r="BD54" s="466"/>
      <c r="BE54" s="466"/>
      <c r="BF54" s="466"/>
      <c r="BG54" s="466"/>
      <c r="BH54" s="466"/>
      <c r="BI54" s="466"/>
      <c r="BJ54" s="466"/>
      <c r="BK54" s="466"/>
      <c r="BL54" s="466"/>
      <c r="BM54" s="466"/>
      <c r="BN54" s="466"/>
      <c r="BO54" s="466"/>
      <c r="BP54" s="466"/>
      <c r="BQ54" s="466"/>
      <c r="BR54" s="466"/>
      <c r="BS54" s="466"/>
    </row>
    <row r="55" spans="1:71" s="207" customFormat="1">
      <c r="A55" s="431"/>
      <c r="B55" s="431"/>
      <c r="C55" s="431"/>
      <c r="D55" s="431"/>
      <c r="E55" s="431"/>
      <c r="F55" s="431"/>
      <c r="G55" s="431"/>
      <c r="H55" s="431"/>
      <c r="I55" s="431"/>
      <c r="J55" s="535"/>
      <c r="K55" s="535"/>
      <c r="L55" s="535"/>
      <c r="M55" s="535"/>
      <c r="N55" s="535"/>
      <c r="O55" s="535"/>
      <c r="P55" s="535"/>
      <c r="Q55" s="2265"/>
      <c r="R55" s="535"/>
      <c r="S55" s="535"/>
      <c r="T55" s="535"/>
      <c r="U55" s="535"/>
      <c r="V55" s="535"/>
      <c r="W55" s="535"/>
      <c r="X55" s="535"/>
      <c r="Y55" s="535"/>
      <c r="Z55" s="535"/>
      <c r="AA55" s="535"/>
      <c r="AB55" s="535"/>
      <c r="AC55" s="535"/>
      <c r="AD55" s="535"/>
      <c r="AE55" s="535"/>
      <c r="AF55" s="535"/>
      <c r="AG55" s="535"/>
      <c r="AH55" s="535"/>
      <c r="AI55" s="535"/>
      <c r="AJ55" s="535"/>
      <c r="AK55" s="2265"/>
      <c r="AL55" s="535"/>
      <c r="AM55" s="535"/>
      <c r="AN55" s="535"/>
      <c r="AO55" s="2265"/>
      <c r="AP55" s="535"/>
      <c r="AQ55" s="535"/>
      <c r="AR55" s="535"/>
      <c r="AS55" s="535"/>
      <c r="AT55" s="535"/>
      <c r="AU55" s="535"/>
      <c r="AV55" s="535"/>
      <c r="AW55" s="535"/>
      <c r="AX55" s="535"/>
      <c r="AY55" s="535"/>
      <c r="AZ55" s="535"/>
      <c r="BA55" s="535"/>
      <c r="BB55" s="535"/>
      <c r="BC55" s="2265"/>
      <c r="BD55" s="520"/>
      <c r="BE55" s="520"/>
      <c r="BF55" s="520"/>
      <c r="BG55" s="520"/>
      <c r="BH55" s="520"/>
      <c r="BI55" s="520"/>
      <c r="BJ55" s="520"/>
      <c r="BK55" s="520"/>
      <c r="BL55" s="520"/>
      <c r="BM55" s="520"/>
      <c r="BN55" s="520"/>
      <c r="BO55" s="520"/>
      <c r="BP55" s="520"/>
      <c r="BQ55" s="520"/>
      <c r="BR55" s="520"/>
      <c r="BS55" s="520"/>
    </row>
    <row r="56" spans="1:71" s="207" customFormat="1">
      <c r="A56" s="431"/>
      <c r="B56" s="431"/>
      <c r="C56" s="431"/>
      <c r="D56" s="431"/>
      <c r="E56" s="431" t="str">
        <f>Company_PC_inputs!E56&amp; " (Intervention)"</f>
        <v>Enhanced outperformance cap (Note not normally required) (Intervention)</v>
      </c>
      <c r="F56" s="431"/>
      <c r="G56" s="431" t="s">
        <v>2028</v>
      </c>
      <c r="H56" s="431"/>
      <c r="I56" s="431"/>
      <c r="J56" s="2262"/>
      <c r="K56" s="2262"/>
      <c r="L56" s="2262"/>
      <c r="M56" s="2262"/>
      <c r="N56" s="2262"/>
      <c r="O56" s="2262"/>
      <c r="P56" s="2262"/>
      <c r="Q56" s="2263"/>
      <c r="R56" s="2262"/>
      <c r="S56" s="2262"/>
      <c r="T56" s="2262"/>
      <c r="U56" s="2262"/>
      <c r="V56" s="2262"/>
      <c r="W56" s="2262"/>
      <c r="X56" s="2262"/>
      <c r="Y56" s="2262"/>
      <c r="Z56" s="2262"/>
      <c r="AA56" s="2262"/>
      <c r="AB56" s="2262"/>
      <c r="AC56" s="2262"/>
      <c r="AD56" s="2262"/>
      <c r="AE56" s="2262"/>
      <c r="AF56" s="2262"/>
      <c r="AG56" s="2262"/>
      <c r="AH56" s="2262"/>
      <c r="AI56" s="2262"/>
      <c r="AJ56" s="2262"/>
      <c r="AK56" s="2263"/>
      <c r="AL56" s="2262"/>
      <c r="AM56" s="2262"/>
      <c r="AN56" s="2262"/>
      <c r="AO56" s="2263"/>
      <c r="AP56" s="2262"/>
      <c r="AQ56" s="2262"/>
      <c r="AR56" s="2262"/>
      <c r="AS56" s="2262"/>
      <c r="AT56" s="2262"/>
      <c r="AU56" s="2262"/>
      <c r="AV56" s="2262"/>
      <c r="AW56" s="2262"/>
      <c r="AX56" s="2262"/>
      <c r="AY56" s="2262"/>
      <c r="AZ56" s="2262"/>
      <c r="BA56" s="2262"/>
      <c r="BB56" s="2262"/>
      <c r="BC56" s="2263"/>
      <c r="BD56" s="466"/>
      <c r="BE56" s="466"/>
      <c r="BF56" s="466"/>
      <c r="BG56" s="466"/>
      <c r="BH56" s="466"/>
      <c r="BI56" s="466"/>
      <c r="BJ56" s="466"/>
      <c r="BK56" s="466"/>
      <c r="BL56" s="466"/>
      <c r="BM56" s="466"/>
      <c r="BN56" s="466"/>
      <c r="BO56" s="466"/>
      <c r="BP56" s="466"/>
      <c r="BQ56" s="466"/>
      <c r="BR56" s="466"/>
      <c r="BS56" s="466"/>
    </row>
    <row r="57" spans="1:71" s="207" customFormat="1">
      <c r="A57" s="431"/>
      <c r="B57" s="431"/>
      <c r="C57" s="431"/>
      <c r="D57" s="431"/>
      <c r="E57" s="431" t="str">
        <f>Company_PC_inputs!E57&amp; " (Intervention)"</f>
        <v>Enhanced underperformance collar (Intervention)</v>
      </c>
      <c r="F57" s="431"/>
      <c r="G57" s="431" t="s">
        <v>2028</v>
      </c>
      <c r="H57" s="431"/>
      <c r="I57" s="431"/>
      <c r="J57" s="2262"/>
      <c r="K57" s="2262"/>
      <c r="L57" s="2262"/>
      <c r="M57" s="2262"/>
      <c r="N57" s="2262"/>
      <c r="O57" s="2262"/>
      <c r="P57" s="2262"/>
      <c r="Q57" s="2263"/>
      <c r="R57" s="2262"/>
      <c r="S57" s="2262"/>
      <c r="T57" s="2262"/>
      <c r="U57" s="2262"/>
      <c r="V57" s="2262"/>
      <c r="W57" s="2262"/>
      <c r="X57" s="2262"/>
      <c r="Y57" s="2262"/>
      <c r="Z57" s="2262"/>
      <c r="AA57" s="2262"/>
      <c r="AB57" s="2262"/>
      <c r="AC57" s="2262"/>
      <c r="AD57" s="2262"/>
      <c r="AE57" s="2262"/>
      <c r="AF57" s="2262"/>
      <c r="AG57" s="2262"/>
      <c r="AH57" s="2262"/>
      <c r="AI57" s="2262"/>
      <c r="AJ57" s="2262"/>
      <c r="AK57" s="2263"/>
      <c r="AL57" s="2262"/>
      <c r="AM57" s="2262"/>
      <c r="AN57" s="2262"/>
      <c r="AO57" s="2263"/>
      <c r="AP57" s="2262"/>
      <c r="AQ57" s="2262"/>
      <c r="AR57" s="2262"/>
      <c r="AS57" s="2262"/>
      <c r="AT57" s="2262"/>
      <c r="AU57" s="2262"/>
      <c r="AV57" s="2262"/>
      <c r="AW57" s="2262"/>
      <c r="AX57" s="2262"/>
      <c r="AY57" s="2262"/>
      <c r="AZ57" s="2262"/>
      <c r="BA57" s="2262"/>
      <c r="BB57" s="2262"/>
      <c r="BC57" s="2263"/>
      <c r="BD57" s="466"/>
      <c r="BE57" s="466"/>
      <c r="BF57" s="466"/>
      <c r="BG57" s="466"/>
      <c r="BH57" s="466"/>
      <c r="BI57" s="466"/>
      <c r="BJ57" s="466"/>
      <c r="BK57" s="466"/>
      <c r="BL57" s="466"/>
      <c r="BM57" s="466"/>
      <c r="BN57" s="466"/>
      <c r="BO57" s="466"/>
      <c r="BP57" s="466"/>
      <c r="BQ57" s="466"/>
      <c r="BR57" s="466"/>
      <c r="BS57" s="466"/>
    </row>
    <row r="58" spans="1:71" s="207" customFormat="1">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c r="A59" s="431"/>
      <c r="B59" s="431"/>
      <c r="C59" s="431"/>
      <c r="D59" s="431"/>
      <c r="E59" s="431" t="str">
        <f>Company_PC_inputs!E59&amp; " (Intervention)"</f>
        <v>Enhanced outperformance rate (Intervention)</v>
      </c>
      <c r="F59" s="431"/>
      <c r="G59" s="431" t="str">
        <f>"£m/unit ("&amp;InpCompany!$F$10&amp;" prices)"</f>
        <v>£m/unit (2017-18 prices)</v>
      </c>
      <c r="H59" s="431"/>
      <c r="I59" s="431"/>
      <c r="J59" s="2270"/>
      <c r="K59" s="2270"/>
      <c r="L59" s="2270"/>
      <c r="M59" s="2270"/>
      <c r="N59" s="2270"/>
      <c r="O59" s="2270"/>
      <c r="P59" s="2270"/>
      <c r="Q59" s="2271"/>
      <c r="R59" s="2270"/>
      <c r="S59" s="2270"/>
      <c r="T59" s="2270"/>
      <c r="U59" s="2270"/>
      <c r="V59" s="2270"/>
      <c r="W59" s="2270"/>
      <c r="X59" s="2270"/>
      <c r="Y59" s="2270"/>
      <c r="Z59" s="2270"/>
      <c r="AA59" s="2270"/>
      <c r="AB59" s="2270"/>
      <c r="AC59" s="2270"/>
      <c r="AD59" s="2270"/>
      <c r="AE59" s="2270"/>
      <c r="AF59" s="2270"/>
      <c r="AG59" s="2270"/>
      <c r="AH59" s="2270"/>
      <c r="AI59" s="2270"/>
      <c r="AJ59" s="2270"/>
      <c r="AK59" s="2271"/>
      <c r="AL59" s="2270"/>
      <c r="AM59" s="2270"/>
      <c r="AN59" s="2270"/>
      <c r="AO59" s="2271"/>
      <c r="AP59" s="2270"/>
      <c r="AQ59" s="2270"/>
      <c r="AR59" s="2270"/>
      <c r="AS59" s="2270"/>
      <c r="AT59" s="2270"/>
      <c r="AU59" s="2270"/>
      <c r="AV59" s="2270"/>
      <c r="AW59" s="2270"/>
      <c r="AX59" s="2270"/>
      <c r="AY59" s="2270"/>
      <c r="AZ59" s="2270"/>
      <c r="BA59" s="2270"/>
      <c r="BB59" s="2270"/>
      <c r="BC59" s="2271"/>
      <c r="BD59" s="505"/>
      <c r="BE59" s="505"/>
      <c r="BF59" s="505"/>
      <c r="BG59" s="505"/>
      <c r="BH59" s="505"/>
      <c r="BI59" s="505"/>
      <c r="BJ59" s="505"/>
      <c r="BK59" s="505"/>
      <c r="BL59" s="505"/>
      <c r="BM59" s="505"/>
      <c r="BN59" s="505"/>
      <c r="BO59" s="505"/>
      <c r="BP59" s="505"/>
      <c r="BQ59" s="505"/>
      <c r="BR59" s="505"/>
      <c r="BS59" s="505"/>
    </row>
    <row r="60" spans="1:71" s="207" customFormat="1">
      <c r="A60" s="431"/>
      <c r="B60" s="431"/>
      <c r="C60" s="431"/>
      <c r="D60" s="431"/>
      <c r="E60" s="431" t="str">
        <f>Company_PC_inputs!E60&amp; " (Intervention)"</f>
        <v>Enhanced underperformance rate (Intervention)</v>
      </c>
      <c r="F60" s="431"/>
      <c r="G60" s="431" t="str">
        <f>"£m/unit ("&amp;InpCompany!$F$10&amp;" prices)"</f>
        <v>£m/unit (2017-18 prices)</v>
      </c>
      <c r="H60" s="431"/>
      <c r="I60" s="431"/>
      <c r="J60" s="2270"/>
      <c r="K60" s="2270"/>
      <c r="L60" s="2270"/>
      <c r="M60" s="2270"/>
      <c r="N60" s="2270"/>
      <c r="O60" s="2270"/>
      <c r="P60" s="2270"/>
      <c r="Q60" s="2271"/>
      <c r="R60" s="2270"/>
      <c r="S60" s="2270"/>
      <c r="T60" s="2270"/>
      <c r="U60" s="2270"/>
      <c r="V60" s="2270"/>
      <c r="W60" s="2270"/>
      <c r="X60" s="2270"/>
      <c r="Y60" s="2270"/>
      <c r="Z60" s="2270"/>
      <c r="AA60" s="2270"/>
      <c r="AB60" s="2270"/>
      <c r="AC60" s="2270"/>
      <c r="AD60" s="2270"/>
      <c r="AE60" s="2270"/>
      <c r="AF60" s="2270"/>
      <c r="AG60" s="2270"/>
      <c r="AH60" s="2270"/>
      <c r="AI60" s="2270"/>
      <c r="AJ60" s="2270"/>
      <c r="AK60" s="2271"/>
      <c r="AL60" s="2270"/>
      <c r="AM60" s="2270"/>
      <c r="AN60" s="2270"/>
      <c r="AO60" s="2271"/>
      <c r="AP60" s="2270"/>
      <c r="AQ60" s="2270"/>
      <c r="AR60" s="2270"/>
      <c r="AS60" s="2270"/>
      <c r="AT60" s="2270"/>
      <c r="AU60" s="2270"/>
      <c r="AV60" s="2270"/>
      <c r="AW60" s="2270"/>
      <c r="AX60" s="2270"/>
      <c r="AY60" s="2270"/>
      <c r="AZ60" s="2270"/>
      <c r="BA60" s="2270"/>
      <c r="BB60" s="2270"/>
      <c r="BC60" s="2271"/>
      <c r="BD60" s="505"/>
      <c r="BE60" s="505"/>
      <c r="BF60" s="505"/>
      <c r="BG60" s="505"/>
      <c r="BH60" s="505"/>
      <c r="BI60" s="505"/>
      <c r="BJ60" s="505"/>
      <c r="BK60" s="505"/>
      <c r="BL60" s="505"/>
      <c r="BM60" s="505"/>
      <c r="BN60" s="505"/>
      <c r="BO60" s="505"/>
      <c r="BP60" s="505"/>
      <c r="BQ60" s="505"/>
      <c r="BR60" s="505"/>
      <c r="BS60" s="505"/>
    </row>
    <row r="61" spans="1:71" s="207" customFormat="1">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c r="A62" s="431"/>
      <c r="B62" s="431"/>
      <c r="C62" s="431"/>
      <c r="D62" s="441" t="s">
        <v>2056</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c r="A63" s="431"/>
      <c r="B63" s="431"/>
      <c r="C63" s="431"/>
      <c r="D63" s="431"/>
      <c r="E63" s="431" t="str">
        <f>Company_PC_inputs!E63&amp; " (Intervention)"</f>
        <v>Additional ODI rate - out (Intervention)</v>
      </c>
      <c r="F63" s="431"/>
      <c r="G63" s="431" t="str">
        <f>"£m/unit ("&amp;InpCompany!$F$10&amp;" prices)"</f>
        <v>£m/unit (2017-18 prices)</v>
      </c>
      <c r="H63" s="431"/>
      <c r="I63" s="431"/>
      <c r="J63" s="2270"/>
      <c r="K63" s="2270"/>
      <c r="L63" s="2270"/>
      <c r="M63" s="2270"/>
      <c r="N63" s="2270"/>
      <c r="O63" s="2270"/>
      <c r="P63" s="2270"/>
      <c r="Q63" s="2271"/>
      <c r="R63" s="2270"/>
      <c r="S63" s="2270"/>
      <c r="T63" s="2270"/>
      <c r="U63" s="2270"/>
      <c r="V63" s="2270"/>
      <c r="W63" s="2270"/>
      <c r="X63" s="2270"/>
      <c r="Y63" s="2270"/>
      <c r="Z63" s="2270"/>
      <c r="AA63" s="2270"/>
      <c r="AB63" s="2270"/>
      <c r="AC63" s="2270"/>
      <c r="AD63" s="2270"/>
      <c r="AE63" s="2270"/>
      <c r="AF63" s="2270"/>
      <c r="AG63" s="2270"/>
      <c r="AH63" s="2270"/>
      <c r="AI63" s="2270"/>
      <c r="AJ63" s="2270"/>
      <c r="AK63" s="2271"/>
      <c r="AL63" s="2270"/>
      <c r="AM63" s="2270"/>
      <c r="AN63" s="2270"/>
      <c r="AO63" s="2271"/>
      <c r="AP63" s="2270"/>
      <c r="AQ63" s="2270"/>
      <c r="AR63" s="2270"/>
      <c r="AS63" s="2270"/>
      <c r="AT63" s="2270"/>
      <c r="AU63" s="2270"/>
      <c r="AV63" s="2270"/>
      <c r="AW63" s="2270"/>
      <c r="AX63" s="2270"/>
      <c r="AY63" s="2270"/>
      <c r="AZ63" s="2270"/>
      <c r="BA63" s="2270"/>
      <c r="BB63" s="2270"/>
      <c r="BC63" s="2271"/>
      <c r="BD63" s="505"/>
      <c r="BE63" s="505"/>
      <c r="BF63" s="505"/>
      <c r="BG63" s="505"/>
      <c r="BH63" s="505"/>
      <c r="BI63" s="505"/>
      <c r="BJ63" s="505"/>
      <c r="BK63" s="505"/>
      <c r="BL63" s="505"/>
      <c r="BM63" s="505"/>
      <c r="BN63" s="505"/>
      <c r="BO63" s="505"/>
      <c r="BP63" s="505"/>
      <c r="BQ63" s="505"/>
      <c r="BR63" s="505"/>
      <c r="BS63" s="505"/>
    </row>
    <row r="64" spans="1:71" s="207" customFormat="1">
      <c r="A64" s="431"/>
      <c r="B64" s="431"/>
      <c r="C64" s="431"/>
      <c r="D64" s="431"/>
      <c r="E64" s="431" t="str">
        <f>Company_PC_inputs!E64&amp; " (Intervention)"</f>
        <v>Additional ODI rate - under (Intervention)</v>
      </c>
      <c r="F64" s="431"/>
      <c r="G64" s="431" t="str">
        <f>"£m/unit ("&amp;InpCompany!$F$10&amp;" prices)"</f>
        <v>£m/unit (2017-18 prices)</v>
      </c>
      <c r="H64" s="431"/>
      <c r="I64" s="431"/>
      <c r="J64" s="2270"/>
      <c r="K64" s="2270"/>
      <c r="L64" s="2270"/>
      <c r="M64" s="2270"/>
      <c r="N64" s="2270"/>
      <c r="O64" s="2270"/>
      <c r="P64" s="2270"/>
      <c r="Q64" s="2271"/>
      <c r="R64" s="2270"/>
      <c r="S64" s="2270"/>
      <c r="T64" s="2270"/>
      <c r="U64" s="2270"/>
      <c r="V64" s="2270"/>
      <c r="W64" s="2270"/>
      <c r="X64" s="2270"/>
      <c r="Y64" s="2270"/>
      <c r="Z64" s="2270"/>
      <c r="AA64" s="2270"/>
      <c r="AB64" s="2270"/>
      <c r="AC64" s="2270"/>
      <c r="AD64" s="2270"/>
      <c r="AE64" s="2270"/>
      <c r="AF64" s="2270"/>
      <c r="AG64" s="2270"/>
      <c r="AH64" s="2270"/>
      <c r="AI64" s="2270"/>
      <c r="AJ64" s="2270"/>
      <c r="AK64" s="2271"/>
      <c r="AL64" s="2270"/>
      <c r="AM64" s="2270"/>
      <c r="AN64" s="2270"/>
      <c r="AO64" s="2271"/>
      <c r="AP64" s="2270"/>
      <c r="AQ64" s="2270"/>
      <c r="AR64" s="2270"/>
      <c r="AS64" s="2270"/>
      <c r="AT64" s="2270"/>
      <c r="AU64" s="2270"/>
      <c r="AV64" s="2270"/>
      <c r="AW64" s="2270"/>
      <c r="AX64" s="2270"/>
      <c r="AY64" s="2270"/>
      <c r="AZ64" s="2270"/>
      <c r="BA64" s="2270"/>
      <c r="BB64" s="2270"/>
      <c r="BC64" s="2271"/>
      <c r="BD64" s="505"/>
      <c r="BE64" s="505"/>
      <c r="BF64" s="505"/>
      <c r="BG64" s="505"/>
      <c r="BH64" s="505"/>
      <c r="BI64" s="505"/>
      <c r="BJ64" s="505"/>
      <c r="BK64" s="505"/>
      <c r="BL64" s="505"/>
      <c r="BM64" s="505"/>
      <c r="BN64" s="505"/>
      <c r="BO64" s="505"/>
      <c r="BP64" s="505"/>
      <c r="BQ64" s="505"/>
      <c r="BR64" s="505"/>
      <c r="BS64" s="505"/>
    </row>
    <row r="65" spans="1:71" s="207" customFormat="1">
      <c r="A65" s="431"/>
      <c r="B65" s="431"/>
      <c r="C65" s="431"/>
      <c r="D65" s="431"/>
      <c r="E65" s="431" t="str">
        <f>Company_PC_inputs!E65&amp; " (Intervention)"</f>
        <v>Cost recovery mechanism applies this year? (Intervention)</v>
      </c>
      <c r="F65" s="431"/>
      <c r="G65" s="431" t="s">
        <v>461</v>
      </c>
      <c r="H65" s="431"/>
      <c r="I65" s="431"/>
      <c r="J65" s="2188"/>
      <c r="K65" s="2188"/>
      <c r="L65" s="2188"/>
      <c r="M65" s="2188"/>
      <c r="N65" s="2188"/>
      <c r="O65" s="2188"/>
      <c r="P65" s="2188"/>
      <c r="Q65" s="2264"/>
      <c r="R65" s="2188"/>
      <c r="S65" s="2188"/>
      <c r="T65" s="2188"/>
      <c r="U65" s="2188"/>
      <c r="V65" s="2188"/>
      <c r="W65" s="2188"/>
      <c r="X65" s="2188"/>
      <c r="Y65" s="2188"/>
      <c r="Z65" s="2188"/>
      <c r="AA65" s="2188"/>
      <c r="AB65" s="2188"/>
      <c r="AC65" s="2188"/>
      <c r="AD65" s="2188"/>
      <c r="AE65" s="2188"/>
      <c r="AF65" s="2188"/>
      <c r="AG65" s="2188"/>
      <c r="AH65" s="2188"/>
      <c r="AI65" s="2188"/>
      <c r="AJ65" s="2188"/>
      <c r="AK65" s="2264"/>
      <c r="AL65" s="2188"/>
      <c r="AM65" s="2188"/>
      <c r="AN65" s="2188"/>
      <c r="AO65" s="2264"/>
      <c r="AP65" s="2188"/>
      <c r="AQ65" s="2188"/>
      <c r="AR65" s="2188"/>
      <c r="AS65" s="2188"/>
      <c r="AT65" s="2188"/>
      <c r="AU65" s="2188"/>
      <c r="AV65" s="2188"/>
      <c r="AW65" s="2188"/>
      <c r="AX65" s="2188"/>
      <c r="AY65" s="2188"/>
      <c r="AZ65" s="2188"/>
      <c r="BA65" s="2188"/>
      <c r="BB65" s="2188"/>
      <c r="BC65" s="2264"/>
      <c r="BD65" s="526"/>
      <c r="BE65" s="526"/>
      <c r="BF65" s="526"/>
      <c r="BG65" s="526"/>
      <c r="BH65" s="526"/>
      <c r="BI65" s="526"/>
      <c r="BJ65" s="526"/>
      <c r="BK65" s="526"/>
      <c r="BL65" s="526"/>
      <c r="BM65" s="526"/>
      <c r="BN65" s="526"/>
      <c r="BO65" s="526"/>
      <c r="BP65" s="526"/>
      <c r="BQ65" s="526"/>
      <c r="BR65" s="526"/>
      <c r="BS65" s="526"/>
    </row>
    <row r="66" spans="1:71" s="207" customFormat="1">
      <c r="A66" s="431"/>
      <c r="B66" s="431"/>
      <c r="C66" s="431"/>
      <c r="D66" s="431"/>
      <c r="E66" s="431"/>
      <c r="F66" s="431"/>
      <c r="G66" s="431"/>
      <c r="H66" s="431"/>
      <c r="I66" s="431"/>
      <c r="J66" s="2272"/>
      <c r="K66" s="2272"/>
      <c r="L66" s="2272"/>
      <c r="M66" s="2272"/>
      <c r="N66" s="2272"/>
      <c r="O66" s="2272"/>
      <c r="P66" s="2272"/>
      <c r="Q66" s="2273"/>
      <c r="R66" s="2272"/>
      <c r="S66" s="2272"/>
      <c r="T66" s="2272"/>
      <c r="U66" s="2272"/>
      <c r="V66" s="2272"/>
      <c r="W66" s="2272"/>
      <c r="X66" s="2272"/>
      <c r="Y66" s="2272"/>
      <c r="Z66" s="2272"/>
      <c r="AA66" s="2272"/>
      <c r="AB66" s="2272"/>
      <c r="AC66" s="2272"/>
      <c r="AD66" s="2272"/>
      <c r="AE66" s="2272"/>
      <c r="AF66" s="2272"/>
      <c r="AG66" s="2272"/>
      <c r="AH66" s="2272"/>
      <c r="AI66" s="2272"/>
      <c r="AJ66" s="2272"/>
      <c r="AK66" s="2273"/>
      <c r="AL66" s="2272"/>
      <c r="AM66" s="2272"/>
      <c r="AN66" s="2272"/>
      <c r="AO66" s="2273"/>
      <c r="AP66" s="2272"/>
      <c r="AQ66" s="2272"/>
      <c r="AR66" s="2272"/>
      <c r="AS66" s="2272"/>
      <c r="AT66" s="2272"/>
      <c r="AU66" s="2272"/>
      <c r="AV66" s="2272"/>
      <c r="AW66" s="2272"/>
      <c r="AX66" s="2272"/>
      <c r="AY66" s="2272"/>
      <c r="AZ66" s="2272"/>
      <c r="BA66" s="2272"/>
      <c r="BB66" s="2272"/>
      <c r="BC66" s="2273"/>
      <c r="BD66" s="528"/>
      <c r="BE66" s="528"/>
      <c r="BF66" s="528"/>
      <c r="BG66" s="528"/>
      <c r="BH66" s="528"/>
      <c r="BI66" s="528"/>
      <c r="BJ66" s="528"/>
      <c r="BK66" s="528"/>
      <c r="BL66" s="528"/>
      <c r="BM66" s="528"/>
      <c r="BN66" s="528"/>
      <c r="BO66" s="528"/>
      <c r="BP66" s="528"/>
      <c r="BQ66" s="528"/>
      <c r="BR66" s="528"/>
      <c r="BS66" s="528"/>
    </row>
    <row r="67" spans="1:71" s="207" customFormat="1">
      <c r="A67" s="431"/>
      <c r="B67" s="451"/>
      <c r="C67" s="431"/>
      <c r="D67" s="441" t="s">
        <v>2060</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c r="A68" s="431"/>
      <c r="B68" s="431"/>
      <c r="C68" s="431"/>
      <c r="D68" s="431"/>
      <c r="E68" s="431" t="str">
        <f>Company_PC_inputs!E68&amp; " (Intervention)"</f>
        <v>Price control allocation - Water resources (Intervention)</v>
      </c>
      <c r="F68" s="431"/>
      <c r="G68" s="431" t="s">
        <v>2016</v>
      </c>
      <c r="H68" s="431"/>
      <c r="I68" s="431"/>
      <c r="J68" s="2274"/>
      <c r="K68" s="2274"/>
      <c r="L68" s="2274"/>
      <c r="M68" s="2274"/>
      <c r="N68" s="2274"/>
      <c r="O68" s="2274"/>
      <c r="P68" s="2274"/>
      <c r="Q68" s="2275"/>
      <c r="R68" s="2274"/>
      <c r="S68" s="2274"/>
      <c r="T68" s="2274"/>
      <c r="U68" s="2274"/>
      <c r="V68" s="2274"/>
      <c r="W68" s="2274"/>
      <c r="X68" s="2274"/>
      <c r="Y68" s="2274"/>
      <c r="Z68" s="2274"/>
      <c r="AA68" s="2274"/>
      <c r="AB68" s="2274"/>
      <c r="AC68" s="2274"/>
      <c r="AD68" s="2274"/>
      <c r="AE68" s="2274"/>
      <c r="AF68" s="2274"/>
      <c r="AG68" s="2274"/>
      <c r="AH68" s="2274"/>
      <c r="AI68" s="2274"/>
      <c r="AJ68" s="2274"/>
      <c r="AK68" s="2275"/>
      <c r="AL68" s="2274"/>
      <c r="AM68" s="2274"/>
      <c r="AN68" s="2274"/>
      <c r="AO68" s="2275"/>
      <c r="AP68" s="2274"/>
      <c r="AQ68" s="2274"/>
      <c r="AR68" s="2274"/>
      <c r="AS68" s="2274"/>
      <c r="AT68" s="2274"/>
      <c r="AU68" s="2274"/>
      <c r="AV68" s="2274"/>
      <c r="AW68" s="2274"/>
      <c r="AX68" s="2274"/>
      <c r="AY68" s="2274"/>
      <c r="AZ68" s="2274"/>
      <c r="BA68" s="2274"/>
      <c r="BB68" s="2274"/>
      <c r="BC68" s="2275"/>
      <c r="BD68" s="532"/>
      <c r="BE68" s="532"/>
      <c r="BF68" s="532"/>
      <c r="BG68" s="532"/>
      <c r="BH68" s="532"/>
      <c r="BI68" s="532"/>
      <c r="BJ68" s="532"/>
      <c r="BK68" s="532"/>
      <c r="BL68" s="532"/>
      <c r="BM68" s="532"/>
      <c r="BN68" s="532"/>
      <c r="BO68" s="532"/>
      <c r="BP68" s="532"/>
      <c r="BQ68" s="532"/>
      <c r="BR68" s="532"/>
      <c r="BS68" s="532"/>
    </row>
    <row r="69" spans="1:71" s="207" customFormat="1">
      <c r="A69" s="431"/>
      <c r="B69" s="431"/>
      <c r="C69" s="431"/>
      <c r="D69" s="431"/>
      <c r="E69" s="431" t="str">
        <f>Company_PC_inputs!E69&amp; " (Intervention)"</f>
        <v>Price control allocation - Water network plus (Intervention)</v>
      </c>
      <c r="F69" s="431"/>
      <c r="G69" s="431" t="s">
        <v>2016</v>
      </c>
      <c r="H69" s="431"/>
      <c r="I69" s="431"/>
      <c r="J69" s="2274"/>
      <c r="K69" s="2274"/>
      <c r="L69" s="2274"/>
      <c r="M69" s="2274"/>
      <c r="N69" s="2274"/>
      <c r="O69" s="2274"/>
      <c r="P69" s="2274"/>
      <c r="Q69" s="2275"/>
      <c r="R69" s="2274"/>
      <c r="S69" s="2274"/>
      <c r="T69" s="2274"/>
      <c r="U69" s="2274"/>
      <c r="V69" s="2274"/>
      <c r="W69" s="2274"/>
      <c r="X69" s="2274"/>
      <c r="Y69" s="2274"/>
      <c r="Z69" s="2274"/>
      <c r="AA69" s="2274"/>
      <c r="AB69" s="2274"/>
      <c r="AC69" s="2274"/>
      <c r="AD69" s="2274"/>
      <c r="AE69" s="2274"/>
      <c r="AF69" s="2274"/>
      <c r="AG69" s="2274"/>
      <c r="AH69" s="2274"/>
      <c r="AI69" s="2274"/>
      <c r="AJ69" s="2274"/>
      <c r="AK69" s="2275"/>
      <c r="AL69" s="2274"/>
      <c r="AM69" s="2274"/>
      <c r="AN69" s="2274"/>
      <c r="AO69" s="2275"/>
      <c r="AP69" s="2274"/>
      <c r="AQ69" s="2274"/>
      <c r="AR69" s="2274"/>
      <c r="AS69" s="2274"/>
      <c r="AT69" s="2274"/>
      <c r="AU69" s="2274"/>
      <c r="AV69" s="2274"/>
      <c r="AW69" s="2274"/>
      <c r="AX69" s="2274"/>
      <c r="AY69" s="2274"/>
      <c r="AZ69" s="2274"/>
      <c r="BA69" s="2274"/>
      <c r="BB69" s="2274"/>
      <c r="BC69" s="2275"/>
      <c r="BD69" s="532"/>
      <c r="BE69" s="532"/>
      <c r="BF69" s="532"/>
      <c r="BG69" s="532"/>
      <c r="BH69" s="532"/>
      <c r="BI69" s="532"/>
      <c r="BJ69" s="532"/>
      <c r="BK69" s="532"/>
      <c r="BL69" s="532"/>
      <c r="BM69" s="532"/>
      <c r="BN69" s="532"/>
      <c r="BO69" s="532"/>
      <c r="BP69" s="532"/>
      <c r="BQ69" s="532"/>
      <c r="BR69" s="532"/>
      <c r="BS69" s="532"/>
    </row>
    <row r="70" spans="1:71" s="207" customFormat="1">
      <c r="A70" s="431"/>
      <c r="B70" s="431"/>
      <c r="C70" s="431"/>
      <c r="D70" s="431"/>
      <c r="E70" s="431" t="str">
        <f>Company_PC_inputs!E70&amp; " (Intervention)"</f>
        <v>Price control allocation - Wastewater network plus (Intervention)</v>
      </c>
      <c r="F70" s="431"/>
      <c r="G70" s="431" t="s">
        <v>2016</v>
      </c>
      <c r="H70" s="431"/>
      <c r="I70" s="431"/>
      <c r="J70" s="2274"/>
      <c r="K70" s="2274"/>
      <c r="L70" s="2274"/>
      <c r="M70" s="2274"/>
      <c r="N70" s="2274"/>
      <c r="O70" s="2274"/>
      <c r="P70" s="2274"/>
      <c r="Q70" s="2275"/>
      <c r="R70" s="2274"/>
      <c r="S70" s="2274"/>
      <c r="T70" s="2274"/>
      <c r="U70" s="2274"/>
      <c r="V70" s="2274"/>
      <c r="W70" s="2274"/>
      <c r="X70" s="2274"/>
      <c r="Y70" s="2274"/>
      <c r="Z70" s="2274"/>
      <c r="AA70" s="2274"/>
      <c r="AB70" s="2274"/>
      <c r="AC70" s="2274"/>
      <c r="AD70" s="2274"/>
      <c r="AE70" s="2274"/>
      <c r="AF70" s="2274"/>
      <c r="AG70" s="2274"/>
      <c r="AH70" s="2274"/>
      <c r="AI70" s="2274"/>
      <c r="AJ70" s="2274"/>
      <c r="AK70" s="2275"/>
      <c r="AL70" s="2274"/>
      <c r="AM70" s="2274"/>
      <c r="AN70" s="2274"/>
      <c r="AO70" s="2275"/>
      <c r="AP70" s="2274"/>
      <c r="AQ70" s="2274"/>
      <c r="AR70" s="2274"/>
      <c r="AS70" s="2274"/>
      <c r="AT70" s="2274"/>
      <c r="AU70" s="2274"/>
      <c r="AV70" s="2274"/>
      <c r="AW70" s="2274"/>
      <c r="AX70" s="2274"/>
      <c r="AY70" s="2274"/>
      <c r="AZ70" s="2274"/>
      <c r="BA70" s="2274"/>
      <c r="BB70" s="2274"/>
      <c r="BC70" s="2275"/>
      <c r="BD70" s="532"/>
      <c r="BE70" s="532"/>
      <c r="BF70" s="532"/>
      <c r="BG70" s="532"/>
      <c r="BH70" s="532"/>
      <c r="BI70" s="532"/>
      <c r="BJ70" s="532"/>
      <c r="BK70" s="532"/>
      <c r="BL70" s="532"/>
      <c r="BM70" s="532"/>
      <c r="BN70" s="532"/>
      <c r="BO70" s="532"/>
      <c r="BP70" s="532"/>
      <c r="BQ70" s="532"/>
      <c r="BR70" s="532"/>
      <c r="BS70" s="532"/>
    </row>
    <row r="71" spans="1:71" s="207" customFormat="1">
      <c r="A71" s="431"/>
      <c r="B71" s="431"/>
      <c r="C71" s="431"/>
      <c r="D71" s="431"/>
      <c r="E71" s="431" t="str">
        <f>Company_PC_inputs!E71&amp; " (Intervention)"</f>
        <v>Price control allocation - Bioresources (sludge) (Intervention)</v>
      </c>
      <c r="F71" s="431"/>
      <c r="G71" s="431" t="s">
        <v>2016</v>
      </c>
      <c r="H71" s="431"/>
      <c r="I71" s="431"/>
      <c r="J71" s="2274"/>
      <c r="K71" s="2274"/>
      <c r="L71" s="2274"/>
      <c r="M71" s="2274"/>
      <c r="N71" s="2274"/>
      <c r="O71" s="2274"/>
      <c r="P71" s="2274"/>
      <c r="Q71" s="2275"/>
      <c r="R71" s="2274"/>
      <c r="S71" s="2274"/>
      <c r="T71" s="2274"/>
      <c r="U71" s="2274"/>
      <c r="V71" s="2274"/>
      <c r="W71" s="2274"/>
      <c r="X71" s="2274"/>
      <c r="Y71" s="2274"/>
      <c r="Z71" s="2274"/>
      <c r="AA71" s="2274"/>
      <c r="AB71" s="2274"/>
      <c r="AC71" s="2274"/>
      <c r="AD71" s="2274"/>
      <c r="AE71" s="2274"/>
      <c r="AF71" s="2274"/>
      <c r="AG71" s="2274"/>
      <c r="AH71" s="2274"/>
      <c r="AI71" s="2274"/>
      <c r="AJ71" s="2274"/>
      <c r="AK71" s="2275"/>
      <c r="AL71" s="2274"/>
      <c r="AM71" s="2274"/>
      <c r="AN71" s="2274"/>
      <c r="AO71" s="2275"/>
      <c r="AP71" s="2274"/>
      <c r="AQ71" s="2274"/>
      <c r="AR71" s="2274"/>
      <c r="AS71" s="2274"/>
      <c r="AT71" s="2274"/>
      <c r="AU71" s="2274"/>
      <c r="AV71" s="2274"/>
      <c r="AW71" s="2274"/>
      <c r="AX71" s="2274"/>
      <c r="AY71" s="2274"/>
      <c r="AZ71" s="2274"/>
      <c r="BA71" s="2274"/>
      <c r="BB71" s="2274"/>
      <c r="BC71" s="2275"/>
      <c r="BD71" s="532"/>
      <c r="BE71" s="532"/>
      <c r="BF71" s="532"/>
      <c r="BG71" s="532"/>
      <c r="BH71" s="532"/>
      <c r="BI71" s="532"/>
      <c r="BJ71" s="532"/>
      <c r="BK71" s="532"/>
      <c r="BL71" s="532"/>
      <c r="BM71" s="532"/>
      <c r="BN71" s="532"/>
      <c r="BO71" s="532"/>
      <c r="BP71" s="532"/>
      <c r="BQ71" s="532"/>
      <c r="BR71" s="532"/>
      <c r="BS71" s="532"/>
    </row>
    <row r="72" spans="1:71" s="207" customFormat="1">
      <c r="A72" s="431"/>
      <c r="B72" s="431"/>
      <c r="C72" s="431"/>
      <c r="D72" s="431"/>
      <c r="E72" s="431" t="str">
        <f>Company_PC_inputs!E72&amp; " (Intervention)"</f>
        <v>Price control allocation - Residential retail (Intervention)</v>
      </c>
      <c r="F72" s="431"/>
      <c r="G72" s="431" t="s">
        <v>2016</v>
      </c>
      <c r="H72" s="431"/>
      <c r="I72" s="431"/>
      <c r="J72" s="2274"/>
      <c r="K72" s="2274"/>
      <c r="L72" s="2274"/>
      <c r="M72" s="2274"/>
      <c r="N72" s="2274"/>
      <c r="O72" s="2274"/>
      <c r="P72" s="2274"/>
      <c r="Q72" s="2275"/>
      <c r="R72" s="2274"/>
      <c r="S72" s="2274"/>
      <c r="T72" s="2274"/>
      <c r="U72" s="2274"/>
      <c r="V72" s="2274"/>
      <c r="W72" s="2274"/>
      <c r="X72" s="2274"/>
      <c r="Y72" s="2274"/>
      <c r="Z72" s="2274"/>
      <c r="AA72" s="2274"/>
      <c r="AB72" s="2274"/>
      <c r="AC72" s="2274"/>
      <c r="AD72" s="2274"/>
      <c r="AE72" s="2274"/>
      <c r="AF72" s="2274"/>
      <c r="AG72" s="2274"/>
      <c r="AH72" s="2274"/>
      <c r="AI72" s="2274"/>
      <c r="AJ72" s="2274"/>
      <c r="AK72" s="2275"/>
      <c r="AL72" s="2274"/>
      <c r="AM72" s="2274"/>
      <c r="AN72" s="2274"/>
      <c r="AO72" s="2275"/>
      <c r="AP72" s="2274"/>
      <c r="AQ72" s="2274"/>
      <c r="AR72" s="2274"/>
      <c r="AS72" s="2274"/>
      <c r="AT72" s="2274"/>
      <c r="AU72" s="2274"/>
      <c r="AV72" s="2274"/>
      <c r="AW72" s="2274"/>
      <c r="AX72" s="2274"/>
      <c r="AY72" s="2274"/>
      <c r="AZ72" s="2274"/>
      <c r="BA72" s="2274"/>
      <c r="BB72" s="2274"/>
      <c r="BC72" s="2275"/>
      <c r="BD72" s="532"/>
      <c r="BE72" s="532"/>
      <c r="BF72" s="532"/>
      <c r="BG72" s="532"/>
      <c r="BH72" s="532"/>
      <c r="BI72" s="532"/>
      <c r="BJ72" s="532"/>
      <c r="BK72" s="532"/>
      <c r="BL72" s="532"/>
      <c r="BM72" s="532"/>
      <c r="BN72" s="532"/>
      <c r="BO72" s="532"/>
      <c r="BP72" s="532"/>
      <c r="BQ72" s="532"/>
      <c r="BR72" s="532"/>
      <c r="BS72" s="532"/>
    </row>
    <row r="73" spans="1:71" s="207" customFormat="1">
      <c r="A73" s="431"/>
      <c r="B73" s="431"/>
      <c r="C73" s="431"/>
      <c r="D73" s="431"/>
      <c r="E73" s="431" t="str">
        <f>Company_PC_inputs!E73&amp; " (Intervention)"</f>
        <v>Price control allocation - Business retail (Intervention)</v>
      </c>
      <c r="F73" s="431"/>
      <c r="G73" s="431" t="s">
        <v>2016</v>
      </c>
      <c r="H73" s="431"/>
      <c r="I73" s="431"/>
      <c r="J73" s="2274"/>
      <c r="K73" s="2274"/>
      <c r="L73" s="2274"/>
      <c r="M73" s="2274"/>
      <c r="N73" s="2274"/>
      <c r="O73" s="2274"/>
      <c r="P73" s="2274"/>
      <c r="Q73" s="2275"/>
      <c r="R73" s="2274"/>
      <c r="S73" s="2274"/>
      <c r="T73" s="2274"/>
      <c r="U73" s="2274"/>
      <c r="V73" s="2274"/>
      <c r="W73" s="2274"/>
      <c r="X73" s="2274"/>
      <c r="Y73" s="2274"/>
      <c r="Z73" s="2274"/>
      <c r="AA73" s="2274"/>
      <c r="AB73" s="2274"/>
      <c r="AC73" s="2274"/>
      <c r="AD73" s="2274"/>
      <c r="AE73" s="2274"/>
      <c r="AF73" s="2274"/>
      <c r="AG73" s="2274"/>
      <c r="AH73" s="2274"/>
      <c r="AI73" s="2274"/>
      <c r="AJ73" s="2274"/>
      <c r="AK73" s="2275"/>
      <c r="AL73" s="2274"/>
      <c r="AM73" s="2274"/>
      <c r="AN73" s="2274"/>
      <c r="AO73" s="2275"/>
      <c r="AP73" s="2274"/>
      <c r="AQ73" s="2274"/>
      <c r="AR73" s="2274"/>
      <c r="AS73" s="2274"/>
      <c r="AT73" s="2274"/>
      <c r="AU73" s="2274"/>
      <c r="AV73" s="2274"/>
      <c r="AW73" s="2274"/>
      <c r="AX73" s="2274"/>
      <c r="AY73" s="2274"/>
      <c r="AZ73" s="2274"/>
      <c r="BA73" s="2274"/>
      <c r="BB73" s="2274"/>
      <c r="BC73" s="2275"/>
      <c r="BD73" s="532"/>
      <c r="BE73" s="532"/>
      <c r="BF73" s="532"/>
      <c r="BG73" s="532"/>
      <c r="BH73" s="532"/>
      <c r="BI73" s="532"/>
      <c r="BJ73" s="532"/>
      <c r="BK73" s="532"/>
      <c r="BL73" s="532"/>
      <c r="BM73" s="532"/>
      <c r="BN73" s="532"/>
      <c r="BO73" s="532"/>
      <c r="BP73" s="532"/>
      <c r="BQ73" s="532"/>
      <c r="BR73" s="532"/>
      <c r="BS73" s="532"/>
    </row>
    <row r="74" spans="1:71" s="207" customFormat="1">
      <c r="A74" s="431"/>
      <c r="B74" s="431"/>
      <c r="C74" s="431"/>
      <c r="D74" s="431"/>
      <c r="E74" s="431" t="str">
        <f>Company_PC_inputs!E74&amp; " (Intervention)"</f>
        <v>Price control allocation - Dummy control (Intervention)</v>
      </c>
      <c r="F74" s="431"/>
      <c r="G74" s="431" t="s">
        <v>2016</v>
      </c>
      <c r="H74" s="431"/>
      <c r="I74" s="431"/>
      <c r="J74" s="2274"/>
      <c r="K74" s="2274"/>
      <c r="L74" s="2274"/>
      <c r="M74" s="2274"/>
      <c r="N74" s="2274"/>
      <c r="O74" s="2274"/>
      <c r="P74" s="2274"/>
      <c r="Q74" s="2275"/>
      <c r="R74" s="2274"/>
      <c r="S74" s="2274"/>
      <c r="T74" s="2274"/>
      <c r="U74" s="2274"/>
      <c r="V74" s="2274"/>
      <c r="W74" s="2274"/>
      <c r="X74" s="2274"/>
      <c r="Y74" s="2274"/>
      <c r="Z74" s="2274"/>
      <c r="AA74" s="2274"/>
      <c r="AB74" s="2274"/>
      <c r="AC74" s="2274"/>
      <c r="AD74" s="2274"/>
      <c r="AE74" s="2274"/>
      <c r="AF74" s="2274"/>
      <c r="AG74" s="2274"/>
      <c r="AH74" s="2274"/>
      <c r="AI74" s="2274"/>
      <c r="AJ74" s="2274"/>
      <c r="AK74" s="2275"/>
      <c r="AL74" s="2274"/>
      <c r="AM74" s="2274"/>
      <c r="AN74" s="2274"/>
      <c r="AO74" s="2275"/>
      <c r="AP74" s="2274"/>
      <c r="AQ74" s="2274"/>
      <c r="AR74" s="2274"/>
      <c r="AS74" s="2274"/>
      <c r="AT74" s="2274"/>
      <c r="AU74" s="2274"/>
      <c r="AV74" s="2274"/>
      <c r="AW74" s="2274"/>
      <c r="AX74" s="2274"/>
      <c r="AY74" s="2274"/>
      <c r="AZ74" s="2274"/>
      <c r="BA74" s="2274"/>
      <c r="BB74" s="2274"/>
      <c r="BC74" s="2275"/>
      <c r="BD74" s="532"/>
      <c r="BE74" s="532"/>
      <c r="BF74" s="532"/>
      <c r="BG74" s="532"/>
      <c r="BH74" s="532"/>
      <c r="BI74" s="532"/>
      <c r="BJ74" s="532"/>
      <c r="BK74" s="532"/>
      <c r="BL74" s="532"/>
      <c r="BM74" s="532"/>
      <c r="BN74" s="532"/>
      <c r="BO74" s="532"/>
      <c r="BP74" s="532"/>
      <c r="BQ74" s="532"/>
      <c r="BR74" s="532"/>
      <c r="BS74" s="532"/>
    </row>
    <row r="75" spans="1:71" s="207" customFormat="1">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25">
      <c r="A76" s="514" t="s">
        <v>1082</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conditionalFormatting sqref="H76:BS76">
    <cfRule type="cellIs" dxfId="210" priority="14" operator="equal">
      <formula>0</formula>
    </cfRule>
  </conditionalFormatting>
  <conditionalFormatting sqref="J13:BS13">
    <cfRule type="expression" dxfId="209" priority="1">
      <formula>AND(J13=FALSE,J13&lt;&gt;"")</formula>
    </cfRule>
  </conditionalFormatting>
  <conditionalFormatting sqref="J68:BS74">
    <cfRule type="cellIs" dxfId="208"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2.75"/>
  <cols>
    <col min="1" max="1" width="2.625" style="433" customWidth="1"/>
    <col min="2" max="2" width="6.125" style="433" customWidth="1"/>
    <col min="3" max="3" width="53.625" style="433" customWidth="1"/>
    <col min="4" max="4" width="33.125" style="433" customWidth="1"/>
    <col min="5" max="5" width="9.625" style="433" customWidth="1"/>
    <col min="6" max="9" width="10.625" style="433" customWidth="1"/>
    <col min="10" max="10" width="18.625" style="433" customWidth="1"/>
    <col min="11" max="11" width="6.125" style="433" customWidth="1"/>
    <col min="12" max="12" width="61.875" style="433" customWidth="1"/>
    <col min="13" max="13" width="17.25" style="433" bestFit="1" customWidth="1"/>
    <col min="14" max="14" width="9.625" style="433" customWidth="1"/>
    <col min="15" max="18" width="10.625" style="433" customWidth="1"/>
    <col min="19" max="19" width="18.625" style="433" customWidth="1"/>
    <col min="20" max="20" width="23.5" style="433" customWidth="1"/>
    <col min="21" max="21" width="9.625" style="433" customWidth="1"/>
    <col min="22" max="25" width="10.625" style="433" customWidth="1"/>
    <col min="26" max="16384" width="9" style="433"/>
  </cols>
  <sheetData>
    <row r="1" spans="1:25" ht="44.25">
      <c r="A1" s="425" t="e">
        <f ca="1" xml:space="preserve"> RIGHT(CELL("filename", $A$1), LEN(CELL("filename", $A$1)) - SEARCH("]", CELL("filename", $A$1)))</f>
        <v>#VALUE!</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33"/>
      <c r="B3" s="1954" t="s">
        <v>2068</v>
      </c>
      <c r="C3" s="1933"/>
      <c r="D3" s="1933"/>
      <c r="E3" s="1933"/>
      <c r="F3" s="1933"/>
      <c r="G3" s="1933"/>
      <c r="H3" s="1933"/>
      <c r="I3" s="1934"/>
      <c r="J3" s="1933"/>
      <c r="K3" s="1933"/>
      <c r="L3" s="1933"/>
      <c r="M3" s="1933"/>
      <c r="N3" s="1933"/>
      <c r="O3" s="1933"/>
      <c r="P3" s="1933"/>
      <c r="Q3" s="1933"/>
      <c r="R3" s="1933"/>
      <c r="S3" s="1933"/>
      <c r="T3" s="1933"/>
      <c r="U3" s="1933"/>
      <c r="V3" s="1933"/>
      <c r="W3" s="1933"/>
      <c r="X3" s="1933"/>
      <c r="Y3" s="1934"/>
    </row>
    <row r="4" spans="1:25" ht="15" customHeight="1">
      <c r="B4" s="1968"/>
      <c r="I4" s="449"/>
      <c r="Y4" s="449"/>
    </row>
    <row r="5" spans="1:25" ht="15" customHeight="1">
      <c r="F5" s="2359" t="s">
        <v>2069</v>
      </c>
      <c r="H5" s="2359" t="s">
        <v>2070</v>
      </c>
    </row>
    <row r="6" spans="1:25" ht="15" customHeight="1">
      <c r="B6" s="433" t="s">
        <v>2071</v>
      </c>
      <c r="F6" s="433" t="b">
        <f>'Sharing mechanism'!J32</f>
        <v>1</v>
      </c>
      <c r="H6" s="433" t="b">
        <f>'Sharing mechanism'!K32</f>
        <v>0</v>
      </c>
    </row>
    <row r="7" spans="1:25" ht="15" customHeight="1">
      <c r="B7" s="433" t="s">
        <v>2072</v>
      </c>
      <c r="F7" s="433" t="b">
        <f>'Sharing mechanism'!J156</f>
        <v>1</v>
      </c>
      <c r="H7" s="433" t="b">
        <f>'Sharing mechanism'!K156</f>
        <v>1</v>
      </c>
    </row>
    <row r="8" spans="1:25" ht="15" customHeight="1"/>
    <row r="9" spans="1:25" ht="15.75">
      <c r="A9" s="1933"/>
      <c r="B9" s="1954" t="s">
        <v>2073</v>
      </c>
      <c r="C9" s="1933"/>
      <c r="D9" s="1933"/>
      <c r="E9" s="1933"/>
      <c r="F9" s="1933"/>
      <c r="G9" s="1933"/>
      <c r="H9" s="1933"/>
      <c r="I9" s="1934"/>
      <c r="J9" s="1933"/>
      <c r="K9" s="1933"/>
      <c r="L9" s="1933"/>
      <c r="M9" s="1933"/>
      <c r="N9" s="1933"/>
      <c r="O9" s="1933"/>
      <c r="P9" s="1933"/>
      <c r="Q9" s="1933"/>
      <c r="R9" s="1933"/>
      <c r="S9" s="1933"/>
      <c r="T9" s="1933"/>
      <c r="U9" s="1933"/>
      <c r="V9" s="1933"/>
      <c r="W9" s="1933"/>
      <c r="X9" s="1933"/>
      <c r="Y9" s="1934"/>
    </row>
    <row r="10" spans="1:25" ht="15" customHeight="1">
      <c r="B10" s="1935"/>
      <c r="F10" s="165"/>
      <c r="G10" s="165"/>
      <c r="H10" s="165"/>
      <c r="I10" s="165"/>
      <c r="Y10" s="449"/>
    </row>
    <row r="11" spans="1:25" ht="15" customHeight="1">
      <c r="I11" s="449" t="s">
        <v>2074</v>
      </c>
      <c r="R11" s="449" t="s">
        <v>2074</v>
      </c>
      <c r="Y11" s="449" t="s">
        <v>2074</v>
      </c>
    </row>
    <row r="12" spans="1:25">
      <c r="B12" s="435" t="s">
        <v>169</v>
      </c>
      <c r="E12" s="435"/>
      <c r="F12" s="1885" t="s">
        <v>1830</v>
      </c>
      <c r="G12" s="1885" t="s">
        <v>1840</v>
      </c>
      <c r="H12" s="1885" t="s">
        <v>1847</v>
      </c>
      <c r="I12" s="1977" t="s">
        <v>1853</v>
      </c>
      <c r="K12" s="435" t="s">
        <v>216</v>
      </c>
      <c r="O12" s="1885" t="s">
        <v>1830</v>
      </c>
      <c r="P12" s="1885" t="s">
        <v>1840</v>
      </c>
      <c r="Q12" s="1885" t="s">
        <v>1847</v>
      </c>
      <c r="R12" s="1977" t="s">
        <v>1853</v>
      </c>
      <c r="T12" s="435" t="s">
        <v>2075</v>
      </c>
      <c r="U12" s="435"/>
      <c r="V12" s="1885" t="s">
        <v>1830</v>
      </c>
      <c r="W12" s="1885" t="s">
        <v>1840</v>
      </c>
      <c r="X12" s="1885" t="s">
        <v>1847</v>
      </c>
      <c r="Y12" s="1977" t="s">
        <v>1853</v>
      </c>
    </row>
    <row r="13" spans="1:25" ht="15" customHeight="1">
      <c r="C13" s="435" t="s">
        <v>2076</v>
      </c>
      <c r="D13" s="435" t="s">
        <v>2077</v>
      </c>
      <c r="E13" s="435" t="s">
        <v>1802</v>
      </c>
      <c r="F13" s="1885" t="s">
        <v>165</v>
      </c>
      <c r="G13" s="1885" t="s">
        <v>165</v>
      </c>
      <c r="H13" s="1885" t="s">
        <v>165</v>
      </c>
      <c r="I13" s="1885" t="s">
        <v>165</v>
      </c>
      <c r="L13" s="435" t="s">
        <v>2076</v>
      </c>
      <c r="M13" s="435" t="s">
        <v>2077</v>
      </c>
      <c r="N13" s="435" t="s">
        <v>1802</v>
      </c>
      <c r="O13" s="1885" t="s">
        <v>165</v>
      </c>
      <c r="P13" s="1885" t="s">
        <v>165</v>
      </c>
      <c r="Q13" s="1885" t="s">
        <v>165</v>
      </c>
      <c r="R13" s="1885" t="s">
        <v>165</v>
      </c>
      <c r="U13" s="1955" t="s">
        <v>1802</v>
      </c>
      <c r="V13" s="1885" t="s">
        <v>165</v>
      </c>
      <c r="W13" s="1885" t="s">
        <v>165</v>
      </c>
      <c r="X13" s="1885" t="s">
        <v>165</v>
      </c>
      <c r="Y13" s="1885" t="s">
        <v>165</v>
      </c>
    </row>
    <row r="14" spans="1:25" ht="15" customHeight="1">
      <c r="B14" s="433" t="s">
        <v>1102</v>
      </c>
      <c r="C14" s="433" t="s">
        <v>1084</v>
      </c>
      <c r="D14" s="1936" t="s">
        <v>1106</v>
      </c>
      <c r="E14" s="1936" t="s">
        <v>1826</v>
      </c>
      <c r="F14" s="2179">
        <v>0</v>
      </c>
      <c r="G14" s="2179">
        <v>0</v>
      </c>
      <c r="H14" s="2183">
        <v>0</v>
      </c>
      <c r="I14" s="2183">
        <v>0</v>
      </c>
      <c r="K14" s="433" t="s">
        <v>1102</v>
      </c>
      <c r="L14" s="433" t="s">
        <v>2078</v>
      </c>
      <c r="M14" s="1936" t="s">
        <v>1407</v>
      </c>
      <c r="N14" s="1936" t="s">
        <v>1826</v>
      </c>
      <c r="O14" s="2179">
        <v>0</v>
      </c>
      <c r="P14" s="2179">
        <v>0</v>
      </c>
      <c r="Q14" s="2183">
        <v>0</v>
      </c>
      <c r="R14" s="2183">
        <v>0</v>
      </c>
      <c r="T14" s="433" t="s">
        <v>1102</v>
      </c>
      <c r="U14" s="433" t="str">
        <f t="shared" ref="U14:U30" si="0">$E14</f>
        <v>Revenue</v>
      </c>
      <c r="V14" s="1938">
        <f t="shared" ref="V14" si="1">F14 + O14</f>
        <v>0</v>
      </c>
      <c r="W14" s="1938">
        <f t="shared" ref="W14:W17" si="2">G14 + P14</f>
        <v>0</v>
      </c>
      <c r="X14" s="1938">
        <f t="shared" ref="X14:X17" si="3">H14 + Q14</f>
        <v>0</v>
      </c>
      <c r="Y14" s="1938">
        <f t="shared" ref="Y14:Y17" si="4">I14 + R14</f>
        <v>0</v>
      </c>
    </row>
    <row r="15" spans="1:25" ht="15" customHeight="1">
      <c r="B15" s="433" t="s">
        <v>1116</v>
      </c>
      <c r="C15" s="433" t="s">
        <v>1084</v>
      </c>
      <c r="D15" s="1936" t="s">
        <v>1282</v>
      </c>
      <c r="E15" s="1936" t="s">
        <v>1826</v>
      </c>
      <c r="F15" s="2179">
        <v>0</v>
      </c>
      <c r="G15" s="2179">
        <v>0</v>
      </c>
      <c r="H15" s="2183">
        <v>0</v>
      </c>
      <c r="I15" s="2183">
        <v>0</v>
      </c>
      <c r="K15" s="433" t="s">
        <v>1116</v>
      </c>
      <c r="L15" s="433" t="s">
        <v>2079</v>
      </c>
      <c r="M15" s="1936" t="s">
        <v>1503</v>
      </c>
      <c r="N15" s="1936" t="s">
        <v>1826</v>
      </c>
      <c r="O15" s="2179">
        <v>9.4664999999999999E-2</v>
      </c>
      <c r="P15" s="2179">
        <v>0.85198499999999988</v>
      </c>
      <c r="Q15" s="2183">
        <v>1.419975</v>
      </c>
      <c r="R15" s="2183">
        <v>4.259925</v>
      </c>
      <c r="T15" s="433" t="s">
        <v>1116</v>
      </c>
      <c r="U15" s="433" t="str">
        <f t="shared" si="0"/>
        <v>Revenue</v>
      </c>
      <c r="V15" s="1938">
        <f t="shared" ref="V15:V17" si="5">F15 + O15</f>
        <v>9.4664999999999999E-2</v>
      </c>
      <c r="W15" s="1938">
        <f t="shared" si="2"/>
        <v>0.85198499999999988</v>
      </c>
      <c r="X15" s="1938">
        <f t="shared" si="3"/>
        <v>1.419975</v>
      </c>
      <c r="Y15" s="1938">
        <f t="shared" si="4"/>
        <v>4.259925</v>
      </c>
    </row>
    <row r="16" spans="1:25" ht="15" customHeight="1">
      <c r="B16" s="433" t="s">
        <v>1130</v>
      </c>
      <c r="C16" s="433" t="s">
        <v>1084</v>
      </c>
      <c r="D16" s="1936" t="s">
        <v>1134</v>
      </c>
      <c r="E16" s="1936" t="s">
        <v>1826</v>
      </c>
      <c r="F16" s="2179">
        <v>0</v>
      </c>
      <c r="G16" s="2179">
        <v>0</v>
      </c>
      <c r="H16" s="2183">
        <v>0</v>
      </c>
      <c r="I16" s="2183">
        <v>0</v>
      </c>
      <c r="K16" s="433" t="s">
        <v>1130</v>
      </c>
      <c r="L16" s="433" t="s">
        <v>2080</v>
      </c>
      <c r="M16" s="1936" t="s">
        <v>1496</v>
      </c>
      <c r="N16" s="1936" t="s">
        <v>1826</v>
      </c>
      <c r="O16" s="2179">
        <v>0</v>
      </c>
      <c r="P16" s="2179">
        <v>0</v>
      </c>
      <c r="Q16" s="2183">
        <v>0</v>
      </c>
      <c r="R16" s="2183">
        <v>0</v>
      </c>
      <c r="T16" s="433" t="s">
        <v>1130</v>
      </c>
      <c r="U16" s="433" t="str">
        <f t="shared" si="0"/>
        <v>Revenue</v>
      </c>
      <c r="V16" s="1938">
        <f t="shared" si="5"/>
        <v>0</v>
      </c>
      <c r="W16" s="1938">
        <f t="shared" si="2"/>
        <v>0</v>
      </c>
      <c r="X16" s="1938">
        <f t="shared" si="3"/>
        <v>0</v>
      </c>
      <c r="Y16" s="1938">
        <f t="shared" si="4"/>
        <v>0</v>
      </c>
    </row>
    <row r="17" spans="2:25" ht="15" customHeight="1">
      <c r="B17" s="433" t="s">
        <v>1143</v>
      </c>
      <c r="C17" s="433" t="s">
        <v>1084</v>
      </c>
      <c r="D17" s="1936" t="s">
        <v>1147</v>
      </c>
      <c r="E17" s="1936" t="s">
        <v>1826</v>
      </c>
      <c r="F17" s="2179">
        <v>0</v>
      </c>
      <c r="G17" s="2179">
        <v>0</v>
      </c>
      <c r="H17" s="2183">
        <v>0</v>
      </c>
      <c r="I17" s="2183">
        <v>0</v>
      </c>
      <c r="K17" s="433" t="s">
        <v>1143</v>
      </c>
      <c r="L17" s="433" t="s">
        <v>2081</v>
      </c>
      <c r="M17" s="1936" t="s">
        <v>1539</v>
      </c>
      <c r="N17" s="1936" t="s">
        <v>1826</v>
      </c>
      <c r="O17" s="2179">
        <v>0</v>
      </c>
      <c r="P17" s="2179">
        <v>0</v>
      </c>
      <c r="Q17" s="2183">
        <v>0</v>
      </c>
      <c r="R17" s="2183">
        <v>0</v>
      </c>
      <c r="T17" s="433" t="s">
        <v>1143</v>
      </c>
      <c r="U17" s="433" t="str">
        <f t="shared" si="0"/>
        <v>Revenue</v>
      </c>
      <c r="V17" s="1938">
        <f t="shared" si="5"/>
        <v>0</v>
      </c>
      <c r="W17" s="1938">
        <f t="shared" si="2"/>
        <v>0</v>
      </c>
      <c r="X17" s="1938">
        <f t="shared" si="3"/>
        <v>0</v>
      </c>
      <c r="Y17" s="1938">
        <f t="shared" si="4"/>
        <v>0</v>
      </c>
    </row>
    <row r="18" spans="2:25" ht="15" customHeight="1">
      <c r="B18" s="433" t="s">
        <v>1157</v>
      </c>
      <c r="C18" s="433" t="s">
        <v>1084</v>
      </c>
      <c r="D18" s="1936" t="s">
        <v>1245</v>
      </c>
      <c r="E18" s="1936" t="s">
        <v>1826</v>
      </c>
      <c r="F18" s="2179">
        <v>0</v>
      </c>
      <c r="G18" s="2179">
        <v>0</v>
      </c>
      <c r="H18" s="2183">
        <v>0</v>
      </c>
      <c r="I18" s="2183">
        <v>0</v>
      </c>
      <c r="K18" s="433" t="s">
        <v>1171</v>
      </c>
      <c r="L18" s="433" t="s">
        <v>2082</v>
      </c>
      <c r="M18" s="1936" t="s">
        <v>1332</v>
      </c>
      <c r="N18" s="1936" t="s">
        <v>1836</v>
      </c>
      <c r="O18" s="2179">
        <v>0</v>
      </c>
      <c r="P18" s="2179">
        <v>0</v>
      </c>
      <c r="Q18" s="2183">
        <v>-0.17599999999999999</v>
      </c>
      <c r="R18" s="2183">
        <v>-0.17599999999999999</v>
      </c>
      <c r="T18" s="433" t="s">
        <v>1157</v>
      </c>
      <c r="U18" s="433" t="str">
        <f t="shared" si="0"/>
        <v>Revenue</v>
      </c>
      <c r="V18" s="1938">
        <f>F18</f>
        <v>0</v>
      </c>
      <c r="W18" s="1938">
        <f t="shared" ref="W18:Y18" si="6">G18</f>
        <v>0</v>
      </c>
      <c r="X18" s="1938">
        <f t="shared" si="6"/>
        <v>0</v>
      </c>
      <c r="Y18" s="1938">
        <f t="shared" si="6"/>
        <v>0</v>
      </c>
    </row>
    <row r="19" spans="2:25" ht="15" customHeight="1">
      <c r="B19" s="433" t="s">
        <v>1171</v>
      </c>
      <c r="C19" s="433" t="s">
        <v>1084</v>
      </c>
      <c r="D19" s="1936" t="s">
        <v>1255</v>
      </c>
      <c r="E19" s="1936" t="s">
        <v>1836</v>
      </c>
      <c r="F19" s="2179">
        <v>0</v>
      </c>
      <c r="G19" s="2179">
        <v>0</v>
      </c>
      <c r="H19" s="2183">
        <v>0</v>
      </c>
      <c r="I19" s="2183">
        <v>0</v>
      </c>
      <c r="K19" s="433" t="s">
        <v>1171</v>
      </c>
      <c r="L19" s="433" t="s">
        <v>2083</v>
      </c>
      <c r="M19" s="1936" t="s">
        <v>1400</v>
      </c>
      <c r="N19" s="1936" t="s">
        <v>1836</v>
      </c>
      <c r="O19" s="2179">
        <v>4.05</v>
      </c>
      <c r="P19" s="2179">
        <v>4.2749999999999995</v>
      </c>
      <c r="Q19" s="2183">
        <v>4.7249999999999996</v>
      </c>
      <c r="R19" s="2183">
        <v>5.3999999999999995</v>
      </c>
      <c r="T19" s="433" t="s">
        <v>1171</v>
      </c>
      <c r="U19" s="433" t="str">
        <f t="shared" si="0"/>
        <v>RCV</v>
      </c>
      <c r="V19" s="1938">
        <f>F19 + SUM(O18:O20)</f>
        <v>4.05</v>
      </c>
      <c r="W19" s="1938">
        <f t="shared" ref="W19:Y19" si="7">G19 + SUM(P18:P20)</f>
        <v>5.9309999999999992</v>
      </c>
      <c r="X19" s="1938">
        <f t="shared" si="7"/>
        <v>6.2049999999999992</v>
      </c>
      <c r="Y19" s="1938">
        <f t="shared" si="7"/>
        <v>6.3279999999999994</v>
      </c>
    </row>
    <row r="20" spans="2:25" ht="15" customHeight="1">
      <c r="B20" s="433" t="s">
        <v>1185</v>
      </c>
      <c r="C20" s="433" t="s">
        <v>1084</v>
      </c>
      <c r="D20" s="1936" t="s">
        <v>1203</v>
      </c>
      <c r="E20" s="1936" t="s">
        <v>2084</v>
      </c>
      <c r="F20" s="2179">
        <v>0</v>
      </c>
      <c r="G20" s="2179">
        <v>0</v>
      </c>
      <c r="H20" s="2183">
        <v>0</v>
      </c>
      <c r="I20" s="2183">
        <v>0</v>
      </c>
      <c r="K20" s="433" t="s">
        <v>1171</v>
      </c>
      <c r="L20" s="433" t="s">
        <v>2085</v>
      </c>
      <c r="M20" s="1936" t="s">
        <v>1576</v>
      </c>
      <c r="N20" s="1936" t="s">
        <v>1836</v>
      </c>
      <c r="O20" s="2179">
        <v>0</v>
      </c>
      <c r="P20" s="2179">
        <v>1.6560000000000001</v>
      </c>
      <c r="Q20" s="2183">
        <v>1.6559999999999999</v>
      </c>
      <c r="R20" s="2183">
        <v>1.1040000000000001</v>
      </c>
      <c r="T20" s="433" t="s">
        <v>1185</v>
      </c>
      <c r="U20" s="433" t="str">
        <f t="shared" si="0"/>
        <v xml:space="preserve">Revenue </v>
      </c>
      <c r="V20" s="1938">
        <f>F20 + O21</f>
        <v>0</v>
      </c>
      <c r="W20" s="1938">
        <f t="shared" ref="W20:Y21" si="8">G20 + P21</f>
        <v>0</v>
      </c>
      <c r="X20" s="1938">
        <f t="shared" si="8"/>
        <v>0</v>
      </c>
      <c r="Y20" s="1938">
        <f t="shared" si="8"/>
        <v>0</v>
      </c>
    </row>
    <row r="21" spans="2:25" ht="15" customHeight="1">
      <c r="B21" s="433" t="s">
        <v>1199</v>
      </c>
      <c r="C21" s="433" t="s">
        <v>1084</v>
      </c>
      <c r="D21" s="1936" t="s">
        <v>1264</v>
      </c>
      <c r="E21" s="1936" t="s">
        <v>1826</v>
      </c>
      <c r="F21" s="2179">
        <v>0</v>
      </c>
      <c r="G21" s="2179">
        <v>0</v>
      </c>
      <c r="H21" s="2183">
        <v>0</v>
      </c>
      <c r="I21" s="2183">
        <v>0</v>
      </c>
      <c r="K21" s="433" t="s">
        <v>1185</v>
      </c>
      <c r="L21" s="433" t="s">
        <v>2086</v>
      </c>
      <c r="M21" s="1936" t="s">
        <v>1580</v>
      </c>
      <c r="N21" s="1936" t="s">
        <v>1826</v>
      </c>
      <c r="O21" s="2179">
        <v>0</v>
      </c>
      <c r="P21" s="2179">
        <v>0</v>
      </c>
      <c r="Q21" s="2183">
        <v>0</v>
      </c>
      <c r="R21" s="2183">
        <v>0</v>
      </c>
      <c r="T21" s="433" t="s">
        <v>1199</v>
      </c>
      <c r="U21" s="433" t="str">
        <f t="shared" si="0"/>
        <v>Revenue</v>
      </c>
      <c r="V21" s="1938">
        <f>F21 + O22</f>
        <v>0</v>
      </c>
      <c r="W21" s="1938">
        <f t="shared" si="8"/>
        <v>0</v>
      </c>
      <c r="X21" s="1938">
        <f t="shared" si="8"/>
        <v>0.12</v>
      </c>
      <c r="Y21" s="1938">
        <f t="shared" si="8"/>
        <v>0</v>
      </c>
    </row>
    <row r="22" spans="2:25" ht="15" customHeight="1">
      <c r="B22" s="433" t="s">
        <v>1213</v>
      </c>
      <c r="C22" s="433" t="s">
        <v>1084</v>
      </c>
      <c r="D22" s="1936" t="s">
        <v>1273</v>
      </c>
      <c r="E22" s="1936" t="s">
        <v>1826</v>
      </c>
      <c r="F22" s="2179">
        <v>0</v>
      </c>
      <c r="G22" s="2179">
        <v>0</v>
      </c>
      <c r="H22" s="2183">
        <v>0</v>
      </c>
      <c r="I22" s="2183">
        <v>0</v>
      </c>
      <c r="K22" s="433" t="s">
        <v>1199</v>
      </c>
      <c r="L22" s="433" t="s">
        <v>2087</v>
      </c>
      <c r="M22" s="1936" t="s">
        <v>1584</v>
      </c>
      <c r="N22" s="1936" t="s">
        <v>1826</v>
      </c>
      <c r="O22" s="2184">
        <v>0</v>
      </c>
      <c r="P22" s="2184">
        <v>0</v>
      </c>
      <c r="Q22" s="2184">
        <v>0.12</v>
      </c>
      <c r="R22" s="2184">
        <v>0</v>
      </c>
      <c r="T22" s="433" t="s">
        <v>1213</v>
      </c>
      <c r="U22" s="433" t="str">
        <f t="shared" si="0"/>
        <v>Revenue</v>
      </c>
      <c r="V22" s="1938">
        <f>F22 + SUM(O23:O25)</f>
        <v>0</v>
      </c>
      <c r="W22" s="1938">
        <f t="shared" ref="W22:Y22" si="9">G22 + SUM(P23:P25)</f>
        <v>-0.14881800000000001</v>
      </c>
      <c r="X22" s="1938">
        <f t="shared" si="9"/>
        <v>-3.1773000000000003E-2</v>
      </c>
      <c r="Y22" s="1938">
        <f t="shared" si="9"/>
        <v>-1.1271209999999998</v>
      </c>
    </row>
    <row r="23" spans="2:25" ht="15" customHeight="1">
      <c r="B23" s="433" t="s">
        <v>1227</v>
      </c>
      <c r="C23" s="433" t="s">
        <v>1084</v>
      </c>
      <c r="D23" s="1936" t="s">
        <v>1291</v>
      </c>
      <c r="E23" s="1936" t="s">
        <v>1826</v>
      </c>
      <c r="F23" s="2179">
        <v>0</v>
      </c>
      <c r="G23" s="2179">
        <v>0</v>
      </c>
      <c r="H23" s="2183">
        <v>0</v>
      </c>
      <c r="I23" s="2183">
        <v>0</v>
      </c>
      <c r="K23" s="433" t="s">
        <v>1213</v>
      </c>
      <c r="L23" s="433" t="s">
        <v>2088</v>
      </c>
      <c r="M23" s="1936" t="s">
        <v>1419</v>
      </c>
      <c r="N23" s="1936" t="s">
        <v>1826</v>
      </c>
      <c r="O23" s="2179">
        <v>0</v>
      </c>
      <c r="P23" s="2179">
        <v>0</v>
      </c>
      <c r="Q23" s="2183">
        <v>0</v>
      </c>
      <c r="R23" s="2183">
        <v>-1.9139999999999999</v>
      </c>
      <c r="T23" s="433" t="s">
        <v>1227</v>
      </c>
      <c r="U23" s="433" t="str">
        <f t="shared" si="0"/>
        <v>Revenue</v>
      </c>
      <c r="V23" s="1938">
        <f>F23</f>
        <v>0</v>
      </c>
      <c r="W23" s="1938">
        <f t="shared" ref="W23:Y27" si="10">G23</f>
        <v>0</v>
      </c>
      <c r="X23" s="1938">
        <f t="shared" si="10"/>
        <v>0</v>
      </c>
      <c r="Y23" s="1938">
        <f t="shared" si="10"/>
        <v>0</v>
      </c>
    </row>
    <row r="24" spans="2:25" ht="15" customHeight="1">
      <c r="B24" s="433" t="s">
        <v>1241</v>
      </c>
      <c r="C24" s="433" t="s">
        <v>1084</v>
      </c>
      <c r="D24" s="1936" t="s">
        <v>1298</v>
      </c>
      <c r="E24" s="1936" t="s">
        <v>1826</v>
      </c>
      <c r="F24" s="2179">
        <v>0</v>
      </c>
      <c r="G24" s="2179">
        <v>0</v>
      </c>
      <c r="H24" s="2183">
        <v>0</v>
      </c>
      <c r="I24" s="2183">
        <v>0</v>
      </c>
      <c r="K24" s="433" t="s">
        <v>1213</v>
      </c>
      <c r="L24" s="433" t="s">
        <v>2089</v>
      </c>
      <c r="M24" s="1936" t="s">
        <v>1513</v>
      </c>
      <c r="N24" s="1936" t="s">
        <v>1826</v>
      </c>
      <c r="O24" s="2179">
        <v>0</v>
      </c>
      <c r="P24" s="2179">
        <v>-0.14881800000000001</v>
      </c>
      <c r="Q24" s="2183">
        <v>-3.1773000000000003E-2</v>
      </c>
      <c r="R24" s="2183">
        <v>0.786879</v>
      </c>
      <c r="T24" s="433" t="s">
        <v>1241</v>
      </c>
      <c r="U24" s="433" t="str">
        <f t="shared" si="0"/>
        <v>Revenue</v>
      </c>
      <c r="V24" s="1938">
        <f>F24</f>
        <v>0</v>
      </c>
      <c r="W24" s="1938">
        <f t="shared" si="10"/>
        <v>0</v>
      </c>
      <c r="X24" s="1938">
        <f t="shared" si="10"/>
        <v>0</v>
      </c>
      <c r="Y24" s="1938">
        <f t="shared" si="10"/>
        <v>0</v>
      </c>
    </row>
    <row r="25" spans="2:25" ht="15" customHeight="1">
      <c r="B25" s="433" t="s">
        <v>1251</v>
      </c>
      <c r="C25" s="433" t="s">
        <v>1084</v>
      </c>
      <c r="D25" s="1936" t="s">
        <v>1092</v>
      </c>
      <c r="E25" s="1936" t="s">
        <v>1826</v>
      </c>
      <c r="F25" s="2179">
        <v>0</v>
      </c>
      <c r="G25" s="2179">
        <v>0</v>
      </c>
      <c r="H25" s="2183">
        <v>0</v>
      </c>
      <c r="I25" s="2183">
        <v>0</v>
      </c>
      <c r="K25" s="433" t="s">
        <v>1213</v>
      </c>
      <c r="L25" s="433" t="s">
        <v>2090</v>
      </c>
      <c r="M25" s="1936" t="s">
        <v>1493</v>
      </c>
      <c r="N25" s="1936" t="s">
        <v>1826</v>
      </c>
      <c r="O25" s="2179">
        <v>0</v>
      </c>
      <c r="P25" s="2179">
        <v>0</v>
      </c>
      <c r="Q25" s="2183">
        <v>0</v>
      </c>
      <c r="R25" s="2183">
        <v>0</v>
      </c>
      <c r="T25" s="433" t="s">
        <v>1251</v>
      </c>
      <c r="U25" s="433" t="str">
        <f t="shared" si="0"/>
        <v>Revenue</v>
      </c>
      <c r="V25" s="1938">
        <f>F25</f>
        <v>0</v>
      </c>
      <c r="W25" s="1938">
        <f t="shared" si="10"/>
        <v>0</v>
      </c>
      <c r="X25" s="1938">
        <f t="shared" si="10"/>
        <v>0</v>
      </c>
      <c r="Y25" s="1938">
        <f t="shared" si="10"/>
        <v>0</v>
      </c>
    </row>
    <row r="26" spans="2:25" ht="15" customHeight="1">
      <c r="B26" s="433" t="s">
        <v>1260</v>
      </c>
      <c r="C26" s="433" t="s">
        <v>1084</v>
      </c>
      <c r="D26" s="1936" t="s">
        <v>1120</v>
      </c>
      <c r="E26" s="1936" t="s">
        <v>1826</v>
      </c>
      <c r="F26" s="2179">
        <v>0</v>
      </c>
      <c r="G26" s="2179">
        <v>0</v>
      </c>
      <c r="H26" s="2183">
        <v>0</v>
      </c>
      <c r="I26" s="2183">
        <v>0</v>
      </c>
      <c r="K26" s="433" t="s">
        <v>1278</v>
      </c>
      <c r="L26" s="433" t="s">
        <v>2091</v>
      </c>
      <c r="M26" s="1936" t="s">
        <v>1362</v>
      </c>
      <c r="N26" s="1936" t="s">
        <v>1826</v>
      </c>
      <c r="O26" s="2179">
        <v>-0.83750000000000002</v>
      </c>
      <c r="P26" s="2179">
        <v>-0.71689999999999998</v>
      </c>
      <c r="Q26" s="2183">
        <v>-0.73365000000000002</v>
      </c>
      <c r="R26" s="2183">
        <v>-0.8173999999999999</v>
      </c>
      <c r="T26" s="433" t="s">
        <v>1260</v>
      </c>
      <c r="U26" s="433" t="str">
        <f t="shared" si="0"/>
        <v>Revenue</v>
      </c>
      <c r="V26" s="1938">
        <f>F26</f>
        <v>0</v>
      </c>
      <c r="W26" s="1938">
        <f t="shared" si="10"/>
        <v>0</v>
      </c>
      <c r="X26" s="1938">
        <f t="shared" si="10"/>
        <v>0</v>
      </c>
      <c r="Y26" s="1938">
        <f t="shared" si="10"/>
        <v>0</v>
      </c>
    </row>
    <row r="27" spans="2:25" ht="15" customHeight="1">
      <c r="B27" s="433" t="s">
        <v>1269</v>
      </c>
      <c r="C27" s="433" t="s">
        <v>1084</v>
      </c>
      <c r="D27" s="1936" t="s">
        <v>1161</v>
      </c>
      <c r="E27" s="1936" t="s">
        <v>1826</v>
      </c>
      <c r="F27" s="2179">
        <v>0</v>
      </c>
      <c r="G27" s="2179">
        <v>0</v>
      </c>
      <c r="H27" s="2183">
        <v>0</v>
      </c>
      <c r="I27" s="2183">
        <v>0</v>
      </c>
      <c r="T27" s="433" t="s">
        <v>1269</v>
      </c>
      <c r="U27" s="433" t="str">
        <f t="shared" si="0"/>
        <v>Revenue</v>
      </c>
      <c r="V27" s="1938">
        <f>F27</f>
        <v>0</v>
      </c>
      <c r="W27" s="1938">
        <f t="shared" si="10"/>
        <v>0</v>
      </c>
      <c r="X27" s="1938">
        <f t="shared" si="10"/>
        <v>0</v>
      </c>
      <c r="Y27" s="1938">
        <f t="shared" si="10"/>
        <v>0</v>
      </c>
    </row>
    <row r="28" spans="2:25" ht="15" customHeight="1">
      <c r="B28" s="433" t="s">
        <v>1278</v>
      </c>
      <c r="C28" s="433" t="s">
        <v>1084</v>
      </c>
      <c r="D28" s="1936" t="s">
        <v>1189</v>
      </c>
      <c r="E28" s="1936" t="s">
        <v>1826</v>
      </c>
      <c r="F28" s="2179">
        <v>0</v>
      </c>
      <c r="G28" s="2179">
        <v>0</v>
      </c>
      <c r="H28" s="2183">
        <v>0</v>
      </c>
      <c r="I28" s="2183">
        <v>0</v>
      </c>
      <c r="O28" s="543"/>
      <c r="P28" s="543"/>
      <c r="Q28" s="543"/>
      <c r="R28" s="543"/>
      <c r="T28" s="433" t="s">
        <v>1278</v>
      </c>
      <c r="U28" s="433" t="str">
        <f t="shared" si="0"/>
        <v>Revenue</v>
      </c>
      <c r="V28" s="1938">
        <f>F28 + O26</f>
        <v>-0.83750000000000002</v>
      </c>
      <c r="W28" s="1938">
        <f t="shared" ref="W28:Y28" si="11">G28 + P26</f>
        <v>-0.71689999999999998</v>
      </c>
      <c r="X28" s="1938">
        <f t="shared" si="11"/>
        <v>-0.73365000000000002</v>
      </c>
      <c r="Y28" s="1938">
        <f t="shared" si="11"/>
        <v>-0.8173999999999999</v>
      </c>
    </row>
    <row r="29" spans="2:25" ht="15" customHeight="1">
      <c r="B29" s="433" t="s">
        <v>1287</v>
      </c>
      <c r="C29" s="433" t="s">
        <v>2092</v>
      </c>
      <c r="D29" s="1936" t="s">
        <v>1217</v>
      </c>
      <c r="E29" s="1936" t="s">
        <v>1826</v>
      </c>
      <c r="F29" s="2179">
        <v>0</v>
      </c>
      <c r="G29" s="2179">
        <v>0</v>
      </c>
      <c r="H29" s="2183">
        <v>0</v>
      </c>
      <c r="I29" s="2183">
        <v>0</v>
      </c>
      <c r="T29" s="433" t="s">
        <v>1287</v>
      </c>
      <c r="U29" s="433" t="str">
        <f t="shared" si="0"/>
        <v>Revenue</v>
      </c>
      <c r="V29" s="1938">
        <f>F29 + F30</f>
        <v>0</v>
      </c>
      <c r="W29" s="1938">
        <f t="shared" ref="W29:Y29" si="12">G29 + G30</f>
        <v>0</v>
      </c>
      <c r="X29" s="1938">
        <f t="shared" si="12"/>
        <v>0</v>
      </c>
      <c r="Y29" s="1938">
        <f t="shared" si="12"/>
        <v>0</v>
      </c>
    </row>
    <row r="30" spans="2:25" ht="15" customHeight="1">
      <c r="B30" s="433" t="s">
        <v>1287</v>
      </c>
      <c r="C30" s="433" t="s">
        <v>2093</v>
      </c>
      <c r="D30" s="1936" t="s">
        <v>1231</v>
      </c>
      <c r="E30" s="1936" t="s">
        <v>1826</v>
      </c>
      <c r="F30" s="2179">
        <v>0</v>
      </c>
      <c r="G30" s="2179">
        <v>0</v>
      </c>
      <c r="H30" s="2183">
        <v>0</v>
      </c>
      <c r="I30" s="2183">
        <v>0</v>
      </c>
      <c r="T30" s="433" t="s">
        <v>1296</v>
      </c>
      <c r="U30" s="433" t="str">
        <f t="shared" si="0"/>
        <v>Revenue</v>
      </c>
      <c r="V30" s="1938">
        <f>F31</f>
        <v>0</v>
      </c>
      <c r="W30" s="1938">
        <f t="shared" ref="W30:Y30" si="13">G31</f>
        <v>0</v>
      </c>
      <c r="X30" s="1938">
        <f t="shared" si="13"/>
        <v>0</v>
      </c>
      <c r="Y30" s="1938">
        <f t="shared" si="13"/>
        <v>0</v>
      </c>
    </row>
    <row r="31" spans="2:25" ht="15" customHeight="1">
      <c r="B31" s="433" t="s">
        <v>1296</v>
      </c>
      <c r="C31" s="433" t="s">
        <v>1084</v>
      </c>
      <c r="D31" s="1936" t="s">
        <v>1175</v>
      </c>
      <c r="E31" s="1936" t="s">
        <v>1826</v>
      </c>
      <c r="F31" s="2179">
        <v>0</v>
      </c>
      <c r="G31" s="2179">
        <v>0</v>
      </c>
      <c r="H31" s="2183">
        <v>0</v>
      </c>
      <c r="I31" s="2183">
        <v>0</v>
      </c>
    </row>
    <row r="32" spans="2:25" ht="15" customHeight="1">
      <c r="B32" s="435" t="s">
        <v>2094</v>
      </c>
      <c r="F32" s="1956">
        <f>SUM(F14:F31)</f>
        <v>0</v>
      </c>
      <c r="G32" s="1956">
        <f t="shared" ref="G32:I32" si="14">SUM(G14:G31)</f>
        <v>0</v>
      </c>
      <c r="H32" s="1956">
        <f t="shared" si="14"/>
        <v>0</v>
      </c>
      <c r="I32" s="1956">
        <f t="shared" si="14"/>
        <v>0</v>
      </c>
      <c r="K32" s="435" t="s">
        <v>2095</v>
      </c>
      <c r="O32" s="1956">
        <f t="shared" ref="O32" si="15">SUM(O14:O31)</f>
        <v>3.3071649999999999</v>
      </c>
      <c r="P32" s="1956">
        <f t="shared" ref="P32" si="16">SUM(P14:P31)</f>
        <v>5.9172669999999998</v>
      </c>
      <c r="Q32" s="1956">
        <f t="shared" ref="Q32" si="17">SUM(Q14:Q31)</f>
        <v>6.9795519999999991</v>
      </c>
      <c r="R32" s="1956">
        <f t="shared" ref="R32" si="18">SUM(R14:R31)</f>
        <v>8.6434040000000003</v>
      </c>
      <c r="T32" s="435" t="s">
        <v>2096</v>
      </c>
      <c r="V32" s="1956">
        <f>SUM(V14:V30)</f>
        <v>3.3071649999999999</v>
      </c>
      <c r="W32" s="1956">
        <f>SUM(W14:W30)</f>
        <v>5.9172669999999989</v>
      </c>
      <c r="X32" s="1956">
        <f>SUM(X14:X30)</f>
        <v>6.9795519999999991</v>
      </c>
      <c r="Y32" s="1956">
        <f>SUM(Y14:Y30)</f>
        <v>8.6434040000000003</v>
      </c>
    </row>
    <row r="33" spans="2:25" s="1940" customFormat="1" ht="15" customHeight="1">
      <c r="B33" s="1939"/>
      <c r="F33" s="1941"/>
      <c r="G33" s="1941"/>
      <c r="H33" s="1941"/>
      <c r="I33" s="1941"/>
      <c r="V33" s="1938"/>
      <c r="W33" s="1938"/>
      <c r="X33" s="1938"/>
      <c r="Y33" s="1938"/>
    </row>
    <row r="34" spans="2:25" ht="15" customHeight="1">
      <c r="B34" s="435" t="s">
        <v>2097</v>
      </c>
      <c r="K34" s="435" t="s">
        <v>2097</v>
      </c>
      <c r="T34" s="435" t="s">
        <v>2097</v>
      </c>
    </row>
    <row r="35" spans="2:25" ht="15" customHeight="1">
      <c r="B35" s="433" t="s">
        <v>2098</v>
      </c>
      <c r="K35" s="433" t="s">
        <v>2099</v>
      </c>
      <c r="T35" s="433" t="s">
        <v>2100</v>
      </c>
    </row>
    <row r="36" spans="2:25" ht="15" customHeight="1">
      <c r="B36" s="433" t="s">
        <v>2101</v>
      </c>
      <c r="K36" s="433" t="s">
        <v>2102</v>
      </c>
    </row>
    <row r="37" spans="2:25" ht="15" customHeight="1">
      <c r="B37" s="433" t="s">
        <v>2103</v>
      </c>
      <c r="K37" s="433" t="s">
        <v>2104</v>
      </c>
    </row>
    <row r="38" spans="2:25" ht="15" customHeight="1">
      <c r="B38" s="433" t="s">
        <v>2105</v>
      </c>
      <c r="K38" s="433" t="s">
        <v>2106</v>
      </c>
    </row>
    <row r="39" spans="2:25" ht="15" customHeight="1">
      <c r="B39" s="433" t="s">
        <v>2107</v>
      </c>
      <c r="K39" s="433" t="s">
        <v>2108</v>
      </c>
    </row>
    <row r="40" spans="2:25" ht="15" customHeight="1">
      <c r="K40" s="433" t="s">
        <v>2109</v>
      </c>
    </row>
    <row r="41" spans="2:25" ht="15" customHeight="1">
      <c r="K41" s="433" t="s">
        <v>2110</v>
      </c>
    </row>
    <row r="42" spans="2:25" ht="15" customHeight="1">
      <c r="K42" s="433" t="s">
        <v>2111</v>
      </c>
    </row>
    <row r="43" spans="2:25" ht="15" customHeight="1">
      <c r="K43" s="1357" t="s">
        <v>2112</v>
      </c>
    </row>
    <row r="44" spans="2:25" ht="15" customHeight="1">
      <c r="B44" s="1357"/>
      <c r="K44" s="433" t="s">
        <v>2113</v>
      </c>
    </row>
    <row r="45" spans="2:25" ht="15" customHeight="1"/>
    <row r="46" spans="2:25" ht="15" customHeight="1"/>
    <row r="47" spans="2:25" ht="15" customHeight="1"/>
    <row r="48" spans="2:25" ht="15" customHeight="1"/>
    <row r="49" spans="1:25" ht="15.75">
      <c r="A49" s="1933"/>
      <c r="B49" s="1954" t="s">
        <v>2114</v>
      </c>
      <c r="C49" s="1933"/>
      <c r="D49" s="1933"/>
      <c r="E49" s="1933"/>
      <c r="F49" s="1933"/>
      <c r="G49" s="1933"/>
      <c r="H49" s="1933"/>
      <c r="I49" s="1933"/>
      <c r="J49" s="1933"/>
      <c r="K49" s="1933"/>
      <c r="L49" s="1933"/>
      <c r="M49" s="1933"/>
      <c r="N49" s="1933"/>
      <c r="O49" s="1933"/>
      <c r="P49" s="1933"/>
      <c r="Q49" s="1933"/>
      <c r="R49" s="1933"/>
      <c r="S49" s="1933"/>
      <c r="T49" s="1933"/>
      <c r="U49" s="1933"/>
      <c r="V49" s="1933"/>
      <c r="W49" s="1933"/>
      <c r="X49" s="1933"/>
      <c r="Y49" s="1933"/>
    </row>
    <row r="50" spans="1:25" ht="15" customHeight="1">
      <c r="B50" s="1942"/>
    </row>
    <row r="51" spans="1:25" ht="15" customHeight="1">
      <c r="B51" s="1943" t="s">
        <v>2115</v>
      </c>
    </row>
    <row r="52" spans="1:25" ht="15" customHeight="1">
      <c r="B52" s="1343"/>
    </row>
    <row r="53" spans="1:25" ht="15" customHeight="1">
      <c r="B53" s="1343" t="s">
        <v>2116</v>
      </c>
    </row>
    <row r="54" spans="1:25" ht="15" customHeight="1">
      <c r="B54" s="1343" t="s">
        <v>2117</v>
      </c>
    </row>
    <row r="55" spans="1:25" ht="15" customHeight="1">
      <c r="B55" s="1343" t="s">
        <v>2118</v>
      </c>
    </row>
    <row r="56" spans="1:25" ht="15" customHeight="1">
      <c r="B56" s="1343" t="s">
        <v>2119</v>
      </c>
    </row>
    <row r="57" spans="1:25" ht="15" customHeight="1">
      <c r="I57" s="449" t="s">
        <v>2074</v>
      </c>
    </row>
    <row r="58" spans="1:25">
      <c r="B58" s="1936"/>
      <c r="C58" s="1936"/>
      <c r="F58" s="1957" t="s">
        <v>1830</v>
      </c>
      <c r="G58" s="1885" t="s">
        <v>1840</v>
      </c>
      <c r="H58" s="1885" t="s">
        <v>1847</v>
      </c>
      <c r="I58" s="1977" t="s">
        <v>1853</v>
      </c>
    </row>
    <row r="59" spans="1:25" ht="15" customHeight="1">
      <c r="B59" s="1962" t="s">
        <v>131</v>
      </c>
      <c r="C59" s="1936"/>
      <c r="F59" s="1957" t="s">
        <v>165</v>
      </c>
      <c r="G59" s="1885" t="s">
        <v>165</v>
      </c>
      <c r="H59" s="1885" t="s">
        <v>165</v>
      </c>
      <c r="I59" s="1885" t="s">
        <v>165</v>
      </c>
    </row>
    <row r="60" spans="1:25" ht="15" customHeight="1">
      <c r="B60" s="1936" t="s">
        <v>1102</v>
      </c>
      <c r="C60" s="1936" t="s">
        <v>2120</v>
      </c>
      <c r="F60" s="2179">
        <v>0</v>
      </c>
      <c r="G60" s="2179">
        <v>0</v>
      </c>
      <c r="H60" s="2180">
        <v>0</v>
      </c>
      <c r="I60" s="2180">
        <v>0</v>
      </c>
      <c r="J60" s="1890"/>
      <c r="K60" s="1890"/>
    </row>
    <row r="61" spans="1:25" ht="15" customHeight="1">
      <c r="B61" s="1936" t="s">
        <v>1102</v>
      </c>
      <c r="C61" s="1936" t="s">
        <v>2121</v>
      </c>
      <c r="F61" s="2179">
        <v>0</v>
      </c>
      <c r="G61" s="2179">
        <v>0</v>
      </c>
      <c r="H61" s="2180">
        <v>0</v>
      </c>
      <c r="I61" s="2180">
        <v>0</v>
      </c>
      <c r="J61" s="1890"/>
      <c r="K61" s="1890"/>
    </row>
    <row r="62" spans="1:25" ht="15" customHeight="1">
      <c r="B62" s="1936" t="s">
        <v>1102</v>
      </c>
      <c r="C62" s="1936" t="s">
        <v>2122</v>
      </c>
      <c r="F62" s="2179">
        <v>0</v>
      </c>
      <c r="G62" s="2179">
        <v>0</v>
      </c>
      <c r="H62" s="2180">
        <v>0</v>
      </c>
      <c r="I62" s="2180">
        <v>0</v>
      </c>
      <c r="J62" s="1890"/>
      <c r="K62" s="1890"/>
    </row>
    <row r="63" spans="1:25" ht="15" customHeight="1">
      <c r="B63" s="1936" t="s">
        <v>1102</v>
      </c>
      <c r="C63" s="1936" t="s">
        <v>2123</v>
      </c>
      <c r="F63" s="2179">
        <v>0</v>
      </c>
      <c r="G63" s="2179">
        <v>0</v>
      </c>
      <c r="H63" s="2180">
        <v>0</v>
      </c>
      <c r="I63" s="2180">
        <v>0</v>
      </c>
      <c r="J63" s="1890"/>
      <c r="K63" s="1890"/>
    </row>
    <row r="64" spans="1:25" ht="15" customHeight="1">
      <c r="B64" s="1936" t="s">
        <v>1102</v>
      </c>
      <c r="C64" s="1936" t="s">
        <v>2124</v>
      </c>
      <c r="F64" s="2179">
        <v>0</v>
      </c>
      <c r="G64" s="2179">
        <v>0</v>
      </c>
      <c r="H64" s="2180">
        <v>0</v>
      </c>
      <c r="I64" s="2180">
        <v>0</v>
      </c>
      <c r="J64" s="1890"/>
      <c r="K64" s="1890"/>
    </row>
    <row r="65" spans="2:11" ht="15" customHeight="1">
      <c r="B65" s="1936" t="s">
        <v>1102</v>
      </c>
      <c r="C65" s="1936" t="s">
        <v>2125</v>
      </c>
      <c r="F65" s="2179">
        <v>0</v>
      </c>
      <c r="G65" s="2179">
        <v>0</v>
      </c>
      <c r="H65" s="2180">
        <v>0</v>
      </c>
      <c r="I65" s="2180">
        <v>0</v>
      </c>
      <c r="J65" s="1890"/>
      <c r="K65" s="1890"/>
    </row>
    <row r="66" spans="2:11" ht="15" customHeight="1">
      <c r="B66" s="1944" t="s">
        <v>1102</v>
      </c>
      <c r="C66" s="1944" t="s">
        <v>2126</v>
      </c>
      <c r="D66" s="1945"/>
      <c r="E66" s="1945"/>
      <c r="F66" s="2181">
        <v>0</v>
      </c>
      <c r="G66" s="2181">
        <v>0</v>
      </c>
      <c r="H66" s="2182">
        <v>0</v>
      </c>
      <c r="I66" s="2182">
        <v>0</v>
      </c>
      <c r="J66" s="1890"/>
      <c r="K66" s="1890"/>
    </row>
    <row r="67" spans="2:11" ht="15" customHeight="1">
      <c r="B67" s="1936" t="s">
        <v>1102</v>
      </c>
      <c r="C67" s="1936" t="s">
        <v>2127</v>
      </c>
      <c r="F67" s="2179">
        <v>0</v>
      </c>
      <c r="G67" s="2179">
        <v>0</v>
      </c>
      <c r="H67" s="2180">
        <v>0</v>
      </c>
      <c r="I67" s="2180">
        <v>0</v>
      </c>
      <c r="J67" s="1890"/>
      <c r="K67" s="1890"/>
    </row>
    <row r="68" spans="2:11" ht="15" customHeight="1">
      <c r="B68" s="1936" t="s">
        <v>1102</v>
      </c>
      <c r="C68" s="1936" t="s">
        <v>2128</v>
      </c>
      <c r="F68" s="2179">
        <v>0</v>
      </c>
      <c r="G68" s="2179">
        <v>0</v>
      </c>
      <c r="H68" s="2180">
        <v>0</v>
      </c>
      <c r="I68" s="2180">
        <v>0</v>
      </c>
      <c r="J68" s="1890"/>
      <c r="K68" s="1890"/>
    </row>
    <row r="69" spans="2:11" ht="15" customHeight="1">
      <c r="B69" s="1936" t="s">
        <v>1102</v>
      </c>
      <c r="C69" s="1936" t="s">
        <v>2129</v>
      </c>
      <c r="F69" s="2179">
        <v>0</v>
      </c>
      <c r="G69" s="2179">
        <v>0</v>
      </c>
      <c r="H69" s="2180">
        <v>0</v>
      </c>
      <c r="I69" s="2180">
        <v>0</v>
      </c>
      <c r="J69" s="1890"/>
      <c r="K69" s="1890"/>
    </row>
    <row r="70" spans="2:11" ht="15" customHeight="1">
      <c r="B70" s="1936" t="s">
        <v>1102</v>
      </c>
      <c r="C70" s="1936" t="s">
        <v>2130</v>
      </c>
      <c r="F70" s="2179">
        <v>0</v>
      </c>
      <c r="G70" s="2179">
        <v>0</v>
      </c>
      <c r="H70" s="2180">
        <v>0</v>
      </c>
      <c r="I70" s="2180">
        <v>0</v>
      </c>
      <c r="J70" s="1890"/>
      <c r="K70" s="1890"/>
    </row>
    <row r="71" spans="2:11" ht="15" customHeight="1">
      <c r="B71" s="1936" t="s">
        <v>1102</v>
      </c>
      <c r="C71" s="1936" t="s">
        <v>2131</v>
      </c>
      <c r="F71" s="2179">
        <v>0</v>
      </c>
      <c r="G71" s="2179">
        <v>0</v>
      </c>
      <c r="H71" s="2180">
        <v>0</v>
      </c>
      <c r="I71" s="2180">
        <v>0</v>
      </c>
      <c r="J71" s="1890"/>
      <c r="K71" s="1890"/>
    </row>
    <row r="72" spans="2:11" ht="15" customHeight="1">
      <c r="B72" s="1936" t="s">
        <v>1102</v>
      </c>
      <c r="C72" s="1936" t="s">
        <v>2132</v>
      </c>
      <c r="F72" s="2179">
        <v>0</v>
      </c>
      <c r="G72" s="2179">
        <v>0</v>
      </c>
      <c r="H72" s="2180">
        <v>0</v>
      </c>
      <c r="I72" s="2180">
        <v>0</v>
      </c>
      <c r="J72" s="1890"/>
      <c r="K72" s="1890"/>
    </row>
    <row r="73" spans="2:11" ht="15" customHeight="1">
      <c r="B73" s="1936" t="s">
        <v>1102</v>
      </c>
      <c r="C73" s="1936" t="s">
        <v>2133</v>
      </c>
      <c r="F73" s="2179">
        <v>0</v>
      </c>
      <c r="G73" s="2179">
        <v>0</v>
      </c>
      <c r="H73" s="2180">
        <v>0</v>
      </c>
      <c r="I73" s="2180">
        <v>0</v>
      </c>
      <c r="J73" s="1890"/>
      <c r="K73" s="1890"/>
    </row>
    <row r="74" spans="2:11" ht="15" customHeight="1">
      <c r="B74" s="1936" t="s">
        <v>1102</v>
      </c>
      <c r="C74" s="1936" t="s">
        <v>2134</v>
      </c>
      <c r="F74" s="1937">
        <f>SUM(F60:F66)</f>
        <v>0</v>
      </c>
      <c r="G74" s="1938">
        <f>SUM(G60:G66)</f>
        <v>0</v>
      </c>
      <c r="H74" s="1938">
        <f>SUM(H60:H66)</f>
        <v>0</v>
      </c>
      <c r="I74" s="1938">
        <f>SUM(I60:I66)</f>
        <v>0</v>
      </c>
      <c r="J74" s="577"/>
    </row>
    <row r="75" spans="2:11" ht="15" customHeight="1">
      <c r="B75" s="1936" t="s">
        <v>1102</v>
      </c>
      <c r="C75" s="1936" t="s">
        <v>2135</v>
      </c>
      <c r="F75" s="1937">
        <f>SUM(F67:F73)</f>
        <v>0</v>
      </c>
      <c r="G75" s="1938">
        <f>SUM(G67:G73)</f>
        <v>0</v>
      </c>
      <c r="H75" s="1938">
        <f>SUM(H67:H73)</f>
        <v>0</v>
      </c>
      <c r="I75" s="1938">
        <f>SUM(I67:I73)</f>
        <v>0</v>
      </c>
      <c r="J75" s="577"/>
    </row>
    <row r="76" spans="2:11" ht="15" customHeight="1" thickBot="1">
      <c r="B76" s="1947"/>
      <c r="C76" s="1959" t="s">
        <v>1299</v>
      </c>
      <c r="D76" s="1948"/>
      <c r="E76" s="1948"/>
      <c r="F76" s="1960">
        <f>F74+F75</f>
        <v>0</v>
      </c>
      <c r="G76" s="1961">
        <f>G74+G75</f>
        <v>0</v>
      </c>
      <c r="H76" s="1961">
        <f>H74+H75</f>
        <v>0</v>
      </c>
      <c r="I76" s="1961">
        <f>I74+I75</f>
        <v>0</v>
      </c>
      <c r="J76" s="577"/>
    </row>
    <row r="77" spans="2:11" ht="15" customHeight="1" thickTop="1">
      <c r="B77" s="1949"/>
      <c r="C77" s="1950" t="s">
        <v>2136</v>
      </c>
      <c r="D77" s="1940"/>
      <c r="E77" s="1940"/>
      <c r="F77" s="1951" t="b">
        <f>F76=VLOOKUP($B75,$T$14:$Y$30,3,0)</f>
        <v>1</v>
      </c>
      <c r="G77" s="1951" t="b">
        <f>G76=VLOOKUP($B75,$T$14:$Y$30,4,0)</f>
        <v>1</v>
      </c>
      <c r="H77" s="1951" t="b">
        <f>H76=VLOOKUP($B75,$T$14:$Y$30,5,0)</f>
        <v>1</v>
      </c>
      <c r="I77" s="1952" t="b">
        <f>I76=VLOOKUP($B75,$T$14:$Y$30,6,0)</f>
        <v>1</v>
      </c>
      <c r="J77" s="1940"/>
      <c r="K77" s="1940"/>
    </row>
    <row r="78" spans="2:11" ht="15" customHeight="1">
      <c r="B78" s="1963" t="s">
        <v>2137</v>
      </c>
      <c r="C78" s="1964"/>
      <c r="D78" s="1965"/>
      <c r="E78" s="1965"/>
      <c r="F78" s="1966"/>
      <c r="G78" s="1966"/>
      <c r="H78" s="1966"/>
      <c r="I78" s="1966"/>
      <c r="J78" s="1940"/>
      <c r="K78" s="1940"/>
    </row>
    <row r="79" spans="2:11" ht="15" customHeight="1">
      <c r="B79" s="1963"/>
      <c r="C79" s="1964"/>
      <c r="D79" s="1965"/>
      <c r="E79" s="1965"/>
      <c r="F79" s="1966"/>
      <c r="G79" s="1966"/>
      <c r="H79" s="1966"/>
      <c r="I79" s="1966"/>
      <c r="J79" s="1940"/>
      <c r="K79" s="1940"/>
    </row>
    <row r="80" spans="2:11" ht="15" customHeight="1">
      <c r="B80" s="1936"/>
      <c r="C80" s="1936"/>
      <c r="F80" s="1936"/>
      <c r="I80" s="449" t="s">
        <v>2074</v>
      </c>
    </row>
    <row r="81" spans="2:9">
      <c r="B81" s="1936"/>
      <c r="C81" s="1936"/>
      <c r="F81" s="1957" t="s">
        <v>1830</v>
      </c>
      <c r="G81" s="1885" t="s">
        <v>1840</v>
      </c>
      <c r="H81" s="1885" t="s">
        <v>1847</v>
      </c>
      <c r="I81" s="1977" t="s">
        <v>1853</v>
      </c>
    </row>
    <row r="82" spans="2:9" ht="15" customHeight="1">
      <c r="B82" s="1962" t="s">
        <v>1844</v>
      </c>
      <c r="C82" s="1936"/>
      <c r="F82" s="1957" t="s">
        <v>165</v>
      </c>
      <c r="G82" s="1885" t="s">
        <v>165</v>
      </c>
      <c r="H82" s="1885" t="s">
        <v>165</v>
      </c>
      <c r="I82" s="1885" t="s">
        <v>165</v>
      </c>
    </row>
    <row r="83" spans="2:9" ht="15" customHeight="1">
      <c r="B83" s="1936" t="s">
        <v>1116</v>
      </c>
      <c r="C83" s="1936" t="s">
        <v>2120</v>
      </c>
      <c r="F83" s="2179">
        <v>2.7452849999999997E-2</v>
      </c>
      <c r="G83" s="2179">
        <v>0.24707564999999995</v>
      </c>
      <c r="H83" s="2180">
        <v>0.41179274999999999</v>
      </c>
      <c r="I83" s="2180">
        <v>1.2353782500000001</v>
      </c>
    </row>
    <row r="84" spans="2:9" ht="15" customHeight="1">
      <c r="B84" s="1936" t="s">
        <v>1116</v>
      </c>
      <c r="C84" s="1936" t="s">
        <v>2121</v>
      </c>
      <c r="F84" s="2179">
        <v>0</v>
      </c>
      <c r="G84" s="2179">
        <v>0</v>
      </c>
      <c r="H84" s="2180">
        <v>0</v>
      </c>
      <c r="I84" s="2180">
        <v>0</v>
      </c>
    </row>
    <row r="85" spans="2:9" ht="15" customHeight="1">
      <c r="B85" s="1936" t="s">
        <v>1116</v>
      </c>
      <c r="C85" s="1936" t="s">
        <v>2122</v>
      </c>
      <c r="F85" s="2179">
        <v>6.7212149999999957E-2</v>
      </c>
      <c r="G85" s="2179">
        <v>0.60490935000000001</v>
      </c>
      <c r="H85" s="2180">
        <v>1.0081822499999999</v>
      </c>
      <c r="I85" s="2180">
        <v>3.0245467499999994</v>
      </c>
    </row>
    <row r="86" spans="2:9" ht="15" customHeight="1">
      <c r="B86" s="1936" t="s">
        <v>1116</v>
      </c>
      <c r="C86" s="1936" t="s">
        <v>2123</v>
      </c>
      <c r="F86" s="2179">
        <v>0</v>
      </c>
      <c r="G86" s="2179">
        <v>0</v>
      </c>
      <c r="H86" s="2180">
        <v>0</v>
      </c>
      <c r="I86" s="2180">
        <v>0</v>
      </c>
    </row>
    <row r="87" spans="2:9" ht="15" customHeight="1">
      <c r="B87" s="1936" t="s">
        <v>1116</v>
      </c>
      <c r="C87" s="1936" t="s">
        <v>2124</v>
      </c>
      <c r="F87" s="2179">
        <v>0</v>
      </c>
      <c r="G87" s="2179">
        <v>0</v>
      </c>
      <c r="H87" s="2180">
        <v>0</v>
      </c>
      <c r="I87" s="2180">
        <v>0</v>
      </c>
    </row>
    <row r="88" spans="2:9" ht="15" customHeight="1">
      <c r="B88" s="1936" t="s">
        <v>1116</v>
      </c>
      <c r="C88" s="1936" t="s">
        <v>2125</v>
      </c>
      <c r="F88" s="2179">
        <v>0</v>
      </c>
      <c r="G88" s="2179">
        <v>0</v>
      </c>
      <c r="H88" s="2180">
        <v>0</v>
      </c>
      <c r="I88" s="2180">
        <v>0</v>
      </c>
    </row>
    <row r="89" spans="2:9" ht="15" customHeight="1">
      <c r="B89" s="1944" t="s">
        <v>1116</v>
      </c>
      <c r="C89" s="1944" t="s">
        <v>2126</v>
      </c>
      <c r="D89" s="1945"/>
      <c r="E89" s="1945"/>
      <c r="F89" s="2181">
        <v>0</v>
      </c>
      <c r="G89" s="2181">
        <v>0</v>
      </c>
      <c r="H89" s="2182">
        <v>0</v>
      </c>
      <c r="I89" s="2182">
        <v>0</v>
      </c>
    </row>
    <row r="90" spans="2:9" ht="15" customHeight="1">
      <c r="B90" s="1936" t="s">
        <v>1116</v>
      </c>
      <c r="C90" s="1936" t="s">
        <v>2127</v>
      </c>
      <c r="F90" s="2179">
        <v>0</v>
      </c>
      <c r="G90" s="2179">
        <v>0</v>
      </c>
      <c r="H90" s="2180">
        <v>0</v>
      </c>
      <c r="I90" s="2180">
        <v>0</v>
      </c>
    </row>
    <row r="91" spans="2:9" ht="15" customHeight="1">
      <c r="B91" s="1936" t="s">
        <v>1116</v>
      </c>
      <c r="C91" s="1936" t="s">
        <v>2128</v>
      </c>
      <c r="F91" s="2179">
        <v>0</v>
      </c>
      <c r="G91" s="2179">
        <v>0</v>
      </c>
      <c r="H91" s="2180">
        <v>0</v>
      </c>
      <c r="I91" s="2180">
        <v>0</v>
      </c>
    </row>
    <row r="92" spans="2:9" ht="15" customHeight="1">
      <c r="B92" s="1936" t="s">
        <v>1116</v>
      </c>
      <c r="C92" s="1936" t="s">
        <v>2129</v>
      </c>
      <c r="F92" s="2179">
        <v>0</v>
      </c>
      <c r="G92" s="2179">
        <v>0</v>
      </c>
      <c r="H92" s="2180">
        <v>0</v>
      </c>
      <c r="I92" s="2180">
        <v>0</v>
      </c>
    </row>
    <row r="93" spans="2:9" ht="15" customHeight="1">
      <c r="B93" s="1936" t="s">
        <v>1116</v>
      </c>
      <c r="C93" s="1936" t="s">
        <v>2130</v>
      </c>
      <c r="F93" s="2179">
        <v>0</v>
      </c>
      <c r="G93" s="2179">
        <v>0</v>
      </c>
      <c r="H93" s="2180">
        <v>0</v>
      </c>
      <c r="I93" s="2180">
        <v>0</v>
      </c>
    </row>
    <row r="94" spans="2:9" ht="15" customHeight="1">
      <c r="B94" s="1936" t="s">
        <v>1116</v>
      </c>
      <c r="C94" s="1936" t="s">
        <v>2131</v>
      </c>
      <c r="F94" s="2179">
        <v>0</v>
      </c>
      <c r="G94" s="2179">
        <v>0</v>
      </c>
      <c r="H94" s="2180">
        <v>0</v>
      </c>
      <c r="I94" s="2180">
        <v>0</v>
      </c>
    </row>
    <row r="95" spans="2:9" ht="15" customHeight="1">
      <c r="B95" s="1936" t="s">
        <v>1116</v>
      </c>
      <c r="C95" s="1936" t="s">
        <v>2132</v>
      </c>
      <c r="F95" s="2179">
        <v>0</v>
      </c>
      <c r="G95" s="2179">
        <v>0</v>
      </c>
      <c r="H95" s="2180">
        <v>0</v>
      </c>
      <c r="I95" s="2180">
        <v>0</v>
      </c>
    </row>
    <row r="96" spans="2:9" ht="15" customHeight="1">
      <c r="B96" s="1936" t="s">
        <v>1116</v>
      </c>
      <c r="C96" s="1936" t="s">
        <v>2133</v>
      </c>
      <c r="F96" s="2179">
        <v>0</v>
      </c>
      <c r="G96" s="2179">
        <v>0</v>
      </c>
      <c r="H96" s="2180">
        <v>0</v>
      </c>
      <c r="I96" s="2180">
        <v>0</v>
      </c>
    </row>
    <row r="97" spans="2:9" ht="15" customHeight="1">
      <c r="B97" s="1936" t="s">
        <v>1116</v>
      </c>
      <c r="C97" s="1936" t="s">
        <v>2134</v>
      </c>
      <c r="F97" s="1937">
        <f>SUM(F83:F89)</f>
        <v>9.4664999999999958E-2</v>
      </c>
      <c r="G97" s="1938">
        <f>SUM(G83:G89)</f>
        <v>0.85198499999999999</v>
      </c>
      <c r="H97" s="1938">
        <f>SUM(H83:H89)</f>
        <v>1.419975</v>
      </c>
      <c r="I97" s="1938">
        <f>SUM(I83:I89)</f>
        <v>4.2599249999999991</v>
      </c>
    </row>
    <row r="98" spans="2:9" ht="15" customHeight="1">
      <c r="B98" s="1936" t="s">
        <v>1116</v>
      </c>
      <c r="C98" s="1936" t="s">
        <v>2135</v>
      </c>
      <c r="F98" s="1937">
        <f>SUM(F90:F96)</f>
        <v>0</v>
      </c>
      <c r="G98" s="1938">
        <f>SUM(G90:G96)</f>
        <v>0</v>
      </c>
      <c r="H98" s="1938">
        <f>SUM(H90:H96)</f>
        <v>0</v>
      </c>
      <c r="I98" s="1938">
        <f>SUM(I90:I96)</f>
        <v>0</v>
      </c>
    </row>
    <row r="99" spans="2:9" ht="15" customHeight="1" thickBot="1">
      <c r="B99" s="1947"/>
      <c r="C99" s="1959" t="s">
        <v>1299</v>
      </c>
      <c r="D99" s="1948"/>
      <c r="E99" s="1948"/>
      <c r="F99" s="1960">
        <f>F97+F98</f>
        <v>9.4664999999999958E-2</v>
      </c>
      <c r="G99" s="1961">
        <f>G97+G98</f>
        <v>0.85198499999999999</v>
      </c>
      <c r="H99" s="1961">
        <f>H97+H98</f>
        <v>1.419975</v>
      </c>
      <c r="I99" s="1961">
        <f>I97+I98</f>
        <v>4.2599249999999991</v>
      </c>
    </row>
    <row r="100" spans="2:9" ht="15" customHeight="1" thickTop="1">
      <c r="B100" s="1949"/>
      <c r="C100" s="1950" t="str">
        <f>$C$77</f>
        <v>Validation check to the total by performance commitment above in columns V to Y</v>
      </c>
      <c r="D100" s="1940"/>
      <c r="E100" s="1940"/>
      <c r="F100" s="1951" t="b">
        <f>F99=VLOOKUP($B98,$T$14:$Y$30,3,0)</f>
        <v>1</v>
      </c>
      <c r="G100" s="1952" t="b">
        <f>G99=VLOOKUP($B98,$T$14:$Y$30,4,0)</f>
        <v>1</v>
      </c>
      <c r="H100" s="1952" t="b">
        <f>H99=VLOOKUP($B98,$T$14:$Y$30,5,0)</f>
        <v>1</v>
      </c>
      <c r="I100" s="1952" t="b">
        <f>I99=VLOOKUP($B98,$T$14:$Y$30,6,0)</f>
        <v>1</v>
      </c>
    </row>
    <row r="101" spans="2:9" ht="15" customHeight="1">
      <c r="B101" s="1963" t="s">
        <v>2137</v>
      </c>
      <c r="C101" s="1964"/>
      <c r="D101" s="1965"/>
      <c r="E101" s="1965"/>
      <c r="F101" s="1966"/>
      <c r="G101" s="1966"/>
      <c r="H101" s="1966"/>
      <c r="I101" s="1966"/>
    </row>
    <row r="102" spans="2:9" ht="15" customHeight="1">
      <c r="B102" s="1963"/>
      <c r="C102" s="1964"/>
      <c r="D102" s="1965"/>
      <c r="E102" s="1965"/>
      <c r="F102" s="1966"/>
      <c r="G102" s="1966"/>
      <c r="H102" s="1966"/>
      <c r="I102" s="1966"/>
    </row>
    <row r="103" spans="2:9" ht="15" customHeight="1">
      <c r="B103" s="1936"/>
      <c r="C103" s="1936"/>
      <c r="F103" s="1936"/>
      <c r="I103" s="449" t="s">
        <v>2074</v>
      </c>
    </row>
    <row r="104" spans="2:9">
      <c r="B104" s="1936"/>
      <c r="C104" s="1936"/>
      <c r="F104" s="1957" t="s">
        <v>1830</v>
      </c>
      <c r="G104" s="1885" t="s">
        <v>1840</v>
      </c>
      <c r="H104" s="1885" t="s">
        <v>1847</v>
      </c>
      <c r="I104" s="1977" t="s">
        <v>1853</v>
      </c>
    </row>
    <row r="105" spans="2:9" ht="15" customHeight="1">
      <c r="B105" s="1962" t="s">
        <v>1850</v>
      </c>
      <c r="C105" s="1936"/>
      <c r="F105" s="1957" t="s">
        <v>165</v>
      </c>
      <c r="G105" s="1885" t="s">
        <v>165</v>
      </c>
      <c r="H105" s="1885" t="s">
        <v>165</v>
      </c>
      <c r="I105" s="1885" t="s">
        <v>165</v>
      </c>
    </row>
    <row r="106" spans="2:9" ht="15" customHeight="1">
      <c r="B106" s="1936" t="s">
        <v>1130</v>
      </c>
      <c r="C106" s="1936" t="s">
        <v>2120</v>
      </c>
      <c r="F106" s="2179">
        <v>0</v>
      </c>
      <c r="G106" s="2179">
        <v>0</v>
      </c>
      <c r="H106" s="2180">
        <v>0</v>
      </c>
      <c r="I106" s="2180">
        <v>0</v>
      </c>
    </row>
    <row r="107" spans="2:9" ht="15" customHeight="1">
      <c r="B107" s="1936" t="s">
        <v>1130</v>
      </c>
      <c r="C107" s="1936" t="s">
        <v>2121</v>
      </c>
      <c r="F107" s="2179">
        <v>0</v>
      </c>
      <c r="G107" s="2179">
        <v>0</v>
      </c>
      <c r="H107" s="2180">
        <v>0</v>
      </c>
      <c r="I107" s="2180">
        <v>0</v>
      </c>
    </row>
    <row r="108" spans="2:9" ht="15" customHeight="1">
      <c r="B108" s="1936" t="s">
        <v>1130</v>
      </c>
      <c r="C108" s="1936" t="s">
        <v>2122</v>
      </c>
      <c r="F108" s="2179">
        <v>0</v>
      </c>
      <c r="G108" s="2179">
        <v>0</v>
      </c>
      <c r="H108" s="2180">
        <v>0</v>
      </c>
      <c r="I108" s="2180">
        <v>0</v>
      </c>
    </row>
    <row r="109" spans="2:9" ht="15" customHeight="1">
      <c r="B109" s="1936" t="s">
        <v>1130</v>
      </c>
      <c r="C109" s="1936" t="s">
        <v>2123</v>
      </c>
      <c r="F109" s="2179">
        <v>0</v>
      </c>
      <c r="G109" s="2179">
        <v>0</v>
      </c>
      <c r="H109" s="2180">
        <v>0</v>
      </c>
      <c r="I109" s="2180">
        <v>0</v>
      </c>
    </row>
    <row r="110" spans="2:9" ht="15" customHeight="1">
      <c r="B110" s="1936" t="s">
        <v>1130</v>
      </c>
      <c r="C110" s="1936" t="s">
        <v>2124</v>
      </c>
      <c r="F110" s="2179">
        <v>0</v>
      </c>
      <c r="G110" s="2179">
        <v>0</v>
      </c>
      <c r="H110" s="2180">
        <v>0</v>
      </c>
      <c r="I110" s="2180">
        <v>0</v>
      </c>
    </row>
    <row r="111" spans="2:9" ht="15" customHeight="1">
      <c r="B111" s="1936" t="s">
        <v>1130</v>
      </c>
      <c r="C111" s="1936" t="s">
        <v>2125</v>
      </c>
      <c r="F111" s="2179">
        <v>0</v>
      </c>
      <c r="G111" s="2179">
        <v>0</v>
      </c>
      <c r="H111" s="2180">
        <v>0</v>
      </c>
      <c r="I111" s="2180">
        <v>0</v>
      </c>
    </row>
    <row r="112" spans="2:9" ht="15" customHeight="1">
      <c r="B112" s="1944" t="s">
        <v>1130</v>
      </c>
      <c r="C112" s="1944" t="s">
        <v>2126</v>
      </c>
      <c r="D112" s="1945"/>
      <c r="E112" s="1945"/>
      <c r="F112" s="2181">
        <v>0</v>
      </c>
      <c r="G112" s="2181">
        <v>0</v>
      </c>
      <c r="H112" s="2182">
        <v>0</v>
      </c>
      <c r="I112" s="2182">
        <v>0</v>
      </c>
    </row>
    <row r="113" spans="2:9" ht="15" customHeight="1">
      <c r="B113" s="1936" t="s">
        <v>1130</v>
      </c>
      <c r="C113" s="1936" t="s">
        <v>2127</v>
      </c>
      <c r="F113" s="2179">
        <v>0</v>
      </c>
      <c r="G113" s="2179">
        <v>0</v>
      </c>
      <c r="H113" s="2180">
        <v>0</v>
      </c>
      <c r="I113" s="2180">
        <v>0</v>
      </c>
    </row>
    <row r="114" spans="2:9" ht="15" customHeight="1">
      <c r="B114" s="1936" t="s">
        <v>1130</v>
      </c>
      <c r="C114" s="1936" t="s">
        <v>2128</v>
      </c>
      <c r="F114" s="2179">
        <v>0</v>
      </c>
      <c r="G114" s="2179">
        <v>0</v>
      </c>
      <c r="H114" s="2180">
        <v>0</v>
      </c>
      <c r="I114" s="2180">
        <v>0</v>
      </c>
    </row>
    <row r="115" spans="2:9" ht="15" customHeight="1">
      <c r="B115" s="1936" t="s">
        <v>1130</v>
      </c>
      <c r="C115" s="1936" t="s">
        <v>2129</v>
      </c>
      <c r="F115" s="2179">
        <v>0</v>
      </c>
      <c r="G115" s="2179">
        <v>0</v>
      </c>
      <c r="H115" s="2180">
        <v>0</v>
      </c>
      <c r="I115" s="2180">
        <v>0</v>
      </c>
    </row>
    <row r="116" spans="2:9" ht="15" customHeight="1">
      <c r="B116" s="1936" t="s">
        <v>1130</v>
      </c>
      <c r="C116" s="1936" t="s">
        <v>2130</v>
      </c>
      <c r="F116" s="2179">
        <v>0</v>
      </c>
      <c r="G116" s="2179">
        <v>0</v>
      </c>
      <c r="H116" s="2180">
        <v>0</v>
      </c>
      <c r="I116" s="2180">
        <v>0</v>
      </c>
    </row>
    <row r="117" spans="2:9" ht="15" customHeight="1">
      <c r="B117" s="1936" t="s">
        <v>1130</v>
      </c>
      <c r="C117" s="1936" t="s">
        <v>2131</v>
      </c>
      <c r="F117" s="2179">
        <v>0</v>
      </c>
      <c r="G117" s="2179">
        <v>0</v>
      </c>
      <c r="H117" s="2180">
        <v>0</v>
      </c>
      <c r="I117" s="2180">
        <v>0</v>
      </c>
    </row>
    <row r="118" spans="2:9" ht="15" customHeight="1">
      <c r="B118" s="1936" t="s">
        <v>1130</v>
      </c>
      <c r="C118" s="1936" t="s">
        <v>2132</v>
      </c>
      <c r="F118" s="2179">
        <v>0</v>
      </c>
      <c r="G118" s="2179">
        <v>0</v>
      </c>
      <c r="H118" s="2180">
        <v>0</v>
      </c>
      <c r="I118" s="2180">
        <v>0</v>
      </c>
    </row>
    <row r="119" spans="2:9" ht="15" customHeight="1">
      <c r="B119" s="1936" t="s">
        <v>1130</v>
      </c>
      <c r="C119" s="1936" t="s">
        <v>2133</v>
      </c>
      <c r="F119" s="2179">
        <v>0</v>
      </c>
      <c r="G119" s="2179">
        <v>0</v>
      </c>
      <c r="H119" s="2180">
        <v>0</v>
      </c>
      <c r="I119" s="2180">
        <v>0</v>
      </c>
    </row>
    <row r="120" spans="2:9" ht="15" customHeight="1">
      <c r="B120" s="1936" t="s">
        <v>1130</v>
      </c>
      <c r="C120" s="1936" t="s">
        <v>2134</v>
      </c>
      <c r="F120" s="1937">
        <f>SUM(F106:F112)</f>
        <v>0</v>
      </c>
      <c r="G120" s="1938">
        <f>SUM(G106:G112)</f>
        <v>0</v>
      </c>
      <c r="H120" s="1938">
        <f>SUM(H106:H112)</f>
        <v>0</v>
      </c>
      <c r="I120" s="1938">
        <f>SUM(I106:I112)</f>
        <v>0</v>
      </c>
    </row>
    <row r="121" spans="2:9" ht="15" customHeight="1">
      <c r="B121" s="1936" t="s">
        <v>1130</v>
      </c>
      <c r="C121" s="1936" t="s">
        <v>2135</v>
      </c>
      <c r="F121" s="1937">
        <f>SUM(F113:F119)</f>
        <v>0</v>
      </c>
      <c r="G121" s="1938">
        <f>SUM(G113:G119)</f>
        <v>0</v>
      </c>
      <c r="H121" s="1938">
        <f>SUM(H113:H119)</f>
        <v>0</v>
      </c>
      <c r="I121" s="1938">
        <f>SUM(I113:I119)</f>
        <v>0</v>
      </c>
    </row>
    <row r="122" spans="2:9" ht="15" customHeight="1" thickBot="1">
      <c r="B122" s="1947"/>
      <c r="C122" s="1959" t="s">
        <v>1299</v>
      </c>
      <c r="D122" s="1948"/>
      <c r="E122" s="1948"/>
      <c r="F122" s="1960">
        <f>F120+F121</f>
        <v>0</v>
      </c>
      <c r="G122" s="1960">
        <f>G120+G121</f>
        <v>0</v>
      </c>
      <c r="H122" s="1961">
        <f>H120+H121</f>
        <v>0</v>
      </c>
      <c r="I122" s="1961">
        <f>I120+I121</f>
        <v>0</v>
      </c>
    </row>
    <row r="123" spans="2:9" ht="15" customHeight="1" thickTop="1">
      <c r="B123" s="1949"/>
      <c r="C123" s="1950" t="str">
        <f>$C$77</f>
        <v>Validation check to the total by performance commitment above in columns V to Y</v>
      </c>
      <c r="D123" s="1940"/>
      <c r="E123" s="1940"/>
      <c r="F123" s="1951" t="b">
        <f>F122=VLOOKUP($B121,$T$14:$Y$30,3,0)</f>
        <v>1</v>
      </c>
      <c r="G123" s="1951" t="b">
        <f>G122=VLOOKUP($B121,$T$14:$Y$30,4,0)</f>
        <v>1</v>
      </c>
      <c r="H123" s="1952" t="b">
        <f>H122=VLOOKUP($B121,$T$14:$Y$30,5,0)</f>
        <v>1</v>
      </c>
      <c r="I123" s="1952" t="b">
        <f>I122=VLOOKUP($B121,$T$14:$Y$30,6,0)</f>
        <v>1</v>
      </c>
    </row>
    <row r="124" spans="2:9" ht="15" customHeight="1">
      <c r="B124" s="1963" t="s">
        <v>2137</v>
      </c>
      <c r="C124" s="1964"/>
      <c r="D124" s="1965"/>
      <c r="E124" s="1965"/>
      <c r="F124" s="1966"/>
      <c r="G124" s="1966"/>
      <c r="H124" s="1966"/>
      <c r="I124" s="1966"/>
    </row>
    <row r="125" spans="2:9" ht="15" customHeight="1">
      <c r="B125" s="1963"/>
      <c r="C125" s="1964"/>
      <c r="D125" s="1965"/>
      <c r="E125" s="1965"/>
      <c r="F125" s="1966"/>
      <c r="G125" s="1966"/>
      <c r="H125" s="1966"/>
      <c r="I125" s="1966"/>
    </row>
    <row r="126" spans="2:9" ht="15" customHeight="1">
      <c r="B126" s="1936"/>
      <c r="C126" s="1936"/>
      <c r="F126" s="1936"/>
      <c r="I126" s="449" t="s">
        <v>2074</v>
      </c>
    </row>
    <row r="127" spans="2:9">
      <c r="B127" s="1936"/>
      <c r="C127" s="1936"/>
      <c r="F127" s="1957" t="s">
        <v>1830</v>
      </c>
      <c r="G127" s="1885" t="s">
        <v>1840</v>
      </c>
      <c r="H127" s="1885" t="s">
        <v>1847</v>
      </c>
      <c r="I127" s="1977" t="s">
        <v>1853</v>
      </c>
    </row>
    <row r="128" spans="2:9" ht="15" customHeight="1">
      <c r="B128" s="1962" t="s">
        <v>1856</v>
      </c>
      <c r="C128" s="1936"/>
      <c r="F128" s="1957" t="s">
        <v>165</v>
      </c>
      <c r="G128" s="1885" t="s">
        <v>165</v>
      </c>
      <c r="H128" s="1885" t="s">
        <v>165</v>
      </c>
      <c r="I128" s="1885" t="s">
        <v>165</v>
      </c>
    </row>
    <row r="129" spans="2:9" ht="15" customHeight="1">
      <c r="B129" s="1936" t="s">
        <v>1143</v>
      </c>
      <c r="C129" s="1936" t="s">
        <v>2120</v>
      </c>
      <c r="F129" s="2179">
        <v>0</v>
      </c>
      <c r="G129" s="2179">
        <v>0</v>
      </c>
      <c r="H129" s="2180">
        <v>0</v>
      </c>
      <c r="I129" s="2180">
        <v>0</v>
      </c>
    </row>
    <row r="130" spans="2:9" ht="15" customHeight="1">
      <c r="B130" s="1936" t="s">
        <v>1143</v>
      </c>
      <c r="C130" s="1936" t="s">
        <v>2121</v>
      </c>
      <c r="F130" s="2179">
        <v>0</v>
      </c>
      <c r="G130" s="2179">
        <v>0</v>
      </c>
      <c r="H130" s="2180">
        <v>0</v>
      </c>
      <c r="I130" s="2180">
        <v>0</v>
      </c>
    </row>
    <row r="131" spans="2:9" ht="15" customHeight="1">
      <c r="B131" s="1936" t="s">
        <v>1143</v>
      </c>
      <c r="C131" s="1936" t="s">
        <v>2122</v>
      </c>
      <c r="F131" s="2179">
        <v>0</v>
      </c>
      <c r="G131" s="2179">
        <v>0</v>
      </c>
      <c r="H131" s="2180">
        <v>0</v>
      </c>
      <c r="I131" s="2180">
        <v>0</v>
      </c>
    </row>
    <row r="132" spans="2:9" ht="15" customHeight="1">
      <c r="B132" s="1936" t="s">
        <v>1143</v>
      </c>
      <c r="C132" s="1936" t="s">
        <v>2123</v>
      </c>
      <c r="F132" s="2179">
        <v>0</v>
      </c>
      <c r="G132" s="2179">
        <v>0</v>
      </c>
      <c r="H132" s="2180">
        <v>0</v>
      </c>
      <c r="I132" s="2180">
        <v>0</v>
      </c>
    </row>
    <row r="133" spans="2:9" ht="15" customHeight="1">
      <c r="B133" s="1936" t="s">
        <v>1143</v>
      </c>
      <c r="C133" s="1936" t="s">
        <v>2124</v>
      </c>
      <c r="F133" s="2179">
        <v>0</v>
      </c>
      <c r="G133" s="2179">
        <v>0</v>
      </c>
      <c r="H133" s="2180">
        <v>0</v>
      </c>
      <c r="I133" s="2180">
        <v>0</v>
      </c>
    </row>
    <row r="134" spans="2:9" ht="15" customHeight="1">
      <c r="B134" s="1936" t="s">
        <v>1143</v>
      </c>
      <c r="C134" s="1936" t="s">
        <v>2125</v>
      </c>
      <c r="F134" s="2179">
        <v>0</v>
      </c>
      <c r="G134" s="2179">
        <v>0</v>
      </c>
      <c r="H134" s="2180">
        <v>0</v>
      </c>
      <c r="I134" s="2180">
        <v>0</v>
      </c>
    </row>
    <row r="135" spans="2:9" ht="15" customHeight="1">
      <c r="B135" s="1944" t="s">
        <v>1143</v>
      </c>
      <c r="C135" s="1944" t="s">
        <v>2126</v>
      </c>
      <c r="D135" s="1945"/>
      <c r="E135" s="1945"/>
      <c r="F135" s="2181">
        <v>0</v>
      </c>
      <c r="G135" s="2181">
        <v>0</v>
      </c>
      <c r="H135" s="2182">
        <v>0</v>
      </c>
      <c r="I135" s="2182">
        <v>0</v>
      </c>
    </row>
    <row r="136" spans="2:9" ht="15" customHeight="1">
      <c r="B136" s="1936" t="s">
        <v>1143</v>
      </c>
      <c r="C136" s="1936" t="s">
        <v>2127</v>
      </c>
      <c r="F136" s="2179">
        <v>0</v>
      </c>
      <c r="G136" s="2179">
        <v>0</v>
      </c>
      <c r="H136" s="2180">
        <v>0</v>
      </c>
      <c r="I136" s="2180">
        <v>0</v>
      </c>
    </row>
    <row r="137" spans="2:9" ht="15" customHeight="1">
      <c r="B137" s="1936" t="s">
        <v>1143</v>
      </c>
      <c r="C137" s="1936" t="s">
        <v>2128</v>
      </c>
      <c r="F137" s="2179">
        <v>0</v>
      </c>
      <c r="G137" s="2179">
        <v>0</v>
      </c>
      <c r="H137" s="2180">
        <v>0</v>
      </c>
      <c r="I137" s="2180">
        <v>0</v>
      </c>
    </row>
    <row r="138" spans="2:9" ht="15" customHeight="1">
      <c r="B138" s="1936" t="s">
        <v>1143</v>
      </c>
      <c r="C138" s="1936" t="s">
        <v>2129</v>
      </c>
      <c r="F138" s="2179">
        <v>0</v>
      </c>
      <c r="G138" s="2179">
        <v>0</v>
      </c>
      <c r="H138" s="2180">
        <v>0</v>
      </c>
      <c r="I138" s="2180">
        <v>0</v>
      </c>
    </row>
    <row r="139" spans="2:9" ht="15" customHeight="1">
      <c r="B139" s="1936" t="s">
        <v>1143</v>
      </c>
      <c r="C139" s="1936" t="s">
        <v>2130</v>
      </c>
      <c r="F139" s="2179">
        <v>0</v>
      </c>
      <c r="G139" s="2179">
        <v>0</v>
      </c>
      <c r="H139" s="2180">
        <v>0</v>
      </c>
      <c r="I139" s="2180">
        <v>0</v>
      </c>
    </row>
    <row r="140" spans="2:9" ht="15" customHeight="1">
      <c r="B140" s="1936" t="s">
        <v>1143</v>
      </c>
      <c r="C140" s="1936" t="s">
        <v>2131</v>
      </c>
      <c r="F140" s="2179">
        <v>0</v>
      </c>
      <c r="G140" s="2179">
        <v>0</v>
      </c>
      <c r="H140" s="2180">
        <v>0</v>
      </c>
      <c r="I140" s="2180">
        <v>0</v>
      </c>
    </row>
    <row r="141" spans="2:9" ht="15" customHeight="1">
      <c r="B141" s="1936" t="s">
        <v>1143</v>
      </c>
      <c r="C141" s="1936" t="s">
        <v>2132</v>
      </c>
      <c r="F141" s="2179">
        <v>0</v>
      </c>
      <c r="G141" s="2179">
        <v>0</v>
      </c>
      <c r="H141" s="2180">
        <v>0</v>
      </c>
      <c r="I141" s="2180">
        <v>0</v>
      </c>
    </row>
    <row r="142" spans="2:9" ht="15" customHeight="1">
      <c r="B142" s="1936" t="s">
        <v>1143</v>
      </c>
      <c r="C142" s="1936" t="s">
        <v>2133</v>
      </c>
      <c r="F142" s="2179">
        <v>0</v>
      </c>
      <c r="G142" s="2179">
        <v>0</v>
      </c>
      <c r="H142" s="2180">
        <v>0</v>
      </c>
      <c r="I142" s="2180">
        <v>0</v>
      </c>
    </row>
    <row r="143" spans="2:9" ht="15" customHeight="1">
      <c r="B143" s="1936" t="s">
        <v>1143</v>
      </c>
      <c r="C143" s="1936" t="s">
        <v>2134</v>
      </c>
      <c r="F143" s="1937">
        <f>SUM(F129:F135)</f>
        <v>0</v>
      </c>
      <c r="G143" s="1938">
        <f>SUM(G129:G135)</f>
        <v>0</v>
      </c>
      <c r="H143" s="1938">
        <f>SUM(H129:H135)</f>
        <v>0</v>
      </c>
      <c r="I143" s="1938">
        <f>SUM(I129:I135)</f>
        <v>0</v>
      </c>
    </row>
    <row r="144" spans="2:9" ht="15" customHeight="1">
      <c r="B144" s="1936" t="s">
        <v>1143</v>
      </c>
      <c r="C144" s="1936" t="s">
        <v>2135</v>
      </c>
      <c r="F144" s="1937">
        <f>SUM(F136:F142)</f>
        <v>0</v>
      </c>
      <c r="G144" s="1938">
        <f>SUM(G136:G142)</f>
        <v>0</v>
      </c>
      <c r="H144" s="1938">
        <f>SUM(H136:H142)</f>
        <v>0</v>
      </c>
      <c r="I144" s="1938">
        <f>SUM(I136:I142)</f>
        <v>0</v>
      </c>
    </row>
    <row r="145" spans="2:9" ht="15" customHeight="1" thickBot="1">
      <c r="B145" s="1947"/>
      <c r="C145" s="1959" t="s">
        <v>1299</v>
      </c>
      <c r="D145" s="1948"/>
      <c r="E145" s="1948"/>
      <c r="F145" s="1960">
        <f>F143+F144</f>
        <v>0</v>
      </c>
      <c r="G145" s="1960">
        <f>G143+G144</f>
        <v>0</v>
      </c>
      <c r="H145" s="1961">
        <f>H143+H144</f>
        <v>0</v>
      </c>
      <c r="I145" s="1961">
        <f>I143+I144</f>
        <v>0</v>
      </c>
    </row>
    <row r="146" spans="2:9" ht="15" customHeight="1" thickTop="1">
      <c r="B146" s="1949"/>
      <c r="C146" s="1950" t="str">
        <f>$C$77</f>
        <v>Validation check to the total by performance commitment above in columns V to Y</v>
      </c>
      <c r="D146" s="1940"/>
      <c r="E146" s="1940"/>
      <c r="F146" s="1951" t="b">
        <f>F145=VLOOKUP($B144,$T$14:$Y$30,3,0)</f>
        <v>1</v>
      </c>
      <c r="G146" s="1951" t="b">
        <f>G145=VLOOKUP($B144,$T$14:$Y$30,4,0)</f>
        <v>1</v>
      </c>
      <c r="H146" s="1952" t="b">
        <f>H145=VLOOKUP($B144,$T$14:$Y$30,5,0)</f>
        <v>1</v>
      </c>
      <c r="I146" s="1952" t="b">
        <f>I145=VLOOKUP($B144,$T$14:$Y$30,6,0)</f>
        <v>1</v>
      </c>
    </row>
    <row r="147" spans="2:9" ht="15" customHeight="1">
      <c r="B147" s="1963" t="s">
        <v>2137</v>
      </c>
      <c r="C147" s="1964"/>
      <c r="D147" s="1965"/>
      <c r="E147" s="1965"/>
      <c r="F147" s="1966"/>
      <c r="G147" s="1966"/>
      <c r="H147" s="1966"/>
      <c r="I147" s="1966"/>
    </row>
    <row r="148" spans="2:9" ht="15" customHeight="1">
      <c r="B148" s="1963"/>
      <c r="C148" s="1964"/>
      <c r="D148" s="1965"/>
      <c r="E148" s="1965"/>
      <c r="F148" s="1966"/>
      <c r="G148" s="1966"/>
      <c r="H148" s="1966"/>
      <c r="I148" s="1966"/>
    </row>
    <row r="149" spans="2:9" ht="15" customHeight="1">
      <c r="B149" s="1936"/>
      <c r="C149" s="1936"/>
      <c r="F149" s="1936"/>
      <c r="I149" s="449" t="s">
        <v>2074</v>
      </c>
    </row>
    <row r="150" spans="2:9">
      <c r="B150" s="1936"/>
      <c r="C150" s="1936"/>
      <c r="F150" s="1957" t="s">
        <v>1830</v>
      </c>
      <c r="G150" s="1885" t="s">
        <v>1840</v>
      </c>
      <c r="H150" s="1885" t="s">
        <v>1847</v>
      </c>
      <c r="I150" s="1977" t="s">
        <v>1853</v>
      </c>
    </row>
    <row r="151" spans="2:9" ht="15" customHeight="1">
      <c r="B151" s="1962" t="s">
        <v>1859</v>
      </c>
      <c r="C151" s="1936"/>
      <c r="F151" s="1957" t="s">
        <v>165</v>
      </c>
      <c r="G151" s="1885" t="s">
        <v>165</v>
      </c>
      <c r="H151" s="1885" t="s">
        <v>165</v>
      </c>
      <c r="I151" s="1885" t="s">
        <v>165</v>
      </c>
    </row>
    <row r="152" spans="2:9" ht="15" customHeight="1">
      <c r="B152" s="1936" t="s">
        <v>1157</v>
      </c>
      <c r="C152" s="1936" t="s">
        <v>2120</v>
      </c>
      <c r="F152" s="2179">
        <v>0</v>
      </c>
      <c r="G152" s="2179">
        <v>0</v>
      </c>
      <c r="H152" s="2180">
        <v>0</v>
      </c>
      <c r="I152" s="2180">
        <v>0</v>
      </c>
    </row>
    <row r="153" spans="2:9" ht="15" customHeight="1">
      <c r="B153" s="1936" t="s">
        <v>1157</v>
      </c>
      <c r="C153" s="1936" t="s">
        <v>2121</v>
      </c>
      <c r="F153" s="2179">
        <v>0</v>
      </c>
      <c r="G153" s="2179">
        <v>0</v>
      </c>
      <c r="H153" s="2180">
        <v>0</v>
      </c>
      <c r="I153" s="2180">
        <v>0</v>
      </c>
    </row>
    <row r="154" spans="2:9" ht="15" customHeight="1">
      <c r="B154" s="1936" t="s">
        <v>1157</v>
      </c>
      <c r="C154" s="1936" t="s">
        <v>2122</v>
      </c>
      <c r="F154" s="2179">
        <v>0</v>
      </c>
      <c r="G154" s="2179">
        <v>0</v>
      </c>
      <c r="H154" s="2180">
        <v>0</v>
      </c>
      <c r="I154" s="2180">
        <v>0</v>
      </c>
    </row>
    <row r="155" spans="2:9" ht="15" customHeight="1">
      <c r="B155" s="1936" t="s">
        <v>1157</v>
      </c>
      <c r="C155" s="1936" t="s">
        <v>2123</v>
      </c>
      <c r="F155" s="2179">
        <v>0</v>
      </c>
      <c r="G155" s="2179">
        <v>0</v>
      </c>
      <c r="H155" s="2180">
        <v>0</v>
      </c>
      <c r="I155" s="2180">
        <v>0</v>
      </c>
    </row>
    <row r="156" spans="2:9" ht="15" customHeight="1">
      <c r="B156" s="1936" t="s">
        <v>1157</v>
      </c>
      <c r="C156" s="1936" t="s">
        <v>2124</v>
      </c>
      <c r="F156" s="2179">
        <v>0</v>
      </c>
      <c r="G156" s="2179">
        <v>0</v>
      </c>
      <c r="H156" s="2180">
        <v>0</v>
      </c>
      <c r="I156" s="2180">
        <v>0</v>
      </c>
    </row>
    <row r="157" spans="2:9" ht="15" customHeight="1">
      <c r="B157" s="1936" t="s">
        <v>1157</v>
      </c>
      <c r="C157" s="1936" t="s">
        <v>2125</v>
      </c>
      <c r="F157" s="2179">
        <v>0</v>
      </c>
      <c r="G157" s="2179">
        <v>0</v>
      </c>
      <c r="H157" s="2180">
        <v>0</v>
      </c>
      <c r="I157" s="2180">
        <v>0</v>
      </c>
    </row>
    <row r="158" spans="2:9" ht="15" customHeight="1">
      <c r="B158" s="1944" t="s">
        <v>1157</v>
      </c>
      <c r="C158" s="1944" t="s">
        <v>2126</v>
      </c>
      <c r="D158" s="1945"/>
      <c r="E158" s="1945"/>
      <c r="F158" s="2181">
        <v>0</v>
      </c>
      <c r="G158" s="2181">
        <v>0</v>
      </c>
      <c r="H158" s="2182">
        <v>0</v>
      </c>
      <c r="I158" s="2182">
        <v>0</v>
      </c>
    </row>
    <row r="159" spans="2:9" ht="15" customHeight="1">
      <c r="B159" s="1936" t="s">
        <v>1157</v>
      </c>
      <c r="C159" s="1936" t="s">
        <v>2127</v>
      </c>
      <c r="F159" s="2179">
        <v>0</v>
      </c>
      <c r="G159" s="2179">
        <v>0</v>
      </c>
      <c r="H159" s="2180">
        <v>0</v>
      </c>
      <c r="I159" s="2180">
        <v>0</v>
      </c>
    </row>
    <row r="160" spans="2:9" ht="15" customHeight="1">
      <c r="B160" s="1936" t="s">
        <v>1157</v>
      </c>
      <c r="C160" s="1936" t="s">
        <v>2128</v>
      </c>
      <c r="F160" s="2179">
        <v>0</v>
      </c>
      <c r="G160" s="2179">
        <v>0</v>
      </c>
      <c r="H160" s="2180">
        <v>0</v>
      </c>
      <c r="I160" s="2180">
        <v>0</v>
      </c>
    </row>
    <row r="161" spans="2:9" ht="15" customHeight="1">
      <c r="B161" s="1936" t="s">
        <v>1157</v>
      </c>
      <c r="C161" s="1936" t="s">
        <v>2129</v>
      </c>
      <c r="F161" s="2179">
        <v>0</v>
      </c>
      <c r="G161" s="2179">
        <v>0</v>
      </c>
      <c r="H161" s="2180">
        <v>0</v>
      </c>
      <c r="I161" s="2180">
        <v>0</v>
      </c>
    </row>
    <row r="162" spans="2:9" ht="15" customHeight="1">
      <c r="B162" s="1936" t="s">
        <v>1157</v>
      </c>
      <c r="C162" s="1936" t="s">
        <v>2130</v>
      </c>
      <c r="F162" s="2179">
        <v>0</v>
      </c>
      <c r="G162" s="2179">
        <v>0</v>
      </c>
      <c r="H162" s="2180">
        <v>0</v>
      </c>
      <c r="I162" s="2180">
        <v>0</v>
      </c>
    </row>
    <row r="163" spans="2:9" ht="15" customHeight="1">
      <c r="B163" s="1936" t="s">
        <v>1157</v>
      </c>
      <c r="C163" s="1936" t="s">
        <v>2131</v>
      </c>
      <c r="F163" s="2179">
        <v>0</v>
      </c>
      <c r="G163" s="2179">
        <v>0</v>
      </c>
      <c r="H163" s="2180">
        <v>0</v>
      </c>
      <c r="I163" s="2180">
        <v>0</v>
      </c>
    </row>
    <row r="164" spans="2:9" ht="15" customHeight="1">
      <c r="B164" s="1936" t="s">
        <v>1157</v>
      </c>
      <c r="C164" s="1936" t="s">
        <v>2132</v>
      </c>
      <c r="F164" s="2179">
        <v>0</v>
      </c>
      <c r="G164" s="2179">
        <v>0</v>
      </c>
      <c r="H164" s="2180">
        <v>0</v>
      </c>
      <c r="I164" s="2180">
        <v>0</v>
      </c>
    </row>
    <row r="165" spans="2:9" ht="15" customHeight="1">
      <c r="B165" s="1936" t="s">
        <v>1157</v>
      </c>
      <c r="C165" s="1936" t="s">
        <v>2133</v>
      </c>
      <c r="F165" s="2179">
        <v>0</v>
      </c>
      <c r="G165" s="2179">
        <v>0</v>
      </c>
      <c r="H165" s="2180">
        <v>0</v>
      </c>
      <c r="I165" s="2180">
        <v>0</v>
      </c>
    </row>
    <row r="166" spans="2:9" ht="15" customHeight="1">
      <c r="B166" s="1936" t="s">
        <v>1157</v>
      </c>
      <c r="C166" s="1936" t="s">
        <v>2134</v>
      </c>
      <c r="F166" s="1937">
        <f>SUM(F152:F158)</f>
        <v>0</v>
      </c>
      <c r="G166" s="1938">
        <f>SUM(G152:G158)</f>
        <v>0</v>
      </c>
      <c r="H166" s="1938">
        <f>SUM(H152:H158)</f>
        <v>0</v>
      </c>
      <c r="I166" s="1938">
        <f>SUM(I152:I158)</f>
        <v>0</v>
      </c>
    </row>
    <row r="167" spans="2:9" ht="15" customHeight="1">
      <c r="B167" s="1936" t="s">
        <v>1157</v>
      </c>
      <c r="C167" s="1936" t="s">
        <v>2135</v>
      </c>
      <c r="F167" s="1937">
        <f>SUM(F159:F165)</f>
        <v>0</v>
      </c>
      <c r="G167" s="1938">
        <f>SUM(G159:G165)</f>
        <v>0</v>
      </c>
      <c r="H167" s="1938">
        <f>SUM(H159:H165)</f>
        <v>0</v>
      </c>
      <c r="I167" s="1938">
        <f>SUM(I159:I165)</f>
        <v>0</v>
      </c>
    </row>
    <row r="168" spans="2:9" ht="15" customHeight="1" thickBot="1">
      <c r="B168" s="1947"/>
      <c r="C168" s="1959" t="s">
        <v>1299</v>
      </c>
      <c r="D168" s="1948"/>
      <c r="E168" s="1948"/>
      <c r="F168" s="1960">
        <f>F166+F167</f>
        <v>0</v>
      </c>
      <c r="G168" s="1961">
        <f>G166+G167</f>
        <v>0</v>
      </c>
      <c r="H168" s="1961">
        <f>H166+H167</f>
        <v>0</v>
      </c>
      <c r="I168" s="1961">
        <f>I166+I167</f>
        <v>0</v>
      </c>
    </row>
    <row r="169" spans="2:9" ht="15" customHeight="1" thickTop="1">
      <c r="B169" s="1949"/>
      <c r="C169" s="1950" t="str">
        <f>$C$77</f>
        <v>Validation check to the total by performance commitment above in columns V to Y</v>
      </c>
      <c r="D169" s="1940"/>
      <c r="E169" s="1940"/>
      <c r="F169" s="1951" t="b">
        <f>F168=VLOOKUP($B167,$T$14:$Y$30,3,0)</f>
        <v>1</v>
      </c>
      <c r="G169" s="1952" t="b">
        <f>G168=VLOOKUP($B167,$T$14:$Y$30,4,0)</f>
        <v>1</v>
      </c>
      <c r="H169" s="1952" t="b">
        <f>H168=VLOOKUP($B167,$T$14:$Y$30,5,0)</f>
        <v>1</v>
      </c>
      <c r="I169" s="1952" t="b">
        <f>I168=VLOOKUP($B167,$T$14:$Y$30,6,0)</f>
        <v>1</v>
      </c>
    </row>
    <row r="170" spans="2:9" ht="15" customHeight="1">
      <c r="B170" s="1963" t="s">
        <v>2137</v>
      </c>
      <c r="C170" s="1964"/>
      <c r="D170" s="1965"/>
      <c r="E170" s="1965"/>
      <c r="F170" s="1966"/>
      <c r="G170" s="1966"/>
      <c r="H170" s="1966"/>
      <c r="I170" s="1966"/>
    </row>
    <row r="171" spans="2:9" ht="15" customHeight="1">
      <c r="B171" s="1963"/>
      <c r="C171" s="1964"/>
      <c r="D171" s="1965"/>
      <c r="E171" s="1965"/>
      <c r="F171" s="1966"/>
      <c r="G171" s="1966"/>
      <c r="H171" s="1966"/>
      <c r="I171" s="1966"/>
    </row>
    <row r="172" spans="2:9" ht="15" customHeight="1">
      <c r="B172" s="1936"/>
      <c r="C172" s="1936"/>
      <c r="F172" s="1936"/>
      <c r="I172" s="449" t="s">
        <v>2074</v>
      </c>
    </row>
    <row r="173" spans="2:9">
      <c r="B173" s="1936"/>
      <c r="C173" s="1936"/>
      <c r="F173" s="1957" t="s">
        <v>1830</v>
      </c>
      <c r="G173" s="1885" t="s">
        <v>1840</v>
      </c>
      <c r="H173" s="1885" t="s">
        <v>1847</v>
      </c>
      <c r="I173" s="1977" t="s">
        <v>1853</v>
      </c>
    </row>
    <row r="174" spans="2:9" ht="15" customHeight="1">
      <c r="B174" s="1962" t="s">
        <v>1865</v>
      </c>
      <c r="C174" s="1936"/>
      <c r="F174" s="1957" t="s">
        <v>165</v>
      </c>
      <c r="G174" s="1885" t="s">
        <v>165</v>
      </c>
      <c r="H174" s="1885" t="s">
        <v>165</v>
      </c>
      <c r="I174" s="1885" t="s">
        <v>165</v>
      </c>
    </row>
    <row r="175" spans="2:9" ht="15" customHeight="1">
      <c r="B175" s="1936" t="s">
        <v>1171</v>
      </c>
      <c r="C175" s="1936" t="s">
        <v>2120</v>
      </c>
      <c r="F175" s="2179">
        <v>0</v>
      </c>
      <c r="G175" s="2179">
        <v>0</v>
      </c>
      <c r="H175" s="2180">
        <v>-3.907985046680552E-18</v>
      </c>
      <c r="I175" s="2180">
        <v>-3.907985046680552E-18</v>
      </c>
    </row>
    <row r="176" spans="2:9" ht="15" customHeight="1">
      <c r="B176" s="1936" t="s">
        <v>1171</v>
      </c>
      <c r="C176" s="1936" t="s">
        <v>2121</v>
      </c>
      <c r="F176" s="2179">
        <v>0</v>
      </c>
      <c r="G176" s="2179">
        <v>0</v>
      </c>
      <c r="H176" s="2180">
        <v>-3.3413272149118778E-16</v>
      </c>
      <c r="I176" s="2180">
        <v>0</v>
      </c>
    </row>
    <row r="177" spans="2:9" ht="15" customHeight="1">
      <c r="B177" s="1936" t="s">
        <v>1171</v>
      </c>
      <c r="C177" s="1936" t="s">
        <v>2122</v>
      </c>
      <c r="F177" s="2179">
        <v>0</v>
      </c>
      <c r="G177" s="2179">
        <v>3.6770586575585202E-16</v>
      </c>
      <c r="H177" s="2180">
        <v>3.6770586575585193E-16</v>
      </c>
      <c r="I177" s="2180">
        <v>-4.9027448767446887E-16</v>
      </c>
    </row>
    <row r="178" spans="2:9" ht="15" customHeight="1">
      <c r="B178" s="1936" t="s">
        <v>1171</v>
      </c>
      <c r="C178" s="1936" t="s">
        <v>2123</v>
      </c>
      <c r="F178" s="2179">
        <v>0</v>
      </c>
      <c r="G178" s="2179">
        <v>0</v>
      </c>
      <c r="H178" s="2180">
        <v>0</v>
      </c>
      <c r="I178" s="2180">
        <v>0</v>
      </c>
    </row>
    <row r="179" spans="2:9" ht="15" customHeight="1">
      <c r="B179" s="1936" t="s">
        <v>1171</v>
      </c>
      <c r="C179" s="1936" t="s">
        <v>2124</v>
      </c>
      <c r="F179" s="2179">
        <v>0</v>
      </c>
      <c r="G179" s="2179">
        <v>0</v>
      </c>
      <c r="H179" s="2180">
        <v>0</v>
      </c>
      <c r="I179" s="2180">
        <v>0</v>
      </c>
    </row>
    <row r="180" spans="2:9" ht="15" customHeight="1">
      <c r="B180" s="1936" t="s">
        <v>1171</v>
      </c>
      <c r="C180" s="1936" t="s">
        <v>2125</v>
      </c>
      <c r="F180" s="2179">
        <v>0</v>
      </c>
      <c r="G180" s="2179">
        <v>0</v>
      </c>
      <c r="H180" s="2180">
        <v>0</v>
      </c>
      <c r="I180" s="2180">
        <v>0</v>
      </c>
    </row>
    <row r="181" spans="2:9" ht="15" customHeight="1">
      <c r="B181" s="1944" t="s">
        <v>1171</v>
      </c>
      <c r="C181" s="1944" t="s">
        <v>2126</v>
      </c>
      <c r="D181" s="1945"/>
      <c r="E181" s="1945"/>
      <c r="F181" s="2181">
        <v>0</v>
      </c>
      <c r="G181" s="2181">
        <v>0</v>
      </c>
      <c r="H181" s="2182">
        <v>0</v>
      </c>
      <c r="I181" s="2182">
        <v>0</v>
      </c>
    </row>
    <row r="182" spans="2:9" ht="15" customHeight="1">
      <c r="B182" s="1936" t="s">
        <v>1171</v>
      </c>
      <c r="C182" s="1936" t="s">
        <v>2127</v>
      </c>
      <c r="F182" s="2179">
        <v>1.8225</v>
      </c>
      <c r="G182" s="2179">
        <v>1.9237500000000001</v>
      </c>
      <c r="H182" s="2180">
        <v>2.1086499999999999</v>
      </c>
      <c r="I182" s="2180">
        <v>2.4123999999999999</v>
      </c>
    </row>
    <row r="183" spans="2:9" ht="15" customHeight="1">
      <c r="B183" s="1936" t="s">
        <v>1171</v>
      </c>
      <c r="C183" s="1936" t="s">
        <v>2128</v>
      </c>
      <c r="F183" s="2179">
        <v>2.2275000000000005</v>
      </c>
      <c r="G183" s="2179">
        <v>2.3512500000000003</v>
      </c>
      <c r="H183" s="2180">
        <v>2.44035</v>
      </c>
      <c r="I183" s="2180">
        <v>2.8115999999999999</v>
      </c>
    </row>
    <row r="184" spans="2:9" ht="15" customHeight="1">
      <c r="B184" s="1936" t="s">
        <v>1171</v>
      </c>
      <c r="C184" s="1936" t="s">
        <v>2129</v>
      </c>
      <c r="F184" s="2179">
        <v>0</v>
      </c>
      <c r="G184" s="2179">
        <v>1.6559999999999999</v>
      </c>
      <c r="H184" s="2180">
        <v>1.6559999999999999</v>
      </c>
      <c r="I184" s="2180">
        <v>1.1039999999999999</v>
      </c>
    </row>
    <row r="185" spans="2:9" ht="15" customHeight="1">
      <c r="B185" s="1936" t="s">
        <v>1171</v>
      </c>
      <c r="C185" s="1936" t="s">
        <v>2130</v>
      </c>
      <c r="F185" s="2179">
        <v>0</v>
      </c>
      <c r="G185" s="2179">
        <v>0</v>
      </c>
      <c r="H185" s="2180">
        <v>0</v>
      </c>
      <c r="I185" s="2180">
        <v>0</v>
      </c>
    </row>
    <row r="186" spans="2:9" ht="15" customHeight="1">
      <c r="B186" s="1936" t="s">
        <v>1171</v>
      </c>
      <c r="C186" s="1936" t="s">
        <v>2131</v>
      </c>
      <c r="F186" s="2179">
        <v>0</v>
      </c>
      <c r="G186" s="2179">
        <v>0</v>
      </c>
      <c r="H186" s="2180">
        <v>0</v>
      </c>
      <c r="I186" s="2180">
        <v>0</v>
      </c>
    </row>
    <row r="187" spans="2:9" ht="15" customHeight="1">
      <c r="B187" s="1936" t="s">
        <v>1171</v>
      </c>
      <c r="C187" s="1936" t="s">
        <v>2132</v>
      </c>
      <c r="F187" s="2179">
        <v>0</v>
      </c>
      <c r="G187" s="2179">
        <v>0</v>
      </c>
      <c r="H187" s="2180">
        <v>0</v>
      </c>
      <c r="I187" s="2180">
        <v>0</v>
      </c>
    </row>
    <row r="188" spans="2:9" ht="15" customHeight="1">
      <c r="B188" s="1936" t="s">
        <v>1171</v>
      </c>
      <c r="C188" s="1936" t="s">
        <v>2133</v>
      </c>
      <c r="F188" s="2179">
        <v>0</v>
      </c>
      <c r="G188" s="2179">
        <v>0</v>
      </c>
      <c r="H188" s="2180">
        <v>0</v>
      </c>
      <c r="I188" s="2180">
        <v>0</v>
      </c>
    </row>
    <row r="189" spans="2:9" ht="15" customHeight="1">
      <c r="B189" s="1936" t="s">
        <v>1171</v>
      </c>
      <c r="C189" s="1936" t="s">
        <v>2134</v>
      </c>
      <c r="F189" s="1937">
        <f>SUM(F175:F181)</f>
        <v>0</v>
      </c>
      <c r="G189" s="1938">
        <f>SUM(G175:G181)</f>
        <v>3.6770586575585202E-16</v>
      </c>
      <c r="H189" s="1938">
        <f>SUM(H175:H181)</f>
        <v>2.9665159217983578E-17</v>
      </c>
      <c r="I189" s="1938">
        <f>SUM(I175:I181)</f>
        <v>-4.9418247272114939E-16</v>
      </c>
    </row>
    <row r="190" spans="2:9" ht="15" customHeight="1">
      <c r="B190" s="1936" t="s">
        <v>1171</v>
      </c>
      <c r="C190" s="1936" t="s">
        <v>2135</v>
      </c>
      <c r="F190" s="1937">
        <f>SUM(F182:F188)</f>
        <v>4.0500000000000007</v>
      </c>
      <c r="G190" s="1938">
        <f>SUM(G182:G188)</f>
        <v>5.931</v>
      </c>
      <c r="H190" s="1938">
        <f>SUM(H182:H188)</f>
        <v>6.2049999999999992</v>
      </c>
      <c r="I190" s="1938">
        <f>SUM(I182:I188)</f>
        <v>6.3280000000000003</v>
      </c>
    </row>
    <row r="191" spans="2:9" ht="15" customHeight="1" thickBot="1">
      <c r="B191" s="1947"/>
      <c r="C191" s="1959" t="s">
        <v>1299</v>
      </c>
      <c r="D191" s="1948"/>
      <c r="E191" s="1948"/>
      <c r="F191" s="1960">
        <f>F189+F190</f>
        <v>4.0500000000000007</v>
      </c>
      <c r="G191" s="1960">
        <f>G189+G190</f>
        <v>5.931</v>
      </c>
      <c r="H191" s="1961">
        <f>H189+H190</f>
        <v>6.2049999999999992</v>
      </c>
      <c r="I191" s="1961">
        <f>I189+I190</f>
        <v>6.3279999999999994</v>
      </c>
    </row>
    <row r="192" spans="2:9" ht="15" customHeight="1" thickTop="1">
      <c r="B192" s="1949"/>
      <c r="C192" s="1950" t="str">
        <f>$C$77</f>
        <v>Validation check to the total by performance commitment above in columns V to Y</v>
      </c>
      <c r="D192" s="1940"/>
      <c r="E192" s="1940"/>
      <c r="F192" s="1951" t="b">
        <f>F191=VLOOKUP($B190,$T$14:$Y$30,3,0)</f>
        <v>1</v>
      </c>
      <c r="G192" s="1951" t="b">
        <f>G191=VLOOKUP($B190,$T$14:$Y$30,4,0)</f>
        <v>1</v>
      </c>
      <c r="H192" s="1952" t="b">
        <f>H191=VLOOKUP($B190,$T$14:$Y$30,5,0)</f>
        <v>1</v>
      </c>
      <c r="I192" s="1952" t="b">
        <f>I191=VLOOKUP($B190,$T$14:$Y$30,6,0)</f>
        <v>1</v>
      </c>
    </row>
    <row r="193" spans="2:9" ht="15" customHeight="1">
      <c r="B193" s="1967" t="s">
        <v>2138</v>
      </c>
      <c r="C193" s="1964"/>
      <c r="D193" s="1965"/>
      <c r="E193" s="1965"/>
      <c r="F193" s="1966"/>
      <c r="G193" s="1966"/>
      <c r="H193" s="1966"/>
      <c r="I193" s="1966"/>
    </row>
    <row r="194" spans="2:9" ht="15" customHeight="1">
      <c r="B194" s="1967" t="s">
        <v>2139</v>
      </c>
      <c r="C194" s="1964"/>
      <c r="D194" s="1965"/>
      <c r="E194" s="1965"/>
      <c r="F194" s="1966"/>
      <c r="G194" s="1966"/>
      <c r="H194" s="1966"/>
      <c r="I194" s="1966"/>
    </row>
    <row r="195" spans="2:9" ht="15" customHeight="1">
      <c r="B195" s="1936"/>
      <c r="C195" s="1936"/>
      <c r="F195" s="1936"/>
      <c r="I195" s="449" t="s">
        <v>2074</v>
      </c>
    </row>
    <row r="196" spans="2:9">
      <c r="B196" s="1936"/>
      <c r="C196" s="1936"/>
      <c r="F196" s="1957" t="s">
        <v>1830</v>
      </c>
      <c r="G196" s="1885" t="s">
        <v>1840</v>
      </c>
      <c r="H196" s="1885" t="s">
        <v>1847</v>
      </c>
      <c r="I196" s="1977" t="s">
        <v>1853</v>
      </c>
    </row>
    <row r="197" spans="2:9" ht="15" customHeight="1">
      <c r="B197" s="1962" t="s">
        <v>1862</v>
      </c>
      <c r="C197" s="1936"/>
      <c r="F197" s="1957" t="s">
        <v>165</v>
      </c>
      <c r="G197" s="1885" t="s">
        <v>165</v>
      </c>
      <c r="H197" s="1885" t="s">
        <v>165</v>
      </c>
      <c r="I197" s="1885" t="s">
        <v>165</v>
      </c>
    </row>
    <row r="198" spans="2:9" ht="15" customHeight="1">
      <c r="B198" s="1936" t="s">
        <v>1185</v>
      </c>
      <c r="C198" s="1936" t="s">
        <v>2120</v>
      </c>
      <c r="F198" s="1938">
        <v>0</v>
      </c>
      <c r="G198" s="1938">
        <v>0</v>
      </c>
      <c r="H198" s="2185">
        <v>0</v>
      </c>
      <c r="I198" s="2185">
        <v>0</v>
      </c>
    </row>
    <row r="199" spans="2:9" ht="15" customHeight="1">
      <c r="B199" s="1936" t="s">
        <v>1185</v>
      </c>
      <c r="C199" s="1936" t="s">
        <v>2121</v>
      </c>
      <c r="F199" s="1938">
        <v>0</v>
      </c>
      <c r="G199" s="1938">
        <v>0</v>
      </c>
      <c r="H199" s="2185">
        <v>0</v>
      </c>
      <c r="I199" s="2185">
        <v>0</v>
      </c>
    </row>
    <row r="200" spans="2:9" ht="15" customHeight="1">
      <c r="B200" s="1936" t="s">
        <v>1185</v>
      </c>
      <c r="C200" s="1936" t="s">
        <v>2122</v>
      </c>
      <c r="F200" s="1938">
        <v>0</v>
      </c>
      <c r="G200" s="1938">
        <v>0</v>
      </c>
      <c r="H200" s="2185">
        <v>0</v>
      </c>
      <c r="I200" s="2185">
        <v>0</v>
      </c>
    </row>
    <row r="201" spans="2:9" ht="15" customHeight="1">
      <c r="B201" s="1936" t="s">
        <v>1185</v>
      </c>
      <c r="C201" s="1936" t="s">
        <v>2123</v>
      </c>
      <c r="F201" s="1938">
        <v>0</v>
      </c>
      <c r="G201" s="1938">
        <v>0</v>
      </c>
      <c r="H201" s="2185">
        <v>0</v>
      </c>
      <c r="I201" s="2185">
        <v>0</v>
      </c>
    </row>
    <row r="202" spans="2:9" ht="15" customHeight="1">
      <c r="B202" s="1936" t="s">
        <v>1185</v>
      </c>
      <c r="C202" s="1936" t="s">
        <v>2124</v>
      </c>
      <c r="F202" s="1938">
        <v>0</v>
      </c>
      <c r="G202" s="1938">
        <v>0</v>
      </c>
      <c r="H202" s="2185">
        <v>0</v>
      </c>
      <c r="I202" s="2185">
        <v>0</v>
      </c>
    </row>
    <row r="203" spans="2:9" ht="15" customHeight="1">
      <c r="B203" s="1936" t="s">
        <v>1185</v>
      </c>
      <c r="C203" s="1936" t="s">
        <v>2125</v>
      </c>
      <c r="F203" s="1938">
        <v>0</v>
      </c>
      <c r="G203" s="1938">
        <v>0</v>
      </c>
      <c r="H203" s="2185">
        <v>0</v>
      </c>
      <c r="I203" s="2185">
        <v>0</v>
      </c>
    </row>
    <row r="204" spans="2:9" ht="15" customHeight="1">
      <c r="B204" s="1944" t="s">
        <v>1185</v>
      </c>
      <c r="C204" s="1944" t="s">
        <v>2126</v>
      </c>
      <c r="D204" s="1945"/>
      <c r="E204" s="1945"/>
      <c r="F204" s="1946">
        <v>0</v>
      </c>
      <c r="G204" s="1946">
        <v>0</v>
      </c>
      <c r="H204" s="2186">
        <v>0</v>
      </c>
      <c r="I204" s="2186">
        <v>0</v>
      </c>
    </row>
    <row r="205" spans="2:9" ht="15" customHeight="1">
      <c r="B205" s="1936" t="s">
        <v>1185</v>
      </c>
      <c r="C205" s="1936" t="s">
        <v>2127</v>
      </c>
      <c r="F205" s="1938">
        <v>0</v>
      </c>
      <c r="G205" s="1938">
        <v>0</v>
      </c>
      <c r="H205" s="2185">
        <v>0</v>
      </c>
      <c r="I205" s="2185">
        <v>0</v>
      </c>
    </row>
    <row r="206" spans="2:9" ht="15" customHeight="1">
      <c r="B206" s="1936" t="s">
        <v>1185</v>
      </c>
      <c r="C206" s="1936" t="s">
        <v>2128</v>
      </c>
      <c r="F206" s="1938">
        <v>0</v>
      </c>
      <c r="G206" s="1938">
        <v>0</v>
      </c>
      <c r="H206" s="2185">
        <v>0</v>
      </c>
      <c r="I206" s="2185">
        <v>0</v>
      </c>
    </row>
    <row r="207" spans="2:9" ht="15" customHeight="1">
      <c r="B207" s="1936" t="s">
        <v>1185</v>
      </c>
      <c r="C207" s="1936" t="s">
        <v>2129</v>
      </c>
      <c r="F207" s="1938">
        <v>0</v>
      </c>
      <c r="G207" s="1938">
        <v>0</v>
      </c>
      <c r="H207" s="2185">
        <v>0</v>
      </c>
      <c r="I207" s="2185">
        <v>0</v>
      </c>
    </row>
    <row r="208" spans="2:9" ht="15" customHeight="1">
      <c r="B208" s="1936" t="s">
        <v>1185</v>
      </c>
      <c r="C208" s="1936" t="s">
        <v>2130</v>
      </c>
      <c r="F208" s="1938">
        <v>0</v>
      </c>
      <c r="G208" s="1938">
        <v>0</v>
      </c>
      <c r="H208" s="2185">
        <v>0</v>
      </c>
      <c r="I208" s="2185">
        <v>0</v>
      </c>
    </row>
    <row r="209" spans="2:9" ht="15" customHeight="1">
      <c r="B209" s="1936" t="s">
        <v>1185</v>
      </c>
      <c r="C209" s="1936" t="s">
        <v>2131</v>
      </c>
      <c r="F209" s="1938">
        <v>0</v>
      </c>
      <c r="G209" s="1938">
        <v>0</v>
      </c>
      <c r="H209" s="2185">
        <v>0</v>
      </c>
      <c r="I209" s="2185">
        <v>0</v>
      </c>
    </row>
    <row r="210" spans="2:9" ht="15" customHeight="1">
      <c r="B210" s="1936" t="s">
        <v>1185</v>
      </c>
      <c r="C210" s="1936" t="s">
        <v>2132</v>
      </c>
      <c r="F210" s="1938">
        <v>0</v>
      </c>
      <c r="G210" s="1938">
        <v>0</v>
      </c>
      <c r="H210" s="2185">
        <v>0</v>
      </c>
      <c r="I210" s="2185">
        <v>0</v>
      </c>
    </row>
    <row r="211" spans="2:9" ht="15" customHeight="1">
      <c r="B211" s="1936" t="s">
        <v>1185</v>
      </c>
      <c r="C211" s="1936" t="s">
        <v>2133</v>
      </c>
      <c r="F211" s="1938">
        <v>0</v>
      </c>
      <c r="G211" s="1938">
        <v>0</v>
      </c>
      <c r="H211" s="2185">
        <v>0</v>
      </c>
      <c r="I211" s="2185">
        <v>0</v>
      </c>
    </row>
    <row r="212" spans="2:9" ht="15" customHeight="1">
      <c r="B212" s="1936" t="s">
        <v>1185</v>
      </c>
      <c r="C212" s="1936" t="s">
        <v>2134</v>
      </c>
      <c r="F212" s="1937">
        <f>SUM(F198:F204)</f>
        <v>0</v>
      </c>
      <c r="G212" s="1938">
        <f>SUM(G198:G204)</f>
        <v>0</v>
      </c>
      <c r="H212" s="1938">
        <f>SUM(H198:H204)</f>
        <v>0</v>
      </c>
      <c r="I212" s="1938">
        <f>SUM(I198:I204)</f>
        <v>0</v>
      </c>
    </row>
    <row r="213" spans="2:9" ht="15" customHeight="1">
      <c r="B213" s="1936" t="s">
        <v>1185</v>
      </c>
      <c r="C213" s="1936" t="s">
        <v>2135</v>
      </c>
      <c r="F213" s="1937">
        <f>SUM(F205:F211)</f>
        <v>0</v>
      </c>
      <c r="G213" s="1938">
        <f>SUM(G205:G211)</f>
        <v>0</v>
      </c>
      <c r="H213" s="1938">
        <f>SUM(H205:H211)</f>
        <v>0</v>
      </c>
      <c r="I213" s="1938">
        <f>SUM(I205:I211)</f>
        <v>0</v>
      </c>
    </row>
    <row r="214" spans="2:9" ht="15" customHeight="1" thickBot="1">
      <c r="B214" s="1947"/>
      <c r="C214" s="1947" t="s">
        <v>1299</v>
      </c>
      <c r="D214" s="1948"/>
      <c r="E214" s="1948"/>
      <c r="F214" s="1960">
        <f>F212+F213</f>
        <v>0</v>
      </c>
      <c r="G214" s="1961">
        <f>G212+G213</f>
        <v>0</v>
      </c>
      <c r="H214" s="1961">
        <f>H212+H213</f>
        <v>0</v>
      </c>
      <c r="I214" s="1961">
        <f>I212+I213</f>
        <v>0</v>
      </c>
    </row>
    <row r="215" spans="2:9" ht="15" customHeight="1" thickTop="1">
      <c r="B215" s="1949"/>
      <c r="C215" s="1950" t="str">
        <f>$C$77</f>
        <v>Validation check to the total by performance commitment above in columns V to Y</v>
      </c>
      <c r="D215" s="1940"/>
      <c r="E215" s="1940"/>
      <c r="F215" s="1951" t="b">
        <f>F214=VLOOKUP($B213,$T$14:$Y$30,3,0)</f>
        <v>1</v>
      </c>
      <c r="G215" s="1952" t="b">
        <f>G214=VLOOKUP($B213,$T$14:$Y$30,4,0)</f>
        <v>1</v>
      </c>
      <c r="H215" s="1952" t="b">
        <f>H214=VLOOKUP($B213,$T$14:$Y$30,5,0)</f>
        <v>1</v>
      </c>
      <c r="I215" s="1952" t="b">
        <f>I214=VLOOKUP($B213,$T$14:$Y$30,6,0)</f>
        <v>1</v>
      </c>
    </row>
    <row r="216" spans="2:9" ht="15" customHeight="1">
      <c r="B216" s="1963" t="s">
        <v>2137</v>
      </c>
      <c r="C216" s="1964"/>
      <c r="D216" s="1965"/>
      <c r="E216" s="1965"/>
      <c r="F216" s="1966"/>
      <c r="G216" s="1966"/>
      <c r="H216" s="1966"/>
      <c r="I216" s="1966"/>
    </row>
    <row r="217" spans="2:9" ht="15" customHeight="1">
      <c r="B217" s="1963"/>
      <c r="C217" s="1964"/>
      <c r="D217" s="1965"/>
      <c r="E217" s="1965"/>
      <c r="F217" s="1966"/>
      <c r="G217" s="1966"/>
      <c r="H217" s="1966"/>
      <c r="I217" s="1966"/>
    </row>
    <row r="218" spans="2:9" ht="15" customHeight="1">
      <c r="B218" s="1936"/>
      <c r="C218" s="1936"/>
      <c r="F218" s="1936"/>
      <c r="I218" s="449" t="s">
        <v>2074</v>
      </c>
    </row>
    <row r="219" spans="2:9">
      <c r="B219" s="1936"/>
      <c r="C219" s="1936"/>
      <c r="F219" s="1957" t="s">
        <v>1830</v>
      </c>
      <c r="G219" s="1885" t="s">
        <v>1840</v>
      </c>
      <c r="H219" s="1885" t="s">
        <v>1847</v>
      </c>
      <c r="I219" s="1977" t="s">
        <v>1853</v>
      </c>
    </row>
    <row r="220" spans="2:9" ht="15" customHeight="1">
      <c r="B220" s="1962" t="s">
        <v>1869</v>
      </c>
      <c r="C220" s="1936"/>
      <c r="F220" s="1957" t="s">
        <v>165</v>
      </c>
      <c r="G220" s="1885" t="s">
        <v>165</v>
      </c>
      <c r="H220" s="1885" t="s">
        <v>165</v>
      </c>
      <c r="I220" s="1885" t="s">
        <v>165</v>
      </c>
    </row>
    <row r="221" spans="2:9" ht="15" customHeight="1">
      <c r="B221" s="1936" t="s">
        <v>1199</v>
      </c>
      <c r="C221" s="1936" t="s">
        <v>2120</v>
      </c>
      <c r="F221" s="1938">
        <v>0</v>
      </c>
      <c r="G221" s="1938">
        <v>0</v>
      </c>
      <c r="H221" s="2185">
        <v>0</v>
      </c>
      <c r="I221" s="2185">
        <v>0</v>
      </c>
    </row>
    <row r="222" spans="2:9" ht="15" customHeight="1">
      <c r="B222" s="1936" t="s">
        <v>1199</v>
      </c>
      <c r="C222" s="1936" t="s">
        <v>2121</v>
      </c>
      <c r="F222" s="1938">
        <v>0</v>
      </c>
      <c r="G222" s="1938">
        <v>0</v>
      </c>
      <c r="H222" s="2185">
        <v>0</v>
      </c>
      <c r="I222" s="2185">
        <v>0</v>
      </c>
    </row>
    <row r="223" spans="2:9" ht="15" customHeight="1">
      <c r="B223" s="1936" t="s">
        <v>1199</v>
      </c>
      <c r="C223" s="1936" t="s">
        <v>2122</v>
      </c>
      <c r="F223" s="1938">
        <v>0</v>
      </c>
      <c r="G223" s="1938">
        <v>0</v>
      </c>
      <c r="H223" s="2185">
        <v>0</v>
      </c>
      <c r="I223" s="2185">
        <v>0</v>
      </c>
    </row>
    <row r="224" spans="2:9" ht="15" customHeight="1">
      <c r="B224" s="1936" t="s">
        <v>1199</v>
      </c>
      <c r="C224" s="1936" t="s">
        <v>2123</v>
      </c>
      <c r="F224" s="1938">
        <v>0</v>
      </c>
      <c r="G224" s="1938">
        <v>0</v>
      </c>
      <c r="H224" s="2185">
        <v>0</v>
      </c>
      <c r="I224" s="2185">
        <v>0</v>
      </c>
    </row>
    <row r="225" spans="2:9" ht="15" customHeight="1">
      <c r="B225" s="1936" t="s">
        <v>1199</v>
      </c>
      <c r="C225" s="1936" t="s">
        <v>2124</v>
      </c>
      <c r="F225" s="1938">
        <v>0</v>
      </c>
      <c r="G225" s="1938">
        <v>0</v>
      </c>
      <c r="H225" s="2185">
        <v>0</v>
      </c>
      <c r="I225" s="2185">
        <v>0</v>
      </c>
    </row>
    <row r="226" spans="2:9" ht="15" customHeight="1">
      <c r="B226" s="1936" t="s">
        <v>1199</v>
      </c>
      <c r="C226" s="1936" t="s">
        <v>2125</v>
      </c>
      <c r="F226" s="1938">
        <v>0</v>
      </c>
      <c r="G226" s="1938">
        <v>0</v>
      </c>
      <c r="H226" s="2185">
        <v>0</v>
      </c>
      <c r="I226" s="2185">
        <v>0</v>
      </c>
    </row>
    <row r="227" spans="2:9" ht="15" customHeight="1">
      <c r="B227" s="1944" t="s">
        <v>1199</v>
      </c>
      <c r="C227" s="1944" t="s">
        <v>2126</v>
      </c>
      <c r="D227" s="1945"/>
      <c r="E227" s="1945"/>
      <c r="F227" s="1946">
        <v>0</v>
      </c>
      <c r="G227" s="1946">
        <v>0</v>
      </c>
      <c r="H227" s="2186">
        <v>0.12</v>
      </c>
      <c r="I227" s="2186">
        <v>0</v>
      </c>
    </row>
    <row r="228" spans="2:9" ht="15" customHeight="1">
      <c r="B228" s="1936" t="s">
        <v>1199</v>
      </c>
      <c r="C228" s="1936" t="s">
        <v>2127</v>
      </c>
      <c r="F228" s="1938">
        <v>0</v>
      </c>
      <c r="G228" s="1938">
        <v>0</v>
      </c>
      <c r="H228" s="2185">
        <v>0</v>
      </c>
      <c r="I228" s="2185">
        <v>0</v>
      </c>
    </row>
    <row r="229" spans="2:9" ht="15" customHeight="1">
      <c r="B229" s="1936" t="s">
        <v>1199</v>
      </c>
      <c r="C229" s="1936" t="s">
        <v>2128</v>
      </c>
      <c r="F229" s="1938">
        <v>0</v>
      </c>
      <c r="G229" s="1938">
        <v>0</v>
      </c>
      <c r="H229" s="2185">
        <v>0</v>
      </c>
      <c r="I229" s="2185">
        <v>0</v>
      </c>
    </row>
    <row r="230" spans="2:9" ht="15" customHeight="1">
      <c r="B230" s="1936" t="s">
        <v>1199</v>
      </c>
      <c r="C230" s="1936" t="s">
        <v>2129</v>
      </c>
      <c r="F230" s="1938">
        <v>0</v>
      </c>
      <c r="G230" s="1938">
        <v>0</v>
      </c>
      <c r="H230" s="2185">
        <v>0</v>
      </c>
      <c r="I230" s="2185">
        <v>0</v>
      </c>
    </row>
    <row r="231" spans="2:9" ht="15" customHeight="1">
      <c r="B231" s="1936" t="s">
        <v>1199</v>
      </c>
      <c r="C231" s="1936" t="s">
        <v>2130</v>
      </c>
      <c r="F231" s="1938">
        <v>0</v>
      </c>
      <c r="G231" s="1938">
        <v>0</v>
      </c>
      <c r="H231" s="2185">
        <v>0</v>
      </c>
      <c r="I231" s="2185">
        <v>0</v>
      </c>
    </row>
    <row r="232" spans="2:9" ht="15" customHeight="1">
      <c r="B232" s="1936" t="s">
        <v>1199</v>
      </c>
      <c r="C232" s="1936" t="s">
        <v>2131</v>
      </c>
      <c r="F232" s="1938">
        <v>0</v>
      </c>
      <c r="G232" s="1938">
        <v>0</v>
      </c>
      <c r="H232" s="2185">
        <v>0</v>
      </c>
      <c r="I232" s="2185">
        <v>0</v>
      </c>
    </row>
    <row r="233" spans="2:9" ht="15" customHeight="1">
      <c r="B233" s="1936" t="s">
        <v>1199</v>
      </c>
      <c r="C233" s="1936" t="s">
        <v>2132</v>
      </c>
      <c r="F233" s="1938">
        <v>0</v>
      </c>
      <c r="G233" s="1938">
        <v>0</v>
      </c>
      <c r="H233" s="2185">
        <v>0</v>
      </c>
      <c r="I233" s="2185">
        <v>0</v>
      </c>
    </row>
    <row r="234" spans="2:9" ht="15" customHeight="1">
      <c r="B234" s="1936" t="s">
        <v>1199</v>
      </c>
      <c r="C234" s="1936" t="s">
        <v>2133</v>
      </c>
      <c r="F234" s="1938">
        <v>0</v>
      </c>
      <c r="G234" s="1938">
        <v>0</v>
      </c>
      <c r="H234" s="2185">
        <v>0</v>
      </c>
      <c r="I234" s="2185">
        <v>0</v>
      </c>
    </row>
    <row r="235" spans="2:9" ht="15" customHeight="1">
      <c r="B235" s="1936" t="s">
        <v>1199</v>
      </c>
      <c r="C235" s="1936" t="s">
        <v>2134</v>
      </c>
      <c r="F235" s="1937">
        <f>SUM(F221:F227)</f>
        <v>0</v>
      </c>
      <c r="G235" s="1938">
        <f>SUM(G221:G227)</f>
        <v>0</v>
      </c>
      <c r="H235" s="1938">
        <f>SUM(H221:H227)</f>
        <v>0.12</v>
      </c>
      <c r="I235" s="1938">
        <f>SUM(I221:I227)</f>
        <v>0</v>
      </c>
    </row>
    <row r="236" spans="2:9" ht="15" customHeight="1">
      <c r="B236" s="1936" t="s">
        <v>1199</v>
      </c>
      <c r="C236" s="1936" t="s">
        <v>2135</v>
      </c>
      <c r="F236" s="1937">
        <f>SUM(F228:F234)</f>
        <v>0</v>
      </c>
      <c r="G236" s="1938">
        <f>SUM(G228:G234)</f>
        <v>0</v>
      </c>
      <c r="H236" s="1938">
        <f>SUM(H228:H234)</f>
        <v>0</v>
      </c>
      <c r="I236" s="1938">
        <f>SUM(I228:I234)</f>
        <v>0</v>
      </c>
    </row>
    <row r="237" spans="2:9" ht="15" customHeight="1" thickBot="1">
      <c r="B237" s="1947"/>
      <c r="C237" s="1947" t="s">
        <v>1299</v>
      </c>
      <c r="D237" s="1948"/>
      <c r="E237" s="1948"/>
      <c r="F237" s="1960">
        <f>F235+F236</f>
        <v>0</v>
      </c>
      <c r="G237" s="1961">
        <f>G235+G236</f>
        <v>0</v>
      </c>
      <c r="H237" s="1961">
        <f>H235+H236</f>
        <v>0.12</v>
      </c>
      <c r="I237" s="1961">
        <f>I235+I236</f>
        <v>0</v>
      </c>
    </row>
    <row r="238" spans="2:9" ht="15" customHeight="1" thickTop="1">
      <c r="B238" s="1949"/>
      <c r="C238" s="1950" t="str">
        <f>$C$77</f>
        <v>Validation check to the total by performance commitment above in columns V to Y</v>
      </c>
      <c r="D238" s="1940"/>
      <c r="E238" s="1940"/>
      <c r="F238" s="1951" t="b">
        <f>F237=VLOOKUP($B236,$T$14:$Y$30,3,0)</f>
        <v>1</v>
      </c>
      <c r="G238" s="1952" t="b">
        <f>G237=VLOOKUP($B236,$T$14:$Y$30,4,0)</f>
        <v>1</v>
      </c>
      <c r="H238" s="1952" t="b">
        <f>H237=VLOOKUP($B236,$T$14:$Y$30,5,0)</f>
        <v>1</v>
      </c>
      <c r="I238" s="1952" t="b">
        <f>I237=VLOOKUP($B236,$T$14:$Y$30,6,0)</f>
        <v>1</v>
      </c>
    </row>
    <row r="239" spans="2:9" ht="15" customHeight="1">
      <c r="B239" s="1963" t="s">
        <v>2137</v>
      </c>
      <c r="C239" s="1964"/>
      <c r="D239" s="1965"/>
      <c r="E239" s="1965"/>
      <c r="F239" s="1966"/>
      <c r="G239" s="1966"/>
      <c r="H239" s="1966"/>
      <c r="I239" s="1966"/>
    </row>
    <row r="240" spans="2:9" ht="15" customHeight="1">
      <c r="B240" s="1963"/>
      <c r="C240" s="1964"/>
      <c r="D240" s="1965"/>
      <c r="E240" s="1965"/>
      <c r="F240" s="1966"/>
      <c r="G240" s="1966"/>
      <c r="H240" s="1966"/>
      <c r="I240" s="1966"/>
    </row>
    <row r="241" spans="2:9" ht="15" customHeight="1">
      <c r="B241" s="1936"/>
      <c r="C241" s="1936"/>
      <c r="F241" s="1936"/>
      <c r="I241" s="449" t="s">
        <v>2074</v>
      </c>
    </row>
    <row r="242" spans="2:9">
      <c r="B242" s="1936"/>
      <c r="C242" s="1936"/>
      <c r="F242" s="1957" t="s">
        <v>1830</v>
      </c>
      <c r="G242" s="1885" t="s">
        <v>1840</v>
      </c>
      <c r="H242" s="1885" t="s">
        <v>1847</v>
      </c>
      <c r="I242" s="1977" t="s">
        <v>1853</v>
      </c>
    </row>
    <row r="243" spans="2:9" ht="15" customHeight="1">
      <c r="B243" s="1962" t="s">
        <v>1874</v>
      </c>
      <c r="C243" s="1936"/>
      <c r="F243" s="1957" t="s">
        <v>165</v>
      </c>
      <c r="G243" s="1885" t="s">
        <v>165</v>
      </c>
      <c r="H243" s="1885" t="s">
        <v>165</v>
      </c>
      <c r="I243" s="1885" t="s">
        <v>165</v>
      </c>
    </row>
    <row r="244" spans="2:9" ht="15" customHeight="1">
      <c r="B244" s="1936" t="s">
        <v>1213</v>
      </c>
      <c r="C244" s="1936" t="s">
        <v>2120</v>
      </c>
      <c r="F244" s="1938">
        <v>0</v>
      </c>
      <c r="G244" s="1938">
        <v>0</v>
      </c>
      <c r="H244" s="2185">
        <v>0</v>
      </c>
      <c r="I244" s="2185">
        <v>0</v>
      </c>
    </row>
    <row r="245" spans="2:9" ht="15" customHeight="1">
      <c r="B245" s="1936" t="s">
        <v>1213</v>
      </c>
      <c r="C245" s="1936" t="s">
        <v>2121</v>
      </c>
      <c r="F245" s="1938">
        <v>0</v>
      </c>
      <c r="G245" s="1938">
        <v>0</v>
      </c>
      <c r="H245" s="2185">
        <v>0</v>
      </c>
      <c r="I245" s="2185">
        <v>-1.9140000000000001</v>
      </c>
    </row>
    <row r="246" spans="2:9" ht="15" customHeight="1">
      <c r="B246" s="1936" t="s">
        <v>1213</v>
      </c>
      <c r="C246" s="1936" t="s">
        <v>2122</v>
      </c>
      <c r="F246" s="1938">
        <v>0</v>
      </c>
      <c r="G246" s="1938">
        <v>-0.14881800000000034</v>
      </c>
      <c r="H246" s="2185">
        <v>-3.1773000000000003E-2</v>
      </c>
      <c r="I246" s="2185">
        <v>0.786879</v>
      </c>
    </row>
    <row r="247" spans="2:9" ht="15" customHeight="1">
      <c r="B247" s="1936" t="s">
        <v>1213</v>
      </c>
      <c r="C247" s="1936" t="s">
        <v>2123</v>
      </c>
      <c r="F247" s="1938">
        <v>0</v>
      </c>
      <c r="G247" s="1938">
        <v>0</v>
      </c>
      <c r="H247" s="2185">
        <v>0</v>
      </c>
      <c r="I247" s="2185">
        <v>0</v>
      </c>
    </row>
    <row r="248" spans="2:9" ht="15" customHeight="1">
      <c r="B248" s="1936" t="s">
        <v>1213</v>
      </c>
      <c r="C248" s="1936" t="s">
        <v>2124</v>
      </c>
      <c r="F248" s="1938">
        <v>0</v>
      </c>
      <c r="G248" s="1938">
        <v>0</v>
      </c>
      <c r="H248" s="2185">
        <v>0</v>
      </c>
      <c r="I248" s="2185">
        <v>0</v>
      </c>
    </row>
    <row r="249" spans="2:9" ht="15" customHeight="1">
      <c r="B249" s="1936" t="s">
        <v>1213</v>
      </c>
      <c r="C249" s="1936" t="s">
        <v>2125</v>
      </c>
      <c r="F249" s="1938">
        <v>0</v>
      </c>
      <c r="G249" s="1938">
        <v>0</v>
      </c>
      <c r="H249" s="2185">
        <v>0</v>
      </c>
      <c r="I249" s="2185">
        <v>0</v>
      </c>
    </row>
    <row r="250" spans="2:9" ht="15" customHeight="1">
      <c r="B250" s="1944" t="s">
        <v>1213</v>
      </c>
      <c r="C250" s="1944" t="s">
        <v>2126</v>
      </c>
      <c r="D250" s="1945"/>
      <c r="E250" s="1945"/>
      <c r="F250" s="1946">
        <v>0</v>
      </c>
      <c r="G250" s="1946">
        <v>0</v>
      </c>
      <c r="H250" s="2186">
        <v>0</v>
      </c>
      <c r="I250" s="2186">
        <v>0</v>
      </c>
    </row>
    <row r="251" spans="2:9" ht="15" customHeight="1">
      <c r="B251" s="1936" t="s">
        <v>1213</v>
      </c>
      <c r="C251" s="1936" t="s">
        <v>2127</v>
      </c>
      <c r="F251" s="1938">
        <v>0</v>
      </c>
      <c r="G251" s="1938">
        <v>0</v>
      </c>
      <c r="H251" s="2185">
        <v>0</v>
      </c>
      <c r="I251" s="2185">
        <v>0</v>
      </c>
    </row>
    <row r="252" spans="2:9" ht="15" customHeight="1">
      <c r="B252" s="1936" t="s">
        <v>1213</v>
      </c>
      <c r="C252" s="1936" t="s">
        <v>2128</v>
      </c>
      <c r="F252" s="1938">
        <v>0</v>
      </c>
      <c r="G252" s="1938">
        <v>0</v>
      </c>
      <c r="H252" s="2185">
        <v>0</v>
      </c>
      <c r="I252" s="2185">
        <v>0</v>
      </c>
    </row>
    <row r="253" spans="2:9" ht="15" customHeight="1">
      <c r="B253" s="1936" t="s">
        <v>1213</v>
      </c>
      <c r="C253" s="1936" t="s">
        <v>2129</v>
      </c>
      <c r="F253" s="1938">
        <v>0</v>
      </c>
      <c r="G253" s="1938">
        <v>0</v>
      </c>
      <c r="H253" s="2185">
        <v>0</v>
      </c>
      <c r="I253" s="2185">
        <v>0</v>
      </c>
    </row>
    <row r="254" spans="2:9" ht="15" customHeight="1">
      <c r="B254" s="1936" t="s">
        <v>1213</v>
      </c>
      <c r="C254" s="1936" t="s">
        <v>2130</v>
      </c>
      <c r="F254" s="1938">
        <v>0</v>
      </c>
      <c r="G254" s="1938">
        <v>0</v>
      </c>
      <c r="H254" s="2185">
        <v>0</v>
      </c>
      <c r="I254" s="2185">
        <v>0</v>
      </c>
    </row>
    <row r="255" spans="2:9" ht="15" customHeight="1">
      <c r="B255" s="1936" t="s">
        <v>1213</v>
      </c>
      <c r="C255" s="1936" t="s">
        <v>2131</v>
      </c>
      <c r="F255" s="1938">
        <v>0</v>
      </c>
      <c r="G255" s="1938">
        <v>0</v>
      </c>
      <c r="H255" s="2185">
        <v>0</v>
      </c>
      <c r="I255" s="2185">
        <v>0</v>
      </c>
    </row>
    <row r="256" spans="2:9" ht="15" customHeight="1">
      <c r="B256" s="1936" t="s">
        <v>1213</v>
      </c>
      <c r="C256" s="1936" t="s">
        <v>2132</v>
      </c>
      <c r="F256" s="1938">
        <v>0</v>
      </c>
      <c r="G256" s="1938">
        <v>0</v>
      </c>
      <c r="H256" s="2185">
        <v>0</v>
      </c>
      <c r="I256" s="2185">
        <v>0</v>
      </c>
    </row>
    <row r="257" spans="2:9" ht="15" customHeight="1">
      <c r="B257" s="1936" t="s">
        <v>1213</v>
      </c>
      <c r="C257" s="1936" t="s">
        <v>2133</v>
      </c>
      <c r="F257" s="1938">
        <v>0</v>
      </c>
      <c r="G257" s="1938">
        <v>0</v>
      </c>
      <c r="H257" s="2185">
        <v>0</v>
      </c>
      <c r="I257" s="2185">
        <v>0</v>
      </c>
    </row>
    <row r="258" spans="2:9" ht="15" customHeight="1">
      <c r="B258" s="1936" t="s">
        <v>1213</v>
      </c>
      <c r="C258" s="1936" t="s">
        <v>2134</v>
      </c>
      <c r="F258" s="1937">
        <f>SUM(F244:F250)</f>
        <v>0</v>
      </c>
      <c r="G258" s="1938">
        <f>SUM(G244:G250)</f>
        <v>-0.14881800000000034</v>
      </c>
      <c r="H258" s="1938">
        <f>SUM(H244:H250)</f>
        <v>-3.1773000000000003E-2</v>
      </c>
      <c r="I258" s="1938">
        <f>SUM(I244:I250)</f>
        <v>-1.1271210000000003</v>
      </c>
    </row>
    <row r="259" spans="2:9" ht="15" customHeight="1">
      <c r="B259" s="1936" t="s">
        <v>1213</v>
      </c>
      <c r="C259" s="1936" t="s">
        <v>2135</v>
      </c>
      <c r="F259" s="1937">
        <f>SUM(F251:F257)</f>
        <v>0</v>
      </c>
      <c r="G259" s="1938">
        <f>SUM(G251:G257)</f>
        <v>0</v>
      </c>
      <c r="H259" s="1938">
        <f>SUM(H251:H257)</f>
        <v>0</v>
      </c>
      <c r="I259" s="1938">
        <f>SUM(I251:I257)</f>
        <v>0</v>
      </c>
    </row>
    <row r="260" spans="2:9" ht="15" customHeight="1" thickBot="1">
      <c r="B260" s="1947"/>
      <c r="C260" s="1947" t="s">
        <v>1299</v>
      </c>
      <c r="D260" s="1948"/>
      <c r="E260" s="1948"/>
      <c r="F260" s="1960">
        <f>F258+F259</f>
        <v>0</v>
      </c>
      <c r="G260" s="1961">
        <f>G258+G259</f>
        <v>-0.14881800000000034</v>
      </c>
      <c r="H260" s="1961">
        <f>H258+H259</f>
        <v>-3.1773000000000003E-2</v>
      </c>
      <c r="I260" s="1961">
        <f>I258+I259</f>
        <v>-1.1271210000000003</v>
      </c>
    </row>
    <row r="261" spans="2:9" ht="15" customHeight="1" thickTop="1">
      <c r="B261" s="1949"/>
      <c r="C261" s="1950" t="str">
        <f>$C$77</f>
        <v>Validation check to the total by performance commitment above in columns V to Y</v>
      </c>
      <c r="D261" s="1940"/>
      <c r="E261" s="1940"/>
      <c r="F261" s="1951" t="b">
        <f>F260=VLOOKUP($B259,$T$14:$Y$30,3,0)</f>
        <v>1</v>
      </c>
      <c r="G261" s="1952" t="b">
        <f>G260=VLOOKUP($B259,$T$14:$Y$30,4,0)</f>
        <v>1</v>
      </c>
      <c r="H261" s="1952" t="b">
        <f>H260=VLOOKUP($B259,$T$14:$Y$30,5,0)</f>
        <v>1</v>
      </c>
      <c r="I261" s="1952" t="b">
        <f>I260=VLOOKUP($B259,$T$14:$Y$30,6,0)</f>
        <v>1</v>
      </c>
    </row>
    <row r="262" spans="2:9" ht="15" customHeight="1">
      <c r="B262" s="1963" t="s">
        <v>2137</v>
      </c>
      <c r="C262" s="1964"/>
      <c r="D262" s="1965"/>
      <c r="E262" s="1965"/>
      <c r="F262" s="1966"/>
      <c r="G262" s="1966"/>
      <c r="H262" s="1966"/>
      <c r="I262" s="1966"/>
    </row>
    <row r="263" spans="2:9" ht="15" customHeight="1">
      <c r="B263" s="1963"/>
      <c r="C263" s="1964"/>
      <c r="D263" s="1965"/>
      <c r="E263" s="1965"/>
      <c r="F263" s="1966"/>
      <c r="G263" s="1966"/>
      <c r="H263" s="1966"/>
      <c r="I263" s="1966"/>
    </row>
    <row r="264" spans="2:9" ht="15" customHeight="1">
      <c r="B264" s="1936"/>
      <c r="C264" s="1936"/>
      <c r="F264" s="1936"/>
      <c r="I264" s="449" t="s">
        <v>2074</v>
      </c>
    </row>
    <row r="265" spans="2:9">
      <c r="B265" s="1936"/>
      <c r="C265" s="1936"/>
      <c r="F265" s="1957" t="s">
        <v>1830</v>
      </c>
      <c r="G265" s="1885" t="s">
        <v>1840</v>
      </c>
      <c r="H265" s="1885" t="s">
        <v>1847</v>
      </c>
      <c r="I265" s="1977" t="s">
        <v>1853</v>
      </c>
    </row>
    <row r="266" spans="2:9" ht="15" customHeight="1">
      <c r="B266" s="1962" t="s">
        <v>1878</v>
      </c>
      <c r="C266" s="1936"/>
      <c r="F266" s="1957" t="s">
        <v>165</v>
      </c>
      <c r="G266" s="1885" t="s">
        <v>165</v>
      </c>
      <c r="H266" s="1885" t="s">
        <v>165</v>
      </c>
      <c r="I266" s="1885" t="s">
        <v>165</v>
      </c>
    </row>
    <row r="267" spans="2:9" ht="15" customHeight="1">
      <c r="B267" s="1936" t="s">
        <v>1227</v>
      </c>
      <c r="C267" s="1936" t="s">
        <v>2120</v>
      </c>
      <c r="F267" s="1938">
        <v>0</v>
      </c>
      <c r="G267" s="1938">
        <v>0</v>
      </c>
      <c r="H267" s="2185">
        <v>0</v>
      </c>
      <c r="I267" s="2185">
        <v>0</v>
      </c>
    </row>
    <row r="268" spans="2:9" ht="15" customHeight="1">
      <c r="B268" s="1936" t="s">
        <v>1227</v>
      </c>
      <c r="C268" s="1936" t="s">
        <v>2121</v>
      </c>
      <c r="F268" s="1938">
        <v>0</v>
      </c>
      <c r="G268" s="1938">
        <v>0</v>
      </c>
      <c r="H268" s="2185">
        <v>0</v>
      </c>
      <c r="I268" s="2185">
        <v>0</v>
      </c>
    </row>
    <row r="269" spans="2:9" ht="15" customHeight="1">
      <c r="B269" s="1936" t="s">
        <v>1227</v>
      </c>
      <c r="C269" s="1936" t="s">
        <v>2122</v>
      </c>
      <c r="F269" s="1938">
        <v>0</v>
      </c>
      <c r="G269" s="1938">
        <v>0</v>
      </c>
      <c r="H269" s="2185">
        <v>0</v>
      </c>
      <c r="I269" s="2185">
        <v>0</v>
      </c>
    </row>
    <row r="270" spans="2:9" ht="15" customHeight="1">
      <c r="B270" s="1936" t="s">
        <v>1227</v>
      </c>
      <c r="C270" s="1936" t="s">
        <v>2123</v>
      </c>
      <c r="F270" s="1938">
        <v>0</v>
      </c>
      <c r="G270" s="1938">
        <v>0</v>
      </c>
      <c r="H270" s="2185">
        <v>0</v>
      </c>
      <c r="I270" s="2185">
        <v>0</v>
      </c>
    </row>
    <row r="271" spans="2:9" ht="15" customHeight="1">
      <c r="B271" s="1936" t="s">
        <v>1227</v>
      </c>
      <c r="C271" s="1936" t="s">
        <v>2124</v>
      </c>
      <c r="F271" s="1938">
        <v>0</v>
      </c>
      <c r="G271" s="1938">
        <v>0</v>
      </c>
      <c r="H271" s="2185">
        <v>0</v>
      </c>
      <c r="I271" s="2185">
        <v>0</v>
      </c>
    </row>
    <row r="272" spans="2:9" ht="15" customHeight="1">
      <c r="B272" s="1936" t="s">
        <v>1227</v>
      </c>
      <c r="C272" s="1936" t="s">
        <v>2125</v>
      </c>
      <c r="F272" s="1938">
        <v>0</v>
      </c>
      <c r="G272" s="1938">
        <v>0</v>
      </c>
      <c r="H272" s="2185">
        <v>0</v>
      </c>
      <c r="I272" s="2185">
        <v>0</v>
      </c>
    </row>
    <row r="273" spans="2:9" ht="15" customHeight="1">
      <c r="B273" s="1944" t="s">
        <v>1227</v>
      </c>
      <c r="C273" s="1944" t="s">
        <v>2126</v>
      </c>
      <c r="D273" s="1945"/>
      <c r="E273" s="1945"/>
      <c r="F273" s="1946">
        <v>0</v>
      </c>
      <c r="G273" s="1946">
        <v>0</v>
      </c>
      <c r="H273" s="2186">
        <v>0</v>
      </c>
      <c r="I273" s="2186">
        <v>0</v>
      </c>
    </row>
    <row r="274" spans="2:9" ht="15" customHeight="1">
      <c r="B274" s="1936" t="s">
        <v>1227</v>
      </c>
      <c r="C274" s="1936" t="s">
        <v>2127</v>
      </c>
      <c r="F274" s="1938">
        <v>0</v>
      </c>
      <c r="G274" s="1938">
        <v>0</v>
      </c>
      <c r="H274" s="2185">
        <v>0</v>
      </c>
      <c r="I274" s="2185">
        <v>0</v>
      </c>
    </row>
    <row r="275" spans="2:9" ht="15" customHeight="1">
      <c r="B275" s="1936" t="s">
        <v>1227</v>
      </c>
      <c r="C275" s="1936" t="s">
        <v>2128</v>
      </c>
      <c r="F275" s="1938">
        <v>0</v>
      </c>
      <c r="G275" s="1938">
        <v>0</v>
      </c>
      <c r="H275" s="2185">
        <v>0</v>
      </c>
      <c r="I275" s="2185">
        <v>0</v>
      </c>
    </row>
    <row r="276" spans="2:9" ht="15" customHeight="1">
      <c r="B276" s="1936" t="s">
        <v>1227</v>
      </c>
      <c r="C276" s="1936" t="s">
        <v>2129</v>
      </c>
      <c r="F276" s="1938">
        <v>0</v>
      </c>
      <c r="G276" s="1938">
        <v>0</v>
      </c>
      <c r="H276" s="2185">
        <v>0</v>
      </c>
      <c r="I276" s="2185">
        <v>0</v>
      </c>
    </row>
    <row r="277" spans="2:9" ht="15" customHeight="1">
      <c r="B277" s="1936" t="s">
        <v>1227</v>
      </c>
      <c r="C277" s="1936" t="s">
        <v>2130</v>
      </c>
      <c r="F277" s="1938">
        <v>0</v>
      </c>
      <c r="G277" s="1938">
        <v>0</v>
      </c>
      <c r="H277" s="2185">
        <v>0</v>
      </c>
      <c r="I277" s="2185">
        <v>0</v>
      </c>
    </row>
    <row r="278" spans="2:9" ht="15" customHeight="1">
      <c r="B278" s="1936" t="s">
        <v>1227</v>
      </c>
      <c r="C278" s="1936" t="s">
        <v>2131</v>
      </c>
      <c r="F278" s="1938">
        <v>0</v>
      </c>
      <c r="G278" s="1938">
        <v>0</v>
      </c>
      <c r="H278" s="2185">
        <v>0</v>
      </c>
      <c r="I278" s="2185">
        <v>0</v>
      </c>
    </row>
    <row r="279" spans="2:9" ht="15" customHeight="1">
      <c r="B279" s="1936" t="s">
        <v>1227</v>
      </c>
      <c r="C279" s="1936" t="s">
        <v>2132</v>
      </c>
      <c r="F279" s="1938">
        <v>0</v>
      </c>
      <c r="G279" s="1938">
        <v>0</v>
      </c>
      <c r="H279" s="2185">
        <v>0</v>
      </c>
      <c r="I279" s="2185">
        <v>0</v>
      </c>
    </row>
    <row r="280" spans="2:9" ht="15" customHeight="1">
      <c r="B280" s="1936" t="s">
        <v>1227</v>
      </c>
      <c r="C280" s="1936" t="s">
        <v>2133</v>
      </c>
      <c r="F280" s="1938">
        <v>0</v>
      </c>
      <c r="G280" s="1938">
        <v>0</v>
      </c>
      <c r="H280" s="2185">
        <v>0</v>
      </c>
      <c r="I280" s="2185">
        <v>0</v>
      </c>
    </row>
    <row r="281" spans="2:9" ht="15" customHeight="1">
      <c r="B281" s="1936" t="s">
        <v>1227</v>
      </c>
      <c r="C281" s="1936" t="s">
        <v>2134</v>
      </c>
      <c r="F281" s="1937">
        <f>SUM(F267:F273)</f>
        <v>0</v>
      </c>
      <c r="G281" s="1938">
        <f>SUM(G267:G273)</f>
        <v>0</v>
      </c>
      <c r="H281" s="1938">
        <f>SUM(H267:H273)</f>
        <v>0</v>
      </c>
      <c r="I281" s="1938">
        <f>SUM(I267:I273)</f>
        <v>0</v>
      </c>
    </row>
    <row r="282" spans="2:9" ht="15" customHeight="1">
      <c r="B282" s="1936" t="s">
        <v>1227</v>
      </c>
      <c r="C282" s="1936" t="s">
        <v>2135</v>
      </c>
      <c r="F282" s="1937">
        <f>SUM(F274:F280)</f>
        <v>0</v>
      </c>
      <c r="G282" s="1938">
        <f>SUM(G274:G280)</f>
        <v>0</v>
      </c>
      <c r="H282" s="1938">
        <f>SUM(H274:H280)</f>
        <v>0</v>
      </c>
      <c r="I282" s="1938">
        <f>SUM(I274:I280)</f>
        <v>0</v>
      </c>
    </row>
    <row r="283" spans="2:9" ht="15" customHeight="1" thickBot="1">
      <c r="B283" s="1947"/>
      <c r="C283" s="1959" t="s">
        <v>1299</v>
      </c>
      <c r="D283" s="1948"/>
      <c r="E283" s="1948"/>
      <c r="F283" s="1960">
        <f>F281+F282</f>
        <v>0</v>
      </c>
      <c r="G283" s="1961">
        <f>G281+G282</f>
        <v>0</v>
      </c>
      <c r="H283" s="1961">
        <f>H281+H282</f>
        <v>0</v>
      </c>
      <c r="I283" s="1961">
        <f>I281+I282</f>
        <v>0</v>
      </c>
    </row>
    <row r="284" spans="2:9" ht="15" customHeight="1" thickTop="1">
      <c r="B284" s="1949"/>
      <c r="C284" s="1950" t="str">
        <f>$C$77</f>
        <v>Validation check to the total by performance commitment above in columns V to Y</v>
      </c>
      <c r="D284" s="1940"/>
      <c r="E284" s="1940"/>
      <c r="F284" s="1951" t="b">
        <f>F283=VLOOKUP($B282,$T$14:$Y$30,3,0)</f>
        <v>1</v>
      </c>
      <c r="G284" s="1952" t="b">
        <f>G283=VLOOKUP($B282,$T$14:$Y$30,4,0)</f>
        <v>1</v>
      </c>
      <c r="H284" s="1952" t="b">
        <f>H283=VLOOKUP($B282,$T$14:$Y$30,5,0)</f>
        <v>1</v>
      </c>
      <c r="I284" s="1952" t="b">
        <f>I283=VLOOKUP($B282,$T$14:$Y$30,6,0)</f>
        <v>1</v>
      </c>
    </row>
    <row r="285" spans="2:9" ht="15" customHeight="1">
      <c r="B285" s="1963" t="s">
        <v>2137</v>
      </c>
      <c r="C285" s="1964"/>
      <c r="D285" s="1965"/>
      <c r="E285" s="1965"/>
      <c r="F285" s="1966"/>
      <c r="G285" s="1966"/>
      <c r="H285" s="1966"/>
      <c r="I285" s="1966"/>
    </row>
    <row r="286" spans="2:9" ht="15" customHeight="1">
      <c r="B286" s="1963"/>
      <c r="C286" s="1964"/>
      <c r="D286" s="1965"/>
      <c r="E286" s="1965"/>
      <c r="F286" s="1966"/>
      <c r="G286" s="1966"/>
      <c r="H286" s="1966"/>
      <c r="I286" s="1966"/>
    </row>
    <row r="287" spans="2:9" ht="15" customHeight="1">
      <c r="B287" s="1936"/>
      <c r="C287" s="1936"/>
      <c r="F287" s="1936"/>
      <c r="I287" s="449" t="s">
        <v>2074</v>
      </c>
    </row>
    <row r="288" spans="2:9">
      <c r="B288" s="1936"/>
      <c r="C288" s="1936"/>
      <c r="F288" s="1957" t="s">
        <v>1830</v>
      </c>
      <c r="G288" s="1885" t="s">
        <v>1840</v>
      </c>
      <c r="H288" s="1885" t="s">
        <v>1847</v>
      </c>
      <c r="I288" s="1977" t="s">
        <v>1853</v>
      </c>
    </row>
    <row r="289" spans="2:10" ht="15" customHeight="1">
      <c r="B289" s="1962" t="s">
        <v>1880</v>
      </c>
      <c r="C289" s="1936"/>
      <c r="F289" s="1957" t="s">
        <v>165</v>
      </c>
      <c r="G289" s="1885" t="s">
        <v>165</v>
      </c>
      <c r="H289" s="1885" t="s">
        <v>165</v>
      </c>
      <c r="I289" s="1885" t="s">
        <v>165</v>
      </c>
    </row>
    <row r="290" spans="2:10" ht="15" customHeight="1">
      <c r="B290" s="1936" t="s">
        <v>1241</v>
      </c>
      <c r="C290" s="1936" t="s">
        <v>2120</v>
      </c>
      <c r="F290" s="1938">
        <v>0</v>
      </c>
      <c r="G290" s="1938">
        <v>0</v>
      </c>
      <c r="H290" s="2185">
        <v>0</v>
      </c>
      <c r="I290" s="2185">
        <v>0</v>
      </c>
    </row>
    <row r="291" spans="2:10" ht="15" customHeight="1">
      <c r="B291" s="1936" t="s">
        <v>1241</v>
      </c>
      <c r="C291" s="1936" t="s">
        <v>2121</v>
      </c>
      <c r="F291" s="1938">
        <v>0</v>
      </c>
      <c r="G291" s="1938">
        <v>0</v>
      </c>
      <c r="H291" s="2185">
        <v>0</v>
      </c>
      <c r="I291" s="2185">
        <v>0</v>
      </c>
    </row>
    <row r="292" spans="2:10" ht="15" customHeight="1">
      <c r="B292" s="1936" t="s">
        <v>1241</v>
      </c>
      <c r="C292" s="1936" t="s">
        <v>2122</v>
      </c>
      <c r="F292" s="1938">
        <v>0</v>
      </c>
      <c r="G292" s="1938">
        <v>0</v>
      </c>
      <c r="H292" s="2185">
        <v>0</v>
      </c>
      <c r="I292" s="2185">
        <v>0</v>
      </c>
    </row>
    <row r="293" spans="2:10" ht="15" customHeight="1">
      <c r="B293" s="1936" t="s">
        <v>1241</v>
      </c>
      <c r="C293" s="1936" t="s">
        <v>2123</v>
      </c>
      <c r="F293" s="1938">
        <v>0</v>
      </c>
      <c r="G293" s="1938">
        <v>0</v>
      </c>
      <c r="H293" s="2185">
        <v>0</v>
      </c>
      <c r="I293" s="2185">
        <v>0</v>
      </c>
    </row>
    <row r="294" spans="2:10" ht="15" customHeight="1">
      <c r="B294" s="1936" t="s">
        <v>1241</v>
      </c>
      <c r="C294" s="1936" t="s">
        <v>2124</v>
      </c>
      <c r="F294" s="1938">
        <v>0</v>
      </c>
      <c r="G294" s="1938">
        <v>0</v>
      </c>
      <c r="H294" s="2185">
        <v>0</v>
      </c>
      <c r="I294" s="2185">
        <v>0</v>
      </c>
    </row>
    <row r="295" spans="2:10" ht="15" customHeight="1">
      <c r="B295" s="1936" t="s">
        <v>1241</v>
      </c>
      <c r="C295" s="1936" t="s">
        <v>2125</v>
      </c>
      <c r="F295" s="1938">
        <v>0</v>
      </c>
      <c r="G295" s="1938">
        <v>0</v>
      </c>
      <c r="H295" s="2185">
        <v>0</v>
      </c>
      <c r="I295" s="2185">
        <v>0</v>
      </c>
    </row>
    <row r="296" spans="2:10" ht="15" customHeight="1">
      <c r="B296" s="1944" t="s">
        <v>1241</v>
      </c>
      <c r="C296" s="1944" t="s">
        <v>2126</v>
      </c>
      <c r="D296" s="1945"/>
      <c r="E296" s="1945"/>
      <c r="F296" s="1946">
        <v>0</v>
      </c>
      <c r="G296" s="1946">
        <v>0</v>
      </c>
      <c r="H296" s="2186">
        <v>0</v>
      </c>
      <c r="I296" s="2186">
        <v>0</v>
      </c>
      <c r="J296" s="625"/>
    </row>
    <row r="297" spans="2:10" ht="15" customHeight="1">
      <c r="B297" s="1936" t="s">
        <v>1241</v>
      </c>
      <c r="C297" s="1936" t="s">
        <v>2127</v>
      </c>
      <c r="F297" s="1938">
        <v>0</v>
      </c>
      <c r="G297" s="1938">
        <v>0</v>
      </c>
      <c r="H297" s="2185">
        <v>0</v>
      </c>
      <c r="I297" s="2185">
        <v>0</v>
      </c>
    </row>
    <row r="298" spans="2:10" ht="15" customHeight="1">
      <c r="B298" s="1936" t="s">
        <v>1241</v>
      </c>
      <c r="C298" s="1936" t="s">
        <v>2128</v>
      </c>
      <c r="F298" s="1938">
        <v>0</v>
      </c>
      <c r="G298" s="1938">
        <v>0</v>
      </c>
      <c r="H298" s="2185">
        <v>0</v>
      </c>
      <c r="I298" s="2185">
        <v>0</v>
      </c>
    </row>
    <row r="299" spans="2:10" ht="15" customHeight="1">
      <c r="B299" s="1936" t="s">
        <v>1241</v>
      </c>
      <c r="C299" s="1936" t="s">
        <v>2129</v>
      </c>
      <c r="F299" s="1938">
        <v>0</v>
      </c>
      <c r="G299" s="1938">
        <v>0</v>
      </c>
      <c r="H299" s="2185">
        <v>0</v>
      </c>
      <c r="I299" s="2185">
        <v>0</v>
      </c>
    </row>
    <row r="300" spans="2:10" ht="15" customHeight="1">
      <c r="B300" s="1936" t="s">
        <v>1241</v>
      </c>
      <c r="C300" s="1936" t="s">
        <v>2130</v>
      </c>
      <c r="F300" s="1938">
        <v>0</v>
      </c>
      <c r="G300" s="1938">
        <v>0</v>
      </c>
      <c r="H300" s="2185">
        <v>0</v>
      </c>
      <c r="I300" s="2185">
        <v>0</v>
      </c>
    </row>
    <row r="301" spans="2:10" ht="15" customHeight="1">
      <c r="B301" s="1936" t="s">
        <v>1241</v>
      </c>
      <c r="C301" s="1936" t="s">
        <v>2131</v>
      </c>
      <c r="F301" s="1938">
        <v>0</v>
      </c>
      <c r="G301" s="1938">
        <v>0</v>
      </c>
      <c r="H301" s="2185">
        <v>0</v>
      </c>
      <c r="I301" s="2185">
        <v>0</v>
      </c>
    </row>
    <row r="302" spans="2:10" ht="15" customHeight="1">
      <c r="B302" s="1936" t="s">
        <v>1241</v>
      </c>
      <c r="C302" s="1936" t="s">
        <v>2132</v>
      </c>
      <c r="F302" s="1938">
        <v>0</v>
      </c>
      <c r="G302" s="1938">
        <v>0</v>
      </c>
      <c r="H302" s="2185">
        <v>0</v>
      </c>
      <c r="I302" s="2185">
        <v>0</v>
      </c>
    </row>
    <row r="303" spans="2:10" ht="15" customHeight="1">
      <c r="B303" s="1936" t="s">
        <v>1241</v>
      </c>
      <c r="C303" s="1936" t="s">
        <v>2133</v>
      </c>
      <c r="F303" s="1938">
        <v>0</v>
      </c>
      <c r="G303" s="1938">
        <v>0</v>
      </c>
      <c r="H303" s="2185">
        <v>0</v>
      </c>
      <c r="I303" s="2185">
        <v>0</v>
      </c>
    </row>
    <row r="304" spans="2:10" ht="15" customHeight="1">
      <c r="B304" s="1936" t="s">
        <v>1241</v>
      </c>
      <c r="C304" s="1936" t="s">
        <v>2134</v>
      </c>
      <c r="F304" s="1937">
        <f>SUM(F290:F296)</f>
        <v>0</v>
      </c>
      <c r="G304" s="1938">
        <f>SUM(G290:G296)</f>
        <v>0</v>
      </c>
      <c r="H304" s="1938">
        <f>SUM(H290:H296)</f>
        <v>0</v>
      </c>
      <c r="I304" s="1938">
        <f>SUM(I290:I296)</f>
        <v>0</v>
      </c>
    </row>
    <row r="305" spans="2:9" ht="15" customHeight="1">
      <c r="B305" s="1936" t="s">
        <v>1241</v>
      </c>
      <c r="C305" s="1936" t="s">
        <v>2135</v>
      </c>
      <c r="F305" s="1937">
        <f>SUM(F297:F303)</f>
        <v>0</v>
      </c>
      <c r="G305" s="1938">
        <f>SUM(G297:G303)</f>
        <v>0</v>
      </c>
      <c r="H305" s="1938">
        <f>SUM(H297:H303)</f>
        <v>0</v>
      </c>
      <c r="I305" s="1938">
        <f>SUM(I297:I303)</f>
        <v>0</v>
      </c>
    </row>
    <row r="306" spans="2:9" ht="15" customHeight="1" thickBot="1">
      <c r="B306" s="1947"/>
      <c r="C306" s="1959" t="s">
        <v>1299</v>
      </c>
      <c r="D306" s="1948"/>
      <c r="E306" s="1948"/>
      <c r="F306" s="1960">
        <f>F304+F305</f>
        <v>0</v>
      </c>
      <c r="G306" s="1961">
        <f>G304+G305</f>
        <v>0</v>
      </c>
      <c r="H306" s="1961">
        <f>H304+H305</f>
        <v>0</v>
      </c>
      <c r="I306" s="1961">
        <f>I304+I305</f>
        <v>0</v>
      </c>
    </row>
    <row r="307" spans="2:9" ht="15" customHeight="1" thickTop="1">
      <c r="B307" s="1949"/>
      <c r="C307" s="1950" t="str">
        <f>$C$77</f>
        <v>Validation check to the total by performance commitment above in columns V to Y</v>
      </c>
      <c r="D307" s="1940"/>
      <c r="E307" s="1940"/>
      <c r="F307" s="1951" t="b">
        <f>F306=VLOOKUP($B305,$T$14:$Y$30,3,0)</f>
        <v>1</v>
      </c>
      <c r="G307" s="1952" t="b">
        <f>G306=VLOOKUP($B305,$T$14:$Y$30,4,0)</f>
        <v>1</v>
      </c>
      <c r="H307" s="1952" t="b">
        <f>H306=VLOOKUP($B305,$T$14:$Y$30,5,0)</f>
        <v>1</v>
      </c>
      <c r="I307" s="1952" t="b">
        <f>I306=VLOOKUP($B305,$T$14:$Y$30,6,0)</f>
        <v>1</v>
      </c>
    </row>
    <row r="308" spans="2:9" ht="15" customHeight="1">
      <c r="B308" s="1967" t="s">
        <v>2140</v>
      </c>
      <c r="C308" s="1964"/>
      <c r="D308" s="1965"/>
      <c r="E308" s="1965"/>
      <c r="F308" s="1966"/>
      <c r="G308" s="1966"/>
      <c r="H308" s="1966"/>
      <c r="I308" s="1966"/>
    </row>
    <row r="309" spans="2:9" ht="15" customHeight="1">
      <c r="B309" s="1967" t="s">
        <v>2106</v>
      </c>
      <c r="C309" s="1964"/>
      <c r="D309" s="1965"/>
      <c r="E309" s="1965"/>
      <c r="F309" s="1966"/>
      <c r="G309" s="1966"/>
      <c r="H309" s="1966"/>
      <c r="I309" s="1966"/>
    </row>
    <row r="310" spans="2:9" ht="15" customHeight="1">
      <c r="B310" s="1936"/>
      <c r="C310" s="1936"/>
      <c r="F310" s="1936"/>
      <c r="I310" s="449" t="s">
        <v>2074</v>
      </c>
    </row>
    <row r="311" spans="2:9">
      <c r="B311" s="1936"/>
      <c r="C311" s="1936"/>
      <c r="F311" s="1957" t="s">
        <v>1830</v>
      </c>
      <c r="G311" s="1885" t="s">
        <v>1840</v>
      </c>
      <c r="H311" s="1885" t="s">
        <v>1847</v>
      </c>
      <c r="I311" s="1977" t="s">
        <v>1853</v>
      </c>
    </row>
    <row r="312" spans="2:9" ht="15" customHeight="1">
      <c r="B312" s="1962" t="s">
        <v>1881</v>
      </c>
      <c r="C312" s="1936"/>
      <c r="F312" s="1957" t="s">
        <v>165</v>
      </c>
      <c r="G312" s="1885" t="s">
        <v>165</v>
      </c>
      <c r="H312" s="1885" t="s">
        <v>165</v>
      </c>
      <c r="I312" s="1885" t="s">
        <v>165</v>
      </c>
    </row>
    <row r="313" spans="2:9" ht="15" customHeight="1">
      <c r="B313" s="1936" t="s">
        <v>1251</v>
      </c>
      <c r="C313" s="1936" t="s">
        <v>2120</v>
      </c>
      <c r="F313" s="1938">
        <v>0</v>
      </c>
      <c r="G313" s="1938">
        <v>0</v>
      </c>
      <c r="H313" s="2185">
        <v>0</v>
      </c>
      <c r="I313" s="2185">
        <v>0</v>
      </c>
    </row>
    <row r="314" spans="2:9" ht="15" customHeight="1">
      <c r="B314" s="1936" t="s">
        <v>1251</v>
      </c>
      <c r="C314" s="1936" t="s">
        <v>2121</v>
      </c>
      <c r="F314" s="1938">
        <v>0</v>
      </c>
      <c r="G314" s="1938">
        <v>0</v>
      </c>
      <c r="H314" s="2185">
        <v>0</v>
      </c>
      <c r="I314" s="2185">
        <v>0</v>
      </c>
    </row>
    <row r="315" spans="2:9" ht="15" customHeight="1">
      <c r="B315" s="1936" t="s">
        <v>1251</v>
      </c>
      <c r="C315" s="1936" t="s">
        <v>2122</v>
      </c>
      <c r="F315" s="1938">
        <v>0</v>
      </c>
      <c r="G315" s="1938">
        <v>0</v>
      </c>
      <c r="H315" s="2185">
        <v>0</v>
      </c>
      <c r="I315" s="2185">
        <v>0</v>
      </c>
    </row>
    <row r="316" spans="2:9" ht="15" customHeight="1">
      <c r="B316" s="1936" t="s">
        <v>1251</v>
      </c>
      <c r="C316" s="1936" t="s">
        <v>2123</v>
      </c>
      <c r="F316" s="1938">
        <v>0</v>
      </c>
      <c r="G316" s="1938">
        <v>0</v>
      </c>
      <c r="H316" s="2185">
        <v>0</v>
      </c>
      <c r="I316" s="2185">
        <v>0</v>
      </c>
    </row>
    <row r="317" spans="2:9" ht="15" customHeight="1">
      <c r="B317" s="1936" t="s">
        <v>1251</v>
      </c>
      <c r="C317" s="1936" t="s">
        <v>2124</v>
      </c>
      <c r="F317" s="1938">
        <v>0</v>
      </c>
      <c r="G317" s="1938">
        <v>0</v>
      </c>
      <c r="H317" s="2185">
        <v>0</v>
      </c>
      <c r="I317" s="2185">
        <v>0</v>
      </c>
    </row>
    <row r="318" spans="2:9" ht="15" customHeight="1">
      <c r="B318" s="1936" t="s">
        <v>1251</v>
      </c>
      <c r="C318" s="1936" t="s">
        <v>2125</v>
      </c>
      <c r="F318" s="1938">
        <v>0</v>
      </c>
      <c r="G318" s="1938">
        <v>0</v>
      </c>
      <c r="H318" s="2185">
        <v>0</v>
      </c>
      <c r="I318" s="2185">
        <v>0</v>
      </c>
    </row>
    <row r="319" spans="2:9" ht="15" customHeight="1">
      <c r="B319" s="1944" t="s">
        <v>1251</v>
      </c>
      <c r="C319" s="1944" t="s">
        <v>2126</v>
      </c>
      <c r="D319" s="1945"/>
      <c r="E319" s="1945"/>
      <c r="F319" s="1946">
        <v>0</v>
      </c>
      <c r="G319" s="1946">
        <v>0</v>
      </c>
      <c r="H319" s="2186">
        <v>0</v>
      </c>
      <c r="I319" s="2186">
        <v>0</v>
      </c>
    </row>
    <row r="320" spans="2:9" ht="15" customHeight="1">
      <c r="B320" s="1936" t="s">
        <v>1251</v>
      </c>
      <c r="C320" s="1936" t="s">
        <v>2127</v>
      </c>
      <c r="F320" s="1938">
        <v>0</v>
      </c>
      <c r="G320" s="1938">
        <v>0</v>
      </c>
      <c r="H320" s="2185">
        <v>0</v>
      </c>
      <c r="I320" s="2185">
        <v>0</v>
      </c>
    </row>
    <row r="321" spans="2:9" ht="15" customHeight="1">
      <c r="B321" s="1936" t="s">
        <v>1251</v>
      </c>
      <c r="C321" s="1936" t="s">
        <v>2128</v>
      </c>
      <c r="F321" s="1938">
        <v>0</v>
      </c>
      <c r="G321" s="1938">
        <v>0</v>
      </c>
      <c r="H321" s="2185">
        <v>0</v>
      </c>
      <c r="I321" s="2185">
        <v>0</v>
      </c>
    </row>
    <row r="322" spans="2:9" ht="15" customHeight="1">
      <c r="B322" s="1936" t="s">
        <v>1251</v>
      </c>
      <c r="C322" s="1936" t="s">
        <v>2129</v>
      </c>
      <c r="F322" s="1938">
        <v>0</v>
      </c>
      <c r="G322" s="1938">
        <v>0</v>
      </c>
      <c r="H322" s="2185">
        <v>0</v>
      </c>
      <c r="I322" s="2185">
        <v>0</v>
      </c>
    </row>
    <row r="323" spans="2:9" ht="15" customHeight="1">
      <c r="B323" s="1936" t="s">
        <v>1251</v>
      </c>
      <c r="C323" s="1936" t="s">
        <v>2130</v>
      </c>
      <c r="F323" s="1938">
        <v>0</v>
      </c>
      <c r="G323" s="1938">
        <v>0</v>
      </c>
      <c r="H323" s="2185">
        <v>0</v>
      </c>
      <c r="I323" s="2185">
        <v>0</v>
      </c>
    </row>
    <row r="324" spans="2:9" ht="15" customHeight="1">
      <c r="B324" s="1936" t="s">
        <v>1251</v>
      </c>
      <c r="C324" s="1936" t="s">
        <v>2131</v>
      </c>
      <c r="F324" s="1938">
        <v>0</v>
      </c>
      <c r="G324" s="1938">
        <v>0</v>
      </c>
      <c r="H324" s="2185">
        <v>0</v>
      </c>
      <c r="I324" s="2185">
        <v>0</v>
      </c>
    </row>
    <row r="325" spans="2:9" ht="15" customHeight="1">
      <c r="B325" s="1936" t="s">
        <v>1251</v>
      </c>
      <c r="C325" s="1936" t="s">
        <v>2132</v>
      </c>
      <c r="F325" s="1938">
        <v>0</v>
      </c>
      <c r="G325" s="1938">
        <v>0</v>
      </c>
      <c r="H325" s="2185">
        <v>0</v>
      </c>
      <c r="I325" s="2185">
        <v>0</v>
      </c>
    </row>
    <row r="326" spans="2:9" ht="15" customHeight="1">
      <c r="B326" s="1936" t="s">
        <v>1251</v>
      </c>
      <c r="C326" s="1936" t="s">
        <v>2133</v>
      </c>
      <c r="F326" s="1938">
        <v>0</v>
      </c>
      <c r="G326" s="1938">
        <v>0</v>
      </c>
      <c r="H326" s="2185">
        <v>0</v>
      </c>
      <c r="I326" s="2185">
        <v>0</v>
      </c>
    </row>
    <row r="327" spans="2:9" ht="15" customHeight="1">
      <c r="B327" s="1936" t="s">
        <v>1251</v>
      </c>
      <c r="C327" s="1936" t="s">
        <v>2134</v>
      </c>
      <c r="F327" s="1937">
        <f>SUM(F313:F319)</f>
        <v>0</v>
      </c>
      <c r="G327" s="1938">
        <f>SUM(G313:G319)</f>
        <v>0</v>
      </c>
      <c r="H327" s="1938">
        <f>SUM(H313:H319)</f>
        <v>0</v>
      </c>
      <c r="I327" s="1938">
        <f>SUM(I313:I319)</f>
        <v>0</v>
      </c>
    </row>
    <row r="328" spans="2:9" ht="15" customHeight="1">
      <c r="B328" s="1936" t="s">
        <v>1251</v>
      </c>
      <c r="C328" s="1936" t="s">
        <v>2135</v>
      </c>
      <c r="F328" s="1937">
        <f>SUM(F320:F326)</f>
        <v>0</v>
      </c>
      <c r="G328" s="1938">
        <f>SUM(G320:G326)</f>
        <v>0</v>
      </c>
      <c r="H328" s="1938">
        <f>SUM(H320:H326)</f>
        <v>0</v>
      </c>
      <c r="I328" s="1938">
        <f>SUM(I320:I326)</f>
        <v>0</v>
      </c>
    </row>
    <row r="329" spans="2:9" ht="15" customHeight="1" thickBot="1">
      <c r="B329" s="1947"/>
      <c r="C329" s="1959" t="s">
        <v>1299</v>
      </c>
      <c r="D329" s="1948"/>
      <c r="E329" s="1948"/>
      <c r="F329" s="1960">
        <f>F327+F328</f>
        <v>0</v>
      </c>
      <c r="G329" s="1961">
        <f>G327+G328</f>
        <v>0</v>
      </c>
      <c r="H329" s="1961">
        <f>H327+H328</f>
        <v>0</v>
      </c>
      <c r="I329" s="1961">
        <f>I327+I328</f>
        <v>0</v>
      </c>
    </row>
    <row r="330" spans="2:9" ht="15" customHeight="1" thickTop="1">
      <c r="B330" s="1949"/>
      <c r="C330" s="1950" t="str">
        <f>$C$77</f>
        <v>Validation check to the total by performance commitment above in columns V to Y</v>
      </c>
      <c r="D330" s="1940"/>
      <c r="E330" s="1940"/>
      <c r="F330" s="1951" t="b">
        <f>F329=VLOOKUP($B328,$T$14:$Y$30,3,0)</f>
        <v>1</v>
      </c>
      <c r="G330" s="1952" t="b">
        <f>G329=VLOOKUP($B328,$T$14:$Y$30,4,0)</f>
        <v>1</v>
      </c>
      <c r="H330" s="1952" t="b">
        <f>H329=VLOOKUP($B328,$T$14:$Y$30,5,0)</f>
        <v>1</v>
      </c>
      <c r="I330" s="1952" t="b">
        <f>I329=VLOOKUP($B328,$T$14:$Y$30,6,0)</f>
        <v>1</v>
      </c>
    </row>
    <row r="331" spans="2:9" ht="15" customHeight="1">
      <c r="B331" s="1963" t="s">
        <v>2137</v>
      </c>
      <c r="C331" s="1964"/>
      <c r="D331" s="1965"/>
      <c r="E331" s="1965"/>
      <c r="F331" s="1966"/>
      <c r="G331" s="1966"/>
      <c r="H331" s="1966"/>
      <c r="I331" s="1966"/>
    </row>
    <row r="332" spans="2:9" ht="15" customHeight="1">
      <c r="B332" s="1963"/>
      <c r="C332" s="1964"/>
      <c r="D332" s="1965"/>
      <c r="E332" s="1965"/>
      <c r="F332" s="1966"/>
      <c r="G332" s="1966"/>
      <c r="H332" s="1966"/>
      <c r="I332" s="1966"/>
    </row>
    <row r="333" spans="2:9" ht="15" customHeight="1">
      <c r="B333" s="1936"/>
      <c r="C333" s="1936"/>
      <c r="F333" s="1936"/>
      <c r="I333" s="449" t="s">
        <v>2074</v>
      </c>
    </row>
    <row r="334" spans="2:9">
      <c r="B334" s="1936"/>
      <c r="C334" s="1936"/>
      <c r="F334" s="1957" t="s">
        <v>1830</v>
      </c>
      <c r="G334" s="1885" t="s">
        <v>1840</v>
      </c>
      <c r="H334" s="1885" t="s">
        <v>1847</v>
      </c>
      <c r="I334" s="1977" t="s">
        <v>1853</v>
      </c>
    </row>
    <row r="335" spans="2:9" ht="15" customHeight="1">
      <c r="B335" s="1962" t="s">
        <v>1884</v>
      </c>
      <c r="C335" s="1936"/>
      <c r="F335" s="1957" t="s">
        <v>165</v>
      </c>
      <c r="G335" s="1885" t="s">
        <v>165</v>
      </c>
      <c r="H335" s="1885" t="s">
        <v>165</v>
      </c>
      <c r="I335" s="1885" t="s">
        <v>165</v>
      </c>
    </row>
    <row r="336" spans="2:9" ht="15" customHeight="1">
      <c r="B336" s="1936" t="s">
        <v>1260</v>
      </c>
      <c r="C336" s="1936" t="s">
        <v>2120</v>
      </c>
      <c r="F336" s="1938">
        <v>0</v>
      </c>
      <c r="G336" s="1938">
        <v>0</v>
      </c>
      <c r="H336" s="2185">
        <v>0</v>
      </c>
      <c r="I336" s="2185">
        <v>0</v>
      </c>
    </row>
    <row r="337" spans="2:9" ht="15" customHeight="1">
      <c r="B337" s="1936" t="s">
        <v>1260</v>
      </c>
      <c r="C337" s="1936" t="s">
        <v>2121</v>
      </c>
      <c r="F337" s="1938">
        <v>0</v>
      </c>
      <c r="G337" s="1938">
        <v>0</v>
      </c>
      <c r="H337" s="2185">
        <v>0</v>
      </c>
      <c r="I337" s="2185">
        <v>0</v>
      </c>
    </row>
    <row r="338" spans="2:9" ht="15" customHeight="1">
      <c r="B338" s="1936" t="s">
        <v>1260</v>
      </c>
      <c r="C338" s="1936" t="s">
        <v>2122</v>
      </c>
      <c r="F338" s="1938">
        <v>0</v>
      </c>
      <c r="G338" s="1938">
        <v>0</v>
      </c>
      <c r="H338" s="2185">
        <v>0</v>
      </c>
      <c r="I338" s="2185">
        <v>0</v>
      </c>
    </row>
    <row r="339" spans="2:9" ht="15" customHeight="1">
      <c r="B339" s="1936" t="s">
        <v>1260</v>
      </c>
      <c r="C339" s="1936" t="s">
        <v>2123</v>
      </c>
      <c r="F339" s="1938">
        <v>0</v>
      </c>
      <c r="G339" s="1938">
        <v>0</v>
      </c>
      <c r="H339" s="2185">
        <v>0</v>
      </c>
      <c r="I339" s="2185">
        <v>0</v>
      </c>
    </row>
    <row r="340" spans="2:9" ht="15" customHeight="1">
      <c r="B340" s="1936" t="s">
        <v>1260</v>
      </c>
      <c r="C340" s="1936" t="s">
        <v>2124</v>
      </c>
      <c r="F340" s="1938">
        <v>0</v>
      </c>
      <c r="G340" s="1938">
        <v>0</v>
      </c>
      <c r="H340" s="2185">
        <v>0</v>
      </c>
      <c r="I340" s="2185">
        <v>0</v>
      </c>
    </row>
    <row r="341" spans="2:9" ht="15" customHeight="1">
      <c r="B341" s="1936" t="s">
        <v>1260</v>
      </c>
      <c r="C341" s="1936" t="s">
        <v>2125</v>
      </c>
      <c r="F341" s="1938">
        <v>0</v>
      </c>
      <c r="G341" s="1938">
        <v>0</v>
      </c>
      <c r="H341" s="2185">
        <v>0</v>
      </c>
      <c r="I341" s="2185">
        <v>0</v>
      </c>
    </row>
    <row r="342" spans="2:9" ht="15" customHeight="1">
      <c r="B342" s="1944" t="s">
        <v>1260</v>
      </c>
      <c r="C342" s="1944" t="s">
        <v>2126</v>
      </c>
      <c r="D342" s="1945"/>
      <c r="E342" s="1945"/>
      <c r="F342" s="1946">
        <v>0</v>
      </c>
      <c r="G342" s="1946">
        <v>0</v>
      </c>
      <c r="H342" s="2186">
        <v>0</v>
      </c>
      <c r="I342" s="2186">
        <v>0</v>
      </c>
    </row>
    <row r="343" spans="2:9" ht="15" customHeight="1">
      <c r="B343" s="1936" t="s">
        <v>1260</v>
      </c>
      <c r="C343" s="1936" t="s">
        <v>2127</v>
      </c>
      <c r="F343" s="1938">
        <v>0</v>
      </c>
      <c r="G343" s="1938">
        <v>0</v>
      </c>
      <c r="H343" s="2185">
        <v>0</v>
      </c>
      <c r="I343" s="2185">
        <v>0</v>
      </c>
    </row>
    <row r="344" spans="2:9" ht="15" customHeight="1">
      <c r="B344" s="1936" t="s">
        <v>1260</v>
      </c>
      <c r="C344" s="1936" t="s">
        <v>2128</v>
      </c>
      <c r="F344" s="1938">
        <v>0</v>
      </c>
      <c r="G344" s="1938">
        <v>0</v>
      </c>
      <c r="H344" s="2185">
        <v>0</v>
      </c>
      <c r="I344" s="2185">
        <v>0</v>
      </c>
    </row>
    <row r="345" spans="2:9" ht="15" customHeight="1">
      <c r="B345" s="1936" t="s">
        <v>1260</v>
      </c>
      <c r="C345" s="1936" t="s">
        <v>2129</v>
      </c>
      <c r="F345" s="1938">
        <v>0</v>
      </c>
      <c r="G345" s="1938">
        <v>0</v>
      </c>
      <c r="H345" s="2185">
        <v>0</v>
      </c>
      <c r="I345" s="2185">
        <v>0</v>
      </c>
    </row>
    <row r="346" spans="2:9" ht="15" customHeight="1">
      <c r="B346" s="1936" t="s">
        <v>1260</v>
      </c>
      <c r="C346" s="1936" t="s">
        <v>2130</v>
      </c>
      <c r="F346" s="1938">
        <v>0</v>
      </c>
      <c r="G346" s="1938">
        <v>0</v>
      </c>
      <c r="H346" s="2185">
        <v>0</v>
      </c>
      <c r="I346" s="2185">
        <v>0</v>
      </c>
    </row>
    <row r="347" spans="2:9" ht="15" customHeight="1">
      <c r="B347" s="1936" t="s">
        <v>1260</v>
      </c>
      <c r="C347" s="1936" t="s">
        <v>2131</v>
      </c>
      <c r="F347" s="1938">
        <v>0</v>
      </c>
      <c r="G347" s="1938">
        <v>0</v>
      </c>
      <c r="H347" s="2185">
        <v>0</v>
      </c>
      <c r="I347" s="2185">
        <v>0</v>
      </c>
    </row>
    <row r="348" spans="2:9" ht="15" customHeight="1">
      <c r="B348" s="1936" t="s">
        <v>1260</v>
      </c>
      <c r="C348" s="1936" t="s">
        <v>2132</v>
      </c>
      <c r="F348" s="1938">
        <v>0</v>
      </c>
      <c r="G348" s="1938">
        <v>0</v>
      </c>
      <c r="H348" s="2185">
        <v>0</v>
      </c>
      <c r="I348" s="2185">
        <v>0</v>
      </c>
    </row>
    <row r="349" spans="2:9" ht="15" customHeight="1">
      <c r="B349" s="1936" t="s">
        <v>1260</v>
      </c>
      <c r="C349" s="1936" t="s">
        <v>2133</v>
      </c>
      <c r="F349" s="1938">
        <v>0</v>
      </c>
      <c r="G349" s="1938">
        <v>0</v>
      </c>
      <c r="H349" s="2185">
        <v>0</v>
      </c>
      <c r="I349" s="2185">
        <v>0</v>
      </c>
    </row>
    <row r="350" spans="2:9" ht="15" customHeight="1">
      <c r="B350" s="1936" t="s">
        <v>1260</v>
      </c>
      <c r="C350" s="1936" t="s">
        <v>2134</v>
      </c>
      <c r="F350" s="1937">
        <f>SUM(F336:F342)</f>
        <v>0</v>
      </c>
      <c r="G350" s="1938">
        <f>SUM(G336:G342)</f>
        <v>0</v>
      </c>
      <c r="H350" s="1938">
        <f>SUM(H336:H342)</f>
        <v>0</v>
      </c>
      <c r="I350" s="1938">
        <f>SUM(I336:I342)</f>
        <v>0</v>
      </c>
    </row>
    <row r="351" spans="2:9" ht="15" customHeight="1">
      <c r="B351" s="1936" t="s">
        <v>1260</v>
      </c>
      <c r="C351" s="1936" t="s">
        <v>2135</v>
      </c>
      <c r="F351" s="1937">
        <f>SUM(F343:F349)</f>
        <v>0</v>
      </c>
      <c r="G351" s="1938">
        <f>SUM(G343:G349)</f>
        <v>0</v>
      </c>
      <c r="H351" s="1938">
        <f>SUM(H343:H349)</f>
        <v>0</v>
      </c>
      <c r="I351" s="1938">
        <f>SUM(I343:I349)</f>
        <v>0</v>
      </c>
    </row>
    <row r="352" spans="2:9" ht="15" customHeight="1" thickBot="1">
      <c r="B352" s="1947"/>
      <c r="C352" s="1959" t="s">
        <v>1299</v>
      </c>
      <c r="D352" s="1948"/>
      <c r="E352" s="1948"/>
      <c r="F352" s="1960">
        <f>F350+F351</f>
        <v>0</v>
      </c>
      <c r="G352" s="1961">
        <f>G350+G351</f>
        <v>0</v>
      </c>
      <c r="H352" s="1961">
        <f>H350+H351</f>
        <v>0</v>
      </c>
      <c r="I352" s="1961">
        <f>I350+I351</f>
        <v>0</v>
      </c>
    </row>
    <row r="353" spans="2:9" ht="15" customHeight="1" thickTop="1">
      <c r="B353" s="1949"/>
      <c r="C353" s="1950" t="str">
        <f>$C$77</f>
        <v>Validation check to the total by performance commitment above in columns V to Y</v>
      </c>
      <c r="D353" s="1940"/>
      <c r="E353" s="1940"/>
      <c r="F353" s="1951" t="b">
        <f>F352=VLOOKUP($B351,$T$14:$Y$30,3,0)</f>
        <v>1</v>
      </c>
      <c r="G353" s="1952" t="b">
        <f>G352=VLOOKUP($B351,$T$14:$Y$30,4,0)</f>
        <v>1</v>
      </c>
      <c r="H353" s="1952" t="b">
        <f>H352=VLOOKUP($B351,$T$14:$Y$30,5,0)</f>
        <v>1</v>
      </c>
      <c r="I353" s="1952" t="b">
        <f>I352=VLOOKUP($B351,$T$14:$Y$30,6,0)</f>
        <v>1</v>
      </c>
    </row>
    <row r="354" spans="2:9" ht="15" customHeight="1">
      <c r="B354" s="1963" t="s">
        <v>2137</v>
      </c>
      <c r="C354" s="1964"/>
      <c r="D354" s="1965"/>
      <c r="E354" s="1965"/>
      <c r="F354" s="1966"/>
      <c r="G354" s="1966"/>
      <c r="H354" s="1966"/>
      <c r="I354" s="1966"/>
    </row>
    <row r="355" spans="2:9" ht="15" customHeight="1">
      <c r="B355" s="1963"/>
      <c r="C355" s="1964"/>
      <c r="D355" s="1965"/>
      <c r="E355" s="1965"/>
      <c r="F355" s="1966"/>
      <c r="G355" s="1966"/>
      <c r="H355" s="1966"/>
      <c r="I355" s="1966"/>
    </row>
    <row r="356" spans="2:9" ht="15" customHeight="1">
      <c r="B356" s="1936"/>
      <c r="C356" s="1936"/>
      <c r="F356" s="1936"/>
      <c r="I356" s="449" t="s">
        <v>2074</v>
      </c>
    </row>
    <row r="357" spans="2:9">
      <c r="B357" s="1936"/>
      <c r="C357" s="1936"/>
      <c r="F357" s="1957" t="s">
        <v>1830</v>
      </c>
      <c r="G357" s="1885" t="s">
        <v>1840</v>
      </c>
      <c r="H357" s="1885" t="s">
        <v>1847</v>
      </c>
      <c r="I357" s="1977" t="s">
        <v>1853</v>
      </c>
    </row>
    <row r="358" spans="2:9" ht="15" customHeight="1">
      <c r="B358" s="1962" t="s">
        <v>1887</v>
      </c>
      <c r="C358" s="1936"/>
      <c r="F358" s="1957" t="s">
        <v>165</v>
      </c>
      <c r="G358" s="1885" t="s">
        <v>165</v>
      </c>
      <c r="H358" s="1885" t="s">
        <v>165</v>
      </c>
      <c r="I358" s="1885" t="s">
        <v>165</v>
      </c>
    </row>
    <row r="359" spans="2:9" ht="15" customHeight="1">
      <c r="B359" s="1936" t="s">
        <v>1269</v>
      </c>
      <c r="C359" s="1936" t="s">
        <v>2120</v>
      </c>
      <c r="F359" s="1938">
        <v>0</v>
      </c>
      <c r="G359" s="1938">
        <v>0</v>
      </c>
      <c r="H359" s="2185">
        <v>0</v>
      </c>
      <c r="I359" s="2185">
        <v>0</v>
      </c>
    </row>
    <row r="360" spans="2:9" ht="15" customHeight="1">
      <c r="B360" s="1936" t="s">
        <v>1269</v>
      </c>
      <c r="C360" s="1936" t="s">
        <v>2121</v>
      </c>
      <c r="F360" s="1938">
        <v>0</v>
      </c>
      <c r="G360" s="1938">
        <v>0</v>
      </c>
      <c r="H360" s="2185">
        <v>0</v>
      </c>
      <c r="I360" s="2185">
        <v>0</v>
      </c>
    </row>
    <row r="361" spans="2:9" ht="15" customHeight="1">
      <c r="B361" s="1936" t="s">
        <v>1269</v>
      </c>
      <c r="C361" s="1936" t="s">
        <v>2122</v>
      </c>
      <c r="F361" s="1938">
        <v>0</v>
      </c>
      <c r="G361" s="1938">
        <v>0</v>
      </c>
      <c r="H361" s="2185">
        <v>0</v>
      </c>
      <c r="I361" s="2185">
        <v>0</v>
      </c>
    </row>
    <row r="362" spans="2:9" ht="15" customHeight="1">
      <c r="B362" s="1936" t="s">
        <v>1269</v>
      </c>
      <c r="C362" s="1936" t="s">
        <v>2123</v>
      </c>
      <c r="F362" s="1938">
        <v>0</v>
      </c>
      <c r="G362" s="1938">
        <v>0</v>
      </c>
      <c r="H362" s="2185">
        <v>0</v>
      </c>
      <c r="I362" s="2185">
        <v>0</v>
      </c>
    </row>
    <row r="363" spans="2:9" ht="15" customHeight="1">
      <c r="B363" s="1936" t="s">
        <v>1269</v>
      </c>
      <c r="C363" s="1936" t="s">
        <v>2124</v>
      </c>
      <c r="F363" s="1938">
        <v>0</v>
      </c>
      <c r="G363" s="1938">
        <v>0</v>
      </c>
      <c r="H363" s="2185">
        <v>0</v>
      </c>
      <c r="I363" s="2185">
        <v>0</v>
      </c>
    </row>
    <row r="364" spans="2:9" ht="15" customHeight="1">
      <c r="B364" s="1936" t="s">
        <v>1269</v>
      </c>
      <c r="C364" s="1936" t="s">
        <v>2125</v>
      </c>
      <c r="F364" s="1938">
        <v>0</v>
      </c>
      <c r="G364" s="1938">
        <v>0</v>
      </c>
      <c r="H364" s="2185">
        <v>0</v>
      </c>
      <c r="I364" s="2185">
        <v>0</v>
      </c>
    </row>
    <row r="365" spans="2:9" ht="15" customHeight="1">
      <c r="B365" s="1944" t="s">
        <v>1269</v>
      </c>
      <c r="C365" s="1944" t="s">
        <v>2126</v>
      </c>
      <c r="D365" s="1945"/>
      <c r="E365" s="1945"/>
      <c r="F365" s="1946">
        <v>0</v>
      </c>
      <c r="G365" s="1946">
        <v>0</v>
      </c>
      <c r="H365" s="2186">
        <v>0</v>
      </c>
      <c r="I365" s="2186">
        <v>0</v>
      </c>
    </row>
    <row r="366" spans="2:9" ht="15" customHeight="1">
      <c r="B366" s="1936" t="s">
        <v>1269</v>
      </c>
      <c r="C366" s="1936" t="s">
        <v>2127</v>
      </c>
      <c r="F366" s="1938">
        <v>0</v>
      </c>
      <c r="G366" s="1938">
        <v>0</v>
      </c>
      <c r="H366" s="2185">
        <v>0</v>
      </c>
      <c r="I366" s="2185">
        <v>0</v>
      </c>
    </row>
    <row r="367" spans="2:9" ht="15" customHeight="1">
      <c r="B367" s="1936" t="s">
        <v>1269</v>
      </c>
      <c r="C367" s="1936" t="s">
        <v>2128</v>
      </c>
      <c r="F367" s="1938">
        <v>0</v>
      </c>
      <c r="G367" s="1938">
        <v>0</v>
      </c>
      <c r="H367" s="2185">
        <v>0</v>
      </c>
      <c r="I367" s="2185">
        <v>0</v>
      </c>
    </row>
    <row r="368" spans="2:9" ht="15" customHeight="1">
      <c r="B368" s="1936" t="s">
        <v>1269</v>
      </c>
      <c r="C368" s="1936" t="s">
        <v>2129</v>
      </c>
      <c r="F368" s="1938">
        <v>0</v>
      </c>
      <c r="G368" s="1938">
        <v>0</v>
      </c>
      <c r="H368" s="2185">
        <v>0</v>
      </c>
      <c r="I368" s="2185">
        <v>0</v>
      </c>
    </row>
    <row r="369" spans="2:9" ht="15" customHeight="1">
      <c r="B369" s="1936" t="s">
        <v>1269</v>
      </c>
      <c r="C369" s="1936" t="s">
        <v>2130</v>
      </c>
      <c r="F369" s="1938">
        <v>0</v>
      </c>
      <c r="G369" s="1938">
        <v>0</v>
      </c>
      <c r="H369" s="2185">
        <v>0</v>
      </c>
      <c r="I369" s="2185">
        <v>0</v>
      </c>
    </row>
    <row r="370" spans="2:9" ht="15" customHeight="1">
      <c r="B370" s="1936" t="s">
        <v>1269</v>
      </c>
      <c r="C370" s="1936" t="s">
        <v>2131</v>
      </c>
      <c r="F370" s="1938">
        <v>0</v>
      </c>
      <c r="G370" s="1938">
        <v>0</v>
      </c>
      <c r="H370" s="2185">
        <v>0</v>
      </c>
      <c r="I370" s="2185">
        <v>0</v>
      </c>
    </row>
    <row r="371" spans="2:9" ht="15" customHeight="1">
      <c r="B371" s="1936" t="s">
        <v>1269</v>
      </c>
      <c r="C371" s="1936" t="s">
        <v>2132</v>
      </c>
      <c r="F371" s="1938">
        <v>0</v>
      </c>
      <c r="G371" s="1938">
        <v>0</v>
      </c>
      <c r="H371" s="2185">
        <v>0</v>
      </c>
      <c r="I371" s="2185">
        <v>0</v>
      </c>
    </row>
    <row r="372" spans="2:9" ht="15" customHeight="1">
      <c r="B372" s="1936" t="s">
        <v>1269</v>
      </c>
      <c r="C372" s="1936" t="s">
        <v>2133</v>
      </c>
      <c r="F372" s="1938">
        <v>0</v>
      </c>
      <c r="G372" s="1938">
        <v>0</v>
      </c>
      <c r="H372" s="2185">
        <v>0</v>
      </c>
      <c r="I372" s="2185">
        <v>0</v>
      </c>
    </row>
    <row r="373" spans="2:9" ht="15" customHeight="1">
      <c r="B373" s="1936" t="s">
        <v>1269</v>
      </c>
      <c r="C373" s="1936" t="s">
        <v>2134</v>
      </c>
      <c r="F373" s="1937">
        <f>SUM(F359:F365)</f>
        <v>0</v>
      </c>
      <c r="G373" s="1938">
        <f>SUM(G359:G365)</f>
        <v>0</v>
      </c>
      <c r="H373" s="1938">
        <f>SUM(H359:H365)</f>
        <v>0</v>
      </c>
      <c r="I373" s="1938">
        <f>SUM(I359:I365)</f>
        <v>0</v>
      </c>
    </row>
    <row r="374" spans="2:9" ht="15" customHeight="1">
      <c r="B374" s="1936" t="s">
        <v>1269</v>
      </c>
      <c r="C374" s="1936" t="s">
        <v>2135</v>
      </c>
      <c r="F374" s="1937">
        <f>SUM(F366:F372)</f>
        <v>0</v>
      </c>
      <c r="G374" s="1938">
        <f>SUM(G366:G372)</f>
        <v>0</v>
      </c>
      <c r="H374" s="1938">
        <f>SUM(H366:H372)</f>
        <v>0</v>
      </c>
      <c r="I374" s="1938">
        <f>SUM(I366:I372)</f>
        <v>0</v>
      </c>
    </row>
    <row r="375" spans="2:9" ht="15" customHeight="1" thickBot="1">
      <c r="B375" s="1947"/>
      <c r="C375" s="1959" t="s">
        <v>1299</v>
      </c>
      <c r="D375" s="1948"/>
      <c r="E375" s="1948"/>
      <c r="F375" s="1960">
        <f>F373+F374</f>
        <v>0</v>
      </c>
      <c r="G375" s="1961">
        <f>G373+G374</f>
        <v>0</v>
      </c>
      <c r="H375" s="1961">
        <f>H373+H374</f>
        <v>0</v>
      </c>
      <c r="I375" s="1961">
        <f>I373+I374</f>
        <v>0</v>
      </c>
    </row>
    <row r="376" spans="2:9" ht="15" customHeight="1" thickTop="1">
      <c r="B376" s="1949"/>
      <c r="C376" s="1950" t="str">
        <f>$C$77</f>
        <v>Validation check to the total by performance commitment above in columns V to Y</v>
      </c>
      <c r="D376" s="1940"/>
      <c r="E376" s="1940"/>
      <c r="F376" s="1951" t="b">
        <f>F375=VLOOKUP($B374,$T$14:$Y$30,3,0)</f>
        <v>1</v>
      </c>
      <c r="G376" s="1952" t="b">
        <f>G375=VLOOKUP($B374,$T$14:$Y$30,4,0)</f>
        <v>1</v>
      </c>
      <c r="H376" s="1952" t="b">
        <f>H375=VLOOKUP($B374,$T$14:$Y$30,5,0)</f>
        <v>1</v>
      </c>
      <c r="I376" s="1952" t="b">
        <f>I375=VLOOKUP($B374,$T$14:$Y$30,6,0)</f>
        <v>1</v>
      </c>
    </row>
    <row r="377" spans="2:9" ht="15" customHeight="1">
      <c r="B377" s="1963" t="s">
        <v>2137</v>
      </c>
      <c r="C377" s="1964"/>
      <c r="D377" s="1965"/>
      <c r="E377" s="1965"/>
      <c r="F377" s="1966"/>
      <c r="G377" s="1966"/>
      <c r="H377" s="1966"/>
      <c r="I377" s="1966"/>
    </row>
    <row r="378" spans="2:9" ht="15" customHeight="1">
      <c r="B378" s="1963"/>
      <c r="C378" s="1964"/>
      <c r="D378" s="1965"/>
      <c r="E378" s="1965"/>
      <c r="F378" s="1966"/>
      <c r="G378" s="1966"/>
      <c r="H378" s="1966"/>
      <c r="I378" s="1966"/>
    </row>
    <row r="379" spans="2:9" ht="15" customHeight="1">
      <c r="B379" s="1936"/>
      <c r="C379" s="1936"/>
      <c r="F379" s="1936"/>
      <c r="I379" s="449" t="s">
        <v>2074</v>
      </c>
    </row>
    <row r="380" spans="2:9">
      <c r="B380" s="1936"/>
      <c r="C380" s="1936"/>
      <c r="F380" s="1957" t="s">
        <v>1830</v>
      </c>
      <c r="G380" s="1885" t="s">
        <v>1840</v>
      </c>
      <c r="H380" s="1885" t="s">
        <v>1847</v>
      </c>
      <c r="I380" s="1977" t="s">
        <v>1853</v>
      </c>
    </row>
    <row r="381" spans="2:9" ht="15" customHeight="1">
      <c r="B381" s="1962" t="s">
        <v>1892</v>
      </c>
      <c r="C381" s="1936"/>
      <c r="F381" s="1957" t="s">
        <v>165</v>
      </c>
      <c r="G381" s="1885" t="s">
        <v>165</v>
      </c>
      <c r="H381" s="1885" t="s">
        <v>165</v>
      </c>
      <c r="I381" s="1885" t="s">
        <v>165</v>
      </c>
    </row>
    <row r="382" spans="2:9" ht="15" customHeight="1">
      <c r="B382" s="1936" t="s">
        <v>1278</v>
      </c>
      <c r="C382" s="1936" t="s">
        <v>2120</v>
      </c>
      <c r="F382" s="1938">
        <v>0</v>
      </c>
      <c r="G382" s="1938">
        <v>0</v>
      </c>
      <c r="H382" s="2185">
        <v>0</v>
      </c>
      <c r="I382" s="2185">
        <v>0</v>
      </c>
    </row>
    <row r="383" spans="2:9" ht="15" customHeight="1">
      <c r="B383" s="1936" t="s">
        <v>1278</v>
      </c>
      <c r="C383" s="1936" t="s">
        <v>2121</v>
      </c>
      <c r="F383" s="1938">
        <v>-0.83750000000000036</v>
      </c>
      <c r="G383" s="1938">
        <v>-0.71690000000000031</v>
      </c>
      <c r="H383" s="2185">
        <v>-0.73365000000000002</v>
      </c>
      <c r="I383" s="2185">
        <v>-0.81740000000000002</v>
      </c>
    </row>
    <row r="384" spans="2:9" ht="15" customHeight="1">
      <c r="B384" s="1936" t="s">
        <v>1278</v>
      </c>
      <c r="C384" s="1936" t="s">
        <v>2122</v>
      </c>
      <c r="F384" s="1938">
        <v>0</v>
      </c>
      <c r="G384" s="1938">
        <v>0</v>
      </c>
      <c r="H384" s="2185">
        <v>0</v>
      </c>
      <c r="I384" s="2185">
        <v>0</v>
      </c>
    </row>
    <row r="385" spans="2:9" ht="15" customHeight="1">
      <c r="B385" s="1936" t="s">
        <v>1278</v>
      </c>
      <c r="C385" s="1936" t="s">
        <v>2123</v>
      </c>
      <c r="F385" s="1938">
        <v>0</v>
      </c>
      <c r="G385" s="1938">
        <v>0</v>
      </c>
      <c r="H385" s="2185">
        <v>0</v>
      </c>
      <c r="I385" s="2185">
        <v>0</v>
      </c>
    </row>
    <row r="386" spans="2:9" ht="15" customHeight="1">
      <c r="B386" s="1936" t="s">
        <v>1278</v>
      </c>
      <c r="C386" s="1936" t="s">
        <v>2124</v>
      </c>
      <c r="F386" s="1938">
        <v>0</v>
      </c>
      <c r="G386" s="1938">
        <v>0</v>
      </c>
      <c r="H386" s="2185">
        <v>0</v>
      </c>
      <c r="I386" s="2185">
        <v>0</v>
      </c>
    </row>
    <row r="387" spans="2:9" ht="15" customHeight="1">
      <c r="B387" s="1936" t="s">
        <v>1278</v>
      </c>
      <c r="C387" s="1936" t="s">
        <v>2125</v>
      </c>
      <c r="F387" s="1938">
        <v>0</v>
      </c>
      <c r="G387" s="1938">
        <v>0</v>
      </c>
      <c r="H387" s="2185">
        <v>0</v>
      </c>
      <c r="I387" s="2185">
        <v>0</v>
      </c>
    </row>
    <row r="388" spans="2:9" ht="15" customHeight="1">
      <c r="B388" s="1944" t="s">
        <v>1278</v>
      </c>
      <c r="C388" s="1944" t="s">
        <v>2126</v>
      </c>
      <c r="D388" s="1945"/>
      <c r="E388" s="1945"/>
      <c r="F388" s="1946">
        <v>0</v>
      </c>
      <c r="G388" s="1946">
        <v>0</v>
      </c>
      <c r="H388" s="2186">
        <v>0</v>
      </c>
      <c r="I388" s="2186">
        <v>0</v>
      </c>
    </row>
    <row r="389" spans="2:9" ht="15" customHeight="1">
      <c r="B389" s="1936" t="s">
        <v>1278</v>
      </c>
      <c r="C389" s="1936" t="s">
        <v>2127</v>
      </c>
      <c r="F389" s="1938">
        <v>0</v>
      </c>
      <c r="G389" s="1938">
        <v>0</v>
      </c>
      <c r="H389" s="2185">
        <v>0</v>
      </c>
      <c r="I389" s="2185">
        <v>0</v>
      </c>
    </row>
    <row r="390" spans="2:9" ht="15" customHeight="1">
      <c r="B390" s="1936" t="s">
        <v>1278</v>
      </c>
      <c r="C390" s="1936" t="s">
        <v>2128</v>
      </c>
      <c r="F390" s="1938">
        <v>0</v>
      </c>
      <c r="G390" s="1938">
        <v>0</v>
      </c>
      <c r="H390" s="2185">
        <v>0</v>
      </c>
      <c r="I390" s="2185">
        <v>0</v>
      </c>
    </row>
    <row r="391" spans="2:9" ht="15" customHeight="1">
      <c r="B391" s="1936" t="s">
        <v>1278</v>
      </c>
      <c r="C391" s="1936" t="s">
        <v>2129</v>
      </c>
      <c r="F391" s="1938">
        <v>0</v>
      </c>
      <c r="G391" s="1938">
        <v>0</v>
      </c>
      <c r="H391" s="2185">
        <v>0</v>
      </c>
      <c r="I391" s="2185">
        <v>0</v>
      </c>
    </row>
    <row r="392" spans="2:9" ht="15" customHeight="1">
      <c r="B392" s="1936" t="s">
        <v>1278</v>
      </c>
      <c r="C392" s="1936" t="s">
        <v>2130</v>
      </c>
      <c r="F392" s="1938">
        <v>0</v>
      </c>
      <c r="G392" s="1938">
        <v>0</v>
      </c>
      <c r="H392" s="2185">
        <v>0</v>
      </c>
      <c r="I392" s="2185">
        <v>0</v>
      </c>
    </row>
    <row r="393" spans="2:9" ht="15" customHeight="1">
      <c r="B393" s="1936" t="s">
        <v>1278</v>
      </c>
      <c r="C393" s="1936" t="s">
        <v>2131</v>
      </c>
      <c r="F393" s="1938">
        <v>0</v>
      </c>
      <c r="G393" s="1938">
        <v>0</v>
      </c>
      <c r="H393" s="2185">
        <v>0</v>
      </c>
      <c r="I393" s="2185">
        <v>0</v>
      </c>
    </row>
    <row r="394" spans="2:9" ht="15" customHeight="1">
      <c r="B394" s="1936" t="s">
        <v>1278</v>
      </c>
      <c r="C394" s="1936" t="s">
        <v>2132</v>
      </c>
      <c r="F394" s="1938">
        <v>0</v>
      </c>
      <c r="G394" s="1938">
        <v>0</v>
      </c>
      <c r="H394" s="2185">
        <v>0</v>
      </c>
      <c r="I394" s="2185">
        <v>0</v>
      </c>
    </row>
    <row r="395" spans="2:9" ht="15" customHeight="1">
      <c r="B395" s="1936" t="s">
        <v>1278</v>
      </c>
      <c r="C395" s="1936" t="s">
        <v>2133</v>
      </c>
      <c r="F395" s="1938">
        <v>0</v>
      </c>
      <c r="G395" s="1938">
        <v>0</v>
      </c>
      <c r="H395" s="2185">
        <v>0</v>
      </c>
      <c r="I395" s="2185">
        <v>0</v>
      </c>
    </row>
    <row r="396" spans="2:9" ht="15" customHeight="1">
      <c r="B396" s="1936" t="s">
        <v>1278</v>
      </c>
      <c r="C396" s="1936" t="s">
        <v>2134</v>
      </c>
      <c r="F396" s="1937">
        <f>SUM(F382:F388)</f>
        <v>-0.83750000000000036</v>
      </c>
      <c r="G396" s="1938">
        <f>SUM(G382:G388)</f>
        <v>-0.71690000000000031</v>
      </c>
      <c r="H396" s="1938">
        <f>SUM(H382:H388)</f>
        <v>-0.73365000000000002</v>
      </c>
      <c r="I396" s="1938">
        <f>SUM(I382:I388)</f>
        <v>-0.81740000000000002</v>
      </c>
    </row>
    <row r="397" spans="2:9" ht="15" customHeight="1">
      <c r="B397" s="1936" t="s">
        <v>1278</v>
      </c>
      <c r="C397" s="1936" t="s">
        <v>2135</v>
      </c>
      <c r="F397" s="1937">
        <f>SUM(F389:F395)</f>
        <v>0</v>
      </c>
      <c r="G397" s="1938">
        <f>SUM(G389:G395)</f>
        <v>0</v>
      </c>
      <c r="H397" s="1938">
        <f>SUM(H389:H395)</f>
        <v>0</v>
      </c>
      <c r="I397" s="1938">
        <f>SUM(I389:I395)</f>
        <v>0</v>
      </c>
    </row>
    <row r="398" spans="2:9" ht="15" customHeight="1" thickBot="1">
      <c r="B398" s="1947"/>
      <c r="C398" s="1959" t="s">
        <v>1299</v>
      </c>
      <c r="D398" s="1948"/>
      <c r="E398" s="1948"/>
      <c r="F398" s="1960">
        <f>F396+F397</f>
        <v>-0.83750000000000036</v>
      </c>
      <c r="G398" s="1960">
        <f>G396+G397</f>
        <v>-0.71690000000000031</v>
      </c>
      <c r="H398" s="1961">
        <f>H396+H397</f>
        <v>-0.73365000000000002</v>
      </c>
      <c r="I398" s="1961">
        <f>I396+I397</f>
        <v>-0.81740000000000002</v>
      </c>
    </row>
    <row r="399" spans="2:9" ht="15" customHeight="1" thickTop="1">
      <c r="B399" s="1949"/>
      <c r="C399" s="1950" t="str">
        <f>$C$77</f>
        <v>Validation check to the total by performance commitment above in columns V to Y</v>
      </c>
      <c r="D399" s="1940"/>
      <c r="E399" s="1940"/>
      <c r="F399" s="1951" t="b">
        <f>F398=VLOOKUP($B397,$T$14:$Y$30,3,0)</f>
        <v>1</v>
      </c>
      <c r="G399" s="1951" t="b">
        <f>G398=VLOOKUP($B397,$T$14:$Y$30,4,0)</f>
        <v>1</v>
      </c>
      <c r="H399" s="1952" t="b">
        <f>H398=VLOOKUP($B397,$T$14:$Y$30,5,0)</f>
        <v>1</v>
      </c>
      <c r="I399" s="1952" t="b">
        <f>I398=VLOOKUP($B397,$T$14:$Y$30,6,0)</f>
        <v>1</v>
      </c>
    </row>
    <row r="400" spans="2:9" ht="15" customHeight="1">
      <c r="B400" s="1967" t="s">
        <v>2141</v>
      </c>
      <c r="C400" s="1964"/>
      <c r="D400" s="1965"/>
      <c r="E400" s="1965"/>
      <c r="F400" s="1966"/>
      <c r="G400" s="1966"/>
      <c r="H400" s="1966"/>
      <c r="I400" s="1966"/>
    </row>
    <row r="401" spans="2:9" ht="15" customHeight="1">
      <c r="B401" s="1967" t="s">
        <v>2142</v>
      </c>
      <c r="C401" s="1964"/>
      <c r="D401" s="1965"/>
      <c r="E401" s="1965"/>
      <c r="F401" s="1966"/>
      <c r="G401" s="1966"/>
      <c r="H401" s="1966"/>
      <c r="I401" s="1966"/>
    </row>
    <row r="402" spans="2:9" ht="15" customHeight="1">
      <c r="B402" s="1936"/>
      <c r="C402" s="1936"/>
      <c r="F402" s="1936"/>
      <c r="I402" s="449" t="s">
        <v>2074</v>
      </c>
    </row>
    <row r="403" spans="2:9">
      <c r="B403" s="1936"/>
      <c r="C403" s="1936"/>
      <c r="F403" s="1957" t="s">
        <v>1830</v>
      </c>
      <c r="G403" s="1885" t="s">
        <v>1840</v>
      </c>
      <c r="H403" s="1885" t="s">
        <v>1847</v>
      </c>
      <c r="I403" s="1977" t="s">
        <v>1853</v>
      </c>
    </row>
    <row r="404" spans="2:9" ht="15" customHeight="1">
      <c r="B404" s="1962" t="s">
        <v>1894</v>
      </c>
      <c r="C404" s="1936"/>
      <c r="F404" s="1957" t="s">
        <v>165</v>
      </c>
      <c r="G404" s="1885" t="s">
        <v>165</v>
      </c>
      <c r="H404" s="1885" t="s">
        <v>165</v>
      </c>
      <c r="I404" s="1885" t="s">
        <v>165</v>
      </c>
    </row>
    <row r="405" spans="2:9" ht="15" customHeight="1">
      <c r="B405" s="1936" t="s">
        <v>1287</v>
      </c>
      <c r="C405" s="1936" t="s">
        <v>2120</v>
      </c>
      <c r="F405" s="1938">
        <v>0</v>
      </c>
      <c r="G405" s="1938">
        <v>0</v>
      </c>
      <c r="H405" s="2185">
        <v>0</v>
      </c>
      <c r="I405" s="2185">
        <v>0</v>
      </c>
    </row>
    <row r="406" spans="2:9" ht="15" customHeight="1">
      <c r="B406" s="1936" t="s">
        <v>1287</v>
      </c>
      <c r="C406" s="1936" t="s">
        <v>2121</v>
      </c>
      <c r="F406" s="1938">
        <v>0</v>
      </c>
      <c r="G406" s="1938">
        <v>0</v>
      </c>
      <c r="H406" s="2185">
        <v>0</v>
      </c>
      <c r="I406" s="2185">
        <v>0</v>
      </c>
    </row>
    <row r="407" spans="2:9" ht="15" customHeight="1">
      <c r="B407" s="1936" t="s">
        <v>1287</v>
      </c>
      <c r="C407" s="1936" t="s">
        <v>2122</v>
      </c>
      <c r="F407" s="1938">
        <v>0</v>
      </c>
      <c r="G407" s="1938">
        <v>0</v>
      </c>
      <c r="H407" s="2185">
        <v>0</v>
      </c>
      <c r="I407" s="2185">
        <v>0</v>
      </c>
    </row>
    <row r="408" spans="2:9" ht="15" customHeight="1">
      <c r="B408" s="1936" t="s">
        <v>1287</v>
      </c>
      <c r="C408" s="1936" t="s">
        <v>2123</v>
      </c>
      <c r="F408" s="1938">
        <v>0</v>
      </c>
      <c r="G408" s="1938">
        <v>0</v>
      </c>
      <c r="H408" s="2185">
        <v>0</v>
      </c>
      <c r="I408" s="2185">
        <v>0</v>
      </c>
    </row>
    <row r="409" spans="2:9" ht="15" customHeight="1">
      <c r="B409" s="1936" t="s">
        <v>1287</v>
      </c>
      <c r="C409" s="1936" t="s">
        <v>2124</v>
      </c>
      <c r="F409" s="1938">
        <v>0</v>
      </c>
      <c r="G409" s="1938">
        <v>0</v>
      </c>
      <c r="H409" s="2185">
        <v>0</v>
      </c>
      <c r="I409" s="2185">
        <v>0</v>
      </c>
    </row>
    <row r="410" spans="2:9" ht="15" customHeight="1">
      <c r="B410" s="1936" t="s">
        <v>1287</v>
      </c>
      <c r="C410" s="1936" t="s">
        <v>2125</v>
      </c>
      <c r="F410" s="1938">
        <v>0</v>
      </c>
      <c r="G410" s="1938">
        <v>0</v>
      </c>
      <c r="H410" s="2185">
        <v>0</v>
      </c>
      <c r="I410" s="2185">
        <v>0</v>
      </c>
    </row>
    <row r="411" spans="2:9" ht="15" customHeight="1">
      <c r="B411" s="1944" t="s">
        <v>1287</v>
      </c>
      <c r="C411" s="1944" t="s">
        <v>2126</v>
      </c>
      <c r="D411" s="1945"/>
      <c r="E411" s="1945"/>
      <c r="F411" s="1946">
        <v>0</v>
      </c>
      <c r="G411" s="1946">
        <v>0</v>
      </c>
      <c r="H411" s="2186">
        <v>0</v>
      </c>
      <c r="I411" s="2186">
        <v>0</v>
      </c>
    </row>
    <row r="412" spans="2:9" ht="15" customHeight="1">
      <c r="B412" s="1936" t="s">
        <v>1287</v>
      </c>
      <c r="C412" s="1936" t="s">
        <v>2127</v>
      </c>
      <c r="F412" s="1938">
        <v>0</v>
      </c>
      <c r="G412" s="1938">
        <v>0</v>
      </c>
      <c r="H412" s="2185">
        <v>0</v>
      </c>
      <c r="I412" s="2185">
        <v>0</v>
      </c>
    </row>
    <row r="413" spans="2:9" ht="15" customHeight="1">
      <c r="B413" s="1936" t="s">
        <v>1287</v>
      </c>
      <c r="C413" s="1936" t="s">
        <v>2128</v>
      </c>
      <c r="F413" s="1938">
        <v>0</v>
      </c>
      <c r="G413" s="1938">
        <v>0</v>
      </c>
      <c r="H413" s="2185">
        <v>0</v>
      </c>
      <c r="I413" s="2185">
        <v>0</v>
      </c>
    </row>
    <row r="414" spans="2:9" ht="15" customHeight="1">
      <c r="B414" s="1936" t="s">
        <v>1287</v>
      </c>
      <c r="C414" s="1936" t="s">
        <v>2129</v>
      </c>
      <c r="F414" s="1938">
        <v>0</v>
      </c>
      <c r="G414" s="1938">
        <v>0</v>
      </c>
      <c r="H414" s="2185">
        <v>0</v>
      </c>
      <c r="I414" s="2185">
        <v>0</v>
      </c>
    </row>
    <row r="415" spans="2:9" ht="15" customHeight="1">
      <c r="B415" s="1936" t="s">
        <v>1287</v>
      </c>
      <c r="C415" s="1936" t="s">
        <v>2130</v>
      </c>
      <c r="F415" s="1938">
        <v>0</v>
      </c>
      <c r="G415" s="1938">
        <v>0</v>
      </c>
      <c r="H415" s="2185">
        <v>0</v>
      </c>
      <c r="I415" s="2185">
        <v>0</v>
      </c>
    </row>
    <row r="416" spans="2:9" ht="15" customHeight="1">
      <c r="B416" s="1936" t="s">
        <v>1287</v>
      </c>
      <c r="C416" s="1936" t="s">
        <v>2131</v>
      </c>
      <c r="F416" s="1938">
        <v>0</v>
      </c>
      <c r="G416" s="1938">
        <v>0</v>
      </c>
      <c r="H416" s="2185">
        <v>0</v>
      </c>
      <c r="I416" s="2185">
        <v>0</v>
      </c>
    </row>
    <row r="417" spans="2:9" ht="15" customHeight="1">
      <c r="B417" s="1936" t="s">
        <v>1287</v>
      </c>
      <c r="C417" s="1936" t="s">
        <v>2132</v>
      </c>
      <c r="F417" s="1938">
        <v>0</v>
      </c>
      <c r="G417" s="1938">
        <v>0</v>
      </c>
      <c r="H417" s="2185">
        <v>0</v>
      </c>
      <c r="I417" s="2185">
        <v>0</v>
      </c>
    </row>
    <row r="418" spans="2:9" ht="15" customHeight="1">
      <c r="B418" s="1936" t="s">
        <v>1287</v>
      </c>
      <c r="C418" s="1936" t="s">
        <v>2133</v>
      </c>
      <c r="F418" s="1938">
        <v>0</v>
      </c>
      <c r="G418" s="1938">
        <v>0</v>
      </c>
      <c r="H418" s="2185">
        <v>0</v>
      </c>
      <c r="I418" s="2185">
        <v>0</v>
      </c>
    </row>
    <row r="419" spans="2:9" ht="15" customHeight="1">
      <c r="B419" s="1936" t="s">
        <v>1287</v>
      </c>
      <c r="C419" s="1936" t="s">
        <v>2134</v>
      </c>
      <c r="F419" s="1937">
        <f>SUM(F405:F411)</f>
        <v>0</v>
      </c>
      <c r="G419" s="1938">
        <f>SUM(G405:G411)</f>
        <v>0</v>
      </c>
      <c r="H419" s="1938">
        <f>SUM(H405:H411)</f>
        <v>0</v>
      </c>
      <c r="I419" s="1938">
        <f>SUM(I405:I411)</f>
        <v>0</v>
      </c>
    </row>
    <row r="420" spans="2:9" ht="15" customHeight="1">
      <c r="B420" s="1936" t="s">
        <v>1287</v>
      </c>
      <c r="C420" s="1936" t="s">
        <v>2135</v>
      </c>
      <c r="F420" s="1937">
        <f>SUM(F412:F418)</f>
        <v>0</v>
      </c>
      <c r="G420" s="1938">
        <f>SUM(G412:G418)</f>
        <v>0</v>
      </c>
      <c r="H420" s="1938">
        <f>SUM(H412:H418)</f>
        <v>0</v>
      </c>
      <c r="I420" s="1938">
        <f>SUM(I412:I418)</f>
        <v>0</v>
      </c>
    </row>
    <row r="421" spans="2:9" ht="15" customHeight="1" thickBot="1">
      <c r="B421" s="1947"/>
      <c r="C421" s="1959" t="s">
        <v>1299</v>
      </c>
      <c r="D421" s="1948"/>
      <c r="E421" s="1948"/>
      <c r="F421" s="1960">
        <f>F419+F420</f>
        <v>0</v>
      </c>
      <c r="G421" s="1961">
        <f>G419+G420</f>
        <v>0</v>
      </c>
      <c r="H421" s="1961">
        <f>H419+H420</f>
        <v>0</v>
      </c>
      <c r="I421" s="1961">
        <f>I419+I420</f>
        <v>0</v>
      </c>
    </row>
    <row r="422" spans="2:9" ht="15" customHeight="1" thickTop="1">
      <c r="B422" s="1949"/>
      <c r="C422" s="1950" t="str">
        <f>$C$77</f>
        <v>Validation check to the total by performance commitment above in columns V to Y</v>
      </c>
      <c r="D422" s="1940"/>
      <c r="E422" s="1940"/>
      <c r="F422" s="1951" t="b">
        <f>F421=VLOOKUP($B420,$T$14:$Y$30,3,0)</f>
        <v>1</v>
      </c>
      <c r="G422" s="1952" t="b">
        <f>G421=VLOOKUP($B420,$T$14:$Y$30,4,0)</f>
        <v>1</v>
      </c>
      <c r="H422" s="1952" t="b">
        <f>H421=VLOOKUP($B420,$T$14:$Y$30,5,0)</f>
        <v>1</v>
      </c>
      <c r="I422" s="1952" t="b">
        <f>I421=VLOOKUP($B420,$T$14:$Y$30,6,0)</f>
        <v>1</v>
      </c>
    </row>
    <row r="423" spans="2:9" ht="15" customHeight="1">
      <c r="B423" s="1963" t="s">
        <v>2137</v>
      </c>
      <c r="C423" s="1964"/>
      <c r="D423" s="1965"/>
      <c r="E423" s="1965"/>
      <c r="F423" s="1966"/>
      <c r="G423" s="1966"/>
      <c r="H423" s="1966"/>
      <c r="I423" s="1966"/>
    </row>
    <row r="424" spans="2:9" ht="15" customHeight="1">
      <c r="B424" s="1963"/>
      <c r="C424" s="1964"/>
      <c r="D424" s="1965"/>
      <c r="E424" s="1965"/>
      <c r="F424" s="1966"/>
      <c r="G424" s="1966"/>
      <c r="H424" s="1966"/>
      <c r="I424" s="1966"/>
    </row>
    <row r="425" spans="2:9" ht="15" customHeight="1">
      <c r="B425" s="1936"/>
      <c r="C425" s="1936"/>
      <c r="F425" s="1936"/>
      <c r="I425" s="449" t="s">
        <v>2074</v>
      </c>
    </row>
    <row r="426" spans="2:9">
      <c r="B426" s="1936"/>
      <c r="C426" s="1936"/>
      <c r="F426" s="1957" t="s">
        <v>1830</v>
      </c>
      <c r="G426" s="1885" t="s">
        <v>1840</v>
      </c>
      <c r="H426" s="1885" t="s">
        <v>1847</v>
      </c>
      <c r="I426" s="1977" t="s">
        <v>1853</v>
      </c>
    </row>
    <row r="427" spans="2:9" ht="15" customHeight="1">
      <c r="B427" s="1962" t="s">
        <v>1889</v>
      </c>
      <c r="C427" s="1936"/>
      <c r="F427" s="1957" t="s">
        <v>165</v>
      </c>
      <c r="G427" s="1885" t="s">
        <v>165</v>
      </c>
      <c r="H427" s="1885" t="s">
        <v>165</v>
      </c>
      <c r="I427" s="1885" t="s">
        <v>165</v>
      </c>
    </row>
    <row r="428" spans="2:9" ht="15" customHeight="1">
      <c r="B428" s="1936" t="s">
        <v>1296</v>
      </c>
      <c r="C428" s="1936" t="s">
        <v>2120</v>
      </c>
      <c r="F428" s="1938">
        <v>0</v>
      </c>
      <c r="G428" s="1938">
        <v>0</v>
      </c>
      <c r="H428" s="2185">
        <v>0</v>
      </c>
      <c r="I428" s="2185">
        <v>0</v>
      </c>
    </row>
    <row r="429" spans="2:9" ht="15" customHeight="1">
      <c r="B429" s="1936" t="s">
        <v>1296</v>
      </c>
      <c r="C429" s="1936" t="s">
        <v>2121</v>
      </c>
      <c r="F429" s="1938">
        <v>0</v>
      </c>
      <c r="G429" s="1938">
        <v>0</v>
      </c>
      <c r="H429" s="2185">
        <v>0</v>
      </c>
      <c r="I429" s="2185">
        <v>0</v>
      </c>
    </row>
    <row r="430" spans="2:9" ht="15" customHeight="1">
      <c r="B430" s="1936" t="s">
        <v>1296</v>
      </c>
      <c r="C430" s="1936" t="s">
        <v>2122</v>
      </c>
      <c r="F430" s="1938">
        <v>0</v>
      </c>
      <c r="G430" s="1938">
        <v>0</v>
      </c>
      <c r="H430" s="2185">
        <v>0</v>
      </c>
      <c r="I430" s="2185">
        <v>0</v>
      </c>
    </row>
    <row r="431" spans="2:9" ht="15" customHeight="1">
      <c r="B431" s="1936" t="s">
        <v>1296</v>
      </c>
      <c r="C431" s="1936" t="s">
        <v>2123</v>
      </c>
      <c r="F431" s="1938">
        <v>0</v>
      </c>
      <c r="G431" s="1938">
        <v>0</v>
      </c>
      <c r="H431" s="2185">
        <v>0</v>
      </c>
      <c r="I431" s="2185">
        <v>0</v>
      </c>
    </row>
    <row r="432" spans="2:9" ht="15" customHeight="1">
      <c r="B432" s="1936" t="s">
        <v>1296</v>
      </c>
      <c r="C432" s="1936" t="s">
        <v>2124</v>
      </c>
      <c r="F432" s="1938">
        <v>0</v>
      </c>
      <c r="G432" s="1938">
        <v>0</v>
      </c>
      <c r="H432" s="2185">
        <v>0</v>
      </c>
      <c r="I432" s="2185">
        <v>0</v>
      </c>
    </row>
    <row r="433" spans="2:9" ht="15" customHeight="1">
      <c r="B433" s="1936" t="s">
        <v>1296</v>
      </c>
      <c r="C433" s="1936" t="s">
        <v>2125</v>
      </c>
      <c r="F433" s="1938">
        <v>0</v>
      </c>
      <c r="G433" s="1938">
        <v>0</v>
      </c>
      <c r="H433" s="2185">
        <v>0</v>
      </c>
      <c r="I433" s="2185">
        <v>0</v>
      </c>
    </row>
    <row r="434" spans="2:9" ht="15" customHeight="1">
      <c r="B434" s="1944" t="s">
        <v>1296</v>
      </c>
      <c r="C434" s="1944" t="s">
        <v>2126</v>
      </c>
      <c r="D434" s="1945"/>
      <c r="E434" s="1945"/>
      <c r="F434" s="1946">
        <v>0</v>
      </c>
      <c r="G434" s="1946">
        <v>0</v>
      </c>
      <c r="H434" s="2186">
        <v>0</v>
      </c>
      <c r="I434" s="2186">
        <v>0</v>
      </c>
    </row>
    <row r="435" spans="2:9" ht="15" customHeight="1">
      <c r="B435" s="1936" t="s">
        <v>1296</v>
      </c>
      <c r="C435" s="1936" t="s">
        <v>2127</v>
      </c>
      <c r="F435" s="1938">
        <v>0</v>
      </c>
      <c r="G435" s="1938">
        <v>0</v>
      </c>
      <c r="H435" s="2185">
        <v>0</v>
      </c>
      <c r="I435" s="2185">
        <v>0</v>
      </c>
    </row>
    <row r="436" spans="2:9" ht="15" customHeight="1">
      <c r="B436" s="1936" t="s">
        <v>1296</v>
      </c>
      <c r="C436" s="1936" t="s">
        <v>2128</v>
      </c>
      <c r="F436" s="1938">
        <v>0</v>
      </c>
      <c r="G436" s="1938">
        <v>0</v>
      </c>
      <c r="H436" s="2185">
        <v>0</v>
      </c>
      <c r="I436" s="2185">
        <v>0</v>
      </c>
    </row>
    <row r="437" spans="2:9" ht="15" customHeight="1">
      <c r="B437" s="1936" t="s">
        <v>1296</v>
      </c>
      <c r="C437" s="1936" t="s">
        <v>2129</v>
      </c>
      <c r="F437" s="1938">
        <v>0</v>
      </c>
      <c r="G437" s="1938">
        <v>0</v>
      </c>
      <c r="H437" s="2185">
        <v>0</v>
      </c>
      <c r="I437" s="2185">
        <v>0</v>
      </c>
    </row>
    <row r="438" spans="2:9" ht="15" customHeight="1">
      <c r="B438" s="1936" t="s">
        <v>1296</v>
      </c>
      <c r="C438" s="1936" t="s">
        <v>2130</v>
      </c>
      <c r="F438" s="1938">
        <v>0</v>
      </c>
      <c r="G438" s="1938">
        <v>0</v>
      </c>
      <c r="H438" s="2185">
        <v>0</v>
      </c>
      <c r="I438" s="2185">
        <v>0</v>
      </c>
    </row>
    <row r="439" spans="2:9" ht="15" customHeight="1">
      <c r="B439" s="1936" t="s">
        <v>1296</v>
      </c>
      <c r="C439" s="1936" t="s">
        <v>2131</v>
      </c>
      <c r="F439" s="1938">
        <v>0</v>
      </c>
      <c r="G439" s="1938">
        <v>0</v>
      </c>
      <c r="H439" s="2185">
        <v>0</v>
      </c>
      <c r="I439" s="2185">
        <v>0</v>
      </c>
    </row>
    <row r="440" spans="2:9" ht="15" customHeight="1">
      <c r="B440" s="1936" t="s">
        <v>1296</v>
      </c>
      <c r="C440" s="1936" t="s">
        <v>2132</v>
      </c>
      <c r="F440" s="1938">
        <v>0</v>
      </c>
      <c r="G440" s="1938">
        <v>0</v>
      </c>
      <c r="H440" s="2185">
        <v>0</v>
      </c>
      <c r="I440" s="2185">
        <v>0</v>
      </c>
    </row>
    <row r="441" spans="2:9" ht="15" customHeight="1">
      <c r="B441" s="1936" t="s">
        <v>1296</v>
      </c>
      <c r="C441" s="1936" t="s">
        <v>2133</v>
      </c>
      <c r="F441" s="1938">
        <v>0</v>
      </c>
      <c r="G441" s="1938">
        <v>0</v>
      </c>
      <c r="H441" s="2185">
        <v>0</v>
      </c>
      <c r="I441" s="2185">
        <v>0</v>
      </c>
    </row>
    <row r="442" spans="2:9" ht="15" customHeight="1">
      <c r="B442" s="1936" t="s">
        <v>1296</v>
      </c>
      <c r="C442" s="1936" t="s">
        <v>2134</v>
      </c>
      <c r="F442" s="1937">
        <f>SUM(F428:F434)</f>
        <v>0</v>
      </c>
      <c r="G442" s="1938">
        <f>SUM(G428:G434)</f>
        <v>0</v>
      </c>
      <c r="H442" s="1938">
        <f>SUM(H428:H434)</f>
        <v>0</v>
      </c>
      <c r="I442" s="1938">
        <f>SUM(I428:I434)</f>
        <v>0</v>
      </c>
    </row>
    <row r="443" spans="2:9" ht="15" customHeight="1">
      <c r="B443" s="1936" t="s">
        <v>1296</v>
      </c>
      <c r="C443" s="1936" t="s">
        <v>2135</v>
      </c>
      <c r="F443" s="1937">
        <f>SUM(F435:F441)</f>
        <v>0</v>
      </c>
      <c r="G443" s="1938">
        <f>SUM(G435:G441)</f>
        <v>0</v>
      </c>
      <c r="H443" s="1938">
        <f>SUM(H435:H441)</f>
        <v>0</v>
      </c>
      <c r="I443" s="1938">
        <f>SUM(I435:I441)</f>
        <v>0</v>
      </c>
    </row>
    <row r="444" spans="2:9" ht="15" customHeight="1" thickBot="1">
      <c r="B444" s="1947"/>
      <c r="C444" s="1959" t="s">
        <v>1299</v>
      </c>
      <c r="D444" s="1948"/>
      <c r="E444" s="1948"/>
      <c r="F444" s="1960">
        <f>F442+F443</f>
        <v>0</v>
      </c>
      <c r="G444" s="1961">
        <f>G442+G443</f>
        <v>0</v>
      </c>
      <c r="H444" s="1961">
        <f>H442+H443</f>
        <v>0</v>
      </c>
      <c r="I444" s="1961">
        <f>I442+I443</f>
        <v>0</v>
      </c>
    </row>
    <row r="445" spans="2:9" ht="15" customHeight="1" thickTop="1">
      <c r="B445" s="1940"/>
      <c r="C445" s="1950" t="str">
        <f>$C$77</f>
        <v>Validation check to the total by performance commitment above in columns V to Y</v>
      </c>
      <c r="D445" s="1940"/>
      <c r="E445" s="1940"/>
      <c r="F445" s="1952" t="b">
        <f>F444=VLOOKUP($B443,$T$14:$Y$30,3,0)</f>
        <v>1</v>
      </c>
      <c r="G445" s="1952" t="b">
        <f>G444=VLOOKUP($B443,$T$14:$Y$30,4,0)</f>
        <v>1</v>
      </c>
      <c r="H445" s="1952" t="b">
        <f>H444=VLOOKUP($B443,$T$14:$Y$30,5,0)</f>
        <v>1</v>
      </c>
      <c r="I445" s="1952" t="b">
        <f>I444=VLOOKUP($B443,$T$14:$Y$30,6,0)</f>
        <v>1</v>
      </c>
    </row>
    <row r="446" spans="2:9" ht="15" customHeight="1">
      <c r="B446" s="1963" t="s">
        <v>2137</v>
      </c>
      <c r="C446" s="1967"/>
      <c r="D446" s="1967"/>
      <c r="E446" s="1967"/>
      <c r="F446" s="1967"/>
      <c r="G446" s="1967"/>
      <c r="H446" s="1967"/>
      <c r="I446" s="1967"/>
    </row>
    <row r="447" spans="2:9" ht="15" customHeight="1">
      <c r="B447" s="1963"/>
      <c r="C447" s="1967"/>
      <c r="D447" s="1967"/>
      <c r="E447" s="1967"/>
      <c r="F447" s="1967"/>
      <c r="G447" s="1967"/>
      <c r="H447" s="1967"/>
      <c r="I447" s="1967"/>
    </row>
    <row r="448" spans="2:9" ht="15" customHeight="1">
      <c r="B448" s="1958"/>
    </row>
    <row r="449" spans="1:25" ht="15" customHeight="1"/>
    <row r="450" spans="1:25">
      <c r="A450" s="1990" t="s">
        <v>1082</v>
      </c>
      <c r="B450" s="1953"/>
      <c r="C450" s="1953"/>
      <c r="D450" s="1953"/>
      <c r="E450" s="1953"/>
      <c r="F450" s="1953"/>
      <c r="G450" s="1953"/>
      <c r="H450" s="1953"/>
      <c r="I450" s="1953"/>
      <c r="J450" s="1953"/>
      <c r="K450" s="1953"/>
      <c r="L450" s="1953"/>
      <c r="M450" s="1953"/>
      <c r="N450" s="1953"/>
      <c r="O450" s="1953"/>
      <c r="P450" s="1953"/>
      <c r="Q450" s="1953"/>
      <c r="R450" s="1953"/>
      <c r="S450" s="1953"/>
      <c r="T450" s="1953"/>
      <c r="U450" s="1953"/>
      <c r="V450" s="1953"/>
      <c r="W450" s="1953"/>
      <c r="X450" s="1953"/>
      <c r="Y450" s="1953"/>
    </row>
  </sheetData>
  <conditionalFormatting sqref="F33:I33">
    <cfRule type="cellIs" dxfId="203" priority="38" operator="equal">
      <formula>TRUE</formula>
    </cfRule>
  </conditionalFormatting>
  <conditionalFormatting sqref="F77:I79">
    <cfRule type="cellIs" dxfId="202" priority="17" operator="equal">
      <formula>TRUE</formula>
    </cfRule>
  </conditionalFormatting>
  <conditionalFormatting sqref="F100:I102">
    <cfRule type="cellIs" dxfId="201" priority="16" operator="equal">
      <formula>TRUE</formula>
    </cfRule>
  </conditionalFormatting>
  <conditionalFormatting sqref="F123:I125">
    <cfRule type="cellIs" dxfId="200" priority="15" operator="equal">
      <formula>TRUE</formula>
    </cfRule>
  </conditionalFormatting>
  <conditionalFormatting sqref="F146:I148">
    <cfRule type="cellIs" dxfId="199" priority="14" operator="equal">
      <formula>TRUE</formula>
    </cfRule>
  </conditionalFormatting>
  <conditionalFormatting sqref="F169:I171">
    <cfRule type="cellIs" dxfId="198" priority="13" operator="equal">
      <formula>TRUE</formula>
    </cfRule>
  </conditionalFormatting>
  <conditionalFormatting sqref="F192:I194">
    <cfRule type="cellIs" dxfId="197" priority="12" operator="equal">
      <formula>TRUE</formula>
    </cfRule>
  </conditionalFormatting>
  <conditionalFormatting sqref="F215:I217">
    <cfRule type="cellIs" dxfId="196" priority="11" operator="equal">
      <formula>TRUE</formula>
    </cfRule>
  </conditionalFormatting>
  <conditionalFormatting sqref="F238:I240">
    <cfRule type="cellIs" dxfId="195" priority="10" operator="equal">
      <formula>TRUE</formula>
    </cfRule>
  </conditionalFormatting>
  <conditionalFormatting sqref="F261:I263">
    <cfRule type="cellIs" dxfId="194" priority="9" operator="equal">
      <formula>TRUE</formula>
    </cfRule>
  </conditionalFormatting>
  <conditionalFormatting sqref="F284:I286">
    <cfRule type="cellIs" dxfId="193" priority="8" operator="equal">
      <formula>TRUE</formula>
    </cfRule>
  </conditionalFormatting>
  <conditionalFormatting sqref="F307:I309">
    <cfRule type="cellIs" dxfId="192" priority="7" operator="equal">
      <formula>TRUE</formula>
    </cfRule>
  </conditionalFormatting>
  <conditionalFormatting sqref="F330:I332">
    <cfRule type="cellIs" dxfId="191" priority="6" operator="equal">
      <formula>TRUE</formula>
    </cfRule>
  </conditionalFormatting>
  <conditionalFormatting sqref="F353:I355">
    <cfRule type="cellIs" dxfId="190" priority="5" operator="equal">
      <formula>TRUE</formula>
    </cfRule>
  </conditionalFormatting>
  <conditionalFormatting sqref="F376:I378">
    <cfRule type="cellIs" dxfId="189" priority="4" operator="equal">
      <formula>TRUE</formula>
    </cfRule>
  </conditionalFormatting>
  <conditionalFormatting sqref="F399:I401">
    <cfRule type="cellIs" dxfId="188" priority="3" operator="equal">
      <formula>TRUE</formula>
    </cfRule>
  </conditionalFormatting>
  <conditionalFormatting sqref="F422:I424">
    <cfRule type="cellIs" dxfId="187" priority="2" operator="equal">
      <formula>TRUE</formula>
    </cfRule>
  </conditionalFormatting>
  <conditionalFormatting sqref="F445:I445">
    <cfRule type="cellIs" dxfId="186" priority="1" operator="equal">
      <formula>TRUE</formula>
    </cfRule>
  </conditionalFormatting>
  <conditionalFormatting sqref="J60:K73">
    <cfRule type="cellIs" dxfId="185" priority="18" operator="equal">
      <formula>0</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25" zeroHeight="1"/>
  <cols>
    <col min="1" max="2" width="1.625" style="165" customWidth="1"/>
    <col min="3" max="3" width="39.125" style="165" customWidth="1"/>
    <col min="4" max="17" width="9" style="165" customWidth="1"/>
    <col min="18" max="16384" width="9" style="165" hidden="1"/>
  </cols>
  <sheetData>
    <row r="1" spans="1:17" ht="44.25">
      <c r="A1" s="425" t="e">
        <f ca="1" xml:space="preserve"> RIGHT(CELL("filename", $A$1), LEN(CELL("filename", $A$1)) - SEARCH("]", CELL("filename", $A$1)))</f>
        <v>#VALUE!</v>
      </c>
      <c r="B1" s="1161"/>
      <c r="C1" s="1161"/>
      <c r="D1" s="2257"/>
      <c r="E1" s="2258"/>
      <c r="F1" s="2258"/>
      <c r="G1" s="2258"/>
      <c r="H1" s="2258"/>
      <c r="I1" s="2258"/>
      <c r="J1" s="2258"/>
      <c r="K1" s="2257"/>
      <c r="L1" s="2257"/>
      <c r="M1" s="2259"/>
      <c r="N1" s="2259"/>
      <c r="O1" s="2259"/>
      <c r="P1" s="2259"/>
      <c r="Q1" s="2259"/>
    </row>
    <row r="2" spans="1:17" ht="15">
      <c r="A2" s="1343"/>
      <c r="B2" s="1343"/>
      <c r="C2" s="1343"/>
      <c r="D2" s="1343"/>
      <c r="E2" s="2024"/>
      <c r="F2" s="2024"/>
      <c r="G2" s="2024"/>
      <c r="H2" s="2024"/>
      <c r="I2" s="2024"/>
      <c r="J2" s="2024"/>
      <c r="K2" s="1343"/>
      <c r="L2" s="1343"/>
    </row>
    <row r="3" spans="1:17" ht="15">
      <c r="A3" s="1343"/>
      <c r="B3" s="1343"/>
      <c r="C3" s="1343" t="s">
        <v>2143</v>
      </c>
      <c r="D3" s="1343"/>
      <c r="E3" s="2024"/>
      <c r="F3" s="2024"/>
      <c r="G3" s="2024"/>
      <c r="H3" s="2024"/>
      <c r="I3" s="2024"/>
      <c r="J3" s="2024"/>
      <c r="K3" s="1343"/>
      <c r="L3" s="1343"/>
    </row>
    <row r="4" spans="1:17" ht="15">
      <c r="A4" s="1343"/>
      <c r="B4" s="1343"/>
      <c r="C4" s="1343"/>
      <c r="D4" s="1343"/>
      <c r="E4" s="2024"/>
      <c r="F4" s="2024"/>
      <c r="G4" s="2024"/>
      <c r="H4" s="2024"/>
      <c r="I4" s="2024"/>
      <c r="J4" s="2024"/>
      <c r="K4" s="1343"/>
      <c r="L4" s="1343"/>
    </row>
    <row r="5" spans="1:17" ht="15">
      <c r="A5" s="1343"/>
      <c r="B5" s="1343"/>
      <c r="C5" s="1343"/>
      <c r="D5" s="1343"/>
      <c r="E5" s="2024"/>
      <c r="F5" s="2415" t="s">
        <v>2144</v>
      </c>
      <c r="G5" s="2415"/>
      <c r="H5" s="2415"/>
      <c r="I5" s="2415"/>
      <c r="J5" s="2252" t="s">
        <v>2145</v>
      </c>
      <c r="K5" s="1343"/>
      <c r="L5" s="1343"/>
    </row>
    <row r="6" spans="1:17" ht="15">
      <c r="A6" s="1343"/>
      <c r="B6" s="1343"/>
      <c r="C6" s="1343" t="s">
        <v>2074</v>
      </c>
      <c r="D6" s="1343"/>
      <c r="E6" s="2358" t="s">
        <v>1937</v>
      </c>
      <c r="F6" s="2202" t="s">
        <v>1830</v>
      </c>
      <c r="G6" s="2202" t="s">
        <v>1840</v>
      </c>
      <c r="H6" s="2202" t="s">
        <v>1847</v>
      </c>
      <c r="I6" s="2202" t="s">
        <v>1853</v>
      </c>
      <c r="J6" s="2252" t="s">
        <v>129</v>
      </c>
      <c r="K6" s="2202" t="s">
        <v>1936</v>
      </c>
      <c r="L6" s="1343"/>
    </row>
    <row r="7" spans="1:17" ht="15">
      <c r="A7" s="1343"/>
      <c r="B7" s="1343"/>
      <c r="C7" s="1343"/>
      <c r="D7" s="1343"/>
      <c r="E7" s="2024"/>
      <c r="F7" s="2024"/>
      <c r="G7" s="2024"/>
      <c r="H7" s="2024"/>
      <c r="I7" s="2024"/>
      <c r="J7" s="2253"/>
      <c r="K7" s="1343"/>
      <c r="L7" s="1343"/>
    </row>
    <row r="8" spans="1:17" ht="15">
      <c r="A8" s="1343"/>
      <c r="B8" s="1343"/>
      <c r="C8" s="1343" t="s">
        <v>1962</v>
      </c>
      <c r="D8" s="2024" t="s">
        <v>1102</v>
      </c>
      <c r="E8" s="2024" t="s">
        <v>165</v>
      </c>
      <c r="F8" s="2203">
        <v>-1.9073999999999978</v>
      </c>
      <c r="G8" s="2203">
        <v>-2.3935999999999913</v>
      </c>
      <c r="H8" s="2203">
        <v>-2.8798000000000066</v>
      </c>
      <c r="I8" s="2203">
        <v>-1.1593999999999978</v>
      </c>
      <c r="J8" s="2254">
        <v>-0.67319999999999358</v>
      </c>
      <c r="K8" s="2204">
        <f t="shared" ref="K8:K25" si="0">SUM(F8:J8)</f>
        <v>-9.0133999999999883</v>
      </c>
      <c r="L8" s="1343"/>
    </row>
    <row r="9" spans="1:17" ht="15">
      <c r="A9" s="1343"/>
      <c r="B9" s="1343"/>
      <c r="C9" s="1343" t="s">
        <v>1962</v>
      </c>
      <c r="D9" s="2024" t="s">
        <v>1116</v>
      </c>
      <c r="E9" s="2024" t="s">
        <v>165</v>
      </c>
      <c r="F9" s="2203">
        <v>-0.97200000000000242</v>
      </c>
      <c r="G9" s="2203">
        <v>-1.4850000000000001</v>
      </c>
      <c r="H9" s="2203">
        <v>-1.8225000000000002</v>
      </c>
      <c r="I9" s="2203">
        <v>-1.5794999999999986</v>
      </c>
      <c r="J9" s="2254">
        <v>-1.6065000000000009</v>
      </c>
      <c r="K9" s="2204">
        <f t="shared" si="0"/>
        <v>-7.4655000000000022</v>
      </c>
      <c r="L9" s="1343"/>
    </row>
    <row r="10" spans="1:17" ht="15">
      <c r="A10" s="1343"/>
      <c r="B10" s="1343"/>
      <c r="C10" s="1343" t="s">
        <v>1962</v>
      </c>
      <c r="D10" s="2024" t="s">
        <v>1130</v>
      </c>
      <c r="E10" s="2024" t="s">
        <v>165</v>
      </c>
      <c r="F10" s="2203">
        <v>-5.180000000000004E-2</v>
      </c>
      <c r="G10" s="2203">
        <v>-9.8000000000000004E-2</v>
      </c>
      <c r="H10" s="2203">
        <v>-0.13579999999999984</v>
      </c>
      <c r="I10" s="2203">
        <v>-8.6799999999999849E-2</v>
      </c>
      <c r="J10" s="2254">
        <v>0</v>
      </c>
      <c r="K10" s="2204">
        <f t="shared" si="0"/>
        <v>-0.37239999999999973</v>
      </c>
      <c r="L10" s="1343"/>
    </row>
    <row r="11" spans="1:17" ht="15">
      <c r="A11" s="1343"/>
      <c r="B11" s="1343"/>
      <c r="C11" s="1343" t="s">
        <v>1962</v>
      </c>
      <c r="D11" s="2024" t="s">
        <v>1143</v>
      </c>
      <c r="E11" s="2024" t="s">
        <v>165</v>
      </c>
      <c r="F11" s="2203">
        <v>-1.3662000000000012</v>
      </c>
      <c r="G11" s="2203">
        <v>-1.9403999999999968</v>
      </c>
      <c r="H11" s="2203">
        <v>-2.5542000000000011</v>
      </c>
      <c r="I11" s="2203">
        <v>-2.0393999999999965</v>
      </c>
      <c r="J11" s="2254">
        <v>-1.782</v>
      </c>
      <c r="K11" s="2204">
        <f t="shared" si="0"/>
        <v>-9.6821999999999964</v>
      </c>
      <c r="L11" s="1343"/>
    </row>
    <row r="12" spans="1:17" ht="15">
      <c r="A12" s="1343"/>
      <c r="B12" s="1343"/>
      <c r="C12" s="1343" t="s">
        <v>1962</v>
      </c>
      <c r="D12" s="2024" t="s">
        <v>1157</v>
      </c>
      <c r="E12" s="2024" t="s">
        <v>165</v>
      </c>
      <c r="F12" s="2203">
        <v>-1.5049999999999939</v>
      </c>
      <c r="G12" s="2203">
        <v>-2.3099999999999978</v>
      </c>
      <c r="H12" s="2203">
        <v>-2.3449999999999958</v>
      </c>
      <c r="I12" s="2203">
        <v>-0.49000000000000193</v>
      </c>
      <c r="J12" s="2254">
        <v>0</v>
      </c>
      <c r="K12" s="2204">
        <f t="shared" si="0"/>
        <v>-6.6499999999999897</v>
      </c>
      <c r="L12" s="1343"/>
    </row>
    <row r="13" spans="1:17" ht="15">
      <c r="A13" s="1343"/>
      <c r="B13" s="1343"/>
      <c r="C13" s="1343" t="s">
        <v>1962</v>
      </c>
      <c r="D13" s="2024" t="s">
        <v>1171</v>
      </c>
      <c r="E13" s="2024" t="s">
        <v>165</v>
      </c>
      <c r="F13" s="2203">
        <v>-0.13950000000000001</v>
      </c>
      <c r="G13" s="2203">
        <v>0.128</v>
      </c>
      <c r="H13" s="2203">
        <v>-1.1718000000000048</v>
      </c>
      <c r="I13" s="2203">
        <v>-2.5389000000000066</v>
      </c>
      <c r="J13" s="2254">
        <v>-2.5110000000000001</v>
      </c>
      <c r="K13" s="2204">
        <f t="shared" si="0"/>
        <v>-6.2332000000000116</v>
      </c>
      <c r="L13" s="1343"/>
    </row>
    <row r="14" spans="1:17" ht="15">
      <c r="A14" s="1343"/>
      <c r="B14" s="1343"/>
      <c r="C14" s="1343" t="s">
        <v>1962</v>
      </c>
      <c r="D14" s="2024" t="s">
        <v>1185</v>
      </c>
      <c r="E14" s="2024" t="s">
        <v>165</v>
      </c>
      <c r="F14" s="2203">
        <v>-0.99679999999999891</v>
      </c>
      <c r="G14" s="2203">
        <v>-1.4773999999999994</v>
      </c>
      <c r="H14" s="2203">
        <v>-2.011399999999997</v>
      </c>
      <c r="I14" s="2203">
        <v>-1.6731999999999985</v>
      </c>
      <c r="J14" s="2254">
        <v>-1.5663999999999993</v>
      </c>
      <c r="K14" s="2204">
        <f t="shared" si="0"/>
        <v>-7.7251999999999938</v>
      </c>
      <c r="L14" s="1343"/>
    </row>
    <row r="15" spans="1:17" ht="15">
      <c r="A15" s="1343"/>
      <c r="B15" s="1343"/>
      <c r="C15" s="1343" t="s">
        <v>1962</v>
      </c>
      <c r="D15" s="2024" t="s">
        <v>1199</v>
      </c>
      <c r="E15" s="2024" t="s">
        <v>165</v>
      </c>
      <c r="F15" s="2203">
        <v>-2.7839999999999998</v>
      </c>
      <c r="G15" s="2203">
        <v>-3.3407999999999878</v>
      </c>
      <c r="H15" s="2203">
        <v>-3.201599999999996</v>
      </c>
      <c r="I15" s="2203">
        <v>-1.044</v>
      </c>
      <c r="J15" s="2254">
        <v>-1.8792000000000117</v>
      </c>
      <c r="K15" s="2204">
        <f t="shared" si="0"/>
        <v>-12.249599999999996</v>
      </c>
      <c r="L15" s="1343"/>
    </row>
    <row r="16" spans="1:17" ht="15">
      <c r="A16" s="1343"/>
      <c r="B16" s="1343"/>
      <c r="C16" s="1343" t="s">
        <v>1962</v>
      </c>
      <c r="D16" s="2024" t="s">
        <v>1213</v>
      </c>
      <c r="E16" s="2024" t="s">
        <v>165</v>
      </c>
      <c r="F16" s="2203">
        <v>-1.7424000000000024</v>
      </c>
      <c r="G16" s="2203">
        <v>-2.2967999999999935</v>
      </c>
      <c r="H16" s="2203">
        <v>-2.4947999999999935</v>
      </c>
      <c r="I16" s="2203">
        <v>-1.4652000000000067</v>
      </c>
      <c r="J16" s="2254">
        <v>-1.0691999999999955</v>
      </c>
      <c r="K16" s="2204">
        <f t="shared" si="0"/>
        <v>-9.0683999999999916</v>
      </c>
      <c r="L16" s="1343"/>
    </row>
    <row r="17" spans="1:17" ht="15">
      <c r="A17" s="1343"/>
      <c r="B17" s="1343"/>
      <c r="C17" s="1343" t="s">
        <v>1962</v>
      </c>
      <c r="D17" s="2024" t="s">
        <v>1227</v>
      </c>
      <c r="E17" s="2024" t="s">
        <v>165</v>
      </c>
      <c r="F17" s="2203">
        <v>-0.70200000000000073</v>
      </c>
      <c r="G17" s="2203">
        <v>-0.97500000000000009</v>
      </c>
      <c r="H17" s="2203">
        <v>-1.0139999999999978</v>
      </c>
      <c r="I17" s="2203">
        <v>-0.22100000000000222</v>
      </c>
      <c r="J17" s="2254">
        <v>-5.200000000000074E-2</v>
      </c>
      <c r="K17" s="2204">
        <f t="shared" si="0"/>
        <v>-2.9640000000000022</v>
      </c>
      <c r="L17" s="1343"/>
    </row>
    <row r="18" spans="1:17" ht="15">
      <c r="A18" s="1343"/>
      <c r="B18" s="1343"/>
      <c r="C18" s="1343" t="s">
        <v>1962</v>
      </c>
      <c r="D18" s="2024" t="s">
        <v>1241</v>
      </c>
      <c r="E18" s="2024" t="s">
        <v>165</v>
      </c>
      <c r="F18" s="2203">
        <v>-1.6428000000000014</v>
      </c>
      <c r="G18" s="2203">
        <v>-2.5751999999999988</v>
      </c>
      <c r="H18" s="2203">
        <v>-2.9969999999999968</v>
      </c>
      <c r="I18" s="2203">
        <v>-2.0646000000000027</v>
      </c>
      <c r="J18" s="2254">
        <v>-1.798200000000002</v>
      </c>
      <c r="K18" s="2204">
        <f t="shared" si="0"/>
        <v>-11.0778</v>
      </c>
      <c r="L18" s="1343"/>
    </row>
    <row r="19" spans="1:17" ht="15">
      <c r="A19" s="1343"/>
      <c r="B19" s="1343"/>
      <c r="C19" s="1343" t="s">
        <v>1962</v>
      </c>
      <c r="D19" s="2024" t="s">
        <v>1251</v>
      </c>
      <c r="E19" s="2024" t="s">
        <v>165</v>
      </c>
      <c r="F19" s="2203">
        <v>-2.3119999999999998</v>
      </c>
      <c r="G19" s="2203">
        <v>-3.6702999999999966</v>
      </c>
      <c r="H19" s="2203">
        <v>-5.1441999999999943</v>
      </c>
      <c r="I19" s="2203">
        <v>-5.1153000000000048</v>
      </c>
      <c r="J19" s="2254">
        <v>-5.6932999999999963</v>
      </c>
      <c r="K19" s="2204">
        <f t="shared" si="0"/>
        <v>-21.935099999999995</v>
      </c>
      <c r="L19" s="1343"/>
    </row>
    <row r="20" spans="1:17" ht="15">
      <c r="A20" s="1343"/>
      <c r="B20" s="1343"/>
      <c r="C20" s="1343" t="s">
        <v>1962</v>
      </c>
      <c r="D20" s="2024" t="s">
        <v>1260</v>
      </c>
      <c r="E20" s="2024" t="s">
        <v>165</v>
      </c>
      <c r="F20" s="2203">
        <v>-0.17700000000000016</v>
      </c>
      <c r="G20" s="2203">
        <v>-0.2729999999999998</v>
      </c>
      <c r="H20" s="2203">
        <v>-0.33600000000000052</v>
      </c>
      <c r="I20" s="2203">
        <v>-0.22499999999999998</v>
      </c>
      <c r="J20" s="2254">
        <v>-0.19799999999999982</v>
      </c>
      <c r="K20" s="2204">
        <f t="shared" si="0"/>
        <v>-1.2090000000000003</v>
      </c>
      <c r="L20" s="1343"/>
    </row>
    <row r="21" spans="1:17" ht="15">
      <c r="A21" s="1343"/>
      <c r="B21" s="1343"/>
      <c r="C21" s="1343" t="s">
        <v>1962</v>
      </c>
      <c r="D21" s="2024" t="s">
        <v>1269</v>
      </c>
      <c r="E21" s="2024" t="s">
        <v>165</v>
      </c>
      <c r="F21" s="2203">
        <v>-0.32339999999999947</v>
      </c>
      <c r="G21" s="2203">
        <v>-0.48179999999999984</v>
      </c>
      <c r="H21" s="2203">
        <v>-0.57420000000000027</v>
      </c>
      <c r="I21" s="2203">
        <v>-0.45539999999999947</v>
      </c>
      <c r="J21" s="2254">
        <v>-0.48179999999999984</v>
      </c>
      <c r="K21" s="2204">
        <f t="shared" si="0"/>
        <v>-2.3165999999999989</v>
      </c>
      <c r="L21" s="1343"/>
    </row>
    <row r="22" spans="1:17" ht="15">
      <c r="A22" s="1343"/>
      <c r="B22" s="1343"/>
      <c r="C22" s="1343" t="s">
        <v>1962</v>
      </c>
      <c r="D22" s="2024" t="s">
        <v>1278</v>
      </c>
      <c r="E22" s="2024" t="s">
        <v>165</v>
      </c>
      <c r="F22" s="2203">
        <v>-1.0880000000000001</v>
      </c>
      <c r="G22" s="2203">
        <v>-1.9312000000000025</v>
      </c>
      <c r="H22" s="2203">
        <v>-2.4616000000000033</v>
      </c>
      <c r="I22" s="2203">
        <v>-1.6728000000000016</v>
      </c>
      <c r="J22" s="2254">
        <v>-1.1695999999999993</v>
      </c>
      <c r="K22" s="2204">
        <f t="shared" si="0"/>
        <v>-8.323200000000007</v>
      </c>
      <c r="L22" s="1343"/>
    </row>
    <row r="23" spans="1:17" ht="15">
      <c r="A23" s="1343"/>
      <c r="B23" s="1343"/>
      <c r="C23" s="1343" t="s">
        <v>1962</v>
      </c>
      <c r="D23" s="2024" t="s">
        <v>2146</v>
      </c>
      <c r="E23" s="2024" t="s">
        <v>165</v>
      </c>
      <c r="F23" s="2203">
        <v>-1.4027000000000021</v>
      </c>
      <c r="G23" s="2203">
        <v>-2.3997999999999982</v>
      </c>
      <c r="H23" s="2203">
        <v>-3.3800000000000003</v>
      </c>
      <c r="I23" s="2203">
        <v>-2.6026000000000011</v>
      </c>
      <c r="J23" s="2254">
        <v>-1.9265999999999988</v>
      </c>
      <c r="K23" s="2204">
        <f t="shared" si="0"/>
        <v>-11.7117</v>
      </c>
      <c r="L23" s="1343"/>
    </row>
    <row r="24" spans="1:17" ht="15">
      <c r="A24" s="1343"/>
      <c r="B24" s="1343"/>
      <c r="C24" s="1343" t="s">
        <v>1962</v>
      </c>
      <c r="D24" s="2024" t="s">
        <v>2147</v>
      </c>
      <c r="E24" s="2024" t="s">
        <v>165</v>
      </c>
      <c r="F24" s="2203">
        <v>-0.14750000000000016</v>
      </c>
      <c r="G24" s="2203">
        <v>-0.20249999999999987</v>
      </c>
      <c r="H24" s="2203">
        <v>-0.31499999999999989</v>
      </c>
      <c r="I24" s="2203">
        <v>-0.1</v>
      </c>
      <c r="J24" s="2254">
        <v>1.0500000000000001E-2</v>
      </c>
      <c r="K24" s="2204">
        <f t="shared" si="0"/>
        <v>-0.75449999999999995</v>
      </c>
      <c r="L24" s="1343"/>
    </row>
    <row r="25" spans="1:17" ht="15">
      <c r="A25" s="1343"/>
      <c r="B25" s="1343"/>
      <c r="C25" s="1343" t="s">
        <v>1962</v>
      </c>
      <c r="D25" s="2024" t="s">
        <v>1296</v>
      </c>
      <c r="E25" s="2024" t="s">
        <v>165</v>
      </c>
      <c r="F25" s="2203">
        <v>-0.61599999999999999</v>
      </c>
      <c r="G25" s="2203">
        <v>-0.62479999999999947</v>
      </c>
      <c r="H25" s="2203">
        <v>-1.0471999999999979</v>
      </c>
      <c r="I25" s="2203">
        <v>-0.73039999999999849</v>
      </c>
      <c r="J25" s="2254">
        <v>-0.48399999999999999</v>
      </c>
      <c r="K25" s="2204">
        <f t="shared" si="0"/>
        <v>-3.5023999999999962</v>
      </c>
      <c r="L25" s="1343"/>
    </row>
    <row r="26" spans="1:17" ht="15">
      <c r="A26" s="1343"/>
      <c r="B26" s="1343"/>
      <c r="C26" s="1343"/>
      <c r="D26" s="2024" t="s">
        <v>2148</v>
      </c>
      <c r="E26" s="2024" t="s">
        <v>165</v>
      </c>
      <c r="F26" s="2205">
        <f t="shared" ref="F26:K26" si="1">SUM(F8:F25)</f>
        <v>-19.8765</v>
      </c>
      <c r="G26" s="2205">
        <f t="shared" si="1"/>
        <v>-28.347599999999968</v>
      </c>
      <c r="H26" s="2205">
        <f t="shared" si="1"/>
        <v>-35.886099999999985</v>
      </c>
      <c r="I26" s="2205">
        <f t="shared" si="1"/>
        <v>-25.263500000000022</v>
      </c>
      <c r="J26" s="2255">
        <f t="shared" si="1"/>
        <v>-22.880499999999998</v>
      </c>
      <c r="K26" s="2206">
        <f t="shared" si="1"/>
        <v>-132.25419999999997</v>
      </c>
      <c r="L26" s="1343"/>
    </row>
    <row r="27" spans="1:17"/>
    <row r="28" spans="1:17" ht="15">
      <c r="C28" s="1343" t="s">
        <v>2149</v>
      </c>
    </row>
    <row r="29" spans="1:17"/>
    <row r="30" spans="1:17" ht="20.25">
      <c r="A30" s="514" t="s">
        <v>1082</v>
      </c>
      <c r="B30" s="214"/>
      <c r="C30" s="215"/>
      <c r="D30" s="216"/>
      <c r="E30" s="181"/>
      <c r="F30" s="181"/>
      <c r="G30" s="181"/>
      <c r="H30" s="181"/>
      <c r="I30" s="181"/>
      <c r="J30" s="181"/>
      <c r="K30" s="181"/>
      <c r="L30" s="181"/>
      <c r="M30" s="181"/>
      <c r="N30" s="181"/>
      <c r="O30" s="181"/>
      <c r="P30" s="181"/>
      <c r="Q30" s="181"/>
    </row>
    <row r="31" spans="1:17"/>
  </sheetData>
  <mergeCells count="1">
    <mergeCell ref="F5:I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44.25">
      <c r="B1" s="2312" t="s">
        <v>50</v>
      </c>
      <c r="C1" s="1988"/>
    </row>
    <row r="2" spans="2:5" ht="5.25" customHeight="1" thickBot="1">
      <c r="B2" s="4"/>
      <c r="E2" s="4"/>
    </row>
    <row r="3" spans="2:5" ht="30" customHeight="1" thickBot="1">
      <c r="B3" s="2374" t="s">
        <v>51</v>
      </c>
      <c r="C3" s="2374"/>
    </row>
    <row r="4" spans="2:5" ht="30" customHeight="1" thickBot="1">
      <c r="B4" s="41" t="s">
        <v>52</v>
      </c>
      <c r="C4" s="42" t="s">
        <v>53</v>
      </c>
    </row>
    <row r="5" spans="2:5" ht="30" customHeight="1" thickBot="1">
      <c r="B5" s="41" t="s">
        <v>54</v>
      </c>
      <c r="C5" s="42" t="s">
        <v>55</v>
      </c>
    </row>
    <row r="6" spans="2:5" ht="30" customHeight="1" thickBot="1">
      <c r="B6" s="1992" t="s">
        <v>56</v>
      </c>
      <c r="C6" s="1993" t="s">
        <v>57</v>
      </c>
    </row>
    <row r="7" spans="2:5" ht="30" customHeight="1" thickBot="1">
      <c r="B7" s="1992" t="s">
        <v>58</v>
      </c>
      <c r="C7" s="1993" t="s">
        <v>59</v>
      </c>
    </row>
    <row r="8" spans="2:5" ht="30" customHeight="1" thickBot="1">
      <c r="B8" s="41" t="s">
        <v>60</v>
      </c>
      <c r="C8" s="42" t="s">
        <v>61</v>
      </c>
    </row>
    <row r="9" spans="2:5" ht="30" customHeight="1" thickBot="1">
      <c r="B9" s="41" t="s">
        <v>62</v>
      </c>
      <c r="C9" s="42" t="s">
        <v>63</v>
      </c>
    </row>
    <row r="10" spans="2:5" ht="30" customHeight="1" thickBot="1">
      <c r="B10" s="41" t="s">
        <v>64</v>
      </c>
      <c r="C10" s="42" t="s">
        <v>65</v>
      </c>
    </row>
    <row r="11" spans="2:5" ht="30" customHeight="1" thickBot="1">
      <c r="B11" s="41" t="s">
        <v>66</v>
      </c>
      <c r="C11" s="42" t="s">
        <v>65</v>
      </c>
    </row>
    <row r="12" spans="2:5" ht="30" customHeight="1" thickBot="1">
      <c r="B12" s="1992" t="s">
        <v>67</v>
      </c>
      <c r="C12" s="1993" t="s">
        <v>68</v>
      </c>
    </row>
    <row r="13" spans="2:5" ht="30" customHeight="1" thickBot="1">
      <c r="B13" s="41" t="s">
        <v>69</v>
      </c>
      <c r="C13" s="42" t="s">
        <v>70</v>
      </c>
    </row>
    <row r="14" spans="2:5" ht="30" customHeight="1" thickBot="1">
      <c r="B14" s="1992" t="s">
        <v>71</v>
      </c>
      <c r="C14" s="1993" t="s">
        <v>72</v>
      </c>
    </row>
    <row r="15" spans="2:5"/>
    <row r="16" spans="2:5" ht="44.25">
      <c r="B16" s="2313" t="s">
        <v>73</v>
      </c>
      <c r="C16" s="1989"/>
    </row>
    <row r="17" spans="2:3" ht="5.85" customHeight="1" thickBot="1"/>
    <row r="18" spans="2:3" ht="16.5" thickBot="1">
      <c r="B18" s="267" t="s">
        <v>74</v>
      </c>
      <c r="C18" s="267" t="s">
        <v>75</v>
      </c>
    </row>
    <row r="19" spans="2:3" ht="16.5" thickBot="1">
      <c r="B19" s="268" t="s">
        <v>76</v>
      </c>
      <c r="C19" s="42" t="s">
        <v>77</v>
      </c>
    </row>
    <row r="20" spans="2:3" ht="32.25" thickBot="1">
      <c r="B20" s="268" t="s">
        <v>76</v>
      </c>
      <c r="C20" s="42" t="s">
        <v>78</v>
      </c>
    </row>
    <row r="21" spans="2:3" ht="16.5" thickBot="1">
      <c r="B21" s="268" t="s">
        <v>79</v>
      </c>
      <c r="C21" s="42" t="s">
        <v>77</v>
      </c>
    </row>
    <row r="22" spans="2:3" ht="16.5" thickBot="1">
      <c r="B22" s="268" t="s">
        <v>80</v>
      </c>
      <c r="C22" s="42" t="s">
        <v>77</v>
      </c>
    </row>
    <row r="23" spans="2:3" ht="16.5" thickBot="1">
      <c r="B23" s="268" t="s">
        <v>81</v>
      </c>
      <c r="C23" s="42" t="s">
        <v>82</v>
      </c>
    </row>
    <row r="24" spans="2:3" ht="16.5" thickBot="1">
      <c r="B24" s="268" t="s">
        <v>83</v>
      </c>
      <c r="C24" s="42" t="s">
        <v>84</v>
      </c>
    </row>
    <row r="25" spans="2:3" ht="32.25" thickBot="1">
      <c r="B25" s="268" t="s">
        <v>85</v>
      </c>
      <c r="C25" s="42" t="s">
        <v>86</v>
      </c>
    </row>
    <row r="26" spans="2:3" ht="16.5" thickBot="1">
      <c r="B26" s="268" t="s">
        <v>85</v>
      </c>
      <c r="C26" s="42" t="s">
        <v>87</v>
      </c>
    </row>
    <row r="27" spans="2:3" ht="16.5" thickBot="1">
      <c r="B27" s="268" t="s">
        <v>85</v>
      </c>
      <c r="C27" s="42" t="s">
        <v>88</v>
      </c>
    </row>
    <row r="28" spans="2:3" ht="16.5" thickBot="1">
      <c r="B28" s="268" t="s">
        <v>85</v>
      </c>
      <c r="C28" s="42" t="s">
        <v>89</v>
      </c>
    </row>
    <row r="29" spans="2:3" ht="48" thickBot="1">
      <c r="B29" s="268" t="s">
        <v>85</v>
      </c>
      <c r="C29" s="42" t="s">
        <v>90</v>
      </c>
    </row>
    <row r="30" spans="2:3" ht="48" thickBot="1">
      <c r="B30" s="268" t="s">
        <v>85</v>
      </c>
      <c r="C30" s="42" t="s">
        <v>91</v>
      </c>
    </row>
    <row r="31" spans="2:3" ht="32.25" thickBot="1">
      <c r="B31" s="268" t="s">
        <v>92</v>
      </c>
      <c r="C31" s="42" t="s">
        <v>93</v>
      </c>
    </row>
    <row r="32" spans="2:3" ht="32.25" thickBot="1">
      <c r="B32" s="268" t="s">
        <v>85</v>
      </c>
      <c r="C32" s="42" t="s">
        <v>94</v>
      </c>
    </row>
    <row r="33" spans="2:3" ht="32.25" thickBot="1">
      <c r="B33" s="268" t="s">
        <v>85</v>
      </c>
      <c r="C33" s="42" t="s">
        <v>95</v>
      </c>
    </row>
    <row r="34" spans="2:3" ht="32.25" thickBot="1">
      <c r="B34" s="268" t="s">
        <v>85</v>
      </c>
      <c r="C34" s="42" t="s">
        <v>96</v>
      </c>
    </row>
    <row r="35" spans="2:3" ht="16.5" thickBot="1">
      <c r="B35" s="1406" t="s">
        <v>81</v>
      </c>
      <c r="C35" s="1407" t="s">
        <v>97</v>
      </c>
    </row>
    <row r="36" spans="2:3" ht="63.75" thickBot="1">
      <c r="B36" s="1406" t="s">
        <v>85</v>
      </c>
      <c r="C36" s="1407" t="s">
        <v>98</v>
      </c>
    </row>
    <row r="37" spans="2:3" ht="32.25" thickBot="1">
      <c r="B37" s="1406" t="s">
        <v>85</v>
      </c>
      <c r="C37" s="1407" t="s">
        <v>99</v>
      </c>
    </row>
    <row r="38" spans="2:3" ht="63.75" thickBot="1">
      <c r="B38" s="1406" t="s">
        <v>100</v>
      </c>
      <c r="C38" s="1407" t="s">
        <v>101</v>
      </c>
    </row>
    <row r="39" spans="2:3" ht="32.25" thickBot="1">
      <c r="B39" s="1747" t="s">
        <v>85</v>
      </c>
      <c r="C39" s="1748" t="s">
        <v>102</v>
      </c>
    </row>
    <row r="40" spans="2:3" ht="16.5" thickBot="1">
      <c r="B40" s="1881" t="s">
        <v>103</v>
      </c>
      <c r="C40" s="1882" t="s">
        <v>104</v>
      </c>
    </row>
    <row r="41" spans="2:3" ht="16.5" thickBot="1">
      <c r="B41" s="1881" t="s">
        <v>85</v>
      </c>
      <c r="C41" s="1882" t="s">
        <v>105</v>
      </c>
    </row>
    <row r="42" spans="2:3" ht="63.75" thickBot="1">
      <c r="B42" s="1881" t="s">
        <v>85</v>
      </c>
      <c r="C42" s="1882" t="s">
        <v>106</v>
      </c>
    </row>
    <row r="43" spans="2:3" ht="32.25" thickBot="1">
      <c r="B43" s="1975" t="s">
        <v>81</v>
      </c>
      <c r="C43" s="1976" t="s">
        <v>107</v>
      </c>
    </row>
    <row r="44" spans="2:3" ht="16.5" thickBot="1">
      <c r="B44" s="1973" t="s">
        <v>108</v>
      </c>
      <c r="C44" s="1974" t="s">
        <v>109</v>
      </c>
    </row>
    <row r="45" spans="2:3" ht="32.25" thickBot="1">
      <c r="B45" s="1975" t="s">
        <v>108</v>
      </c>
      <c r="C45" s="1976" t="s">
        <v>110</v>
      </c>
    </row>
    <row r="46" spans="2:3" ht="32.25" thickBot="1">
      <c r="B46" s="1975" t="s">
        <v>108</v>
      </c>
      <c r="C46" s="1976" t="s">
        <v>111</v>
      </c>
    </row>
    <row r="47" spans="2:3" ht="16.5" thickBot="1">
      <c r="B47" s="1975" t="s">
        <v>76</v>
      </c>
      <c r="C47" s="1976" t="s">
        <v>112</v>
      </c>
    </row>
    <row r="48" spans="2:3" ht="32.25" thickBot="1">
      <c r="B48" s="1975" t="s">
        <v>113</v>
      </c>
      <c r="C48" s="1976" t="s">
        <v>114</v>
      </c>
    </row>
    <row r="49" spans="2:3" ht="32.25" thickBot="1">
      <c r="B49" s="1975" t="s">
        <v>115</v>
      </c>
      <c r="C49" s="1976" t="s">
        <v>116</v>
      </c>
    </row>
    <row r="50" spans="2:3" ht="16.5" thickBot="1">
      <c r="B50" s="1975" t="s">
        <v>115</v>
      </c>
      <c r="C50" s="1976" t="s">
        <v>117</v>
      </c>
    </row>
    <row r="51" spans="2:3" ht="32.25" thickBot="1">
      <c r="B51" s="1975" t="s">
        <v>118</v>
      </c>
      <c r="C51" s="1976" t="s">
        <v>119</v>
      </c>
    </row>
    <row r="52" spans="2:3" ht="32.25" thickBot="1">
      <c r="B52" s="1994" t="s">
        <v>120</v>
      </c>
      <c r="C52" s="1995" t="s">
        <v>121</v>
      </c>
    </row>
    <row r="53" spans="2:3" ht="32.25" thickBot="1">
      <c r="B53" s="1994" t="s">
        <v>122</v>
      </c>
      <c r="C53" s="1995" t="s">
        <v>123</v>
      </c>
    </row>
    <row r="54" spans="2:3" ht="32.25" thickBot="1">
      <c r="B54" s="2197" t="s">
        <v>120</v>
      </c>
      <c r="C54" s="2198" t="s">
        <v>124</v>
      </c>
    </row>
    <row r="55" spans="2:3" ht="32.25" thickBot="1">
      <c r="B55" s="2197" t="s">
        <v>125</v>
      </c>
      <c r="C55" s="2198" t="s">
        <v>126</v>
      </c>
    </row>
    <row r="56" spans="2:3" ht="49.9" customHeight="1" thickBot="1">
      <c r="B56" s="2197" t="s">
        <v>122</v>
      </c>
      <c r="C56" s="2198" t="s">
        <v>127</v>
      </c>
    </row>
    <row r="57" spans="2:3" ht="16.5" thickBot="1">
      <c r="B57" s="2197"/>
      <c r="C57" s="2198"/>
    </row>
    <row r="58" spans="2:3" ht="16.5" thickBot="1">
      <c r="B58" s="2197"/>
      <c r="C58" s="2198"/>
    </row>
    <row r="59" spans="2:3" ht="16.5" thickBot="1">
      <c r="B59" s="2197"/>
      <c r="C59" s="2198"/>
    </row>
    <row r="60" spans="2:3" ht="16.5" thickBot="1">
      <c r="B60" s="2197"/>
      <c r="C60" s="2198"/>
    </row>
    <row r="61" spans="2:3" ht="16.5" thickBot="1">
      <c r="B61" s="2197"/>
      <c r="C61" s="2198"/>
    </row>
    <row r="62" spans="2:3" ht="15.75">
      <c r="B62" s="1475"/>
      <c r="C62" s="1476"/>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filterMode="1">
    <tabColor rgb="FFFFEFCA"/>
    <pageSetUpPr fitToPage="1"/>
  </sheetPr>
  <dimension ref="A1:DE778"/>
  <sheetViews>
    <sheetView showGridLines="0" zoomScale="80" zoomScaleNormal="80" workbookViewId="0">
      <pane xSplit="3" ySplit="6" topLeftCell="D240" activePane="bottomRight" state="frozen"/>
      <selection pane="bottomRight"/>
      <selection pane="bottomLeft"/>
      <selection pane="top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44.25">
      <c r="A1" s="2301" t="s">
        <v>2150</v>
      </c>
      <c r="B1" s="373"/>
      <c r="C1" s="372"/>
      <c r="D1" s="44"/>
      <c r="E1" s="44"/>
      <c r="F1" s="44"/>
      <c r="G1" s="374"/>
      <c r="H1" s="375" t="s">
        <v>1822</v>
      </c>
      <c r="I1" s="375" t="s">
        <v>1251</v>
      </c>
      <c r="J1" s="376" t="s">
        <v>1102</v>
      </c>
      <c r="K1" s="376" t="s">
        <v>1260</v>
      </c>
      <c r="L1" s="376" t="s">
        <v>1130</v>
      </c>
      <c r="M1" s="376" t="s">
        <v>1143</v>
      </c>
      <c r="N1" s="376" t="s">
        <v>1269</v>
      </c>
      <c r="O1" s="376" t="s">
        <v>1296</v>
      </c>
      <c r="P1" s="376" t="s">
        <v>1278</v>
      </c>
      <c r="Q1" s="376" t="s">
        <v>1185</v>
      </c>
      <c r="R1" s="377" t="s">
        <v>1287</v>
      </c>
      <c r="S1" s="376" t="s">
        <v>1157</v>
      </c>
      <c r="T1" s="377" t="s">
        <v>1171</v>
      </c>
      <c r="U1" s="376" t="s">
        <v>1199</v>
      </c>
      <c r="V1" s="376" t="s">
        <v>1213</v>
      </c>
      <c r="W1" s="376" t="s">
        <v>1116</v>
      </c>
      <c r="X1" s="378" t="s">
        <v>1227</v>
      </c>
      <c r="Y1" s="376" t="s">
        <v>1241</v>
      </c>
      <c r="Z1" s="378" t="s">
        <v>1822</v>
      </c>
      <c r="AA1" s="377"/>
      <c r="AB1" s="377"/>
      <c r="AC1" s="377"/>
      <c r="AD1" s="377"/>
      <c r="AE1" s="377"/>
      <c r="AF1" s="377"/>
      <c r="AG1" s="376"/>
      <c r="AH1" s="376"/>
      <c r="AI1" s="376"/>
      <c r="AJ1" s="376"/>
      <c r="AK1" s="376"/>
      <c r="AL1" s="376"/>
      <c r="AM1" s="376"/>
      <c r="AN1" s="376"/>
      <c r="AO1" s="376"/>
      <c r="AP1" s="376"/>
      <c r="AQ1" s="376"/>
      <c r="AR1" s="376"/>
      <c r="AS1" s="379" t="s">
        <v>1822</v>
      </c>
      <c r="AT1" s="376"/>
      <c r="AU1" s="376"/>
      <c r="AV1" s="376"/>
      <c r="AW1" s="376"/>
      <c r="AX1" s="376"/>
      <c r="AY1" s="376"/>
      <c r="AZ1" s="376"/>
      <c r="BA1" s="376"/>
      <c r="BB1" s="376"/>
      <c r="BC1" s="376"/>
      <c r="BD1" s="376"/>
      <c r="BE1" s="376"/>
      <c r="BF1" s="376"/>
      <c r="BG1" s="376"/>
      <c r="BH1" s="376"/>
      <c r="BI1" s="376"/>
      <c r="BJ1" s="376"/>
      <c r="BK1" s="380" t="s">
        <v>1822</v>
      </c>
      <c r="BL1" s="377"/>
      <c r="BM1" s="377"/>
      <c r="BN1" s="377"/>
      <c r="BO1" s="377"/>
      <c r="BP1" s="377"/>
      <c r="BQ1" s="378"/>
      <c r="BR1" s="378"/>
      <c r="BS1" s="378"/>
      <c r="BT1" s="378"/>
      <c r="BU1" s="378"/>
      <c r="BV1" s="378"/>
      <c r="BW1" s="378"/>
      <c r="BX1" s="378"/>
      <c r="BY1" s="378"/>
      <c r="BZ1" s="378"/>
      <c r="CA1" s="380" t="s">
        <v>1822</v>
      </c>
      <c r="CB1" s="378"/>
      <c r="CC1" s="378"/>
      <c r="CD1" s="378"/>
      <c r="CE1" s="378"/>
      <c r="CF1" s="378"/>
      <c r="CG1" s="378"/>
      <c r="CH1" s="378"/>
      <c r="CI1" s="378"/>
      <c r="CJ1" s="378"/>
      <c r="CK1" s="378"/>
      <c r="CL1" s="378"/>
      <c r="CM1" s="378"/>
      <c r="CN1" s="378"/>
      <c r="CO1" s="378"/>
      <c r="CP1" s="378"/>
      <c r="CQ1" s="378"/>
      <c r="CR1" s="378"/>
      <c r="CS1" s="378"/>
      <c r="CT1" s="378"/>
      <c r="CU1" s="375" t="s">
        <v>1822</v>
      </c>
      <c r="CV1" s="378"/>
      <c r="CW1" s="378"/>
      <c r="CX1" s="378"/>
      <c r="CY1" s="378"/>
      <c r="CZ1" s="378"/>
      <c r="DA1" s="378"/>
      <c r="DB1" s="378"/>
      <c r="DC1" s="377"/>
      <c r="DD1" s="378"/>
      <c r="DE1" s="380" t="s">
        <v>1822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2361">
        <v>4</v>
      </c>
      <c r="G3" s="679">
        <v>5</v>
      </c>
      <c r="H3" s="680">
        <v>6</v>
      </c>
      <c r="I3" s="2421">
        <v>7</v>
      </c>
      <c r="J3" s="2422"/>
      <c r="K3" s="2422"/>
      <c r="L3" s="2422"/>
      <c r="M3" s="2422"/>
      <c r="N3" s="2422"/>
      <c r="O3" s="2422"/>
      <c r="P3" s="2422"/>
      <c r="Q3" s="2362">
        <v>15</v>
      </c>
      <c r="R3" s="2360">
        <v>16</v>
      </c>
      <c r="S3" s="678">
        <v>17</v>
      </c>
      <c r="T3" s="2362">
        <v>18</v>
      </c>
      <c r="U3" s="678">
        <v>19</v>
      </c>
      <c r="V3" s="678">
        <v>20</v>
      </c>
      <c r="W3" s="678">
        <v>21</v>
      </c>
      <c r="X3" s="681">
        <v>22</v>
      </c>
      <c r="Y3" s="682">
        <v>23</v>
      </c>
      <c r="Z3" s="679">
        <v>24</v>
      </c>
      <c r="AA3" s="2361">
        <v>25</v>
      </c>
      <c r="AB3" s="2361">
        <v>26</v>
      </c>
      <c r="AC3" s="2361">
        <v>27</v>
      </c>
      <c r="AD3" s="2361">
        <v>28</v>
      </c>
      <c r="AE3" s="2361">
        <v>29</v>
      </c>
      <c r="AF3" s="683">
        <v>30</v>
      </c>
      <c r="AG3" s="2419">
        <v>31</v>
      </c>
      <c r="AH3" s="2420">
        <v>34</v>
      </c>
      <c r="AI3" s="2420">
        <v>35</v>
      </c>
      <c r="AJ3" s="2420">
        <v>36</v>
      </c>
      <c r="AK3" s="2420">
        <v>37</v>
      </c>
      <c r="AL3" s="2420">
        <v>38</v>
      </c>
      <c r="AM3" s="2420">
        <v>39</v>
      </c>
      <c r="AN3" s="2420">
        <v>40</v>
      </c>
      <c r="AO3" s="2420">
        <v>41</v>
      </c>
      <c r="AP3" s="2423">
        <v>42</v>
      </c>
      <c r="AQ3" s="2419">
        <v>41</v>
      </c>
      <c r="AR3" s="2420">
        <v>44</v>
      </c>
      <c r="AS3" s="2420">
        <v>45</v>
      </c>
      <c r="AT3" s="2420">
        <v>46</v>
      </c>
      <c r="AU3" s="2423">
        <v>47</v>
      </c>
      <c r="AV3" s="2419">
        <v>46</v>
      </c>
      <c r="AW3" s="2420">
        <v>49</v>
      </c>
      <c r="AX3" s="2420">
        <v>50</v>
      </c>
      <c r="AY3" s="2420">
        <v>51</v>
      </c>
      <c r="AZ3" s="2420">
        <v>52</v>
      </c>
      <c r="BA3" s="2420">
        <v>53</v>
      </c>
      <c r="BB3" s="2420">
        <v>54</v>
      </c>
      <c r="BC3" s="2420">
        <v>55</v>
      </c>
      <c r="BD3" s="2420">
        <v>56</v>
      </c>
      <c r="BE3" s="2420">
        <v>57</v>
      </c>
      <c r="BF3" s="2420">
        <v>58</v>
      </c>
      <c r="BG3" s="2420">
        <v>59</v>
      </c>
      <c r="BH3" s="2420">
        <v>60</v>
      </c>
      <c r="BI3" s="2420">
        <v>61</v>
      </c>
      <c r="BJ3" s="2420">
        <v>62</v>
      </c>
      <c r="BK3" s="2423">
        <v>63</v>
      </c>
      <c r="BL3" s="2419">
        <v>62</v>
      </c>
      <c r="BM3" s="2420">
        <v>65</v>
      </c>
      <c r="BN3" s="2420">
        <v>66</v>
      </c>
      <c r="BO3" s="2420">
        <v>67</v>
      </c>
      <c r="BP3" s="2423">
        <v>68</v>
      </c>
      <c r="BQ3" s="2419">
        <v>67</v>
      </c>
      <c r="BR3" s="2420">
        <v>70</v>
      </c>
      <c r="BS3" s="2420">
        <v>71</v>
      </c>
      <c r="BT3" s="2420">
        <v>72</v>
      </c>
      <c r="BU3" s="2423">
        <v>73</v>
      </c>
      <c r="BV3" s="2419">
        <v>72</v>
      </c>
      <c r="BW3" s="2420">
        <v>75</v>
      </c>
      <c r="BX3" s="2420">
        <v>76</v>
      </c>
      <c r="BY3" s="2420">
        <v>77</v>
      </c>
      <c r="BZ3" s="2423">
        <v>78</v>
      </c>
      <c r="CA3" s="2419">
        <v>77</v>
      </c>
      <c r="CB3" s="2420">
        <v>80</v>
      </c>
      <c r="CC3" s="2420">
        <v>81</v>
      </c>
      <c r="CD3" s="2420">
        <v>82</v>
      </c>
      <c r="CE3" s="2423">
        <v>83</v>
      </c>
      <c r="CF3" s="2419">
        <v>82</v>
      </c>
      <c r="CG3" s="2420">
        <v>85</v>
      </c>
      <c r="CH3" s="2420">
        <v>86</v>
      </c>
      <c r="CI3" s="2420">
        <v>87</v>
      </c>
      <c r="CJ3" s="2423">
        <v>88</v>
      </c>
      <c r="CK3" s="2419">
        <v>87</v>
      </c>
      <c r="CL3" s="2420">
        <v>90</v>
      </c>
      <c r="CM3" s="2420">
        <v>91</v>
      </c>
      <c r="CN3" s="2420">
        <v>92</v>
      </c>
      <c r="CO3" s="2423">
        <v>93</v>
      </c>
      <c r="CP3" s="2419">
        <v>92</v>
      </c>
      <c r="CQ3" s="2420">
        <v>95</v>
      </c>
      <c r="CR3" s="2420">
        <v>96</v>
      </c>
      <c r="CS3" s="2420">
        <v>97</v>
      </c>
      <c r="CT3" s="2423">
        <v>98</v>
      </c>
      <c r="CU3" s="2419">
        <v>97</v>
      </c>
      <c r="CV3" s="2420"/>
      <c r="CW3" s="2420"/>
      <c r="CX3" s="684">
        <v>100</v>
      </c>
      <c r="CY3" s="2419">
        <v>101</v>
      </c>
      <c r="CZ3" s="2420"/>
      <c r="DA3" s="2420"/>
      <c r="DB3" s="684">
        <v>104</v>
      </c>
      <c r="DC3" s="2361">
        <v>105</v>
      </c>
      <c r="DD3" s="684">
        <v>106</v>
      </c>
      <c r="DE3" s="676">
        <v>107</v>
      </c>
    </row>
    <row r="4" spans="1:109" s="53" customFormat="1" ht="15" customHeight="1">
      <c r="A4" s="685"/>
      <c r="B4" s="686"/>
      <c r="C4" s="687" t="s">
        <v>1948</v>
      </c>
      <c r="D4" s="688" t="s">
        <v>210</v>
      </c>
      <c r="E4" s="689" t="s">
        <v>210</v>
      </c>
      <c r="F4" s="2364" t="s">
        <v>210</v>
      </c>
      <c r="G4" s="690" t="s">
        <v>210</v>
      </c>
      <c r="H4" s="691" t="s">
        <v>210</v>
      </c>
      <c r="I4" s="2427"/>
      <c r="J4" s="2428"/>
      <c r="K4" s="2428"/>
      <c r="L4" s="2428"/>
      <c r="M4" s="2428"/>
      <c r="N4" s="2428"/>
      <c r="O4" s="2428"/>
      <c r="P4" s="2428"/>
      <c r="Q4" s="2365"/>
      <c r="R4" s="2363" t="s">
        <v>210</v>
      </c>
      <c r="S4" s="689" t="s">
        <v>210</v>
      </c>
      <c r="T4" s="2365" t="s">
        <v>210</v>
      </c>
      <c r="U4" s="689" t="s">
        <v>210</v>
      </c>
      <c r="V4" s="689" t="s">
        <v>210</v>
      </c>
      <c r="W4" s="689" t="s">
        <v>210</v>
      </c>
      <c r="X4" s="692" t="s">
        <v>210</v>
      </c>
      <c r="Y4" s="693" t="s">
        <v>210</v>
      </c>
      <c r="Z4" s="690" t="s">
        <v>210</v>
      </c>
      <c r="AA4" s="2364" t="s">
        <v>210</v>
      </c>
      <c r="AB4" s="2364" t="s">
        <v>210</v>
      </c>
      <c r="AC4" s="2364" t="s">
        <v>210</v>
      </c>
      <c r="AD4" s="2364" t="s">
        <v>210</v>
      </c>
      <c r="AE4" s="2364" t="s">
        <v>210</v>
      </c>
      <c r="AF4" s="687" t="s">
        <v>173</v>
      </c>
      <c r="AG4" s="2424" t="s">
        <v>173</v>
      </c>
      <c r="AH4" s="2425"/>
      <c r="AI4" s="2425"/>
      <c r="AJ4" s="2425"/>
      <c r="AK4" s="2425"/>
      <c r="AL4" s="2425"/>
      <c r="AM4" s="2425"/>
      <c r="AN4" s="2425"/>
      <c r="AO4" s="2425"/>
      <c r="AP4" s="2426"/>
      <c r="AQ4" s="2424" t="s">
        <v>173</v>
      </c>
      <c r="AR4" s="2425"/>
      <c r="AS4" s="2425"/>
      <c r="AT4" s="2425"/>
      <c r="AU4" s="2426"/>
      <c r="AV4" s="2424" t="s">
        <v>173</v>
      </c>
      <c r="AW4" s="2425"/>
      <c r="AX4" s="2425"/>
      <c r="AY4" s="2425"/>
      <c r="AZ4" s="2425"/>
      <c r="BA4" s="2425"/>
      <c r="BB4" s="2425"/>
      <c r="BC4" s="2425"/>
      <c r="BD4" s="2425"/>
      <c r="BE4" s="2425"/>
      <c r="BF4" s="2425"/>
      <c r="BG4" s="2425"/>
      <c r="BH4" s="2425"/>
      <c r="BI4" s="2425"/>
      <c r="BJ4" s="2425"/>
      <c r="BK4" s="2426"/>
      <c r="BL4" s="2424" t="s">
        <v>173</v>
      </c>
      <c r="BM4" s="2425"/>
      <c r="BN4" s="2425"/>
      <c r="BO4" s="2425"/>
      <c r="BP4" s="2426"/>
      <c r="BQ4" s="2424" t="s">
        <v>173</v>
      </c>
      <c r="BR4" s="2425"/>
      <c r="BS4" s="2425"/>
      <c r="BT4" s="2425"/>
      <c r="BU4" s="2426"/>
      <c r="BV4" s="2424" t="s">
        <v>173</v>
      </c>
      <c r="BW4" s="2425"/>
      <c r="BX4" s="2425"/>
      <c r="BY4" s="2425"/>
      <c r="BZ4" s="2426"/>
      <c r="CA4" s="2424" t="s">
        <v>173</v>
      </c>
      <c r="CB4" s="2425"/>
      <c r="CC4" s="2425"/>
      <c r="CD4" s="2425"/>
      <c r="CE4" s="2426"/>
      <c r="CF4" s="2424" t="s">
        <v>173</v>
      </c>
      <c r="CG4" s="2425"/>
      <c r="CH4" s="2425"/>
      <c r="CI4" s="2425"/>
      <c r="CJ4" s="2426"/>
      <c r="CK4" s="2424" t="s">
        <v>173</v>
      </c>
      <c r="CL4" s="2425"/>
      <c r="CM4" s="2425"/>
      <c r="CN4" s="2425"/>
      <c r="CO4" s="2426"/>
      <c r="CP4" s="2424" t="s">
        <v>173</v>
      </c>
      <c r="CQ4" s="2425"/>
      <c r="CR4" s="2425"/>
      <c r="CS4" s="2425"/>
      <c r="CT4" s="2426"/>
      <c r="CU4" s="694" t="s">
        <v>173</v>
      </c>
      <c r="CV4" s="695" t="s">
        <v>173</v>
      </c>
      <c r="CW4" s="696" t="s">
        <v>173</v>
      </c>
      <c r="CX4" s="697" t="s">
        <v>173</v>
      </c>
      <c r="CY4" s="694" t="s">
        <v>173</v>
      </c>
      <c r="CZ4" s="695" t="s">
        <v>173</v>
      </c>
      <c r="DA4" s="696" t="s">
        <v>173</v>
      </c>
      <c r="DB4" s="697" t="s">
        <v>173</v>
      </c>
      <c r="DC4" s="2364" t="s">
        <v>173</v>
      </c>
      <c r="DD4" s="698" t="s">
        <v>173</v>
      </c>
      <c r="DE4" s="687" t="s">
        <v>173</v>
      </c>
    </row>
    <row r="5" spans="1:109" s="54" customFormat="1" ht="41.1" customHeight="1">
      <c r="A5" s="699"/>
      <c r="B5" s="686"/>
      <c r="C5" s="700"/>
      <c r="D5" s="701"/>
      <c r="E5" s="702"/>
      <c r="F5" s="703"/>
      <c r="G5" s="704"/>
      <c r="H5" s="705"/>
      <c r="I5" s="2432" t="s">
        <v>2151</v>
      </c>
      <c r="J5" s="2433"/>
      <c r="K5" s="2433"/>
      <c r="L5" s="2433"/>
      <c r="M5" s="2433"/>
      <c r="N5" s="2433"/>
      <c r="O5" s="2433"/>
      <c r="P5" s="2433"/>
      <c r="Q5" s="2434"/>
      <c r="R5" s="706"/>
      <c r="S5" s="702"/>
      <c r="T5" s="707"/>
      <c r="U5" s="708"/>
      <c r="V5" s="708"/>
      <c r="W5" s="709"/>
      <c r="X5" s="710"/>
      <c r="Y5" s="2365"/>
      <c r="Z5" s="704"/>
      <c r="AA5" s="2366"/>
      <c r="AB5" s="711"/>
      <c r="AC5" s="711"/>
      <c r="AD5" s="711"/>
      <c r="AE5" s="711"/>
      <c r="AF5" s="712"/>
      <c r="AG5" s="2432" t="s">
        <v>2152</v>
      </c>
      <c r="AH5" s="2433"/>
      <c r="AI5" s="2433"/>
      <c r="AJ5" s="2433"/>
      <c r="AK5" s="2433"/>
      <c r="AL5" s="2433"/>
      <c r="AM5" s="2433"/>
      <c r="AN5" s="2433"/>
      <c r="AO5" s="2433"/>
      <c r="AP5" s="2435"/>
      <c r="AQ5" s="2432" t="s">
        <v>2153</v>
      </c>
      <c r="AR5" s="2433"/>
      <c r="AS5" s="2433"/>
      <c r="AT5" s="2433"/>
      <c r="AU5" s="2435"/>
      <c r="AV5" s="2432" t="s">
        <v>2154</v>
      </c>
      <c r="AW5" s="2433"/>
      <c r="AX5" s="2433"/>
      <c r="AY5" s="2433"/>
      <c r="AZ5" s="2433"/>
      <c r="BA5" s="2433"/>
      <c r="BB5" s="2433"/>
      <c r="BC5" s="2433"/>
      <c r="BD5" s="2433"/>
      <c r="BE5" s="2433"/>
      <c r="BF5" s="2433"/>
      <c r="BG5" s="2433"/>
      <c r="BH5" s="2433"/>
      <c r="BI5" s="2433"/>
      <c r="BJ5" s="2433"/>
      <c r="BK5" s="2435"/>
      <c r="BL5" s="2436" t="s">
        <v>1816</v>
      </c>
      <c r="BM5" s="2437"/>
      <c r="BN5" s="2437"/>
      <c r="BO5" s="2437"/>
      <c r="BP5" s="2438"/>
      <c r="BQ5" s="2439" t="s">
        <v>2155</v>
      </c>
      <c r="BR5" s="2440"/>
      <c r="BS5" s="2440"/>
      <c r="BT5" s="2440"/>
      <c r="BU5" s="2441"/>
      <c r="BV5" s="2439" t="s">
        <v>2156</v>
      </c>
      <c r="BW5" s="2440"/>
      <c r="BX5" s="2440"/>
      <c r="BY5" s="2440"/>
      <c r="BZ5" s="2441"/>
      <c r="CA5" s="2439" t="s">
        <v>2157</v>
      </c>
      <c r="CB5" s="2440"/>
      <c r="CC5" s="2440"/>
      <c r="CD5" s="2440"/>
      <c r="CE5" s="2441"/>
      <c r="CF5" s="2439" t="s">
        <v>2158</v>
      </c>
      <c r="CG5" s="2440"/>
      <c r="CH5" s="2440"/>
      <c r="CI5" s="2440"/>
      <c r="CJ5" s="2441"/>
      <c r="CK5" s="2439" t="s">
        <v>2159</v>
      </c>
      <c r="CL5" s="2440"/>
      <c r="CM5" s="2440"/>
      <c r="CN5" s="2440"/>
      <c r="CO5" s="2441"/>
      <c r="CP5" s="2439" t="s">
        <v>2160</v>
      </c>
      <c r="CQ5" s="2440"/>
      <c r="CR5" s="2440"/>
      <c r="CS5" s="2440"/>
      <c r="CT5" s="2441"/>
      <c r="CU5" s="2429" t="s">
        <v>2161</v>
      </c>
      <c r="CV5" s="2430"/>
      <c r="CW5" s="2430"/>
      <c r="CX5" s="2430"/>
      <c r="CY5" s="2429" t="s">
        <v>2162</v>
      </c>
      <c r="CZ5" s="2430"/>
      <c r="DA5" s="2430"/>
      <c r="DB5" s="2431"/>
      <c r="DC5" s="711"/>
      <c r="DD5" s="713"/>
      <c r="DE5" s="714"/>
    </row>
    <row r="6" spans="1:109" s="55" customFormat="1" ht="57.6" customHeight="1">
      <c r="A6" s="715" t="s">
        <v>2163</v>
      </c>
      <c r="B6" s="716" t="s">
        <v>2164</v>
      </c>
      <c r="C6" s="717" t="s">
        <v>2077</v>
      </c>
      <c r="D6" s="718" t="s">
        <v>2165</v>
      </c>
      <c r="E6" s="719" t="s">
        <v>2166</v>
      </c>
      <c r="F6" s="720" t="s">
        <v>2167</v>
      </c>
      <c r="G6" s="721" t="s">
        <v>2076</v>
      </c>
      <c r="H6" s="722" t="s">
        <v>2168</v>
      </c>
      <c r="I6" s="723" t="s">
        <v>806</v>
      </c>
      <c r="J6" s="724" t="s">
        <v>809</v>
      </c>
      <c r="K6" s="724" t="s">
        <v>812</v>
      </c>
      <c r="L6" s="724" t="s">
        <v>815</v>
      </c>
      <c r="M6" s="724" t="s">
        <v>818</v>
      </c>
      <c r="N6" s="724" t="s">
        <v>821</v>
      </c>
      <c r="O6" s="724" t="s">
        <v>2169</v>
      </c>
      <c r="P6" s="724" t="s">
        <v>824</v>
      </c>
      <c r="Q6" s="725" t="s">
        <v>1299</v>
      </c>
      <c r="R6" s="726" t="s">
        <v>1802</v>
      </c>
      <c r="S6" s="719" t="s">
        <v>1803</v>
      </c>
      <c r="T6" s="727" t="s">
        <v>1804</v>
      </c>
      <c r="U6" s="719" t="s">
        <v>2170</v>
      </c>
      <c r="V6" s="719" t="s">
        <v>2171</v>
      </c>
      <c r="W6" s="719" t="s">
        <v>2172</v>
      </c>
      <c r="X6" s="728" t="s">
        <v>156</v>
      </c>
      <c r="Y6" s="729" t="s">
        <v>2045</v>
      </c>
      <c r="Z6" s="721" t="s">
        <v>2173</v>
      </c>
      <c r="AA6" s="730" t="s">
        <v>2174</v>
      </c>
      <c r="AB6" s="730" t="s">
        <v>2175</v>
      </c>
      <c r="AC6" s="730" t="s">
        <v>2176</v>
      </c>
      <c r="AD6" s="730" t="s">
        <v>2177</v>
      </c>
      <c r="AE6" s="730" t="s">
        <v>2178</v>
      </c>
      <c r="AF6" s="731" t="s">
        <v>2179</v>
      </c>
      <c r="AG6" s="723" t="s">
        <v>2180</v>
      </c>
      <c r="AH6" s="724" t="s">
        <v>2181</v>
      </c>
      <c r="AI6" s="724" t="s">
        <v>2182</v>
      </c>
      <c r="AJ6" s="724" t="s">
        <v>2183</v>
      </c>
      <c r="AK6" s="724" t="s">
        <v>2184</v>
      </c>
      <c r="AL6" s="724" t="s">
        <v>2185</v>
      </c>
      <c r="AM6" s="724" t="s">
        <v>2186</v>
      </c>
      <c r="AN6" s="724" t="s">
        <v>1939</v>
      </c>
      <c r="AO6" s="724" t="s">
        <v>2187</v>
      </c>
      <c r="AP6" s="732" t="s">
        <v>2188</v>
      </c>
      <c r="AQ6" s="723" t="s">
        <v>1830</v>
      </c>
      <c r="AR6" s="724" t="s">
        <v>1840</v>
      </c>
      <c r="AS6" s="724" t="s">
        <v>1847</v>
      </c>
      <c r="AT6" s="724" t="s">
        <v>1853</v>
      </c>
      <c r="AU6" s="732" t="s">
        <v>129</v>
      </c>
      <c r="AV6" s="733" t="s">
        <v>2189</v>
      </c>
      <c r="AW6" s="734" t="s">
        <v>2190</v>
      </c>
      <c r="AX6" s="734" t="s">
        <v>2191</v>
      </c>
      <c r="AY6" s="734" t="s">
        <v>2192</v>
      </c>
      <c r="AZ6" s="734" t="s">
        <v>2193</v>
      </c>
      <c r="BA6" s="734" t="s">
        <v>2194</v>
      </c>
      <c r="BB6" s="734" t="s">
        <v>2195</v>
      </c>
      <c r="BC6" s="734" t="s">
        <v>2196</v>
      </c>
      <c r="BD6" s="734" t="s">
        <v>2197</v>
      </c>
      <c r="BE6" s="734" t="s">
        <v>2198</v>
      </c>
      <c r="BF6" s="734" t="s">
        <v>2199</v>
      </c>
      <c r="BG6" s="734" t="s">
        <v>2200</v>
      </c>
      <c r="BH6" s="734" t="s">
        <v>2201</v>
      </c>
      <c r="BI6" s="734" t="s">
        <v>2202</v>
      </c>
      <c r="BJ6" s="734" t="s">
        <v>2203</v>
      </c>
      <c r="BK6" s="735" t="s">
        <v>2204</v>
      </c>
      <c r="BL6" s="723" t="s">
        <v>1830</v>
      </c>
      <c r="BM6" s="724" t="s">
        <v>1840</v>
      </c>
      <c r="BN6" s="724" t="s">
        <v>1847</v>
      </c>
      <c r="BO6" s="724" t="s">
        <v>1853</v>
      </c>
      <c r="BP6" s="732" t="s">
        <v>129</v>
      </c>
      <c r="BQ6" s="723" t="s">
        <v>1830</v>
      </c>
      <c r="BR6" s="724" t="s">
        <v>1840</v>
      </c>
      <c r="BS6" s="724" t="s">
        <v>1847</v>
      </c>
      <c r="BT6" s="724" t="s">
        <v>1853</v>
      </c>
      <c r="BU6" s="732" t="s">
        <v>129</v>
      </c>
      <c r="BV6" s="723" t="s">
        <v>1830</v>
      </c>
      <c r="BW6" s="724" t="s">
        <v>1840</v>
      </c>
      <c r="BX6" s="724" t="s">
        <v>1847</v>
      </c>
      <c r="BY6" s="724" t="s">
        <v>1853</v>
      </c>
      <c r="BZ6" s="732" t="s">
        <v>129</v>
      </c>
      <c r="CA6" s="723" t="s">
        <v>1830</v>
      </c>
      <c r="CB6" s="724" t="s">
        <v>1840</v>
      </c>
      <c r="CC6" s="724" t="s">
        <v>1847</v>
      </c>
      <c r="CD6" s="724" t="s">
        <v>1853</v>
      </c>
      <c r="CE6" s="732" t="s">
        <v>129</v>
      </c>
      <c r="CF6" s="723" t="s">
        <v>1830</v>
      </c>
      <c r="CG6" s="724" t="s">
        <v>1840</v>
      </c>
      <c r="CH6" s="724" t="s">
        <v>1847</v>
      </c>
      <c r="CI6" s="724" t="s">
        <v>1853</v>
      </c>
      <c r="CJ6" s="732" t="s">
        <v>129</v>
      </c>
      <c r="CK6" s="723" t="s">
        <v>1830</v>
      </c>
      <c r="CL6" s="724" t="s">
        <v>1840</v>
      </c>
      <c r="CM6" s="724" t="s">
        <v>1847</v>
      </c>
      <c r="CN6" s="724" t="s">
        <v>1853</v>
      </c>
      <c r="CO6" s="732" t="s">
        <v>129</v>
      </c>
      <c r="CP6" s="723" t="s">
        <v>1830</v>
      </c>
      <c r="CQ6" s="724" t="s">
        <v>1840</v>
      </c>
      <c r="CR6" s="724" t="s">
        <v>1847</v>
      </c>
      <c r="CS6" s="724" t="s">
        <v>1853</v>
      </c>
      <c r="CT6" s="732" t="s">
        <v>129</v>
      </c>
      <c r="CU6" s="736" t="s">
        <v>2205</v>
      </c>
      <c r="CV6" s="737" t="s">
        <v>2206</v>
      </c>
      <c r="CW6" s="738" t="s">
        <v>2207</v>
      </c>
      <c r="CX6" s="739" t="s">
        <v>2208</v>
      </c>
      <c r="CY6" s="736" t="s">
        <v>2209</v>
      </c>
      <c r="CZ6" s="737" t="s">
        <v>2210</v>
      </c>
      <c r="DA6" s="738" t="s">
        <v>2211</v>
      </c>
      <c r="DB6" s="739" t="s">
        <v>2212</v>
      </c>
      <c r="DC6" s="730" t="s">
        <v>2213</v>
      </c>
      <c r="DD6" s="740" t="s">
        <v>2214</v>
      </c>
      <c r="DE6" s="731" t="s">
        <v>2215</v>
      </c>
    </row>
    <row r="7" spans="1:109" ht="15.75" hidden="1" customHeight="1">
      <c r="A7" s="741" t="s">
        <v>1251</v>
      </c>
      <c r="B7" s="742">
        <v>1</v>
      </c>
      <c r="C7" s="743" t="s">
        <v>1090</v>
      </c>
      <c r="D7" s="744" t="s">
        <v>2216</v>
      </c>
      <c r="E7" s="744" t="s">
        <v>2217</v>
      </c>
      <c r="F7" s="745" t="s">
        <v>2218</v>
      </c>
      <c r="G7" s="746" t="s">
        <v>179</v>
      </c>
      <c r="H7" s="747" t="s">
        <v>2219</v>
      </c>
      <c r="I7" s="748"/>
      <c r="J7" s="749">
        <v>1</v>
      </c>
      <c r="K7" s="749"/>
      <c r="L7" s="749"/>
      <c r="M7" s="749"/>
      <c r="N7" s="749"/>
      <c r="O7" s="749"/>
      <c r="P7" s="750"/>
      <c r="Q7" s="751">
        <f>SUM(I7:P7)</f>
        <v>1</v>
      </c>
      <c r="R7" s="743" t="s">
        <v>1852</v>
      </c>
      <c r="S7" s="744" t="s">
        <v>1826</v>
      </c>
      <c r="T7" s="752" t="s">
        <v>1827</v>
      </c>
      <c r="U7" s="744" t="s">
        <v>2220</v>
      </c>
      <c r="V7" s="744" t="s">
        <v>1851</v>
      </c>
      <c r="W7" s="744" t="s">
        <v>2221</v>
      </c>
      <c r="X7" s="1273">
        <v>0</v>
      </c>
      <c r="Y7" s="753" t="s">
        <v>1838</v>
      </c>
      <c r="Z7" s="746" t="s">
        <v>179</v>
      </c>
      <c r="AA7" s="754"/>
      <c r="AB7" s="754"/>
      <c r="AC7" s="754"/>
      <c r="AD7" s="754"/>
      <c r="AE7" s="754"/>
      <c r="AF7" s="755"/>
      <c r="AG7" s="756"/>
      <c r="AH7" s="756"/>
      <c r="AI7" s="757"/>
      <c r="AJ7" s="757"/>
      <c r="AK7" s="757"/>
      <c r="AL7" s="757"/>
      <c r="AM7" s="757"/>
      <c r="AN7" s="757"/>
      <c r="AO7" s="757"/>
      <c r="AP7" s="757"/>
      <c r="AQ7" s="1640"/>
      <c r="AR7" s="1641"/>
      <c r="AS7" s="1641"/>
      <c r="AT7" s="1641"/>
      <c r="AU7" s="1642"/>
      <c r="AV7" s="1643"/>
      <c r="AW7" s="1644"/>
      <c r="AX7" s="1644"/>
      <c r="AY7" s="1644"/>
      <c r="AZ7" s="1644"/>
      <c r="BA7" s="1644"/>
      <c r="BB7" s="1644"/>
      <c r="BC7" s="1644"/>
      <c r="BD7" s="1644"/>
      <c r="BE7" s="1644"/>
      <c r="BF7" s="1644"/>
      <c r="BG7" s="1644"/>
      <c r="BH7" s="1644"/>
      <c r="BI7" s="1644"/>
      <c r="BJ7" s="1644"/>
      <c r="BK7" s="1645"/>
      <c r="BL7" s="1646"/>
      <c r="BM7" s="1647"/>
      <c r="BN7" s="1647"/>
      <c r="BO7" s="1647"/>
      <c r="BP7" s="1648"/>
      <c r="BQ7" s="1649"/>
      <c r="BR7" s="1650"/>
      <c r="BS7" s="1650"/>
      <c r="BT7" s="1650"/>
      <c r="BU7" s="1651"/>
      <c r="BV7" s="1640"/>
      <c r="BW7" s="1641"/>
      <c r="BX7" s="1641"/>
      <c r="BY7" s="1641"/>
      <c r="BZ7" s="1641"/>
      <c r="CA7" s="1640"/>
      <c r="CB7" s="1641"/>
      <c r="CC7" s="1641"/>
      <c r="CD7" s="1641"/>
      <c r="CE7" s="1642"/>
      <c r="CF7" s="1641"/>
      <c r="CG7" s="1641"/>
      <c r="CH7" s="1641"/>
      <c r="CI7" s="1641"/>
      <c r="CJ7" s="1642"/>
      <c r="CK7" s="1640"/>
      <c r="CL7" s="1641"/>
      <c r="CM7" s="1641"/>
      <c r="CN7" s="1641"/>
      <c r="CO7" s="1642"/>
      <c r="CP7" s="1649"/>
      <c r="CQ7" s="1650"/>
      <c r="CR7" s="1650"/>
      <c r="CS7" s="1650"/>
      <c r="CT7" s="1651"/>
      <c r="CU7" s="1652"/>
      <c r="CV7" s="1653"/>
      <c r="CW7" s="1653"/>
      <c r="CX7" s="1654"/>
      <c r="CY7" s="1458"/>
      <c r="CZ7" s="1653"/>
      <c r="DA7" s="1653"/>
      <c r="DB7" s="1654"/>
      <c r="DC7" s="1647"/>
      <c r="DD7" s="1655"/>
      <c r="DE7" s="1680"/>
    </row>
    <row r="8" spans="1:109" ht="15.75" hidden="1" customHeight="1">
      <c r="A8" s="741" t="s">
        <v>1251</v>
      </c>
      <c r="B8" s="742">
        <v>2</v>
      </c>
      <c r="C8" s="758" t="s">
        <v>1091</v>
      </c>
      <c r="D8" s="742" t="s">
        <v>2222</v>
      </c>
      <c r="E8" s="742" t="s">
        <v>2223</v>
      </c>
      <c r="F8" s="754" t="s">
        <v>2224</v>
      </c>
      <c r="G8" s="759" t="s">
        <v>705</v>
      </c>
      <c r="H8" s="760" t="s">
        <v>2225</v>
      </c>
      <c r="I8" s="761"/>
      <c r="J8" s="762">
        <v>1</v>
      </c>
      <c r="K8" s="762"/>
      <c r="L8" s="762"/>
      <c r="M8" s="762"/>
      <c r="N8" s="762"/>
      <c r="O8" s="762"/>
      <c r="P8" s="763"/>
      <c r="Q8" s="764">
        <f>SUM(I8:P8)</f>
        <v>1</v>
      </c>
      <c r="R8" s="758" t="s">
        <v>1852</v>
      </c>
      <c r="S8" s="742" t="s">
        <v>1826</v>
      </c>
      <c r="T8" s="765" t="s">
        <v>1827</v>
      </c>
      <c r="U8" s="742" t="s">
        <v>705</v>
      </c>
      <c r="V8" s="742" t="s">
        <v>1857</v>
      </c>
      <c r="W8" s="742" t="s">
        <v>2226</v>
      </c>
      <c r="X8" s="1243">
        <v>1</v>
      </c>
      <c r="Y8" s="767" t="s">
        <v>1838</v>
      </c>
      <c r="Z8" s="759" t="s">
        <v>705</v>
      </c>
      <c r="AA8" s="754"/>
      <c r="AB8" s="754"/>
      <c r="AC8" s="754"/>
      <c r="AD8" s="754"/>
      <c r="AE8" s="754"/>
      <c r="AF8" s="768"/>
      <c r="AG8" s="769"/>
      <c r="AH8" s="769"/>
      <c r="AI8" s="769"/>
      <c r="AJ8" s="769"/>
      <c r="AK8" s="769"/>
      <c r="AL8" s="769"/>
      <c r="AM8" s="769"/>
      <c r="AN8" s="769"/>
      <c r="AO8" s="770"/>
      <c r="AP8" s="770"/>
      <c r="AQ8" s="1656"/>
      <c r="AR8" s="1657"/>
      <c r="AS8" s="1657"/>
      <c r="AT8" s="1657"/>
      <c r="AU8" s="1658"/>
      <c r="AV8" s="1656"/>
      <c r="AW8" s="1657"/>
      <c r="AX8" s="1657"/>
      <c r="AY8" s="1657"/>
      <c r="AZ8" s="1657"/>
      <c r="BA8" s="1657"/>
      <c r="BB8" s="1657"/>
      <c r="BC8" s="1657"/>
      <c r="BD8" s="1657"/>
      <c r="BE8" s="1657"/>
      <c r="BF8" s="1657"/>
      <c r="BG8" s="1657"/>
      <c r="BH8" s="1657"/>
      <c r="BI8" s="1657"/>
      <c r="BJ8" s="1657"/>
      <c r="BK8" s="1658"/>
      <c r="BL8" s="1327"/>
      <c r="BM8" s="1328"/>
      <c r="BN8" s="1328"/>
      <c r="BO8" s="1328"/>
      <c r="BP8" s="1389"/>
      <c r="BQ8" s="1659"/>
      <c r="BR8" s="1319"/>
      <c r="BS8" s="1319"/>
      <c r="BT8" s="1319"/>
      <c r="BU8" s="1320"/>
      <c r="BV8" s="1370"/>
      <c r="BW8" s="1324"/>
      <c r="BX8" s="1324"/>
      <c r="BY8" s="1324"/>
      <c r="BZ8" s="1324"/>
      <c r="CA8" s="1369"/>
      <c r="CB8" s="1319"/>
      <c r="CC8" s="1319"/>
      <c r="CD8" s="1319"/>
      <c r="CE8" s="1320"/>
      <c r="CF8" s="1319"/>
      <c r="CG8" s="1319"/>
      <c r="CH8" s="1319"/>
      <c r="CI8" s="1319"/>
      <c r="CJ8" s="1319"/>
      <c r="CK8" s="1660"/>
      <c r="CL8" s="1661"/>
      <c r="CM8" s="1661"/>
      <c r="CN8" s="1661"/>
      <c r="CO8" s="1662"/>
      <c r="CP8" s="1369"/>
      <c r="CQ8" s="1319"/>
      <c r="CR8" s="1319"/>
      <c r="CS8" s="1319"/>
      <c r="CT8" s="1320"/>
      <c r="CU8" s="1467"/>
      <c r="CV8" s="1458"/>
      <c r="CW8" s="1458"/>
      <c r="CX8" s="1663"/>
      <c r="CY8" s="1458"/>
      <c r="CZ8" s="1458"/>
      <c r="DA8" s="1458"/>
      <c r="DB8" s="1663"/>
      <c r="DC8" s="1328"/>
      <c r="DD8" s="1664"/>
      <c r="DE8" s="1669"/>
    </row>
    <row r="9" spans="1:109" ht="15.75" hidden="1" customHeight="1">
      <c r="A9" s="741" t="s">
        <v>1251</v>
      </c>
      <c r="B9" s="742">
        <v>3</v>
      </c>
      <c r="C9" s="758" t="s">
        <v>1092</v>
      </c>
      <c r="D9" s="742" t="s">
        <v>2222</v>
      </c>
      <c r="E9" s="742" t="s">
        <v>2223</v>
      </c>
      <c r="F9" s="754" t="s">
        <v>2227</v>
      </c>
      <c r="G9" s="759" t="s">
        <v>1084</v>
      </c>
      <c r="H9" s="760" t="s">
        <v>2228</v>
      </c>
      <c r="I9" s="761">
        <v>0.3</v>
      </c>
      <c r="J9" s="762">
        <v>0.7</v>
      </c>
      <c r="K9" s="762"/>
      <c r="L9" s="762"/>
      <c r="M9" s="762"/>
      <c r="N9" s="762"/>
      <c r="O9" s="762"/>
      <c r="P9" s="763"/>
      <c r="Q9" s="764">
        <f t="shared" ref="Q9:Q72" si="0">SUM(I9:P9)</f>
        <v>1</v>
      </c>
      <c r="R9" s="758" t="s">
        <v>1852</v>
      </c>
      <c r="S9" s="742" t="s">
        <v>1826</v>
      </c>
      <c r="T9" s="1389" t="s">
        <v>1837</v>
      </c>
      <c r="U9" s="742" t="s">
        <v>2229</v>
      </c>
      <c r="V9" s="742" t="s">
        <v>1857</v>
      </c>
      <c r="W9" s="742" t="s">
        <v>2230</v>
      </c>
      <c r="X9" s="798">
        <v>1</v>
      </c>
      <c r="Y9" s="767" t="s">
        <v>1838</v>
      </c>
      <c r="Z9" s="759" t="s">
        <v>1084</v>
      </c>
      <c r="AA9" s="754"/>
      <c r="AB9" s="754"/>
      <c r="AC9" s="754"/>
      <c r="AD9" s="754"/>
      <c r="AE9" s="754"/>
      <c r="AF9" s="768"/>
      <c r="AG9" s="769"/>
      <c r="AH9" s="769"/>
      <c r="AI9" s="769"/>
      <c r="AJ9" s="769"/>
      <c r="AK9" s="769"/>
      <c r="AL9" s="769"/>
      <c r="AM9" s="769"/>
      <c r="AN9" s="769"/>
      <c r="AO9" s="769"/>
      <c r="AP9" s="769"/>
      <c r="AQ9" s="1369"/>
      <c r="AR9" s="1319"/>
      <c r="AS9" s="1319"/>
      <c r="AT9" s="1319"/>
      <c r="AU9" s="1320"/>
      <c r="AV9" s="1369"/>
      <c r="AW9" s="1319"/>
      <c r="AX9" s="1319"/>
      <c r="AY9" s="1319"/>
      <c r="AZ9" s="1319"/>
      <c r="BA9" s="1319"/>
      <c r="BB9" s="1319"/>
      <c r="BC9" s="1319"/>
      <c r="BD9" s="1319"/>
      <c r="BE9" s="1319"/>
      <c r="BF9" s="1319"/>
      <c r="BG9" s="1319"/>
      <c r="BH9" s="1319"/>
      <c r="BI9" s="1319"/>
      <c r="BJ9" s="1319"/>
      <c r="BK9" s="1320"/>
      <c r="BL9" s="1327"/>
      <c r="BM9" s="1328"/>
      <c r="BN9" s="1328"/>
      <c r="BO9" s="1328"/>
      <c r="BP9" s="1389"/>
      <c r="BQ9" s="1369"/>
      <c r="BR9" s="1319"/>
      <c r="BS9" s="1319"/>
      <c r="BT9" s="1319"/>
      <c r="BU9" s="1320"/>
      <c r="BV9" s="1370"/>
      <c r="BW9" s="1324"/>
      <c r="BX9" s="1324"/>
      <c r="BY9" s="1324"/>
      <c r="BZ9" s="1324"/>
      <c r="CA9" s="1369"/>
      <c r="CB9" s="1319"/>
      <c r="CC9" s="1319"/>
      <c r="CD9" s="1319"/>
      <c r="CE9" s="1320"/>
      <c r="CF9" s="1319"/>
      <c r="CG9" s="1319"/>
      <c r="CH9" s="1319"/>
      <c r="CI9" s="1319"/>
      <c r="CJ9" s="1320"/>
      <c r="CK9" s="1369"/>
      <c r="CL9" s="1319"/>
      <c r="CM9" s="1319"/>
      <c r="CN9" s="1319"/>
      <c r="CO9" s="1320"/>
      <c r="CP9" s="1369"/>
      <c r="CQ9" s="1319"/>
      <c r="CR9" s="1319"/>
      <c r="CS9" s="1319"/>
      <c r="CT9" s="1320"/>
      <c r="CU9" s="1467"/>
      <c r="CV9" s="1458"/>
      <c r="CW9" s="1458"/>
      <c r="CX9" s="1663"/>
      <c r="CY9" s="1458"/>
      <c r="CZ9" s="1458"/>
      <c r="DA9" s="1458"/>
      <c r="DB9" s="1663"/>
      <c r="DC9" s="1328"/>
      <c r="DD9" s="1664"/>
      <c r="DE9" s="1669"/>
    </row>
    <row r="10" spans="1:109" ht="15.75" hidden="1" customHeight="1">
      <c r="A10" s="741" t="s">
        <v>1251</v>
      </c>
      <c r="B10" s="742">
        <v>4</v>
      </c>
      <c r="C10" s="758" t="s">
        <v>1099</v>
      </c>
      <c r="D10" s="742" t="s">
        <v>2216</v>
      </c>
      <c r="E10" s="742" t="s">
        <v>2231</v>
      </c>
      <c r="F10" s="754" t="s">
        <v>2232</v>
      </c>
      <c r="G10" s="759" t="s">
        <v>567</v>
      </c>
      <c r="H10" s="760" t="s">
        <v>2233</v>
      </c>
      <c r="I10" s="784"/>
      <c r="J10" s="762">
        <v>1</v>
      </c>
      <c r="K10" s="762"/>
      <c r="L10" s="762"/>
      <c r="M10" s="762"/>
      <c r="N10" s="762"/>
      <c r="O10" s="762"/>
      <c r="P10" s="763"/>
      <c r="Q10" s="764">
        <f t="shared" si="0"/>
        <v>1</v>
      </c>
      <c r="R10" s="758" t="s">
        <v>1825</v>
      </c>
      <c r="S10" s="742"/>
      <c r="T10" s="765"/>
      <c r="U10" s="742" t="s">
        <v>2234</v>
      </c>
      <c r="V10" s="742" t="s">
        <v>321</v>
      </c>
      <c r="W10" s="742" t="s">
        <v>2235</v>
      </c>
      <c r="X10" s="798">
        <v>1</v>
      </c>
      <c r="Y10" s="767" t="s">
        <v>1838</v>
      </c>
      <c r="Z10" s="759" t="s">
        <v>567</v>
      </c>
      <c r="AA10" s="754"/>
      <c r="AB10" s="754"/>
      <c r="AC10" s="754"/>
      <c r="AD10" s="754"/>
      <c r="AE10" s="754"/>
      <c r="AF10" s="768"/>
      <c r="AG10" s="785"/>
      <c r="AH10" s="785"/>
      <c r="AI10" s="785"/>
      <c r="AJ10" s="785"/>
      <c r="AK10" s="785"/>
      <c r="AL10" s="785"/>
      <c r="AM10" s="785"/>
      <c r="AN10" s="785"/>
      <c r="AO10" s="785"/>
      <c r="AP10" s="785"/>
      <c r="AQ10" s="1460"/>
      <c r="AR10" s="1665"/>
      <c r="AS10" s="1665"/>
      <c r="AT10" s="1665"/>
      <c r="AU10" s="1466"/>
      <c r="AV10" s="1460"/>
      <c r="AW10" s="1665"/>
      <c r="AX10" s="1665"/>
      <c r="AY10" s="1665"/>
      <c r="AZ10" s="1665"/>
      <c r="BA10" s="1665"/>
      <c r="BB10" s="1665"/>
      <c r="BC10" s="1665"/>
      <c r="BD10" s="1665"/>
      <c r="BE10" s="1665"/>
      <c r="BF10" s="1665"/>
      <c r="BG10" s="1665"/>
      <c r="BH10" s="1665"/>
      <c r="BI10" s="1665"/>
      <c r="BJ10" s="1665"/>
      <c r="BK10" s="1466"/>
      <c r="BL10" s="1327"/>
      <c r="BM10" s="1328"/>
      <c r="BN10" s="1328"/>
      <c r="BO10" s="1328"/>
      <c r="BP10" s="1389"/>
      <c r="BQ10" s="1369"/>
      <c r="BR10" s="1319"/>
      <c r="BS10" s="1319"/>
      <c r="BT10" s="1319"/>
      <c r="BU10" s="1320"/>
      <c r="BV10" s="1369"/>
      <c r="BW10" s="1319"/>
      <c r="BX10" s="1319"/>
      <c r="BY10" s="1319"/>
      <c r="BZ10" s="1319"/>
      <c r="CA10" s="1369"/>
      <c r="CB10" s="1319"/>
      <c r="CC10" s="1319"/>
      <c r="CD10" s="1319"/>
      <c r="CE10" s="1320"/>
      <c r="CF10" s="1319"/>
      <c r="CG10" s="1319"/>
      <c r="CH10" s="1319"/>
      <c r="CI10" s="1319"/>
      <c r="CJ10" s="1319"/>
      <c r="CK10" s="1369"/>
      <c r="CL10" s="1319"/>
      <c r="CM10" s="1319"/>
      <c r="CN10" s="1319"/>
      <c r="CO10" s="1320"/>
      <c r="CP10" s="1369"/>
      <c r="CQ10" s="1319"/>
      <c r="CR10" s="1319"/>
      <c r="CS10" s="1319"/>
      <c r="CT10" s="1320"/>
      <c r="CU10" s="1467"/>
      <c r="CV10" s="1458"/>
      <c r="CW10" s="1458"/>
      <c r="CX10" s="1663"/>
      <c r="CY10" s="1458"/>
      <c r="CZ10" s="1458"/>
      <c r="DA10" s="1458"/>
      <c r="DB10" s="1663"/>
      <c r="DC10" s="1328"/>
      <c r="DD10" s="1664"/>
      <c r="DE10" s="1669"/>
    </row>
    <row r="11" spans="1:109" ht="15.75" hidden="1" customHeight="1">
      <c r="A11" s="741" t="s">
        <v>1251</v>
      </c>
      <c r="B11" s="742">
        <v>5</v>
      </c>
      <c r="C11" s="758" t="s">
        <v>1094</v>
      </c>
      <c r="D11" s="742" t="s">
        <v>2216</v>
      </c>
      <c r="E11" s="742" t="s">
        <v>2231</v>
      </c>
      <c r="F11" s="754" t="s">
        <v>2236</v>
      </c>
      <c r="G11" s="759" t="s">
        <v>209</v>
      </c>
      <c r="H11" s="760" t="s">
        <v>2237</v>
      </c>
      <c r="I11" s="761"/>
      <c r="J11" s="762">
        <v>1</v>
      </c>
      <c r="K11" s="762"/>
      <c r="L11" s="762"/>
      <c r="M11" s="762"/>
      <c r="N11" s="762"/>
      <c r="O11" s="762"/>
      <c r="P11" s="763"/>
      <c r="Q11" s="764">
        <f t="shared" si="0"/>
        <v>1</v>
      </c>
      <c r="R11" s="758" t="s">
        <v>1846</v>
      </c>
      <c r="S11" s="742" t="s">
        <v>1826</v>
      </c>
      <c r="T11" s="765" t="s">
        <v>1827</v>
      </c>
      <c r="U11" s="742" t="s">
        <v>2238</v>
      </c>
      <c r="V11" s="742" t="s">
        <v>321</v>
      </c>
      <c r="W11" s="742" t="s">
        <v>2239</v>
      </c>
      <c r="X11" s="1243">
        <v>2</v>
      </c>
      <c r="Y11" s="788" t="s">
        <v>1838</v>
      </c>
      <c r="Z11" s="759" t="s">
        <v>209</v>
      </c>
      <c r="AA11" s="754"/>
      <c r="AB11" s="754"/>
      <c r="AC11" s="754"/>
      <c r="AD11" s="754"/>
      <c r="AE11" s="754"/>
      <c r="AF11" s="768"/>
      <c r="AG11" s="769"/>
      <c r="AH11" s="769"/>
      <c r="AI11" s="769"/>
      <c r="AJ11" s="769"/>
      <c r="AK11" s="769"/>
      <c r="AL11" s="769"/>
      <c r="AM11" s="769"/>
      <c r="AN11" s="769"/>
      <c r="AO11" s="769"/>
      <c r="AP11" s="769"/>
      <c r="AQ11" s="1370"/>
      <c r="AR11" s="1324"/>
      <c r="AS11" s="1324"/>
      <c r="AT11" s="1324"/>
      <c r="AU11" s="1325"/>
      <c r="AV11" s="1369"/>
      <c r="AW11" s="1319"/>
      <c r="AX11" s="1319"/>
      <c r="AY11" s="1319"/>
      <c r="AZ11" s="1319"/>
      <c r="BA11" s="1319"/>
      <c r="BB11" s="1319"/>
      <c r="BC11" s="1319"/>
      <c r="BD11" s="1319"/>
      <c r="BE11" s="1319"/>
      <c r="BF11" s="1319"/>
      <c r="BG11" s="1319"/>
      <c r="BH11" s="1319"/>
      <c r="BI11" s="1319"/>
      <c r="BJ11" s="1319"/>
      <c r="BK11" s="1320"/>
      <c r="BL11" s="1327"/>
      <c r="BM11" s="1328"/>
      <c r="BN11" s="1328"/>
      <c r="BO11" s="1328"/>
      <c r="BP11" s="1389"/>
      <c r="BQ11" s="1369"/>
      <c r="BR11" s="1319"/>
      <c r="BS11" s="1319"/>
      <c r="BT11" s="1319"/>
      <c r="BU11" s="1320"/>
      <c r="BV11" s="1369"/>
      <c r="BW11" s="1319"/>
      <c r="BX11" s="1319"/>
      <c r="BY11" s="1319"/>
      <c r="BZ11" s="1319"/>
      <c r="CA11" s="1369"/>
      <c r="CB11" s="1319"/>
      <c r="CC11" s="1319"/>
      <c r="CD11" s="1319"/>
      <c r="CE11" s="1320"/>
      <c r="CF11" s="1319"/>
      <c r="CG11" s="1319"/>
      <c r="CH11" s="1319"/>
      <c r="CI11" s="1319"/>
      <c r="CJ11" s="1320"/>
      <c r="CK11" s="1369"/>
      <c r="CL11" s="1319"/>
      <c r="CM11" s="1319"/>
      <c r="CN11" s="1319"/>
      <c r="CO11" s="1320"/>
      <c r="CP11" s="1369"/>
      <c r="CQ11" s="1319"/>
      <c r="CR11" s="1319"/>
      <c r="CS11" s="1319"/>
      <c r="CT11" s="1320"/>
      <c r="CU11" s="1467"/>
      <c r="CV11" s="1458"/>
      <c r="CW11" s="1458"/>
      <c r="CX11" s="1663"/>
      <c r="CY11" s="1458"/>
      <c r="CZ11" s="1458"/>
      <c r="DA11" s="1458"/>
      <c r="DB11" s="1663"/>
      <c r="DC11" s="1328"/>
      <c r="DD11" s="1664"/>
      <c r="DE11" s="1669"/>
    </row>
    <row r="12" spans="1:109" ht="15.75" hidden="1" customHeight="1">
      <c r="A12" s="741" t="s">
        <v>1251</v>
      </c>
      <c r="B12" s="742">
        <v>6</v>
      </c>
      <c r="C12" s="758" t="s">
        <v>1093</v>
      </c>
      <c r="D12" s="742" t="s">
        <v>2216</v>
      </c>
      <c r="E12" s="742" t="s">
        <v>2223</v>
      </c>
      <c r="F12" s="754" t="s">
        <v>2240</v>
      </c>
      <c r="G12" s="759" t="s">
        <v>203</v>
      </c>
      <c r="H12" s="760" t="s">
        <v>2241</v>
      </c>
      <c r="I12" s="761"/>
      <c r="J12" s="762">
        <v>1</v>
      </c>
      <c r="K12" s="762"/>
      <c r="L12" s="762"/>
      <c r="M12" s="762"/>
      <c r="N12" s="762"/>
      <c r="O12" s="762"/>
      <c r="P12" s="763"/>
      <c r="Q12" s="764">
        <f t="shared" si="0"/>
        <v>1</v>
      </c>
      <c r="R12" s="758" t="s">
        <v>1846</v>
      </c>
      <c r="S12" s="742" t="s">
        <v>1826</v>
      </c>
      <c r="T12" s="765" t="s">
        <v>1827</v>
      </c>
      <c r="U12" s="742" t="s">
        <v>2242</v>
      </c>
      <c r="V12" s="742" t="s">
        <v>1857</v>
      </c>
      <c r="W12" s="742" t="s">
        <v>2243</v>
      </c>
      <c r="X12" s="798">
        <v>1</v>
      </c>
      <c r="Y12" s="788" t="s">
        <v>1838</v>
      </c>
      <c r="Z12" s="759" t="s">
        <v>203</v>
      </c>
      <c r="AA12" s="754"/>
      <c r="AB12" s="754"/>
      <c r="AC12" s="754"/>
      <c r="AD12" s="754"/>
      <c r="AE12" s="754"/>
      <c r="AF12" s="768"/>
      <c r="AG12" s="769"/>
      <c r="AH12" s="769"/>
      <c r="AI12" s="769"/>
      <c r="AJ12" s="769"/>
      <c r="AK12" s="769"/>
      <c r="AL12" s="769"/>
      <c r="AM12" s="769"/>
      <c r="AN12" s="769"/>
      <c r="AO12" s="769"/>
      <c r="AP12" s="769"/>
      <c r="AQ12" s="1370"/>
      <c r="AR12" s="1324"/>
      <c r="AS12" s="1324"/>
      <c r="AT12" s="1324"/>
      <c r="AU12" s="1325"/>
      <c r="AV12" s="1369"/>
      <c r="AW12" s="1319"/>
      <c r="AX12" s="1319"/>
      <c r="AY12" s="1319"/>
      <c r="AZ12" s="1319"/>
      <c r="BA12" s="1319"/>
      <c r="BB12" s="1319"/>
      <c r="BC12" s="1319"/>
      <c r="BD12" s="1319"/>
      <c r="BE12" s="1319"/>
      <c r="BF12" s="1319"/>
      <c r="BG12" s="1319"/>
      <c r="BH12" s="1319"/>
      <c r="BI12" s="1319"/>
      <c r="BJ12" s="1319"/>
      <c r="BK12" s="1320"/>
      <c r="BL12" s="1327"/>
      <c r="BM12" s="1328"/>
      <c r="BN12" s="1328"/>
      <c r="BO12" s="1328"/>
      <c r="BP12" s="1389"/>
      <c r="BQ12" s="1369"/>
      <c r="BR12" s="1319"/>
      <c r="BS12" s="1319"/>
      <c r="BT12" s="1319"/>
      <c r="BU12" s="1320"/>
      <c r="BV12" s="1369"/>
      <c r="BW12" s="1319"/>
      <c r="BX12" s="1319"/>
      <c r="BY12" s="1319"/>
      <c r="BZ12" s="1319"/>
      <c r="CA12" s="1369"/>
      <c r="CB12" s="1319"/>
      <c r="CC12" s="1319"/>
      <c r="CD12" s="1319"/>
      <c r="CE12" s="1320"/>
      <c r="CF12" s="1319"/>
      <c r="CG12" s="1319"/>
      <c r="CH12" s="1319"/>
      <c r="CI12" s="1319"/>
      <c r="CJ12" s="1320"/>
      <c r="CK12" s="1369"/>
      <c r="CL12" s="1319"/>
      <c r="CM12" s="1319"/>
      <c r="CN12" s="1319"/>
      <c r="CO12" s="1320"/>
      <c r="CP12" s="1369"/>
      <c r="CQ12" s="1319"/>
      <c r="CR12" s="1319"/>
      <c r="CS12" s="1319"/>
      <c r="CT12" s="1320"/>
      <c r="CU12" s="1467"/>
      <c r="CV12" s="1458"/>
      <c r="CW12" s="1458"/>
      <c r="CX12" s="1663"/>
      <c r="CY12" s="1458"/>
      <c r="CZ12" s="1458"/>
      <c r="DA12" s="1458"/>
      <c r="DB12" s="1663"/>
      <c r="DC12" s="1328"/>
      <c r="DD12" s="1664"/>
      <c r="DE12" s="1669"/>
    </row>
    <row r="13" spans="1:109" ht="15.75" hidden="1" customHeight="1">
      <c r="A13" s="741" t="s">
        <v>1251</v>
      </c>
      <c r="B13" s="742">
        <v>7</v>
      </c>
      <c r="C13" s="758" t="s">
        <v>1089</v>
      </c>
      <c r="D13" s="742" t="s">
        <v>2244</v>
      </c>
      <c r="E13" s="742" t="s">
        <v>2217</v>
      </c>
      <c r="F13" s="754" t="s">
        <v>2245</v>
      </c>
      <c r="G13" s="759" t="s">
        <v>172</v>
      </c>
      <c r="H13" s="760" t="s">
        <v>2246</v>
      </c>
      <c r="I13" s="761"/>
      <c r="J13" s="762">
        <v>1</v>
      </c>
      <c r="K13" s="762"/>
      <c r="L13" s="762"/>
      <c r="M13" s="762"/>
      <c r="N13" s="762"/>
      <c r="O13" s="762"/>
      <c r="P13" s="763"/>
      <c r="Q13" s="764">
        <f t="shared" si="0"/>
        <v>1</v>
      </c>
      <c r="R13" s="758" t="s">
        <v>1846</v>
      </c>
      <c r="S13" s="742" t="s">
        <v>1826</v>
      </c>
      <c r="T13" s="765" t="s">
        <v>1827</v>
      </c>
      <c r="U13" s="742" t="s">
        <v>2247</v>
      </c>
      <c r="V13" s="742" t="s">
        <v>1897</v>
      </c>
      <c r="W13" s="742" t="s">
        <v>2248</v>
      </c>
      <c r="X13" s="1243">
        <v>2</v>
      </c>
      <c r="Y13" s="788" t="s">
        <v>1838</v>
      </c>
      <c r="Z13" s="759" t="s">
        <v>172</v>
      </c>
      <c r="AA13" s="754"/>
      <c r="AB13" s="754"/>
      <c r="AC13" s="754"/>
      <c r="AD13" s="754"/>
      <c r="AE13" s="754"/>
      <c r="AF13" s="768"/>
      <c r="AG13" s="769"/>
      <c r="AH13" s="769"/>
      <c r="AI13" s="769"/>
      <c r="AJ13" s="769"/>
      <c r="AK13" s="769"/>
      <c r="AL13" s="769"/>
      <c r="AM13" s="769"/>
      <c r="AN13" s="769"/>
      <c r="AO13" s="769"/>
      <c r="AP13" s="769"/>
      <c r="AQ13" s="1369"/>
      <c r="AR13" s="1319"/>
      <c r="AS13" s="1319"/>
      <c r="AT13" s="1319"/>
      <c r="AU13" s="1320"/>
      <c r="AV13" s="1369"/>
      <c r="AW13" s="1319"/>
      <c r="AX13" s="1319"/>
      <c r="AY13" s="1319"/>
      <c r="AZ13" s="1319"/>
      <c r="BA13" s="1319"/>
      <c r="BB13" s="1319"/>
      <c r="BC13" s="1319"/>
      <c r="BD13" s="1319"/>
      <c r="BE13" s="1319"/>
      <c r="BF13" s="1319"/>
      <c r="BG13" s="1319"/>
      <c r="BH13" s="1319"/>
      <c r="BI13" s="1319"/>
      <c r="BJ13" s="1319"/>
      <c r="BK13" s="1320"/>
      <c r="BL13" s="1327"/>
      <c r="BM13" s="1328"/>
      <c r="BN13" s="1328"/>
      <c r="BO13" s="1328"/>
      <c r="BP13" s="1389"/>
      <c r="BQ13" s="1369"/>
      <c r="BR13" s="1319"/>
      <c r="BS13" s="1319"/>
      <c r="BT13" s="1319"/>
      <c r="BU13" s="1320"/>
      <c r="BV13" s="1369"/>
      <c r="BW13" s="1319"/>
      <c r="BX13" s="1319"/>
      <c r="BY13" s="1319"/>
      <c r="BZ13" s="1319"/>
      <c r="CA13" s="1369"/>
      <c r="CB13" s="1319"/>
      <c r="CC13" s="1319"/>
      <c r="CD13" s="1319"/>
      <c r="CE13" s="1320"/>
      <c r="CF13" s="1319"/>
      <c r="CG13" s="1319"/>
      <c r="CH13" s="1319"/>
      <c r="CI13" s="1319"/>
      <c r="CJ13" s="1320"/>
      <c r="CK13" s="1369"/>
      <c r="CL13" s="1319"/>
      <c r="CM13" s="1319"/>
      <c r="CN13" s="1319"/>
      <c r="CO13" s="1320"/>
      <c r="CP13" s="1369"/>
      <c r="CQ13" s="1319"/>
      <c r="CR13" s="1319"/>
      <c r="CS13" s="1319"/>
      <c r="CT13" s="1320"/>
      <c r="CU13" s="1467"/>
      <c r="CV13" s="1458"/>
      <c r="CW13" s="1458"/>
      <c r="CX13" s="1663"/>
      <c r="CY13" s="1458"/>
      <c r="CZ13" s="1458"/>
      <c r="DA13" s="1458"/>
      <c r="DB13" s="1663"/>
      <c r="DC13" s="1328"/>
      <c r="DD13" s="1664"/>
      <c r="DE13" s="1669"/>
    </row>
    <row r="14" spans="1:109" ht="15.75" hidden="1" customHeight="1">
      <c r="A14" s="741" t="s">
        <v>1251</v>
      </c>
      <c r="B14" s="742">
        <v>8</v>
      </c>
      <c r="C14" s="758" t="s">
        <v>1759</v>
      </c>
      <c r="D14" s="742" t="s">
        <v>2249</v>
      </c>
      <c r="E14" s="742" t="s">
        <v>2231</v>
      </c>
      <c r="F14" s="754" t="s">
        <v>2250</v>
      </c>
      <c r="G14" s="759" t="s">
        <v>2251</v>
      </c>
      <c r="H14" s="760" t="s">
        <v>2252</v>
      </c>
      <c r="I14" s="761"/>
      <c r="J14" s="762"/>
      <c r="K14" s="762"/>
      <c r="L14" s="762"/>
      <c r="M14" s="762">
        <v>1</v>
      </c>
      <c r="N14" s="762"/>
      <c r="O14" s="762"/>
      <c r="P14" s="763"/>
      <c r="Q14" s="764">
        <f t="shared" si="0"/>
        <v>1</v>
      </c>
      <c r="R14" s="758" t="s">
        <v>1852</v>
      </c>
      <c r="S14" s="742" t="s">
        <v>1826</v>
      </c>
      <c r="T14" s="765" t="s">
        <v>1827</v>
      </c>
      <c r="U14" s="742" t="s">
        <v>1888</v>
      </c>
      <c r="V14" s="742" t="s">
        <v>1897</v>
      </c>
      <c r="W14" s="742" t="s">
        <v>2248</v>
      </c>
      <c r="X14" s="798">
        <v>2</v>
      </c>
      <c r="Y14" s="790" t="s">
        <v>1828</v>
      </c>
      <c r="Z14" s="759" t="s">
        <v>2251</v>
      </c>
      <c r="AA14" s="754"/>
      <c r="AB14" s="754"/>
      <c r="AC14" s="754"/>
      <c r="AD14" s="754"/>
      <c r="AE14" s="754"/>
      <c r="AF14" s="768"/>
      <c r="AG14" s="769"/>
      <c r="AH14" s="769"/>
      <c r="AI14" s="769"/>
      <c r="AJ14" s="769"/>
      <c r="AK14" s="769"/>
      <c r="AL14" s="769"/>
      <c r="AM14" s="769"/>
      <c r="AN14" s="769"/>
      <c r="AO14" s="769"/>
      <c r="AP14" s="769"/>
      <c r="AQ14" s="1369"/>
      <c r="AR14" s="1319"/>
      <c r="AS14" s="1319"/>
      <c r="AT14" s="1319"/>
      <c r="AU14" s="1320"/>
      <c r="AV14" s="1369"/>
      <c r="AW14" s="1319"/>
      <c r="AX14" s="1319"/>
      <c r="AY14" s="1319"/>
      <c r="AZ14" s="1319"/>
      <c r="BA14" s="1319"/>
      <c r="BB14" s="1319"/>
      <c r="BC14" s="1319"/>
      <c r="BD14" s="1319"/>
      <c r="BE14" s="1319"/>
      <c r="BF14" s="1319"/>
      <c r="BG14" s="1319"/>
      <c r="BH14" s="1319"/>
      <c r="BI14" s="1319"/>
      <c r="BJ14" s="1319"/>
      <c r="BK14" s="1320"/>
      <c r="BL14" s="1327"/>
      <c r="BM14" s="1328"/>
      <c r="BN14" s="1328"/>
      <c r="BO14" s="1328"/>
      <c r="BP14" s="1389"/>
      <c r="BQ14" s="1369"/>
      <c r="BR14" s="1319"/>
      <c r="BS14" s="1319"/>
      <c r="BT14" s="1319"/>
      <c r="BU14" s="1320"/>
      <c r="BV14" s="1369"/>
      <c r="BW14" s="1319"/>
      <c r="BX14" s="1319"/>
      <c r="BY14" s="1319"/>
      <c r="BZ14" s="1319"/>
      <c r="CA14" s="1369"/>
      <c r="CB14" s="1319"/>
      <c r="CC14" s="1319"/>
      <c r="CD14" s="1319"/>
      <c r="CE14" s="1320"/>
      <c r="CF14" s="1319"/>
      <c r="CG14" s="1319"/>
      <c r="CH14" s="1319"/>
      <c r="CI14" s="1319"/>
      <c r="CJ14" s="1320"/>
      <c r="CK14" s="1369"/>
      <c r="CL14" s="1319"/>
      <c r="CM14" s="1319"/>
      <c r="CN14" s="1319"/>
      <c r="CO14" s="1320"/>
      <c r="CP14" s="1369"/>
      <c r="CQ14" s="1319"/>
      <c r="CR14" s="1319"/>
      <c r="CS14" s="1319"/>
      <c r="CT14" s="1320"/>
      <c r="CU14" s="1467"/>
      <c r="CV14" s="1458"/>
      <c r="CW14" s="1458"/>
      <c r="CX14" s="1663"/>
      <c r="CY14" s="1458"/>
      <c r="CZ14" s="1458"/>
      <c r="DA14" s="1458"/>
      <c r="DB14" s="1663"/>
      <c r="DC14" s="1328"/>
      <c r="DD14" s="1664"/>
      <c r="DE14" s="1669"/>
    </row>
    <row r="15" spans="1:109" ht="15.75" hidden="1" customHeight="1">
      <c r="A15" s="741" t="s">
        <v>1251</v>
      </c>
      <c r="B15" s="742">
        <v>9</v>
      </c>
      <c r="C15" s="758" t="s">
        <v>1776</v>
      </c>
      <c r="D15" s="742" t="s">
        <v>2249</v>
      </c>
      <c r="E15" s="742" t="s">
        <v>2231</v>
      </c>
      <c r="F15" s="754" t="s">
        <v>2253</v>
      </c>
      <c r="G15" s="759" t="s">
        <v>2254</v>
      </c>
      <c r="H15" s="760" t="s">
        <v>2255</v>
      </c>
      <c r="I15" s="761"/>
      <c r="J15" s="762">
        <v>1</v>
      </c>
      <c r="K15" s="762"/>
      <c r="L15" s="762"/>
      <c r="M15" s="762"/>
      <c r="N15" s="762"/>
      <c r="O15" s="762"/>
      <c r="P15" s="763"/>
      <c r="Q15" s="764">
        <f t="shared" si="0"/>
        <v>1</v>
      </c>
      <c r="R15" s="758" t="s">
        <v>1852</v>
      </c>
      <c r="S15" s="742" t="s">
        <v>1826</v>
      </c>
      <c r="T15" s="765" t="s">
        <v>1827</v>
      </c>
      <c r="U15" s="742" t="s">
        <v>1891</v>
      </c>
      <c r="V15" s="742" t="s">
        <v>1897</v>
      </c>
      <c r="W15" s="742" t="s">
        <v>2248</v>
      </c>
      <c r="X15" s="798">
        <v>2</v>
      </c>
      <c r="Y15" s="788" t="s">
        <v>1828</v>
      </c>
      <c r="Z15" s="759" t="s">
        <v>2254</v>
      </c>
      <c r="AA15" s="754"/>
      <c r="AB15" s="754"/>
      <c r="AC15" s="754"/>
      <c r="AD15" s="754"/>
      <c r="AE15" s="754"/>
      <c r="AF15" s="768"/>
      <c r="AG15" s="769"/>
      <c r="AH15" s="769"/>
      <c r="AI15" s="769"/>
      <c r="AJ15" s="769"/>
      <c r="AK15" s="769"/>
      <c r="AL15" s="769"/>
      <c r="AM15" s="769"/>
      <c r="AN15" s="769"/>
      <c r="AO15" s="769"/>
      <c r="AP15" s="769"/>
      <c r="AQ15" s="1369"/>
      <c r="AR15" s="1319"/>
      <c r="AS15" s="1319"/>
      <c r="AT15" s="1319"/>
      <c r="AU15" s="1320"/>
      <c r="AV15" s="1369"/>
      <c r="AW15" s="1319"/>
      <c r="AX15" s="1319"/>
      <c r="AY15" s="1319"/>
      <c r="AZ15" s="1319"/>
      <c r="BA15" s="1319"/>
      <c r="BB15" s="1319"/>
      <c r="BC15" s="1319"/>
      <c r="BD15" s="1319"/>
      <c r="BE15" s="1319"/>
      <c r="BF15" s="1319"/>
      <c r="BG15" s="1319"/>
      <c r="BH15" s="1319"/>
      <c r="BI15" s="1319"/>
      <c r="BJ15" s="1319"/>
      <c r="BK15" s="1320"/>
      <c r="BL15" s="1327"/>
      <c r="BM15" s="1328"/>
      <c r="BN15" s="1328"/>
      <c r="BO15" s="1328"/>
      <c r="BP15" s="1389"/>
      <c r="BQ15" s="1369"/>
      <c r="BR15" s="1319"/>
      <c r="BS15" s="1319"/>
      <c r="BT15" s="1319"/>
      <c r="BU15" s="1320"/>
      <c r="BV15" s="1369"/>
      <c r="BW15" s="1319"/>
      <c r="BX15" s="1319"/>
      <c r="BY15" s="1319"/>
      <c r="BZ15" s="1319"/>
      <c r="CA15" s="1369"/>
      <c r="CB15" s="1319"/>
      <c r="CC15" s="1319"/>
      <c r="CD15" s="1319"/>
      <c r="CE15" s="1320"/>
      <c r="CF15" s="1319"/>
      <c r="CG15" s="1319"/>
      <c r="CH15" s="1319"/>
      <c r="CI15" s="1319"/>
      <c r="CJ15" s="1320"/>
      <c r="CK15" s="1369"/>
      <c r="CL15" s="1319"/>
      <c r="CM15" s="1319"/>
      <c r="CN15" s="1319"/>
      <c r="CO15" s="1320"/>
      <c r="CP15" s="1369"/>
      <c r="CQ15" s="1319"/>
      <c r="CR15" s="1319"/>
      <c r="CS15" s="1319"/>
      <c r="CT15" s="1320"/>
      <c r="CU15" s="1467"/>
      <c r="CV15" s="1458"/>
      <c r="CW15" s="1458"/>
      <c r="CX15" s="1663"/>
      <c r="CY15" s="1458"/>
      <c r="CZ15" s="1458"/>
      <c r="DA15" s="1458"/>
      <c r="DB15" s="1663"/>
      <c r="DC15" s="1328"/>
      <c r="DD15" s="1664"/>
      <c r="DE15" s="1669"/>
    </row>
    <row r="16" spans="1:109" ht="15.75" hidden="1" customHeight="1">
      <c r="A16" s="741" t="s">
        <v>1251</v>
      </c>
      <c r="B16" s="742">
        <v>10</v>
      </c>
      <c r="C16" s="758" t="s">
        <v>1587</v>
      </c>
      <c r="D16" s="742" t="s">
        <v>2216</v>
      </c>
      <c r="E16" s="742" t="s">
        <v>2231</v>
      </c>
      <c r="F16" s="754" t="s">
        <v>2256</v>
      </c>
      <c r="G16" s="759" t="s">
        <v>2257</v>
      </c>
      <c r="H16" s="760" t="s">
        <v>2258</v>
      </c>
      <c r="I16" s="761"/>
      <c r="J16" s="762">
        <v>1</v>
      </c>
      <c r="K16" s="762"/>
      <c r="L16" s="762"/>
      <c r="M16" s="762"/>
      <c r="N16" s="762"/>
      <c r="O16" s="762"/>
      <c r="P16" s="763"/>
      <c r="Q16" s="764">
        <f t="shared" si="0"/>
        <v>1</v>
      </c>
      <c r="R16" s="758" t="s">
        <v>1825</v>
      </c>
      <c r="S16" s="742"/>
      <c r="T16" s="765"/>
      <c r="U16" s="742" t="s">
        <v>2234</v>
      </c>
      <c r="V16" s="742" t="s">
        <v>1857</v>
      </c>
      <c r="W16" s="742" t="s">
        <v>2259</v>
      </c>
      <c r="X16" s="1243">
        <v>0</v>
      </c>
      <c r="Y16" s="791" t="s">
        <v>1838</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2260</v>
      </c>
      <c r="BW16" s="793" t="s">
        <v>2260</v>
      </c>
      <c r="BX16" s="793" t="s">
        <v>2260</v>
      </c>
      <c r="BY16" s="793" t="s">
        <v>2260</v>
      </c>
      <c r="BZ16" s="793" t="s">
        <v>2260</v>
      </c>
      <c r="CA16" s="792">
        <v>0</v>
      </c>
      <c r="CB16" s="793">
        <v>0</v>
      </c>
      <c r="CC16" s="793">
        <v>0</v>
      </c>
      <c r="CD16" s="793">
        <v>0</v>
      </c>
      <c r="CE16" s="794">
        <v>0</v>
      </c>
      <c r="CF16" s="793">
        <v>0</v>
      </c>
      <c r="CG16" s="793">
        <v>0</v>
      </c>
      <c r="CH16" s="793">
        <v>0</v>
      </c>
      <c r="CI16" s="793">
        <v>0</v>
      </c>
      <c r="CJ16" s="794">
        <v>0</v>
      </c>
      <c r="CK16" s="777" t="s">
        <v>2260</v>
      </c>
      <c r="CL16" s="769" t="s">
        <v>2260</v>
      </c>
      <c r="CM16" s="769" t="s">
        <v>2260</v>
      </c>
      <c r="CN16" s="769" t="s">
        <v>2260</v>
      </c>
      <c r="CO16" s="774" t="s">
        <v>2260</v>
      </c>
      <c r="CP16" s="777">
        <v>0</v>
      </c>
      <c r="CQ16" s="769">
        <v>0</v>
      </c>
      <c r="CR16" s="769">
        <v>0</v>
      </c>
      <c r="CS16" s="769">
        <v>0</v>
      </c>
      <c r="CT16" s="774">
        <v>0</v>
      </c>
      <c r="CU16" s="1253" t="s">
        <v>2260</v>
      </c>
      <c r="CV16" s="1252" t="s">
        <v>2260</v>
      </c>
      <c r="CW16" s="1252" t="s">
        <v>2260</v>
      </c>
      <c r="CX16" s="1254" t="s">
        <v>2260</v>
      </c>
      <c r="CY16" s="1252" t="s">
        <v>2260</v>
      </c>
      <c r="CZ16" s="1252" t="s">
        <v>2260</v>
      </c>
      <c r="DA16" s="1252" t="s">
        <v>2260</v>
      </c>
      <c r="DB16" s="1254" t="s">
        <v>2260</v>
      </c>
      <c r="DC16" s="754"/>
      <c r="DD16" s="782">
        <v>1</v>
      </c>
      <c r="DE16" s="783"/>
    </row>
    <row r="17" spans="1:109" ht="15.75" hidden="1" customHeight="1">
      <c r="A17" s="741" t="s">
        <v>1251</v>
      </c>
      <c r="B17" s="742">
        <v>11</v>
      </c>
      <c r="C17" s="758" t="s">
        <v>1604</v>
      </c>
      <c r="D17" s="742" t="s">
        <v>2249</v>
      </c>
      <c r="E17" s="742" t="s">
        <v>2231</v>
      </c>
      <c r="F17" s="754" t="s">
        <v>2261</v>
      </c>
      <c r="G17" s="759" t="s">
        <v>2262</v>
      </c>
      <c r="H17" s="760" t="s">
        <v>2263</v>
      </c>
      <c r="I17" s="761"/>
      <c r="J17" s="762"/>
      <c r="K17" s="762"/>
      <c r="L17" s="762"/>
      <c r="M17" s="762">
        <v>1</v>
      </c>
      <c r="N17" s="762"/>
      <c r="O17" s="762"/>
      <c r="P17" s="763"/>
      <c r="Q17" s="764">
        <f t="shared" si="0"/>
        <v>1</v>
      </c>
      <c r="R17" s="758" t="s">
        <v>1825</v>
      </c>
      <c r="S17" s="742"/>
      <c r="T17" s="765"/>
      <c r="U17" s="742" t="s">
        <v>2264</v>
      </c>
      <c r="V17" s="742" t="s">
        <v>321</v>
      </c>
      <c r="W17" s="742" t="s">
        <v>2265</v>
      </c>
      <c r="X17" s="798">
        <v>0</v>
      </c>
      <c r="Y17" s="795" t="s">
        <v>1828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2260</v>
      </c>
      <c r="BR17" s="769" t="s">
        <v>2260</v>
      </c>
      <c r="BS17" s="769" t="s">
        <v>2260</v>
      </c>
      <c r="BT17" s="769" t="s">
        <v>2260</v>
      </c>
      <c r="BU17" s="774" t="s">
        <v>2260</v>
      </c>
      <c r="BV17" s="777" t="s">
        <v>2260</v>
      </c>
      <c r="BW17" s="769" t="s">
        <v>2260</v>
      </c>
      <c r="BX17" s="769" t="s">
        <v>2260</v>
      </c>
      <c r="BY17" s="769" t="s">
        <v>2260</v>
      </c>
      <c r="BZ17" s="769" t="s">
        <v>2260</v>
      </c>
      <c r="CA17" s="777" t="s">
        <v>2260</v>
      </c>
      <c r="CB17" s="769" t="s">
        <v>2260</v>
      </c>
      <c r="CC17" s="769" t="s">
        <v>2260</v>
      </c>
      <c r="CD17" s="769" t="s">
        <v>2260</v>
      </c>
      <c r="CE17" s="774" t="s">
        <v>2260</v>
      </c>
      <c r="CF17" s="769" t="s">
        <v>2260</v>
      </c>
      <c r="CG17" s="769" t="s">
        <v>2260</v>
      </c>
      <c r="CH17" s="769" t="s">
        <v>2260</v>
      </c>
      <c r="CI17" s="769" t="s">
        <v>2260</v>
      </c>
      <c r="CJ17" s="774" t="s">
        <v>2260</v>
      </c>
      <c r="CK17" s="777" t="s">
        <v>2260</v>
      </c>
      <c r="CL17" s="769" t="s">
        <v>2260</v>
      </c>
      <c r="CM17" s="769" t="s">
        <v>2260</v>
      </c>
      <c r="CN17" s="769" t="s">
        <v>2260</v>
      </c>
      <c r="CO17" s="774" t="s">
        <v>2260</v>
      </c>
      <c r="CP17" s="777" t="s">
        <v>2260</v>
      </c>
      <c r="CQ17" s="769" t="s">
        <v>2260</v>
      </c>
      <c r="CR17" s="769" t="s">
        <v>2260</v>
      </c>
      <c r="CS17" s="769" t="s">
        <v>2260</v>
      </c>
      <c r="CT17" s="774" t="s">
        <v>2260</v>
      </c>
      <c r="CU17" s="1253" t="s">
        <v>2260</v>
      </c>
      <c r="CV17" s="1252" t="s">
        <v>2260</v>
      </c>
      <c r="CW17" s="1252" t="s">
        <v>2260</v>
      </c>
      <c r="CX17" s="1254" t="s">
        <v>2260</v>
      </c>
      <c r="CY17" s="1252" t="s">
        <v>2260</v>
      </c>
      <c r="CZ17" s="1252" t="s">
        <v>2260</v>
      </c>
      <c r="DA17" s="1252" t="s">
        <v>2260</v>
      </c>
      <c r="DB17" s="1254" t="s">
        <v>2260</v>
      </c>
      <c r="DC17" s="754"/>
      <c r="DD17" s="782">
        <v>1</v>
      </c>
      <c r="DE17" s="783"/>
    </row>
    <row r="18" spans="1:109" ht="15.75" hidden="1" customHeight="1">
      <c r="A18" s="741" t="s">
        <v>1251</v>
      </c>
      <c r="B18" s="742">
        <v>12</v>
      </c>
      <c r="C18" s="758" t="s">
        <v>1621</v>
      </c>
      <c r="D18" s="742" t="s">
        <v>2249</v>
      </c>
      <c r="E18" s="742" t="s">
        <v>2231</v>
      </c>
      <c r="F18" s="754" t="s">
        <v>2266</v>
      </c>
      <c r="G18" s="759" t="s">
        <v>2267</v>
      </c>
      <c r="H18" s="760" t="s">
        <v>2268</v>
      </c>
      <c r="I18" s="761"/>
      <c r="J18" s="762"/>
      <c r="K18" s="762"/>
      <c r="L18" s="762"/>
      <c r="M18" s="762">
        <v>1</v>
      </c>
      <c r="N18" s="762"/>
      <c r="O18" s="762"/>
      <c r="P18" s="763"/>
      <c r="Q18" s="764">
        <f t="shared" si="0"/>
        <v>1</v>
      </c>
      <c r="R18" s="758" t="s">
        <v>1825</v>
      </c>
      <c r="S18" s="742"/>
      <c r="T18" s="765"/>
      <c r="U18" s="742" t="s">
        <v>2264</v>
      </c>
      <c r="V18" s="742" t="s">
        <v>321</v>
      </c>
      <c r="W18" s="742" t="s">
        <v>2265</v>
      </c>
      <c r="X18" s="798">
        <v>0</v>
      </c>
      <c r="Y18" s="790" t="s">
        <v>1828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2260</v>
      </c>
      <c r="BR18" s="769" t="s">
        <v>2260</v>
      </c>
      <c r="BS18" s="769" t="s">
        <v>2260</v>
      </c>
      <c r="BT18" s="769" t="s">
        <v>2260</v>
      </c>
      <c r="BU18" s="774" t="s">
        <v>2260</v>
      </c>
      <c r="BV18" s="777" t="s">
        <v>2260</v>
      </c>
      <c r="BW18" s="769" t="s">
        <v>2260</v>
      </c>
      <c r="BX18" s="769" t="s">
        <v>2260</v>
      </c>
      <c r="BY18" s="769" t="s">
        <v>2260</v>
      </c>
      <c r="BZ18" s="769" t="s">
        <v>2260</v>
      </c>
      <c r="CA18" s="777" t="s">
        <v>2260</v>
      </c>
      <c r="CB18" s="769" t="s">
        <v>2260</v>
      </c>
      <c r="CC18" s="769" t="s">
        <v>2260</v>
      </c>
      <c r="CD18" s="769" t="s">
        <v>2260</v>
      </c>
      <c r="CE18" s="774" t="s">
        <v>2260</v>
      </c>
      <c r="CF18" s="769" t="s">
        <v>2260</v>
      </c>
      <c r="CG18" s="769" t="s">
        <v>2260</v>
      </c>
      <c r="CH18" s="769" t="s">
        <v>2260</v>
      </c>
      <c r="CI18" s="769" t="s">
        <v>2260</v>
      </c>
      <c r="CJ18" s="774" t="s">
        <v>2260</v>
      </c>
      <c r="CK18" s="777" t="s">
        <v>2260</v>
      </c>
      <c r="CL18" s="769" t="s">
        <v>2260</v>
      </c>
      <c r="CM18" s="769" t="s">
        <v>2260</v>
      </c>
      <c r="CN18" s="769" t="s">
        <v>2260</v>
      </c>
      <c r="CO18" s="774" t="s">
        <v>2260</v>
      </c>
      <c r="CP18" s="777" t="s">
        <v>2260</v>
      </c>
      <c r="CQ18" s="769" t="s">
        <v>2260</v>
      </c>
      <c r="CR18" s="769" t="s">
        <v>2260</v>
      </c>
      <c r="CS18" s="769" t="s">
        <v>2260</v>
      </c>
      <c r="CT18" s="774" t="s">
        <v>2260</v>
      </c>
      <c r="CU18" s="1253" t="s">
        <v>2260</v>
      </c>
      <c r="CV18" s="1252" t="s">
        <v>2260</v>
      </c>
      <c r="CW18" s="1252" t="s">
        <v>2260</v>
      </c>
      <c r="CX18" s="1254" t="s">
        <v>2260</v>
      </c>
      <c r="CY18" s="1252" t="s">
        <v>2260</v>
      </c>
      <c r="CZ18" s="1252" t="s">
        <v>2260</v>
      </c>
      <c r="DA18" s="1252" t="s">
        <v>2260</v>
      </c>
      <c r="DB18" s="1254" t="s">
        <v>2260</v>
      </c>
      <c r="DC18" s="754"/>
      <c r="DD18" s="782">
        <v>1</v>
      </c>
      <c r="DE18" s="783"/>
    </row>
    <row r="19" spans="1:109" ht="15.75" hidden="1" customHeight="1">
      <c r="A19" s="741" t="s">
        <v>1251</v>
      </c>
      <c r="B19" s="742">
        <v>13</v>
      </c>
      <c r="C19" s="758" t="s">
        <v>1304</v>
      </c>
      <c r="D19" s="742" t="s">
        <v>2222</v>
      </c>
      <c r="E19" s="742" t="s">
        <v>2231</v>
      </c>
      <c r="F19" s="754" t="s">
        <v>2269</v>
      </c>
      <c r="G19" s="759" t="s">
        <v>2270</v>
      </c>
      <c r="H19" s="760" t="s">
        <v>2271</v>
      </c>
      <c r="I19" s="761">
        <v>1</v>
      </c>
      <c r="J19" s="762"/>
      <c r="K19" s="762"/>
      <c r="L19" s="762"/>
      <c r="M19" s="762"/>
      <c r="N19" s="762"/>
      <c r="O19" s="762"/>
      <c r="P19" s="763"/>
      <c r="Q19" s="764">
        <f t="shared" si="0"/>
        <v>1</v>
      </c>
      <c r="R19" s="758" t="s">
        <v>1835</v>
      </c>
      <c r="S19" s="742" t="s">
        <v>1826</v>
      </c>
      <c r="T19" s="765" t="s">
        <v>1827</v>
      </c>
      <c r="U19" s="742" t="s">
        <v>2229</v>
      </c>
      <c r="V19" s="742" t="s">
        <v>1857</v>
      </c>
      <c r="W19" s="742" t="s">
        <v>2272</v>
      </c>
      <c r="X19" s="798">
        <v>0</v>
      </c>
      <c r="Y19" s="795" t="s">
        <v>1828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210</v>
      </c>
      <c r="BM19" s="754" t="s">
        <v>210</v>
      </c>
      <c r="BN19" s="754" t="s">
        <v>210</v>
      </c>
      <c r="BO19" s="754" t="s">
        <v>210</v>
      </c>
      <c r="BP19" s="765" t="s">
        <v>210</v>
      </c>
      <c r="BQ19" s="777" t="s">
        <v>2260</v>
      </c>
      <c r="BR19" s="769" t="s">
        <v>2260</v>
      </c>
      <c r="BS19" s="769" t="s">
        <v>2260</v>
      </c>
      <c r="BT19" s="769" t="s">
        <v>2260</v>
      </c>
      <c r="BU19" s="774" t="s">
        <v>2260</v>
      </c>
      <c r="BV19" s="777" t="s">
        <v>2260</v>
      </c>
      <c r="BW19" s="769" t="s">
        <v>2260</v>
      </c>
      <c r="BX19" s="769" t="s">
        <v>2260</v>
      </c>
      <c r="BY19" s="769" t="s">
        <v>2260</v>
      </c>
      <c r="BZ19" s="769" t="s">
        <v>2260</v>
      </c>
      <c r="CA19" s="777" t="s">
        <v>2260</v>
      </c>
      <c r="CB19" s="769" t="s">
        <v>2260</v>
      </c>
      <c r="CC19" s="769" t="s">
        <v>2260</v>
      </c>
      <c r="CD19" s="769" t="s">
        <v>2260</v>
      </c>
      <c r="CE19" s="774" t="s">
        <v>2260</v>
      </c>
      <c r="CF19" s="769" t="s">
        <v>2260</v>
      </c>
      <c r="CG19" s="769" t="s">
        <v>2260</v>
      </c>
      <c r="CH19" s="769" t="s">
        <v>2260</v>
      </c>
      <c r="CI19" s="769" t="s">
        <v>2260</v>
      </c>
      <c r="CJ19" s="774" t="s">
        <v>2260</v>
      </c>
      <c r="CK19" s="777" t="s">
        <v>2260</v>
      </c>
      <c r="CL19" s="769" t="s">
        <v>2260</v>
      </c>
      <c r="CM19" s="769" t="s">
        <v>2260</v>
      </c>
      <c r="CN19" s="769" t="s">
        <v>2260</v>
      </c>
      <c r="CO19" s="774" t="s">
        <v>2260</v>
      </c>
      <c r="CP19" s="777" t="s">
        <v>2260</v>
      </c>
      <c r="CQ19" s="769" t="s">
        <v>2260</v>
      </c>
      <c r="CR19" s="769" t="s">
        <v>2260</v>
      </c>
      <c r="CS19" s="769" t="s">
        <v>2260</v>
      </c>
      <c r="CT19" s="774" t="s">
        <v>2260</v>
      </c>
      <c r="CU19" s="1253" t="s">
        <v>2260</v>
      </c>
      <c r="CV19" s="1252" t="s">
        <v>2260</v>
      </c>
      <c r="CW19" s="1252" t="s">
        <v>2260</v>
      </c>
      <c r="CX19" s="1254" t="s">
        <v>2260</v>
      </c>
      <c r="CY19" s="1252">
        <v>0.14299999999999999</v>
      </c>
      <c r="CZ19" s="1252" t="s">
        <v>2260</v>
      </c>
      <c r="DA19" s="1252" t="s">
        <v>2260</v>
      </c>
      <c r="DB19" s="1254" t="s">
        <v>2260</v>
      </c>
      <c r="DC19" s="754"/>
      <c r="DD19" s="782">
        <v>1</v>
      </c>
      <c r="DE19" s="783"/>
    </row>
    <row r="20" spans="1:109" ht="15.75" hidden="1" customHeight="1">
      <c r="A20" s="741" t="s">
        <v>1251</v>
      </c>
      <c r="B20" s="742">
        <v>14</v>
      </c>
      <c r="C20" s="758" t="s">
        <v>1321</v>
      </c>
      <c r="D20" s="742" t="s">
        <v>2249</v>
      </c>
      <c r="E20" s="742" t="s">
        <v>2231</v>
      </c>
      <c r="F20" s="754" t="s">
        <v>2273</v>
      </c>
      <c r="G20" s="759" t="s">
        <v>2274</v>
      </c>
      <c r="H20" s="760" t="s">
        <v>2274</v>
      </c>
      <c r="I20" s="761"/>
      <c r="J20" s="762"/>
      <c r="K20" s="762"/>
      <c r="L20" s="762"/>
      <c r="M20" s="762">
        <v>1</v>
      </c>
      <c r="N20" s="762"/>
      <c r="O20" s="762"/>
      <c r="P20" s="763"/>
      <c r="Q20" s="764">
        <f t="shared" si="0"/>
        <v>1</v>
      </c>
      <c r="R20" s="758" t="s">
        <v>1852</v>
      </c>
      <c r="S20" s="742" t="s">
        <v>1826</v>
      </c>
      <c r="T20" s="765" t="s">
        <v>1827</v>
      </c>
      <c r="U20" s="742" t="s">
        <v>2275</v>
      </c>
      <c r="V20" s="742" t="s">
        <v>321</v>
      </c>
      <c r="W20" s="742" t="s">
        <v>2276</v>
      </c>
      <c r="X20" s="798">
        <v>2</v>
      </c>
      <c r="Y20" s="790" t="s">
        <v>1838</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210</v>
      </c>
      <c r="BM20" s="754" t="s">
        <v>210</v>
      </c>
      <c r="BN20" s="754" t="s">
        <v>210</v>
      </c>
      <c r="BO20" s="754" t="s">
        <v>210</v>
      </c>
      <c r="BP20" s="765" t="s">
        <v>210</v>
      </c>
      <c r="BQ20" s="777" t="s">
        <v>2260</v>
      </c>
      <c r="BR20" s="769" t="s">
        <v>2260</v>
      </c>
      <c r="BS20" s="769" t="s">
        <v>2260</v>
      </c>
      <c r="BT20" s="769" t="s">
        <v>2260</v>
      </c>
      <c r="BU20" s="774" t="s">
        <v>2260</v>
      </c>
      <c r="BV20" s="775">
        <v>2.89</v>
      </c>
      <c r="BW20" s="776">
        <v>2.77</v>
      </c>
      <c r="BX20" s="776">
        <v>2.72</v>
      </c>
      <c r="BY20" s="776">
        <v>2.7</v>
      </c>
      <c r="BZ20" s="776">
        <v>2.7</v>
      </c>
      <c r="CA20" s="777" t="s">
        <v>2260</v>
      </c>
      <c r="CB20" s="769" t="s">
        <v>2260</v>
      </c>
      <c r="CC20" s="769" t="s">
        <v>2260</v>
      </c>
      <c r="CD20" s="769" t="s">
        <v>2260</v>
      </c>
      <c r="CE20" s="774" t="s">
        <v>2260</v>
      </c>
      <c r="CF20" s="779" t="s">
        <v>2260</v>
      </c>
      <c r="CG20" s="779" t="s">
        <v>2260</v>
      </c>
      <c r="CH20" s="779" t="s">
        <v>2260</v>
      </c>
      <c r="CI20" s="779" t="s">
        <v>2260</v>
      </c>
      <c r="CJ20" s="779" t="s">
        <v>2260</v>
      </c>
      <c r="CK20" s="777">
        <v>1.89</v>
      </c>
      <c r="CL20" s="769">
        <v>1.77</v>
      </c>
      <c r="CM20" s="769">
        <v>1.72</v>
      </c>
      <c r="CN20" s="769">
        <v>1.66</v>
      </c>
      <c r="CO20" s="774">
        <v>1.6</v>
      </c>
      <c r="CP20" s="777" t="s">
        <v>2260</v>
      </c>
      <c r="CQ20" s="769" t="s">
        <v>2260</v>
      </c>
      <c r="CR20" s="769" t="s">
        <v>2260</v>
      </c>
      <c r="CS20" s="769" t="s">
        <v>2260</v>
      </c>
      <c r="CT20" s="774" t="s">
        <v>2260</v>
      </c>
      <c r="CU20" s="1253">
        <v>-1.2230000000000001</v>
      </c>
      <c r="CV20" s="1252" t="s">
        <v>2260</v>
      </c>
      <c r="CW20" s="1252" t="s">
        <v>2260</v>
      </c>
      <c r="CX20" s="1254" t="s">
        <v>2260</v>
      </c>
      <c r="CY20" s="1252">
        <v>1.2230000000000001</v>
      </c>
      <c r="CZ20" s="1252" t="s">
        <v>2260</v>
      </c>
      <c r="DA20" s="1252" t="s">
        <v>2260</v>
      </c>
      <c r="DB20" s="1254" t="s">
        <v>2260</v>
      </c>
      <c r="DC20" s="754"/>
      <c r="DD20" s="782">
        <v>1</v>
      </c>
      <c r="DE20" s="783"/>
    </row>
    <row r="21" spans="1:109" ht="15.75" hidden="1" customHeight="1">
      <c r="A21" s="741" t="s">
        <v>1251</v>
      </c>
      <c r="B21" s="742">
        <v>15</v>
      </c>
      <c r="C21" s="758" t="s">
        <v>1338</v>
      </c>
      <c r="D21" s="742" t="s">
        <v>2222</v>
      </c>
      <c r="E21" s="742" t="s">
        <v>2231</v>
      </c>
      <c r="F21" s="754" t="s">
        <v>2277</v>
      </c>
      <c r="G21" s="759" t="s">
        <v>2278</v>
      </c>
      <c r="H21" s="760" t="s">
        <v>2279</v>
      </c>
      <c r="I21" s="761">
        <v>1</v>
      </c>
      <c r="J21" s="762"/>
      <c r="K21" s="762"/>
      <c r="L21" s="762"/>
      <c r="M21" s="762"/>
      <c r="N21" s="762"/>
      <c r="O21" s="762"/>
      <c r="P21" s="763"/>
      <c r="Q21" s="764">
        <f t="shared" si="0"/>
        <v>1</v>
      </c>
      <c r="R21" s="758" t="s">
        <v>1852</v>
      </c>
      <c r="S21" s="742" t="s">
        <v>1826</v>
      </c>
      <c r="T21" s="765" t="s">
        <v>1827</v>
      </c>
      <c r="U21" s="742" t="s">
        <v>2280</v>
      </c>
      <c r="V21" s="742" t="s">
        <v>1857</v>
      </c>
      <c r="W21" s="742" t="s">
        <v>2281</v>
      </c>
      <c r="X21" s="798">
        <v>0</v>
      </c>
      <c r="Y21" s="788" t="s">
        <v>1828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210</v>
      </c>
      <c r="BM21" s="754" t="s">
        <v>210</v>
      </c>
      <c r="BN21" s="754" t="s">
        <v>210</v>
      </c>
      <c r="BO21" s="754" t="s">
        <v>210</v>
      </c>
      <c r="BP21" s="765" t="s">
        <v>210</v>
      </c>
      <c r="BQ21" s="777" t="s">
        <v>2260</v>
      </c>
      <c r="BR21" s="769" t="s">
        <v>2260</v>
      </c>
      <c r="BS21" s="769" t="s">
        <v>2260</v>
      </c>
      <c r="BT21" s="769" t="s">
        <v>2260</v>
      </c>
      <c r="BU21" s="774" t="s">
        <v>2260</v>
      </c>
      <c r="BV21" s="777" t="s">
        <v>2260</v>
      </c>
      <c r="BW21" s="769" t="s">
        <v>2260</v>
      </c>
      <c r="BX21" s="769" t="s">
        <v>2260</v>
      </c>
      <c r="BY21" s="769" t="s">
        <v>2260</v>
      </c>
      <c r="BZ21" s="769" t="s">
        <v>2260</v>
      </c>
      <c r="CA21" s="777" t="s">
        <v>2260</v>
      </c>
      <c r="CB21" s="769" t="s">
        <v>2260</v>
      </c>
      <c r="CC21" s="769" t="s">
        <v>2260</v>
      </c>
      <c r="CD21" s="769" t="s">
        <v>2260</v>
      </c>
      <c r="CE21" s="774" t="s">
        <v>2260</v>
      </c>
      <c r="CF21" s="769" t="s">
        <v>2260</v>
      </c>
      <c r="CG21" s="769" t="s">
        <v>2260</v>
      </c>
      <c r="CH21" s="769" t="s">
        <v>2260</v>
      </c>
      <c r="CI21" s="769" t="s">
        <v>2260</v>
      </c>
      <c r="CJ21" s="774" t="s">
        <v>2260</v>
      </c>
      <c r="CK21" s="777" t="s">
        <v>2260</v>
      </c>
      <c r="CL21" s="769" t="s">
        <v>2260</v>
      </c>
      <c r="CM21" s="769" t="s">
        <v>2260</v>
      </c>
      <c r="CN21" s="769" t="s">
        <v>2260</v>
      </c>
      <c r="CO21" s="774" t="s">
        <v>2260</v>
      </c>
      <c r="CP21" s="777" t="s">
        <v>2260</v>
      </c>
      <c r="CQ21" s="769" t="s">
        <v>2260</v>
      </c>
      <c r="CR21" s="769" t="s">
        <v>2260</v>
      </c>
      <c r="CS21" s="769" t="s">
        <v>2260</v>
      </c>
      <c r="CT21" s="774" t="s">
        <v>2260</v>
      </c>
      <c r="CU21" s="1253">
        <v>-3.4700000000000002E-2</v>
      </c>
      <c r="CV21" s="1252" t="s">
        <v>2260</v>
      </c>
      <c r="CW21" s="1252" t="s">
        <v>2260</v>
      </c>
      <c r="CX21" s="1254" t="s">
        <v>2260</v>
      </c>
      <c r="CY21" s="1252">
        <v>1.7399999999999999E-2</v>
      </c>
      <c r="CZ21" s="1252" t="s">
        <v>2260</v>
      </c>
      <c r="DA21" s="1252" t="s">
        <v>2260</v>
      </c>
      <c r="DB21" s="1254" t="s">
        <v>2260</v>
      </c>
      <c r="DC21" s="754" t="s">
        <v>2282</v>
      </c>
      <c r="DD21" s="782">
        <v>1</v>
      </c>
      <c r="DE21" s="783"/>
    </row>
    <row r="22" spans="1:109" ht="15.75" hidden="1" customHeight="1">
      <c r="A22" s="741" t="s">
        <v>1251</v>
      </c>
      <c r="B22" s="742">
        <v>16</v>
      </c>
      <c r="C22" s="758" t="s">
        <v>1355</v>
      </c>
      <c r="D22" s="742" t="s">
        <v>2222</v>
      </c>
      <c r="E22" s="742" t="s">
        <v>2223</v>
      </c>
      <c r="F22" s="754" t="s">
        <v>2283</v>
      </c>
      <c r="G22" s="759" t="s">
        <v>2284</v>
      </c>
      <c r="H22" s="760" t="s">
        <v>2285</v>
      </c>
      <c r="I22" s="761">
        <v>1</v>
      </c>
      <c r="J22" s="762"/>
      <c r="K22" s="762"/>
      <c r="L22" s="762"/>
      <c r="M22" s="762"/>
      <c r="N22" s="762"/>
      <c r="O22" s="762"/>
      <c r="P22" s="763"/>
      <c r="Q22" s="764">
        <f t="shared" si="0"/>
        <v>1</v>
      </c>
      <c r="R22" s="758" t="s">
        <v>1846</v>
      </c>
      <c r="S22" s="742" t="s">
        <v>1826</v>
      </c>
      <c r="T22" s="765" t="s">
        <v>1827</v>
      </c>
      <c r="U22" s="742" t="s">
        <v>2229</v>
      </c>
      <c r="V22" s="742" t="s">
        <v>1857</v>
      </c>
      <c r="W22" s="742" t="s">
        <v>2286</v>
      </c>
      <c r="X22" s="798">
        <v>2</v>
      </c>
      <c r="Y22" s="788" t="s">
        <v>1828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210</v>
      </c>
      <c r="BM22" s="754" t="s">
        <v>210</v>
      </c>
      <c r="BN22" s="754" t="s">
        <v>210</v>
      </c>
      <c r="BO22" s="754" t="s">
        <v>210</v>
      </c>
      <c r="BP22" s="765" t="s">
        <v>210</v>
      </c>
      <c r="BQ22" s="777" t="s">
        <v>2260</v>
      </c>
      <c r="BR22" s="769" t="s">
        <v>2260</v>
      </c>
      <c r="BS22" s="769" t="s">
        <v>2260</v>
      </c>
      <c r="BT22" s="769" t="s">
        <v>2260</v>
      </c>
      <c r="BU22" s="774" t="s">
        <v>2260</v>
      </c>
      <c r="BV22" s="777" t="s">
        <v>2260</v>
      </c>
      <c r="BW22" s="769" t="s">
        <v>2260</v>
      </c>
      <c r="BX22" s="769" t="s">
        <v>2260</v>
      </c>
      <c r="BY22" s="769" t="s">
        <v>2260</v>
      </c>
      <c r="BZ22" s="769" t="s">
        <v>2260</v>
      </c>
      <c r="CA22" s="777" t="s">
        <v>2260</v>
      </c>
      <c r="CB22" s="769" t="s">
        <v>2260</v>
      </c>
      <c r="CC22" s="769" t="s">
        <v>2260</v>
      </c>
      <c r="CD22" s="769" t="s">
        <v>2260</v>
      </c>
      <c r="CE22" s="774" t="s">
        <v>2260</v>
      </c>
      <c r="CF22" s="769" t="s">
        <v>2260</v>
      </c>
      <c r="CG22" s="769" t="s">
        <v>2260</v>
      </c>
      <c r="CH22" s="769" t="s">
        <v>2260</v>
      </c>
      <c r="CI22" s="769" t="s">
        <v>2260</v>
      </c>
      <c r="CJ22" s="774" t="s">
        <v>2260</v>
      </c>
      <c r="CK22" s="777" t="s">
        <v>2260</v>
      </c>
      <c r="CL22" s="769" t="s">
        <v>2260</v>
      </c>
      <c r="CM22" s="769" t="s">
        <v>2260</v>
      </c>
      <c r="CN22" s="769" t="s">
        <v>2260</v>
      </c>
      <c r="CO22" s="774" t="s">
        <v>2260</v>
      </c>
      <c r="CP22" s="777" t="s">
        <v>2260</v>
      </c>
      <c r="CQ22" s="769" t="s">
        <v>2260</v>
      </c>
      <c r="CR22" s="769" t="s">
        <v>2260</v>
      </c>
      <c r="CS22" s="769" t="s">
        <v>2260</v>
      </c>
      <c r="CT22" s="774" t="s">
        <v>2260</v>
      </c>
      <c r="CU22" s="1253">
        <v>-0.24099999999999999</v>
      </c>
      <c r="CV22" s="1252" t="s">
        <v>2260</v>
      </c>
      <c r="CW22" s="1252" t="s">
        <v>2260</v>
      </c>
      <c r="CX22" s="1254" t="s">
        <v>2260</v>
      </c>
      <c r="CY22" s="1252" t="s">
        <v>2260</v>
      </c>
      <c r="CZ22" s="1252" t="s">
        <v>2260</v>
      </c>
      <c r="DA22" s="1252" t="s">
        <v>2260</v>
      </c>
      <c r="DB22" s="1254" t="s">
        <v>2260</v>
      </c>
      <c r="DC22" s="754"/>
      <c r="DD22" s="782">
        <v>1</v>
      </c>
      <c r="DE22" s="783"/>
    </row>
    <row r="23" spans="1:109" ht="15.75" hidden="1" customHeight="1">
      <c r="A23" s="741" t="s">
        <v>1251</v>
      </c>
      <c r="B23" s="742">
        <v>17</v>
      </c>
      <c r="C23" s="758" t="s">
        <v>1372</v>
      </c>
      <c r="D23" s="742" t="s">
        <v>2222</v>
      </c>
      <c r="E23" s="742" t="s">
        <v>2223</v>
      </c>
      <c r="F23" s="754" t="s">
        <v>2287</v>
      </c>
      <c r="G23" s="759" t="s">
        <v>2288</v>
      </c>
      <c r="H23" s="760" t="s">
        <v>2289</v>
      </c>
      <c r="I23" s="761">
        <v>1</v>
      </c>
      <c r="J23" s="762"/>
      <c r="K23" s="762"/>
      <c r="L23" s="762"/>
      <c r="M23" s="762"/>
      <c r="N23" s="762"/>
      <c r="O23" s="762"/>
      <c r="P23" s="763"/>
      <c r="Q23" s="764">
        <f t="shared" si="0"/>
        <v>1</v>
      </c>
      <c r="R23" s="758" t="s">
        <v>1852</v>
      </c>
      <c r="S23" s="742" t="s">
        <v>1826</v>
      </c>
      <c r="T23" s="765" t="s">
        <v>1827</v>
      </c>
      <c r="U23" s="742" t="s">
        <v>2290</v>
      </c>
      <c r="V23" s="742" t="s">
        <v>1857</v>
      </c>
      <c r="W23" s="742" t="s">
        <v>2291</v>
      </c>
      <c r="X23" s="1243">
        <v>0</v>
      </c>
      <c r="Y23" s="788" t="s">
        <v>1838</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210</v>
      </c>
      <c r="BM23" s="754" t="s">
        <v>210</v>
      </c>
      <c r="BN23" s="754" t="s">
        <v>210</v>
      </c>
      <c r="BO23" s="754" t="s">
        <v>210</v>
      </c>
      <c r="BP23" s="765" t="s">
        <v>210</v>
      </c>
      <c r="BQ23" s="777" t="s">
        <v>2260</v>
      </c>
      <c r="BR23" s="769" t="s">
        <v>2260</v>
      </c>
      <c r="BS23" s="769" t="s">
        <v>2260</v>
      </c>
      <c r="BT23" s="769" t="s">
        <v>2260</v>
      </c>
      <c r="BU23" s="774" t="s">
        <v>2260</v>
      </c>
      <c r="BV23" s="777">
        <v>3500</v>
      </c>
      <c r="BW23" s="769">
        <v>3500</v>
      </c>
      <c r="BX23" s="769">
        <v>3500</v>
      </c>
      <c r="BY23" s="769">
        <v>3500</v>
      </c>
      <c r="BZ23" s="769">
        <v>3500</v>
      </c>
      <c r="CA23" s="777" t="s">
        <v>2260</v>
      </c>
      <c r="CB23" s="769" t="s">
        <v>2260</v>
      </c>
      <c r="CC23" s="769" t="s">
        <v>2260</v>
      </c>
      <c r="CD23" s="769" t="s">
        <v>2260</v>
      </c>
      <c r="CE23" s="774" t="s">
        <v>2260</v>
      </c>
      <c r="CF23" s="769" t="s">
        <v>2260</v>
      </c>
      <c r="CG23" s="769" t="s">
        <v>2260</v>
      </c>
      <c r="CH23" s="769" t="s">
        <v>2260</v>
      </c>
      <c r="CI23" s="769" t="s">
        <v>2260</v>
      </c>
      <c r="CJ23" s="774" t="s">
        <v>2260</v>
      </c>
      <c r="CK23" s="777">
        <v>-3500</v>
      </c>
      <c r="CL23" s="769">
        <v>-3500</v>
      </c>
      <c r="CM23" s="769">
        <v>-3500</v>
      </c>
      <c r="CN23" s="769">
        <v>-3500</v>
      </c>
      <c r="CO23" s="774">
        <v>-3500</v>
      </c>
      <c r="CP23" s="777" t="s">
        <v>2260</v>
      </c>
      <c r="CQ23" s="769" t="s">
        <v>2260</v>
      </c>
      <c r="CR23" s="769" t="s">
        <v>2260</v>
      </c>
      <c r="CS23" s="769" t="s">
        <v>2260</v>
      </c>
      <c r="CT23" s="774" t="s">
        <v>2260</v>
      </c>
      <c r="CU23" s="1253">
        <v>-1.1E-4</v>
      </c>
      <c r="CV23" s="1252" t="s">
        <v>2260</v>
      </c>
      <c r="CW23" s="1252" t="s">
        <v>2260</v>
      </c>
      <c r="CX23" s="1254" t="s">
        <v>2260</v>
      </c>
      <c r="CY23" s="1252">
        <v>9.3999999999999994E-5</v>
      </c>
      <c r="CZ23" s="1252" t="s">
        <v>2260</v>
      </c>
      <c r="DA23" s="1252" t="s">
        <v>2260</v>
      </c>
      <c r="DB23" s="1254" t="s">
        <v>2260</v>
      </c>
      <c r="DC23" s="754"/>
      <c r="DD23" s="782">
        <v>1</v>
      </c>
      <c r="DE23" s="783"/>
    </row>
    <row r="24" spans="1:109" ht="15.75" hidden="1" customHeight="1">
      <c r="A24" s="741" t="s">
        <v>1251</v>
      </c>
      <c r="B24" s="742">
        <v>18</v>
      </c>
      <c r="C24" s="758" t="s">
        <v>1389</v>
      </c>
      <c r="D24" s="742" t="s">
        <v>2216</v>
      </c>
      <c r="E24" s="742" t="s">
        <v>2231</v>
      </c>
      <c r="F24" s="754" t="s">
        <v>2292</v>
      </c>
      <c r="G24" s="759" t="s">
        <v>2293</v>
      </c>
      <c r="H24" s="760" t="s">
        <v>2294</v>
      </c>
      <c r="I24" s="761"/>
      <c r="J24" s="762">
        <v>1</v>
      </c>
      <c r="K24" s="762"/>
      <c r="L24" s="762"/>
      <c r="M24" s="762"/>
      <c r="N24" s="762"/>
      <c r="O24" s="762"/>
      <c r="P24" s="763"/>
      <c r="Q24" s="764">
        <f t="shared" si="0"/>
        <v>1</v>
      </c>
      <c r="R24" s="758" t="s">
        <v>1846</v>
      </c>
      <c r="S24" s="742" t="s">
        <v>1826</v>
      </c>
      <c r="T24" s="765" t="s">
        <v>1827</v>
      </c>
      <c r="U24" s="742" t="s">
        <v>2295</v>
      </c>
      <c r="V24" s="742" t="s">
        <v>1857</v>
      </c>
      <c r="W24" s="742" t="s">
        <v>2296</v>
      </c>
      <c r="X24" s="798">
        <v>3</v>
      </c>
      <c r="Y24" s="788" t="s">
        <v>1838</v>
      </c>
      <c r="Z24" s="759" t="s">
        <v>2297</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210</v>
      </c>
      <c r="BM24" s="754" t="s">
        <v>210</v>
      </c>
      <c r="BN24" s="754" t="s">
        <v>210</v>
      </c>
      <c r="BO24" s="754" t="s">
        <v>210</v>
      </c>
      <c r="BP24" s="765" t="s">
        <v>210</v>
      </c>
      <c r="BQ24" s="777" t="s">
        <v>2260</v>
      </c>
      <c r="BR24" s="769" t="s">
        <v>2260</v>
      </c>
      <c r="BS24" s="769" t="s">
        <v>2260</v>
      </c>
      <c r="BT24" s="769" t="s">
        <v>2260</v>
      </c>
      <c r="BU24" s="774" t="s">
        <v>2260</v>
      </c>
      <c r="BV24" s="775">
        <v>4.9349999999999996</v>
      </c>
      <c r="BW24" s="776">
        <v>4.9349999999999996</v>
      </c>
      <c r="BX24" s="776">
        <v>4.9349999999999996</v>
      </c>
      <c r="BY24" s="776">
        <v>4.9349999999999996</v>
      </c>
      <c r="BZ24" s="776">
        <v>4.9349999999999996</v>
      </c>
      <c r="CA24" s="777" t="s">
        <v>2260</v>
      </c>
      <c r="CB24" s="769" t="s">
        <v>2260</v>
      </c>
      <c r="CC24" s="769" t="s">
        <v>2260</v>
      </c>
      <c r="CD24" s="769" t="s">
        <v>2260</v>
      </c>
      <c r="CE24" s="774" t="s">
        <v>2260</v>
      </c>
      <c r="CF24" s="769" t="s">
        <v>2260</v>
      </c>
      <c r="CG24" s="769" t="s">
        <v>2260</v>
      </c>
      <c r="CH24" s="769" t="s">
        <v>2260</v>
      </c>
      <c r="CI24" s="769" t="s">
        <v>2260</v>
      </c>
      <c r="CJ24" s="774" t="s">
        <v>2260</v>
      </c>
      <c r="CK24" s="777" t="s">
        <v>2260</v>
      </c>
      <c r="CL24" s="769" t="s">
        <v>2260</v>
      </c>
      <c r="CM24" s="769" t="s">
        <v>2260</v>
      </c>
      <c r="CN24" s="769" t="s">
        <v>2260</v>
      </c>
      <c r="CO24" s="774" t="s">
        <v>2260</v>
      </c>
      <c r="CP24" s="777" t="s">
        <v>2260</v>
      </c>
      <c r="CQ24" s="769" t="s">
        <v>2260</v>
      </c>
      <c r="CR24" s="769" t="s">
        <v>2260</v>
      </c>
      <c r="CS24" s="769" t="s">
        <v>2260</v>
      </c>
      <c r="CT24" s="774" t="s">
        <v>2260</v>
      </c>
      <c r="CU24" s="1253">
        <v>-0.26400000000000001</v>
      </c>
      <c r="CV24" s="1252" t="s">
        <v>2260</v>
      </c>
      <c r="CW24" s="1252" t="s">
        <v>2260</v>
      </c>
      <c r="CX24" s="1254" t="s">
        <v>2260</v>
      </c>
      <c r="CY24" s="1252">
        <v>0</v>
      </c>
      <c r="CZ24" s="1252" t="s">
        <v>2260</v>
      </c>
      <c r="DA24" s="1252" t="s">
        <v>2260</v>
      </c>
      <c r="DB24" s="1254" t="s">
        <v>2260</v>
      </c>
      <c r="DC24" s="754" t="s">
        <v>2282</v>
      </c>
      <c r="DD24" s="782">
        <v>1</v>
      </c>
      <c r="DE24" s="783"/>
    </row>
    <row r="25" spans="1:109" ht="15.75" hidden="1" customHeight="1">
      <c r="A25" s="741" t="s">
        <v>1251</v>
      </c>
      <c r="B25" s="742">
        <v>19</v>
      </c>
      <c r="C25" s="758" t="s">
        <v>1406</v>
      </c>
      <c r="D25" s="742" t="s">
        <v>2249</v>
      </c>
      <c r="E25" s="742" t="s">
        <v>2231</v>
      </c>
      <c r="F25" s="754" t="s">
        <v>2298</v>
      </c>
      <c r="G25" s="759" t="s">
        <v>2299</v>
      </c>
      <c r="H25" s="760" t="s">
        <v>2299</v>
      </c>
      <c r="I25" s="761"/>
      <c r="J25" s="762"/>
      <c r="K25" s="762"/>
      <c r="L25" s="762"/>
      <c r="M25" s="762">
        <v>1</v>
      </c>
      <c r="N25" s="762"/>
      <c r="O25" s="762"/>
      <c r="P25" s="763"/>
      <c r="Q25" s="764">
        <f t="shared" si="0"/>
        <v>1</v>
      </c>
      <c r="R25" s="758" t="s">
        <v>1846</v>
      </c>
      <c r="S25" s="742" t="s">
        <v>1826</v>
      </c>
      <c r="T25" s="765" t="s">
        <v>1827</v>
      </c>
      <c r="U25" s="742" t="s">
        <v>2275</v>
      </c>
      <c r="V25" s="742" t="s">
        <v>1857</v>
      </c>
      <c r="W25" s="742" t="s">
        <v>2300</v>
      </c>
      <c r="X25" s="798">
        <v>0</v>
      </c>
      <c r="Y25" s="790" t="s">
        <v>1828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210</v>
      </c>
      <c r="BM25" s="754" t="s">
        <v>210</v>
      </c>
      <c r="BN25" s="754" t="s">
        <v>210</v>
      </c>
      <c r="BO25" s="754" t="s">
        <v>210</v>
      </c>
      <c r="BP25" s="765" t="s">
        <v>210</v>
      </c>
      <c r="BQ25" s="777" t="s">
        <v>2260</v>
      </c>
      <c r="BR25" s="769" t="s">
        <v>2260</v>
      </c>
      <c r="BS25" s="769" t="s">
        <v>2260</v>
      </c>
      <c r="BT25" s="769" t="s">
        <v>2260</v>
      </c>
      <c r="BU25" s="774" t="s">
        <v>2260</v>
      </c>
      <c r="BV25" s="777" t="s">
        <v>2260</v>
      </c>
      <c r="BW25" s="769" t="s">
        <v>2260</v>
      </c>
      <c r="BX25" s="769" t="s">
        <v>2260</v>
      </c>
      <c r="BY25" s="769" t="s">
        <v>2260</v>
      </c>
      <c r="BZ25" s="769" t="s">
        <v>2260</v>
      </c>
      <c r="CA25" s="777" t="s">
        <v>2260</v>
      </c>
      <c r="CB25" s="769" t="s">
        <v>2260</v>
      </c>
      <c r="CC25" s="769" t="s">
        <v>2260</v>
      </c>
      <c r="CD25" s="769" t="s">
        <v>2260</v>
      </c>
      <c r="CE25" s="774" t="s">
        <v>2260</v>
      </c>
      <c r="CF25" s="769" t="s">
        <v>2260</v>
      </c>
      <c r="CG25" s="769" t="s">
        <v>2260</v>
      </c>
      <c r="CH25" s="769" t="s">
        <v>2260</v>
      </c>
      <c r="CI25" s="769" t="s">
        <v>2260</v>
      </c>
      <c r="CJ25" s="774" t="s">
        <v>2260</v>
      </c>
      <c r="CK25" s="777" t="s">
        <v>2260</v>
      </c>
      <c r="CL25" s="769" t="s">
        <v>2260</v>
      </c>
      <c r="CM25" s="769" t="s">
        <v>2260</v>
      </c>
      <c r="CN25" s="769" t="s">
        <v>2260</v>
      </c>
      <c r="CO25" s="774" t="s">
        <v>2260</v>
      </c>
      <c r="CP25" s="777" t="s">
        <v>2260</v>
      </c>
      <c r="CQ25" s="769" t="s">
        <v>2260</v>
      </c>
      <c r="CR25" s="769" t="s">
        <v>2260</v>
      </c>
      <c r="CS25" s="769" t="s">
        <v>2260</v>
      </c>
      <c r="CT25" s="774" t="s">
        <v>2260</v>
      </c>
      <c r="CU25" s="1253">
        <v>-7.1699999999999997E-4</v>
      </c>
      <c r="CV25" s="1252" t="s">
        <v>2260</v>
      </c>
      <c r="CW25" s="1252" t="s">
        <v>2260</v>
      </c>
      <c r="CX25" s="1254" t="s">
        <v>2260</v>
      </c>
      <c r="CY25" s="1252" t="s">
        <v>2260</v>
      </c>
      <c r="CZ25" s="1252" t="s">
        <v>2260</v>
      </c>
      <c r="DA25" s="1252" t="s">
        <v>2260</v>
      </c>
      <c r="DB25" s="1254" t="s">
        <v>2260</v>
      </c>
      <c r="DC25" s="754"/>
      <c r="DD25" s="782">
        <v>1</v>
      </c>
      <c r="DE25" s="783"/>
    </row>
    <row r="26" spans="1:109" ht="15.75" hidden="1" customHeight="1">
      <c r="A26" s="741" t="s">
        <v>1251</v>
      </c>
      <c r="B26" s="742">
        <v>20</v>
      </c>
      <c r="C26" s="758" t="s">
        <v>1423</v>
      </c>
      <c r="D26" s="742" t="s">
        <v>2216</v>
      </c>
      <c r="E26" s="742" t="s">
        <v>2223</v>
      </c>
      <c r="F26" s="754" t="s">
        <v>2301</v>
      </c>
      <c r="G26" s="759" t="s">
        <v>2302</v>
      </c>
      <c r="H26" s="760" t="s">
        <v>2303</v>
      </c>
      <c r="I26" s="761"/>
      <c r="J26" s="762">
        <v>1</v>
      </c>
      <c r="K26" s="762"/>
      <c r="L26" s="762"/>
      <c r="M26" s="762"/>
      <c r="N26" s="762"/>
      <c r="O26" s="762"/>
      <c r="P26" s="763"/>
      <c r="Q26" s="764">
        <f t="shared" si="0"/>
        <v>1</v>
      </c>
      <c r="R26" s="758" t="s">
        <v>1852</v>
      </c>
      <c r="S26" s="742" t="s">
        <v>1826</v>
      </c>
      <c r="T26" s="765" t="s">
        <v>1827</v>
      </c>
      <c r="U26" s="742" t="s">
        <v>2234</v>
      </c>
      <c r="V26" s="742" t="s">
        <v>1857</v>
      </c>
      <c r="W26" s="742" t="s">
        <v>2304</v>
      </c>
      <c r="X26" s="798">
        <v>0</v>
      </c>
      <c r="Y26" s="767" t="s">
        <v>1838</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210</v>
      </c>
      <c r="BM26" s="754" t="s">
        <v>210</v>
      </c>
      <c r="BN26" s="754" t="s">
        <v>210</v>
      </c>
      <c r="BO26" s="754" t="s">
        <v>210</v>
      </c>
      <c r="BP26" s="765" t="s">
        <v>210</v>
      </c>
      <c r="BQ26" s="777" t="s">
        <v>2260</v>
      </c>
      <c r="BR26" s="769" t="s">
        <v>2260</v>
      </c>
      <c r="BS26" s="769" t="s">
        <v>2260</v>
      </c>
      <c r="BT26" s="769" t="s">
        <v>2260</v>
      </c>
      <c r="BU26" s="774" t="s">
        <v>2260</v>
      </c>
      <c r="BV26" s="796">
        <v>536</v>
      </c>
      <c r="BW26" s="766">
        <v>547</v>
      </c>
      <c r="BX26" s="766">
        <v>560</v>
      </c>
      <c r="BY26" s="766">
        <v>574</v>
      </c>
      <c r="BZ26" s="766">
        <v>590</v>
      </c>
      <c r="CA26" s="777" t="s">
        <v>2260</v>
      </c>
      <c r="CB26" s="769" t="s">
        <v>2260</v>
      </c>
      <c r="CC26" s="769" t="s">
        <v>2260</v>
      </c>
      <c r="CD26" s="769" t="s">
        <v>2260</v>
      </c>
      <c r="CE26" s="774" t="s">
        <v>2260</v>
      </c>
      <c r="CF26" s="769" t="s">
        <v>2260</v>
      </c>
      <c r="CG26" s="769" t="s">
        <v>2260</v>
      </c>
      <c r="CH26" s="769" t="s">
        <v>2260</v>
      </c>
      <c r="CI26" s="769" t="s">
        <v>2260</v>
      </c>
      <c r="CJ26" s="774" t="s">
        <v>2260</v>
      </c>
      <c r="CK26" s="777">
        <v>200</v>
      </c>
      <c r="CL26" s="769">
        <v>200</v>
      </c>
      <c r="CM26" s="769">
        <v>200</v>
      </c>
      <c r="CN26" s="769">
        <v>200</v>
      </c>
      <c r="CO26" s="774">
        <v>200</v>
      </c>
      <c r="CP26" s="777" t="s">
        <v>2260</v>
      </c>
      <c r="CQ26" s="769" t="s">
        <v>2260</v>
      </c>
      <c r="CR26" s="769" t="s">
        <v>2260</v>
      </c>
      <c r="CS26" s="769" t="s">
        <v>2260</v>
      </c>
      <c r="CT26" s="774" t="s">
        <v>2260</v>
      </c>
      <c r="CU26" s="1253">
        <v>-3.31E-3</v>
      </c>
      <c r="CV26" s="1252" t="s">
        <v>2260</v>
      </c>
      <c r="CW26" s="1252" t="s">
        <v>2260</v>
      </c>
      <c r="CX26" s="1254" t="s">
        <v>2260</v>
      </c>
      <c r="CY26" s="1252">
        <v>3.31E-3</v>
      </c>
      <c r="CZ26" s="1252" t="s">
        <v>2260</v>
      </c>
      <c r="DA26" s="1252" t="s">
        <v>2260</v>
      </c>
      <c r="DB26" s="1254" t="s">
        <v>2260</v>
      </c>
      <c r="DC26" s="754"/>
      <c r="DD26" s="782">
        <v>1</v>
      </c>
      <c r="DE26" s="783"/>
    </row>
    <row r="27" spans="1:109" ht="15.75" hidden="1" customHeight="1">
      <c r="A27" s="741" t="s">
        <v>1251</v>
      </c>
      <c r="B27" s="742">
        <v>21</v>
      </c>
      <c r="C27" s="758" t="s">
        <v>1439</v>
      </c>
      <c r="D27" s="742" t="s">
        <v>2244</v>
      </c>
      <c r="E27" s="742" t="s">
        <v>2223</v>
      </c>
      <c r="F27" s="754" t="s">
        <v>2305</v>
      </c>
      <c r="G27" s="759" t="s">
        <v>2306</v>
      </c>
      <c r="H27" s="760" t="s">
        <v>2307</v>
      </c>
      <c r="I27" s="761"/>
      <c r="J27" s="762">
        <v>1</v>
      </c>
      <c r="K27" s="762"/>
      <c r="L27" s="762"/>
      <c r="M27" s="762"/>
      <c r="N27" s="762"/>
      <c r="O27" s="762"/>
      <c r="P27" s="763"/>
      <c r="Q27" s="764">
        <f t="shared" si="0"/>
        <v>1</v>
      </c>
      <c r="R27" s="758" t="s">
        <v>1846</v>
      </c>
      <c r="S27" s="742" t="s">
        <v>1826</v>
      </c>
      <c r="T27" s="765" t="s">
        <v>1827</v>
      </c>
      <c r="U27" s="742" t="s">
        <v>2176</v>
      </c>
      <c r="V27" s="742" t="s">
        <v>1857</v>
      </c>
      <c r="W27" s="742" t="s">
        <v>2308</v>
      </c>
      <c r="X27" s="798">
        <v>2</v>
      </c>
      <c r="Y27" s="767" t="s">
        <v>1838</v>
      </c>
      <c r="Z27" s="759" t="s">
        <v>2309</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210</v>
      </c>
      <c r="BM27" s="754" t="s">
        <v>210</v>
      </c>
      <c r="BN27" s="754" t="s">
        <v>210</v>
      </c>
      <c r="BO27" s="754" t="s">
        <v>210</v>
      </c>
      <c r="BP27" s="765" t="s">
        <v>210</v>
      </c>
      <c r="BQ27" s="773" t="s">
        <v>2260</v>
      </c>
      <c r="BR27" s="769" t="s">
        <v>2260</v>
      </c>
      <c r="BS27" s="769" t="s">
        <v>2260</v>
      </c>
      <c r="BT27" s="769" t="s">
        <v>2260</v>
      </c>
      <c r="BU27" s="774" t="s">
        <v>2260</v>
      </c>
      <c r="BV27" s="773" t="s">
        <v>2260</v>
      </c>
      <c r="BW27" s="769" t="s">
        <v>2260</v>
      </c>
      <c r="BX27" s="769" t="s">
        <v>2260</v>
      </c>
      <c r="BY27" s="769" t="s">
        <v>2260</v>
      </c>
      <c r="BZ27" s="769" t="s">
        <v>2260</v>
      </c>
      <c r="CA27" s="777" t="s">
        <v>2260</v>
      </c>
      <c r="CB27" s="769" t="s">
        <v>2260</v>
      </c>
      <c r="CC27" s="769" t="s">
        <v>2260</v>
      </c>
      <c r="CD27" s="769" t="s">
        <v>2260</v>
      </c>
      <c r="CE27" s="774" t="s">
        <v>2260</v>
      </c>
      <c r="CF27" s="769" t="s">
        <v>2260</v>
      </c>
      <c r="CG27" s="769" t="s">
        <v>2260</v>
      </c>
      <c r="CH27" s="769" t="s">
        <v>2260</v>
      </c>
      <c r="CI27" s="769" t="s">
        <v>2260</v>
      </c>
      <c r="CJ27" s="774" t="s">
        <v>2260</v>
      </c>
      <c r="CK27" s="777" t="s">
        <v>2260</v>
      </c>
      <c r="CL27" s="769" t="s">
        <v>2260</v>
      </c>
      <c r="CM27" s="769" t="s">
        <v>2260</v>
      </c>
      <c r="CN27" s="769" t="s">
        <v>2260</v>
      </c>
      <c r="CO27" s="774" t="s">
        <v>2260</v>
      </c>
      <c r="CP27" s="777" t="s">
        <v>2260</v>
      </c>
      <c r="CQ27" s="769" t="s">
        <v>2260</v>
      </c>
      <c r="CR27" s="769" t="s">
        <v>2260</v>
      </c>
      <c r="CS27" s="769" t="s">
        <v>2260</v>
      </c>
      <c r="CT27" s="774" t="s">
        <v>2260</v>
      </c>
      <c r="CU27" s="1253">
        <v>-2.04</v>
      </c>
      <c r="CV27" s="1252" t="s">
        <v>2260</v>
      </c>
      <c r="CW27" s="1252" t="s">
        <v>2260</v>
      </c>
      <c r="CX27" s="1254" t="s">
        <v>2260</v>
      </c>
      <c r="CY27" s="1252" t="s">
        <v>2260</v>
      </c>
      <c r="CZ27" s="1252" t="s">
        <v>2260</v>
      </c>
      <c r="DA27" s="1252" t="s">
        <v>2260</v>
      </c>
      <c r="DB27" s="1254" t="s">
        <v>2260</v>
      </c>
      <c r="DC27" s="754"/>
      <c r="DD27" s="782">
        <v>1</v>
      </c>
      <c r="DE27" s="783"/>
    </row>
    <row r="28" spans="1:109" ht="15.75" hidden="1" customHeight="1">
      <c r="A28" s="741" t="s">
        <v>1251</v>
      </c>
      <c r="B28" s="742">
        <v>22</v>
      </c>
      <c r="C28" s="758" t="s">
        <v>1100</v>
      </c>
      <c r="D28" s="742" t="s">
        <v>2249</v>
      </c>
      <c r="E28" s="742" t="s">
        <v>2231</v>
      </c>
      <c r="F28" s="754" t="s">
        <v>2310</v>
      </c>
      <c r="G28" s="759" t="s">
        <v>755</v>
      </c>
      <c r="H28" s="760" t="s">
        <v>2311</v>
      </c>
      <c r="I28" s="761"/>
      <c r="J28" s="762"/>
      <c r="K28" s="762"/>
      <c r="L28" s="762"/>
      <c r="M28" s="762">
        <v>1</v>
      </c>
      <c r="N28" s="762"/>
      <c r="O28" s="762"/>
      <c r="P28" s="763"/>
      <c r="Q28" s="764">
        <f t="shared" si="0"/>
        <v>1</v>
      </c>
      <c r="R28" s="758" t="s">
        <v>1825</v>
      </c>
      <c r="S28" s="742"/>
      <c r="T28" s="765"/>
      <c r="U28" s="742" t="s">
        <v>2264</v>
      </c>
      <c r="V28" s="742" t="s">
        <v>321</v>
      </c>
      <c r="W28" s="742" t="s">
        <v>2312</v>
      </c>
      <c r="X28" s="1243">
        <v>1</v>
      </c>
      <c r="Y28" s="767" t="s">
        <v>1828</v>
      </c>
      <c r="Z28" s="759" t="s">
        <v>755</v>
      </c>
      <c r="AA28" s="754"/>
      <c r="AB28" s="754"/>
      <c r="AC28" s="754"/>
      <c r="AD28" s="754"/>
      <c r="AE28" s="754"/>
      <c r="AF28" s="768"/>
      <c r="AG28" s="769"/>
      <c r="AH28" s="769"/>
      <c r="AI28" s="769"/>
      <c r="AJ28" s="769"/>
      <c r="AK28" s="769"/>
      <c r="AL28" s="769"/>
      <c r="AM28" s="769"/>
      <c r="AN28" s="769"/>
      <c r="AO28" s="769"/>
      <c r="AP28" s="769"/>
      <c r="AQ28" s="1369"/>
      <c r="AR28" s="1319"/>
      <c r="AS28" s="1319"/>
      <c r="AT28" s="1319"/>
      <c r="AU28" s="1320"/>
      <c r="AV28" s="1666"/>
      <c r="AW28" s="1667"/>
      <c r="AX28" s="1667"/>
      <c r="AY28" s="1667"/>
      <c r="AZ28" s="1667"/>
      <c r="BA28" s="1667"/>
      <c r="BB28" s="1667"/>
      <c r="BC28" s="1667"/>
      <c r="BD28" s="1667"/>
      <c r="BE28" s="1667"/>
      <c r="BF28" s="1667"/>
      <c r="BG28" s="1667"/>
      <c r="BH28" s="1667"/>
      <c r="BI28" s="1667"/>
      <c r="BJ28" s="1667"/>
      <c r="BK28" s="1668"/>
      <c r="BL28" s="1327"/>
      <c r="BM28" s="1328"/>
      <c r="BN28" s="1328"/>
      <c r="BO28" s="1328"/>
      <c r="BP28" s="1389"/>
      <c r="BQ28" s="1369"/>
      <c r="BR28" s="1319"/>
      <c r="BS28" s="1319"/>
      <c r="BT28" s="1319"/>
      <c r="BU28" s="1320"/>
      <c r="BV28" s="1369"/>
      <c r="BW28" s="1319"/>
      <c r="BX28" s="1319"/>
      <c r="BY28" s="1319"/>
      <c r="BZ28" s="1319"/>
      <c r="CA28" s="1369"/>
      <c r="CB28" s="1319"/>
      <c r="CC28" s="1319"/>
      <c r="CD28" s="1319"/>
      <c r="CE28" s="1320"/>
      <c r="CF28" s="1319"/>
      <c r="CG28" s="1319"/>
      <c r="CH28" s="1319"/>
      <c r="CI28" s="1319"/>
      <c r="CJ28" s="1320"/>
      <c r="CK28" s="1369"/>
      <c r="CL28" s="1319"/>
      <c r="CM28" s="1319"/>
      <c r="CN28" s="1319"/>
      <c r="CO28" s="1320"/>
      <c r="CP28" s="1369"/>
      <c r="CQ28" s="1319"/>
      <c r="CR28" s="1319"/>
      <c r="CS28" s="1319"/>
      <c r="CT28" s="1320"/>
      <c r="CU28" s="1467"/>
      <c r="CV28" s="1458"/>
      <c r="CW28" s="1458"/>
      <c r="CX28" s="1663"/>
      <c r="CY28" s="1458"/>
      <c r="CZ28" s="1458"/>
      <c r="DA28" s="1458"/>
      <c r="DB28" s="1663"/>
      <c r="DC28" s="1328"/>
      <c r="DD28" s="1664"/>
      <c r="DE28" s="1669"/>
    </row>
    <row r="29" spans="1:109" ht="15.75" hidden="1" customHeight="1">
      <c r="A29" s="741" t="s">
        <v>1251</v>
      </c>
      <c r="B29" s="742">
        <v>23</v>
      </c>
      <c r="C29" s="758" t="s">
        <v>1638</v>
      </c>
      <c r="D29" s="742" t="s">
        <v>2249</v>
      </c>
      <c r="E29" s="742" t="s">
        <v>2231</v>
      </c>
      <c r="F29" s="754" t="s">
        <v>2313</v>
      </c>
      <c r="G29" s="759" t="s">
        <v>2314</v>
      </c>
      <c r="H29" s="760" t="s">
        <v>2315</v>
      </c>
      <c r="I29" s="761"/>
      <c r="J29" s="762"/>
      <c r="K29" s="762"/>
      <c r="L29" s="762"/>
      <c r="M29" s="762">
        <v>1</v>
      </c>
      <c r="N29" s="762"/>
      <c r="O29" s="762"/>
      <c r="P29" s="763"/>
      <c r="Q29" s="764">
        <f t="shared" si="0"/>
        <v>1</v>
      </c>
      <c r="R29" s="758" t="s">
        <v>1825</v>
      </c>
      <c r="S29" s="742"/>
      <c r="T29" s="765"/>
      <c r="U29" s="742" t="s">
        <v>2234</v>
      </c>
      <c r="V29" s="742" t="s">
        <v>1890</v>
      </c>
      <c r="W29" s="742" t="s">
        <v>2316</v>
      </c>
      <c r="X29" s="1243">
        <v>0</v>
      </c>
      <c r="Y29" s="767"/>
      <c r="Z29" s="759"/>
      <c r="AA29" s="754"/>
      <c r="AB29" s="754"/>
      <c r="AC29" s="754"/>
      <c r="AD29" s="754"/>
      <c r="AE29" s="754"/>
      <c r="AF29" s="768"/>
      <c r="AG29" s="769"/>
      <c r="AH29" s="793"/>
      <c r="AI29" s="793"/>
      <c r="AJ29" s="793"/>
      <c r="AK29" s="793"/>
      <c r="AL29" s="793"/>
      <c r="AM29" s="793"/>
      <c r="AN29" s="793"/>
      <c r="AO29" s="793"/>
      <c r="AP29" s="793"/>
      <c r="AQ29" s="792" t="s">
        <v>605</v>
      </c>
      <c r="AR29" s="793" t="s">
        <v>605</v>
      </c>
      <c r="AS29" s="793" t="s">
        <v>605</v>
      </c>
      <c r="AT29" s="793" t="s">
        <v>605</v>
      </c>
      <c r="AU29" s="794" t="s">
        <v>605</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2260</v>
      </c>
      <c r="BR29" s="769" t="s">
        <v>2260</v>
      </c>
      <c r="BS29" s="769" t="s">
        <v>2260</v>
      </c>
      <c r="BT29" s="769" t="s">
        <v>2260</v>
      </c>
      <c r="BU29" s="774" t="s">
        <v>2260</v>
      </c>
      <c r="BV29" s="777" t="s">
        <v>2260</v>
      </c>
      <c r="BW29" s="769" t="s">
        <v>2260</v>
      </c>
      <c r="BX29" s="769" t="s">
        <v>2260</v>
      </c>
      <c r="BY29" s="769" t="s">
        <v>2260</v>
      </c>
      <c r="BZ29" s="769" t="s">
        <v>2260</v>
      </c>
      <c r="CA29" s="777" t="s">
        <v>2260</v>
      </c>
      <c r="CB29" s="769" t="s">
        <v>2260</v>
      </c>
      <c r="CC29" s="769" t="s">
        <v>2260</v>
      </c>
      <c r="CD29" s="769" t="s">
        <v>2260</v>
      </c>
      <c r="CE29" s="774" t="s">
        <v>2260</v>
      </c>
      <c r="CF29" s="769" t="s">
        <v>2260</v>
      </c>
      <c r="CG29" s="769" t="s">
        <v>2260</v>
      </c>
      <c r="CH29" s="769" t="s">
        <v>2260</v>
      </c>
      <c r="CI29" s="769" t="s">
        <v>2260</v>
      </c>
      <c r="CJ29" s="769" t="s">
        <v>2260</v>
      </c>
      <c r="CK29" s="777" t="s">
        <v>2260</v>
      </c>
      <c r="CL29" s="769" t="s">
        <v>2260</v>
      </c>
      <c r="CM29" s="769" t="s">
        <v>2260</v>
      </c>
      <c r="CN29" s="769" t="s">
        <v>2260</v>
      </c>
      <c r="CO29" s="774" t="s">
        <v>2260</v>
      </c>
      <c r="CP29" s="777" t="s">
        <v>2260</v>
      </c>
      <c r="CQ29" s="769" t="s">
        <v>2260</v>
      </c>
      <c r="CR29" s="769" t="s">
        <v>2260</v>
      </c>
      <c r="CS29" s="769" t="s">
        <v>2260</v>
      </c>
      <c r="CT29" s="774" t="s">
        <v>2260</v>
      </c>
      <c r="CU29" s="1253" t="s">
        <v>2260</v>
      </c>
      <c r="CV29" s="1252" t="s">
        <v>2260</v>
      </c>
      <c r="CW29" s="1252" t="s">
        <v>2260</v>
      </c>
      <c r="CX29" s="1254" t="s">
        <v>2260</v>
      </c>
      <c r="CY29" s="1252" t="s">
        <v>2260</v>
      </c>
      <c r="CZ29" s="1252" t="s">
        <v>2260</v>
      </c>
      <c r="DA29" s="1252" t="s">
        <v>2260</v>
      </c>
      <c r="DB29" s="1254" t="s">
        <v>2260</v>
      </c>
      <c r="DC29" s="754"/>
      <c r="DD29" s="782">
        <v>1</v>
      </c>
      <c r="DE29" s="783"/>
    </row>
    <row r="30" spans="1:109" ht="15.75" hidden="1" customHeight="1">
      <c r="A30" s="741" t="s">
        <v>1251</v>
      </c>
      <c r="B30" s="742">
        <v>24</v>
      </c>
      <c r="C30" s="758" t="s">
        <v>1654</v>
      </c>
      <c r="D30" s="742" t="s">
        <v>2216</v>
      </c>
      <c r="E30" s="742" t="s">
        <v>2231</v>
      </c>
      <c r="F30" s="754" t="s">
        <v>2317</v>
      </c>
      <c r="G30" s="759" t="s">
        <v>2318</v>
      </c>
      <c r="H30" s="760" t="s">
        <v>2319</v>
      </c>
      <c r="I30" s="761"/>
      <c r="J30" s="762">
        <v>0.5</v>
      </c>
      <c r="K30" s="762"/>
      <c r="L30" s="762"/>
      <c r="M30" s="762">
        <v>0.5</v>
      </c>
      <c r="N30" s="762"/>
      <c r="O30" s="762"/>
      <c r="P30" s="763"/>
      <c r="Q30" s="764">
        <f t="shared" si="0"/>
        <v>1</v>
      </c>
      <c r="R30" s="758" t="s">
        <v>1825</v>
      </c>
      <c r="S30" s="742"/>
      <c r="T30" s="765"/>
      <c r="U30" s="742" t="s">
        <v>2234</v>
      </c>
      <c r="V30" s="742" t="s">
        <v>1857</v>
      </c>
      <c r="W30" s="742" t="s">
        <v>2320</v>
      </c>
      <c r="X30" s="798">
        <v>0</v>
      </c>
      <c r="Y30" s="788" t="s">
        <v>1838</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2260</v>
      </c>
      <c r="BR30" s="769" t="s">
        <v>2260</v>
      </c>
      <c r="BS30" s="769" t="s">
        <v>2260</v>
      </c>
      <c r="BT30" s="769" t="s">
        <v>2260</v>
      </c>
      <c r="BU30" s="774" t="s">
        <v>2260</v>
      </c>
      <c r="BV30" s="777" t="s">
        <v>2260</v>
      </c>
      <c r="BW30" s="769" t="s">
        <v>2260</v>
      </c>
      <c r="BX30" s="769" t="s">
        <v>2260</v>
      </c>
      <c r="BY30" s="769" t="s">
        <v>2260</v>
      </c>
      <c r="BZ30" s="769" t="s">
        <v>2260</v>
      </c>
      <c r="CA30" s="777" t="s">
        <v>2260</v>
      </c>
      <c r="CB30" s="769" t="s">
        <v>2260</v>
      </c>
      <c r="CC30" s="769" t="s">
        <v>2260</v>
      </c>
      <c r="CD30" s="769" t="s">
        <v>2260</v>
      </c>
      <c r="CE30" s="774" t="s">
        <v>2260</v>
      </c>
      <c r="CF30" s="769" t="s">
        <v>2260</v>
      </c>
      <c r="CG30" s="769" t="s">
        <v>2260</v>
      </c>
      <c r="CH30" s="769" t="s">
        <v>2260</v>
      </c>
      <c r="CI30" s="769" t="s">
        <v>2260</v>
      </c>
      <c r="CJ30" s="774" t="s">
        <v>2260</v>
      </c>
      <c r="CK30" s="777" t="s">
        <v>2260</v>
      </c>
      <c r="CL30" s="769" t="s">
        <v>2260</v>
      </c>
      <c r="CM30" s="769" t="s">
        <v>2260</v>
      </c>
      <c r="CN30" s="769" t="s">
        <v>2260</v>
      </c>
      <c r="CO30" s="774" t="s">
        <v>2260</v>
      </c>
      <c r="CP30" s="777" t="s">
        <v>2260</v>
      </c>
      <c r="CQ30" s="769" t="s">
        <v>2260</v>
      </c>
      <c r="CR30" s="769" t="s">
        <v>2260</v>
      </c>
      <c r="CS30" s="769" t="s">
        <v>2260</v>
      </c>
      <c r="CT30" s="774" t="s">
        <v>2260</v>
      </c>
      <c r="CU30" s="1253" t="s">
        <v>2260</v>
      </c>
      <c r="CV30" s="1252" t="s">
        <v>2260</v>
      </c>
      <c r="CW30" s="1252" t="s">
        <v>2260</v>
      </c>
      <c r="CX30" s="1254" t="s">
        <v>2260</v>
      </c>
      <c r="CY30" s="1252" t="s">
        <v>2260</v>
      </c>
      <c r="CZ30" s="1252" t="s">
        <v>2260</v>
      </c>
      <c r="DA30" s="1252" t="s">
        <v>2260</v>
      </c>
      <c r="DB30" s="1254" t="s">
        <v>2260</v>
      </c>
      <c r="DC30" s="754"/>
      <c r="DD30" s="782">
        <v>1</v>
      </c>
      <c r="DE30" s="783"/>
    </row>
    <row r="31" spans="1:109" ht="15.75" hidden="1" customHeight="1">
      <c r="A31" s="741" t="s">
        <v>1251</v>
      </c>
      <c r="B31" s="742">
        <v>25</v>
      </c>
      <c r="C31" s="758" t="s">
        <v>1669</v>
      </c>
      <c r="D31" s="742" t="s">
        <v>2249</v>
      </c>
      <c r="E31" s="742" t="s">
        <v>2231</v>
      </c>
      <c r="F31" s="754" t="s">
        <v>2321</v>
      </c>
      <c r="G31" s="759" t="s">
        <v>2322</v>
      </c>
      <c r="H31" s="760" t="s">
        <v>2323</v>
      </c>
      <c r="I31" s="761"/>
      <c r="J31" s="762"/>
      <c r="K31" s="762"/>
      <c r="L31" s="762"/>
      <c r="M31" s="762">
        <v>1</v>
      </c>
      <c r="N31" s="762"/>
      <c r="O31" s="762"/>
      <c r="P31" s="763"/>
      <c r="Q31" s="764">
        <f t="shared" si="0"/>
        <v>1</v>
      </c>
      <c r="R31" s="758" t="s">
        <v>1825</v>
      </c>
      <c r="S31" s="742"/>
      <c r="T31" s="765"/>
      <c r="U31" s="742" t="s">
        <v>2264</v>
      </c>
      <c r="V31" s="742" t="s">
        <v>321</v>
      </c>
      <c r="W31" s="742" t="s">
        <v>2265</v>
      </c>
      <c r="X31" s="798">
        <v>0</v>
      </c>
      <c r="Y31" s="788" t="s">
        <v>1828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2260</v>
      </c>
      <c r="BR31" s="769" t="s">
        <v>2260</v>
      </c>
      <c r="BS31" s="769" t="s">
        <v>2260</v>
      </c>
      <c r="BT31" s="769" t="s">
        <v>2260</v>
      </c>
      <c r="BU31" s="774" t="s">
        <v>2260</v>
      </c>
      <c r="BV31" s="777" t="s">
        <v>2260</v>
      </c>
      <c r="BW31" s="769" t="s">
        <v>2260</v>
      </c>
      <c r="BX31" s="769" t="s">
        <v>2260</v>
      </c>
      <c r="BY31" s="769" t="s">
        <v>2260</v>
      </c>
      <c r="BZ31" s="769" t="s">
        <v>2260</v>
      </c>
      <c r="CA31" s="777" t="s">
        <v>2260</v>
      </c>
      <c r="CB31" s="769" t="s">
        <v>2260</v>
      </c>
      <c r="CC31" s="769"/>
      <c r="CD31" s="769" t="s">
        <v>2260</v>
      </c>
      <c r="CE31" s="774" t="s">
        <v>2260</v>
      </c>
      <c r="CF31" s="769" t="s">
        <v>2260</v>
      </c>
      <c r="CG31" s="769" t="s">
        <v>2260</v>
      </c>
      <c r="CH31" s="769" t="s">
        <v>2260</v>
      </c>
      <c r="CI31" s="769" t="s">
        <v>2260</v>
      </c>
      <c r="CJ31" s="774" t="s">
        <v>2260</v>
      </c>
      <c r="CK31" s="777" t="s">
        <v>2260</v>
      </c>
      <c r="CL31" s="769" t="s">
        <v>2260</v>
      </c>
      <c r="CM31" s="769" t="s">
        <v>2260</v>
      </c>
      <c r="CN31" s="769" t="s">
        <v>2260</v>
      </c>
      <c r="CO31" s="774" t="s">
        <v>2260</v>
      </c>
      <c r="CP31" s="777" t="s">
        <v>2260</v>
      </c>
      <c r="CQ31" s="769" t="s">
        <v>2260</v>
      </c>
      <c r="CR31" s="769" t="s">
        <v>2260</v>
      </c>
      <c r="CS31" s="769" t="s">
        <v>2260</v>
      </c>
      <c r="CT31" s="774" t="s">
        <v>2260</v>
      </c>
      <c r="CU31" s="1253" t="s">
        <v>2260</v>
      </c>
      <c r="CV31" s="1252" t="s">
        <v>2260</v>
      </c>
      <c r="CW31" s="1252" t="s">
        <v>2260</v>
      </c>
      <c r="CX31" s="1254" t="s">
        <v>2260</v>
      </c>
      <c r="CY31" s="1252" t="s">
        <v>2260</v>
      </c>
      <c r="CZ31" s="1252" t="s">
        <v>2260</v>
      </c>
      <c r="DA31" s="1252" t="s">
        <v>2260</v>
      </c>
      <c r="DB31" s="1254" t="s">
        <v>2260</v>
      </c>
      <c r="DC31" s="754"/>
      <c r="DD31" s="782">
        <v>1</v>
      </c>
      <c r="DE31" s="783"/>
    </row>
    <row r="32" spans="1:109" ht="15.75" hidden="1" customHeight="1">
      <c r="A32" s="741" t="s">
        <v>1251</v>
      </c>
      <c r="B32" s="742">
        <v>26</v>
      </c>
      <c r="C32" s="758" t="s">
        <v>1683</v>
      </c>
      <c r="D32" s="742" t="s">
        <v>2249</v>
      </c>
      <c r="E32" s="742" t="s">
        <v>2231</v>
      </c>
      <c r="F32" s="754" t="s">
        <v>2324</v>
      </c>
      <c r="G32" s="759" t="s">
        <v>2325</v>
      </c>
      <c r="H32" s="760" t="s">
        <v>2326</v>
      </c>
      <c r="I32" s="761"/>
      <c r="J32" s="762"/>
      <c r="K32" s="762"/>
      <c r="L32" s="762"/>
      <c r="M32" s="762">
        <v>1</v>
      </c>
      <c r="N32" s="762"/>
      <c r="O32" s="762"/>
      <c r="P32" s="763"/>
      <c r="Q32" s="764">
        <f t="shared" si="0"/>
        <v>1</v>
      </c>
      <c r="R32" s="758" t="s">
        <v>1825</v>
      </c>
      <c r="S32" s="742"/>
      <c r="T32" s="765"/>
      <c r="U32" s="742" t="s">
        <v>2264</v>
      </c>
      <c r="V32" s="742" t="s">
        <v>321</v>
      </c>
      <c r="W32" s="742" t="s">
        <v>2265</v>
      </c>
      <c r="X32" s="798">
        <v>0</v>
      </c>
      <c r="Y32" s="790" t="s">
        <v>1828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2260</v>
      </c>
      <c r="BR32" s="769" t="s">
        <v>2260</v>
      </c>
      <c r="BS32" s="769" t="s">
        <v>2260</v>
      </c>
      <c r="BT32" s="769" t="s">
        <v>2260</v>
      </c>
      <c r="BU32" s="774" t="s">
        <v>2260</v>
      </c>
      <c r="BV32" s="777" t="s">
        <v>2260</v>
      </c>
      <c r="BW32" s="769" t="s">
        <v>2260</v>
      </c>
      <c r="BX32" s="769" t="s">
        <v>2260</v>
      </c>
      <c r="BY32" s="769" t="s">
        <v>2260</v>
      </c>
      <c r="BZ32" s="769" t="s">
        <v>2260</v>
      </c>
      <c r="CA32" s="777" t="s">
        <v>2260</v>
      </c>
      <c r="CB32" s="769" t="s">
        <v>2260</v>
      </c>
      <c r="CC32" s="769" t="s">
        <v>2260</v>
      </c>
      <c r="CD32" s="769" t="s">
        <v>2260</v>
      </c>
      <c r="CE32" s="774" t="s">
        <v>2260</v>
      </c>
      <c r="CF32" s="769" t="s">
        <v>2260</v>
      </c>
      <c r="CG32" s="769" t="s">
        <v>2260</v>
      </c>
      <c r="CH32" s="769" t="s">
        <v>2260</v>
      </c>
      <c r="CI32" s="769" t="s">
        <v>2260</v>
      </c>
      <c r="CJ32" s="774" t="s">
        <v>2260</v>
      </c>
      <c r="CK32" s="777" t="s">
        <v>2260</v>
      </c>
      <c r="CL32" s="769" t="s">
        <v>2260</v>
      </c>
      <c r="CM32" s="769" t="s">
        <v>2260</v>
      </c>
      <c r="CN32" s="769" t="s">
        <v>2260</v>
      </c>
      <c r="CO32" s="774" t="s">
        <v>2260</v>
      </c>
      <c r="CP32" s="777" t="s">
        <v>2260</v>
      </c>
      <c r="CQ32" s="769" t="s">
        <v>2260</v>
      </c>
      <c r="CR32" s="769" t="s">
        <v>2260</v>
      </c>
      <c r="CS32" s="769" t="s">
        <v>2260</v>
      </c>
      <c r="CT32" s="774" t="s">
        <v>2260</v>
      </c>
      <c r="CU32" s="1253" t="s">
        <v>2260</v>
      </c>
      <c r="CV32" s="1252" t="s">
        <v>2260</v>
      </c>
      <c r="CW32" s="1252" t="s">
        <v>2260</v>
      </c>
      <c r="CX32" s="1254" t="s">
        <v>2260</v>
      </c>
      <c r="CY32" s="1252" t="s">
        <v>2260</v>
      </c>
      <c r="CZ32" s="1252" t="s">
        <v>2260</v>
      </c>
      <c r="DA32" s="1252" t="s">
        <v>2260</v>
      </c>
      <c r="DB32" s="1254" t="s">
        <v>2260</v>
      </c>
      <c r="DC32" s="754"/>
      <c r="DD32" s="782">
        <v>1</v>
      </c>
      <c r="DE32" s="783"/>
    </row>
    <row r="33" spans="1:109" ht="15.75" hidden="1" customHeight="1">
      <c r="A33" s="741" t="s">
        <v>1251</v>
      </c>
      <c r="B33" s="742">
        <v>27</v>
      </c>
      <c r="C33" s="758" t="s">
        <v>1695</v>
      </c>
      <c r="D33" s="742" t="s">
        <v>2249</v>
      </c>
      <c r="E33" s="742" t="s">
        <v>2217</v>
      </c>
      <c r="F33" s="754" t="s">
        <v>2327</v>
      </c>
      <c r="G33" s="759" t="s">
        <v>2328</v>
      </c>
      <c r="H33" s="760" t="s">
        <v>2328</v>
      </c>
      <c r="I33" s="761"/>
      <c r="J33" s="762"/>
      <c r="K33" s="762"/>
      <c r="L33" s="762"/>
      <c r="M33" s="762">
        <v>1</v>
      </c>
      <c r="N33" s="762"/>
      <c r="O33" s="762"/>
      <c r="P33" s="763"/>
      <c r="Q33" s="764">
        <f t="shared" si="0"/>
        <v>1</v>
      </c>
      <c r="R33" s="758" t="s">
        <v>1825</v>
      </c>
      <c r="S33" s="742"/>
      <c r="T33" s="765"/>
      <c r="U33" s="742" t="s">
        <v>2329</v>
      </c>
      <c r="V33" s="742" t="s">
        <v>1857</v>
      </c>
      <c r="W33" s="742" t="s">
        <v>2330</v>
      </c>
      <c r="X33" s="798">
        <v>2</v>
      </c>
      <c r="Y33" s="788" t="s">
        <v>1828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2260</v>
      </c>
      <c r="BR33" s="769" t="s">
        <v>2260</v>
      </c>
      <c r="BS33" s="769" t="s">
        <v>2260</v>
      </c>
      <c r="BT33" s="769" t="s">
        <v>2260</v>
      </c>
      <c r="BU33" s="774" t="s">
        <v>2260</v>
      </c>
      <c r="BV33" s="777" t="s">
        <v>2260</v>
      </c>
      <c r="BW33" s="769" t="s">
        <v>2260</v>
      </c>
      <c r="BX33" s="769" t="s">
        <v>2260</v>
      </c>
      <c r="BY33" s="769" t="s">
        <v>2260</v>
      </c>
      <c r="BZ33" s="769" t="s">
        <v>2260</v>
      </c>
      <c r="CA33" s="777" t="s">
        <v>2260</v>
      </c>
      <c r="CB33" s="769" t="s">
        <v>2260</v>
      </c>
      <c r="CC33" s="769" t="s">
        <v>2260</v>
      </c>
      <c r="CD33" s="769" t="s">
        <v>2260</v>
      </c>
      <c r="CE33" s="774" t="s">
        <v>2260</v>
      </c>
      <c r="CF33" s="769" t="s">
        <v>2260</v>
      </c>
      <c r="CG33" s="769" t="s">
        <v>2260</v>
      </c>
      <c r="CH33" s="769" t="s">
        <v>2260</v>
      </c>
      <c r="CI33" s="769" t="s">
        <v>2260</v>
      </c>
      <c r="CJ33" s="774" t="s">
        <v>2260</v>
      </c>
      <c r="CK33" s="777" t="s">
        <v>2260</v>
      </c>
      <c r="CL33" s="769" t="s">
        <v>2260</v>
      </c>
      <c r="CM33" s="769" t="s">
        <v>2260</v>
      </c>
      <c r="CN33" s="769" t="s">
        <v>2260</v>
      </c>
      <c r="CO33" s="774" t="s">
        <v>2260</v>
      </c>
      <c r="CP33" s="777" t="s">
        <v>2260</v>
      </c>
      <c r="CQ33" s="769" t="s">
        <v>2260</v>
      </c>
      <c r="CR33" s="769" t="s">
        <v>2260</v>
      </c>
      <c r="CS33" s="769" t="s">
        <v>2260</v>
      </c>
      <c r="CT33" s="774" t="s">
        <v>2260</v>
      </c>
      <c r="CU33" s="1253" t="s">
        <v>2260</v>
      </c>
      <c r="CV33" s="1252" t="s">
        <v>2260</v>
      </c>
      <c r="CW33" s="1252" t="s">
        <v>2260</v>
      </c>
      <c r="CX33" s="1254" t="s">
        <v>2260</v>
      </c>
      <c r="CY33" s="1252" t="s">
        <v>2260</v>
      </c>
      <c r="CZ33" s="1252" t="s">
        <v>2260</v>
      </c>
      <c r="DA33" s="1252" t="s">
        <v>2260</v>
      </c>
      <c r="DB33" s="1254" t="s">
        <v>2260</v>
      </c>
      <c r="DC33" s="754"/>
      <c r="DD33" s="782">
        <v>1</v>
      </c>
      <c r="DE33" s="783"/>
    </row>
    <row r="34" spans="1:109" ht="15.75" hidden="1" customHeight="1">
      <c r="A34" s="741" t="s">
        <v>1251</v>
      </c>
      <c r="B34" s="742">
        <v>28</v>
      </c>
      <c r="C34" s="758" t="s">
        <v>1705</v>
      </c>
      <c r="D34" s="742"/>
      <c r="E34" s="742"/>
      <c r="F34" s="754" t="s">
        <v>2331</v>
      </c>
      <c r="G34" s="759" t="s">
        <v>2332</v>
      </c>
      <c r="H34" s="760"/>
      <c r="I34" s="761"/>
      <c r="J34" s="762"/>
      <c r="K34" s="762"/>
      <c r="L34" s="762"/>
      <c r="M34" s="762"/>
      <c r="N34" s="762"/>
      <c r="O34" s="762"/>
      <c r="P34" s="763"/>
      <c r="Q34" s="764">
        <f t="shared" si="0"/>
        <v>0</v>
      </c>
      <c r="R34" s="758" t="s">
        <v>1825</v>
      </c>
      <c r="S34" s="742"/>
      <c r="T34" s="765"/>
      <c r="U34" s="742"/>
      <c r="V34" s="1216" t="s">
        <v>1890</v>
      </c>
      <c r="W34" s="742" t="s">
        <v>2333</v>
      </c>
      <c r="X34" s="1243">
        <v>0</v>
      </c>
      <c r="Y34" s="788"/>
      <c r="Z34" s="759"/>
      <c r="AA34" s="754"/>
      <c r="AB34" s="754"/>
      <c r="AC34" s="754"/>
      <c r="AD34" s="754"/>
      <c r="AE34" s="754"/>
      <c r="AF34" s="768"/>
      <c r="AG34" s="769"/>
      <c r="AH34" s="769"/>
      <c r="AI34" s="769"/>
      <c r="AJ34" s="769"/>
      <c r="AK34" s="769"/>
      <c r="AL34" s="769"/>
      <c r="AM34" s="769"/>
      <c r="AN34" s="769"/>
      <c r="AO34" s="769"/>
      <c r="AP34" s="769"/>
      <c r="AQ34" s="777" t="s">
        <v>2334</v>
      </c>
      <c r="AR34" s="769" t="s">
        <v>2334</v>
      </c>
      <c r="AS34" s="769" t="s">
        <v>2334</v>
      </c>
      <c r="AT34" s="769" t="s">
        <v>2334</v>
      </c>
      <c r="AU34" s="774" t="s">
        <v>2334</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2260</v>
      </c>
      <c r="BR34" s="769" t="s">
        <v>2260</v>
      </c>
      <c r="BS34" s="769" t="s">
        <v>2260</v>
      </c>
      <c r="BT34" s="769" t="s">
        <v>2260</v>
      </c>
      <c r="BU34" s="774" t="s">
        <v>2260</v>
      </c>
      <c r="BV34" s="777" t="s">
        <v>2260</v>
      </c>
      <c r="BW34" s="769" t="s">
        <v>2260</v>
      </c>
      <c r="BX34" s="769" t="s">
        <v>2260</v>
      </c>
      <c r="BY34" s="769" t="s">
        <v>2260</v>
      </c>
      <c r="BZ34" s="769" t="s">
        <v>2260</v>
      </c>
      <c r="CA34" s="777" t="s">
        <v>2260</v>
      </c>
      <c r="CB34" s="769" t="s">
        <v>2260</v>
      </c>
      <c r="CC34" s="769" t="s">
        <v>2260</v>
      </c>
      <c r="CD34" s="769" t="s">
        <v>2260</v>
      </c>
      <c r="CE34" s="774" t="s">
        <v>2260</v>
      </c>
      <c r="CF34" s="769" t="s">
        <v>2260</v>
      </c>
      <c r="CG34" s="769" t="s">
        <v>2260</v>
      </c>
      <c r="CH34" s="769" t="s">
        <v>2260</v>
      </c>
      <c r="CI34" s="769" t="s">
        <v>2260</v>
      </c>
      <c r="CJ34" s="774" t="s">
        <v>2260</v>
      </c>
      <c r="CK34" s="777" t="s">
        <v>2260</v>
      </c>
      <c r="CL34" s="769" t="s">
        <v>2260</v>
      </c>
      <c r="CM34" s="769" t="s">
        <v>2260</v>
      </c>
      <c r="CN34" s="769" t="s">
        <v>2260</v>
      </c>
      <c r="CO34" s="774" t="s">
        <v>2260</v>
      </c>
      <c r="CP34" s="777" t="s">
        <v>2260</v>
      </c>
      <c r="CQ34" s="769" t="s">
        <v>2260</v>
      </c>
      <c r="CR34" s="769" t="s">
        <v>2260</v>
      </c>
      <c r="CS34" s="769" t="s">
        <v>2260</v>
      </c>
      <c r="CT34" s="774" t="s">
        <v>2260</v>
      </c>
      <c r="CU34" s="1253" t="s">
        <v>2260</v>
      </c>
      <c r="CV34" s="1252" t="s">
        <v>2260</v>
      </c>
      <c r="CW34" s="1252" t="s">
        <v>2260</v>
      </c>
      <c r="CX34" s="1254" t="s">
        <v>2260</v>
      </c>
      <c r="CY34" s="1252" t="s">
        <v>2260</v>
      </c>
      <c r="CZ34" s="1252" t="s">
        <v>2260</v>
      </c>
      <c r="DA34" s="1252" t="s">
        <v>2260</v>
      </c>
      <c r="DB34" s="1254" t="s">
        <v>2260</v>
      </c>
      <c r="DC34" s="754"/>
      <c r="DD34" s="782"/>
      <c r="DE34" s="783"/>
    </row>
    <row r="35" spans="1:109" ht="15.75" customHeight="1">
      <c r="A35" s="741" t="s">
        <v>1102</v>
      </c>
      <c r="B35" s="742">
        <v>29</v>
      </c>
      <c r="C35" s="758" t="s">
        <v>1760</v>
      </c>
      <c r="D35" s="742" t="s">
        <v>2335</v>
      </c>
      <c r="E35" s="742" t="s">
        <v>2231</v>
      </c>
      <c r="F35" s="754">
        <v>1</v>
      </c>
      <c r="G35" s="759" t="s">
        <v>2251</v>
      </c>
      <c r="H35" s="760" t="s">
        <v>2336</v>
      </c>
      <c r="I35" s="761"/>
      <c r="J35" s="762"/>
      <c r="K35" s="762"/>
      <c r="L35" s="762"/>
      <c r="M35" s="762">
        <v>1</v>
      </c>
      <c r="N35" s="762"/>
      <c r="O35" s="762"/>
      <c r="P35" s="763"/>
      <c r="Q35" s="764">
        <f t="shared" si="0"/>
        <v>1</v>
      </c>
      <c r="R35" s="758" t="s">
        <v>1852</v>
      </c>
      <c r="S35" s="742" t="s">
        <v>1826</v>
      </c>
      <c r="T35" s="765" t="s">
        <v>1827</v>
      </c>
      <c r="U35" s="742" t="s">
        <v>1888</v>
      </c>
      <c r="V35" s="742" t="s">
        <v>1897</v>
      </c>
      <c r="W35" s="742" t="s">
        <v>2337</v>
      </c>
      <c r="X35" s="1243">
        <v>2</v>
      </c>
      <c r="Y35" s="791" t="s">
        <v>1828</v>
      </c>
      <c r="Z35" s="759" t="s">
        <v>2251</v>
      </c>
      <c r="AA35" s="754"/>
      <c r="AB35" s="754"/>
      <c r="AC35" s="754"/>
      <c r="AD35" s="754"/>
      <c r="AE35" s="754"/>
      <c r="AF35" s="768"/>
      <c r="AG35" s="769"/>
      <c r="AH35" s="769"/>
      <c r="AI35" s="769"/>
      <c r="AJ35" s="769"/>
      <c r="AK35" s="769"/>
      <c r="AL35" s="769"/>
      <c r="AM35" s="769"/>
      <c r="AN35" s="769"/>
      <c r="AO35" s="769"/>
      <c r="AP35" s="769"/>
      <c r="AQ35" s="1369"/>
      <c r="AR35" s="1319"/>
      <c r="AS35" s="1319"/>
      <c r="AT35" s="1319"/>
      <c r="AU35" s="1320"/>
      <c r="AV35" s="1369"/>
      <c r="AW35" s="1319"/>
      <c r="AX35" s="1319"/>
      <c r="AY35" s="1319"/>
      <c r="AZ35" s="1319"/>
      <c r="BA35" s="1319"/>
      <c r="BB35" s="1319"/>
      <c r="BC35" s="1319"/>
      <c r="BD35" s="1319"/>
      <c r="BE35" s="1319"/>
      <c r="BF35" s="1319"/>
      <c r="BG35" s="1319"/>
      <c r="BH35" s="1319"/>
      <c r="BI35" s="1319"/>
      <c r="BJ35" s="1319"/>
      <c r="BK35" s="1320"/>
      <c r="BL35" s="1327"/>
      <c r="BM35" s="1328"/>
      <c r="BN35" s="1328"/>
      <c r="BO35" s="1328"/>
      <c r="BP35" s="1389"/>
      <c r="BQ35" s="1369"/>
      <c r="BR35" s="1319"/>
      <c r="BS35" s="1319"/>
      <c r="BT35" s="1319"/>
      <c r="BU35" s="1320"/>
      <c r="BV35" s="1369"/>
      <c r="BW35" s="1319"/>
      <c r="BX35" s="1319"/>
      <c r="BY35" s="1319"/>
      <c r="BZ35" s="1319"/>
      <c r="CA35" s="1369"/>
      <c r="CB35" s="1319"/>
      <c r="CC35" s="1319"/>
      <c r="CD35" s="1319"/>
      <c r="CE35" s="1320"/>
      <c r="CF35" s="1319"/>
      <c r="CG35" s="1319"/>
      <c r="CH35" s="1319"/>
      <c r="CI35" s="1319"/>
      <c r="CJ35" s="1320"/>
      <c r="CK35" s="1369"/>
      <c r="CL35" s="1319"/>
      <c r="CM35" s="1319"/>
      <c r="CN35" s="1319"/>
      <c r="CO35" s="1320"/>
      <c r="CP35" s="1369"/>
      <c r="CQ35" s="1319"/>
      <c r="CR35" s="1319"/>
      <c r="CS35" s="1319"/>
      <c r="CT35" s="1320"/>
      <c r="CU35" s="1467"/>
      <c r="CV35" s="1458"/>
      <c r="CW35" s="1458"/>
      <c r="CX35" s="1663"/>
      <c r="CY35" s="1458"/>
      <c r="CZ35" s="1458"/>
      <c r="DA35" s="1458"/>
      <c r="DB35" s="1663"/>
      <c r="DC35" s="1328"/>
      <c r="DD35" s="1664"/>
      <c r="DE35" s="1669"/>
    </row>
    <row r="36" spans="1:109" ht="15.75" customHeight="1">
      <c r="A36" s="741" t="s">
        <v>1102</v>
      </c>
      <c r="B36" s="742">
        <v>30</v>
      </c>
      <c r="C36" s="758" t="s">
        <v>1777</v>
      </c>
      <c r="D36" s="742" t="s">
        <v>2335</v>
      </c>
      <c r="E36" s="742" t="s">
        <v>2231</v>
      </c>
      <c r="F36" s="754">
        <v>2</v>
      </c>
      <c r="G36" s="759" t="s">
        <v>2254</v>
      </c>
      <c r="H36" s="760" t="s">
        <v>2338</v>
      </c>
      <c r="I36" s="761"/>
      <c r="J36" s="762">
        <v>0.56000000000000005</v>
      </c>
      <c r="K36" s="762">
        <v>0.44</v>
      </c>
      <c r="L36" s="762"/>
      <c r="M36" s="762"/>
      <c r="N36" s="762"/>
      <c r="O36" s="762"/>
      <c r="P36" s="763"/>
      <c r="Q36" s="764">
        <f t="shared" si="0"/>
        <v>1</v>
      </c>
      <c r="R36" s="758" t="s">
        <v>1852</v>
      </c>
      <c r="S36" s="742" t="s">
        <v>1826</v>
      </c>
      <c r="T36" s="765" t="s">
        <v>1827</v>
      </c>
      <c r="U36" s="742" t="s">
        <v>1891</v>
      </c>
      <c r="V36" s="742" t="s">
        <v>1897</v>
      </c>
      <c r="W36" s="742" t="s">
        <v>470</v>
      </c>
      <c r="X36" s="1243">
        <v>2</v>
      </c>
      <c r="Y36" s="795" t="s">
        <v>1828</v>
      </c>
      <c r="Z36" s="759" t="s">
        <v>2254</v>
      </c>
      <c r="AA36" s="754"/>
      <c r="AB36" s="754"/>
      <c r="AC36" s="754"/>
      <c r="AD36" s="754"/>
      <c r="AE36" s="754"/>
      <c r="AF36" s="768"/>
      <c r="AG36" s="769"/>
      <c r="AH36" s="769"/>
      <c r="AI36" s="769"/>
      <c r="AJ36" s="769"/>
      <c r="AK36" s="769"/>
      <c r="AL36" s="769"/>
      <c r="AM36" s="769"/>
      <c r="AN36" s="769"/>
      <c r="AO36" s="769"/>
      <c r="AP36" s="769"/>
      <c r="AQ36" s="1369"/>
      <c r="AR36" s="1319"/>
      <c r="AS36" s="1319"/>
      <c r="AT36" s="1319"/>
      <c r="AU36" s="1320"/>
      <c r="AV36" s="1369"/>
      <c r="AW36" s="1319"/>
      <c r="AX36" s="1319"/>
      <c r="AY36" s="1319"/>
      <c r="AZ36" s="1319"/>
      <c r="BA36" s="1319"/>
      <c r="BB36" s="1319"/>
      <c r="BC36" s="1319"/>
      <c r="BD36" s="1319"/>
      <c r="BE36" s="1319"/>
      <c r="BF36" s="1319"/>
      <c r="BG36" s="1319"/>
      <c r="BH36" s="1319"/>
      <c r="BI36" s="1319"/>
      <c r="BJ36" s="1319"/>
      <c r="BK36" s="1320"/>
      <c r="BL36" s="1327"/>
      <c r="BM36" s="1328"/>
      <c r="BN36" s="1328"/>
      <c r="BO36" s="1328"/>
      <c r="BP36" s="1389"/>
      <c r="BQ36" s="1369"/>
      <c r="BR36" s="1319"/>
      <c r="BS36" s="1319"/>
      <c r="BT36" s="1319"/>
      <c r="BU36" s="1320"/>
      <c r="BV36" s="1369"/>
      <c r="BW36" s="1319"/>
      <c r="BX36" s="1319"/>
      <c r="BY36" s="1319"/>
      <c r="BZ36" s="1319"/>
      <c r="CA36" s="1369"/>
      <c r="CB36" s="1319"/>
      <c r="CC36" s="1319"/>
      <c r="CD36" s="1319"/>
      <c r="CE36" s="1320"/>
      <c r="CF36" s="1319"/>
      <c r="CG36" s="1319"/>
      <c r="CH36" s="1319"/>
      <c r="CI36" s="1319"/>
      <c r="CJ36" s="1320"/>
      <c r="CK36" s="1369"/>
      <c r="CL36" s="1319"/>
      <c r="CM36" s="1319"/>
      <c r="CN36" s="1319"/>
      <c r="CO36" s="1320"/>
      <c r="CP36" s="1369"/>
      <c r="CQ36" s="1319"/>
      <c r="CR36" s="1319"/>
      <c r="CS36" s="1319"/>
      <c r="CT36" s="1320"/>
      <c r="CU36" s="1467"/>
      <c r="CV36" s="1458"/>
      <c r="CW36" s="1458"/>
      <c r="CX36" s="1663"/>
      <c r="CY36" s="1458"/>
      <c r="CZ36" s="1458"/>
      <c r="DA36" s="1458"/>
      <c r="DB36" s="1663"/>
      <c r="DC36" s="1328"/>
      <c r="DD36" s="1664"/>
      <c r="DE36" s="1669"/>
    </row>
    <row r="37" spans="1:109" ht="15.75" customHeight="1">
      <c r="A37" s="741" t="s">
        <v>1102</v>
      </c>
      <c r="B37" s="742">
        <v>31</v>
      </c>
      <c r="C37" s="758" t="s">
        <v>1103</v>
      </c>
      <c r="D37" s="742" t="s">
        <v>2339</v>
      </c>
      <c r="E37" s="742" t="s">
        <v>2231</v>
      </c>
      <c r="F37" s="754">
        <v>3</v>
      </c>
      <c r="G37" s="759" t="s">
        <v>172</v>
      </c>
      <c r="H37" s="760" t="s">
        <v>2340</v>
      </c>
      <c r="I37" s="761"/>
      <c r="J37" s="762">
        <v>1</v>
      </c>
      <c r="K37" s="762"/>
      <c r="L37" s="762"/>
      <c r="M37" s="762"/>
      <c r="N37" s="762"/>
      <c r="O37" s="762"/>
      <c r="P37" s="763"/>
      <c r="Q37" s="764">
        <f t="shared" si="0"/>
        <v>1</v>
      </c>
      <c r="R37" s="758" t="s">
        <v>1846</v>
      </c>
      <c r="S37" s="742" t="s">
        <v>1826</v>
      </c>
      <c r="T37" s="765" t="s">
        <v>1827</v>
      </c>
      <c r="U37" s="742" t="s">
        <v>2247</v>
      </c>
      <c r="V37" s="742" t="s">
        <v>1897</v>
      </c>
      <c r="W37" s="742" t="s">
        <v>2341</v>
      </c>
      <c r="X37" s="798">
        <v>2</v>
      </c>
      <c r="Y37" s="790" t="s">
        <v>1838</v>
      </c>
      <c r="Z37" s="759" t="s">
        <v>172</v>
      </c>
      <c r="AA37" s="754"/>
      <c r="AB37" s="754"/>
      <c r="AC37" s="754"/>
      <c r="AD37" s="754"/>
      <c r="AE37" s="754"/>
      <c r="AF37" s="768"/>
      <c r="AG37" s="769"/>
      <c r="AH37" s="769"/>
      <c r="AI37" s="769"/>
      <c r="AJ37" s="769"/>
      <c r="AK37" s="769"/>
      <c r="AL37" s="769"/>
      <c r="AM37" s="769"/>
      <c r="AN37" s="769"/>
      <c r="AO37" s="769"/>
      <c r="AP37" s="769"/>
      <c r="AQ37" s="1369"/>
      <c r="AR37" s="1319"/>
      <c r="AS37" s="1319"/>
      <c r="AT37" s="1319"/>
      <c r="AU37" s="1320"/>
      <c r="AV37" s="1369"/>
      <c r="AW37" s="1319"/>
      <c r="AX37" s="1319"/>
      <c r="AY37" s="1319"/>
      <c r="AZ37" s="1319"/>
      <c r="BA37" s="1319"/>
      <c r="BB37" s="1319"/>
      <c r="BC37" s="1319"/>
      <c r="BD37" s="1319"/>
      <c r="BE37" s="1319"/>
      <c r="BF37" s="1319"/>
      <c r="BG37" s="1319"/>
      <c r="BH37" s="1319"/>
      <c r="BI37" s="1319"/>
      <c r="BJ37" s="1319"/>
      <c r="BK37" s="1320"/>
      <c r="BL37" s="1327"/>
      <c r="BM37" s="1328"/>
      <c r="BN37" s="1328"/>
      <c r="BO37" s="1328"/>
      <c r="BP37" s="1389"/>
      <c r="BQ37" s="1369"/>
      <c r="BR37" s="1319"/>
      <c r="BS37" s="1319"/>
      <c r="BT37" s="1319"/>
      <c r="BU37" s="1320"/>
      <c r="BV37" s="1369"/>
      <c r="BW37" s="1319"/>
      <c r="BX37" s="1319"/>
      <c r="BY37" s="1319"/>
      <c r="BZ37" s="1319"/>
      <c r="CA37" s="1369"/>
      <c r="CB37" s="1319"/>
      <c r="CC37" s="1319"/>
      <c r="CD37" s="1319"/>
      <c r="CE37" s="1320"/>
      <c r="CF37" s="1319"/>
      <c r="CG37" s="1319"/>
      <c r="CH37" s="1319"/>
      <c r="CI37" s="1319"/>
      <c r="CJ37" s="1320"/>
      <c r="CK37" s="1369"/>
      <c r="CL37" s="1319"/>
      <c r="CM37" s="1319"/>
      <c r="CN37" s="1319"/>
      <c r="CO37" s="1320"/>
      <c r="CP37" s="1369"/>
      <c r="CQ37" s="1319"/>
      <c r="CR37" s="1319"/>
      <c r="CS37" s="1319"/>
      <c r="CT37" s="1320"/>
      <c r="CU37" s="1467"/>
      <c r="CV37" s="1458"/>
      <c r="CW37" s="1458"/>
      <c r="CX37" s="1663"/>
      <c r="CY37" s="1458"/>
      <c r="CZ37" s="1458"/>
      <c r="DA37" s="1458"/>
      <c r="DB37" s="1663"/>
      <c r="DC37" s="1328"/>
      <c r="DD37" s="1664"/>
      <c r="DE37" s="1669"/>
    </row>
    <row r="38" spans="1:109" ht="15.75" customHeight="1">
      <c r="A38" s="741" t="s">
        <v>1102</v>
      </c>
      <c r="B38" s="742">
        <v>32</v>
      </c>
      <c r="C38" s="758" t="s">
        <v>1104</v>
      </c>
      <c r="D38" s="742" t="s">
        <v>2335</v>
      </c>
      <c r="E38" s="742" t="s">
        <v>2223</v>
      </c>
      <c r="F38" s="754">
        <v>4</v>
      </c>
      <c r="G38" s="759" t="s">
        <v>179</v>
      </c>
      <c r="H38" s="760" t="s">
        <v>2342</v>
      </c>
      <c r="I38" s="761"/>
      <c r="J38" s="762">
        <v>1</v>
      </c>
      <c r="K38" s="762"/>
      <c r="L38" s="762"/>
      <c r="M38" s="762"/>
      <c r="N38" s="762"/>
      <c r="O38" s="762"/>
      <c r="P38" s="763"/>
      <c r="Q38" s="764">
        <f t="shared" si="0"/>
        <v>1</v>
      </c>
      <c r="R38" s="758" t="s">
        <v>1852</v>
      </c>
      <c r="S38" s="742" t="s">
        <v>1826</v>
      </c>
      <c r="T38" s="765" t="s">
        <v>1827</v>
      </c>
      <c r="U38" s="742" t="s">
        <v>2220</v>
      </c>
      <c r="V38" s="742" t="s">
        <v>1851</v>
      </c>
      <c r="W38" s="742" t="s">
        <v>2343</v>
      </c>
      <c r="X38" s="769">
        <v>0</v>
      </c>
      <c r="Y38" s="795" t="s">
        <v>1838</v>
      </c>
      <c r="Z38" s="759" t="s">
        <v>179</v>
      </c>
      <c r="AA38" s="754"/>
      <c r="AB38" s="754"/>
      <c r="AC38" s="754"/>
      <c r="AD38" s="754"/>
      <c r="AE38" s="754"/>
      <c r="AF38" s="768"/>
      <c r="AG38" s="769"/>
      <c r="AH38" s="769"/>
      <c r="AI38" s="769"/>
      <c r="AJ38" s="769"/>
      <c r="AK38" s="769"/>
      <c r="AL38" s="769"/>
      <c r="AM38" s="769"/>
      <c r="AN38" s="769"/>
      <c r="AO38" s="769"/>
      <c r="AP38" s="769"/>
      <c r="AQ38" s="1321"/>
      <c r="AR38" s="1322"/>
      <c r="AS38" s="1322"/>
      <c r="AT38" s="1322"/>
      <c r="AU38" s="1323"/>
      <c r="AV38" s="1369"/>
      <c r="AW38" s="1319"/>
      <c r="AX38" s="1319"/>
      <c r="AY38" s="1319"/>
      <c r="AZ38" s="1319"/>
      <c r="BA38" s="1319"/>
      <c r="BB38" s="1319"/>
      <c r="BC38" s="1319"/>
      <c r="BD38" s="1319"/>
      <c r="BE38" s="1319"/>
      <c r="BF38" s="1319"/>
      <c r="BG38" s="1319"/>
      <c r="BH38" s="1319"/>
      <c r="BI38" s="1319"/>
      <c r="BJ38" s="1319"/>
      <c r="BK38" s="1320"/>
      <c r="BL38" s="1327"/>
      <c r="BM38" s="1328"/>
      <c r="BN38" s="1328"/>
      <c r="BO38" s="1328"/>
      <c r="BP38" s="1389"/>
      <c r="BQ38" s="1369"/>
      <c r="BR38" s="1319"/>
      <c r="BS38" s="1319"/>
      <c r="BT38" s="1319"/>
      <c r="BU38" s="1320"/>
      <c r="BV38" s="1670"/>
      <c r="BW38" s="1671"/>
      <c r="BX38" s="1671"/>
      <c r="BY38" s="1671"/>
      <c r="BZ38" s="1671"/>
      <c r="CA38" s="1369"/>
      <c r="CB38" s="1319"/>
      <c r="CC38" s="1319"/>
      <c r="CD38" s="1319"/>
      <c r="CE38" s="1320"/>
      <c r="CF38" s="1319"/>
      <c r="CG38" s="1319"/>
      <c r="CH38" s="1319"/>
      <c r="CI38" s="1319"/>
      <c r="CJ38" s="1320"/>
      <c r="CK38" s="1321"/>
      <c r="CL38" s="1322"/>
      <c r="CM38" s="1322"/>
      <c r="CN38" s="1322"/>
      <c r="CO38" s="1323"/>
      <c r="CP38" s="1369"/>
      <c r="CQ38" s="1319"/>
      <c r="CR38" s="1319"/>
      <c r="CS38" s="1319"/>
      <c r="CT38" s="1320"/>
      <c r="CU38" s="1467"/>
      <c r="CV38" s="1458"/>
      <c r="CW38" s="1458"/>
      <c r="CX38" s="1663"/>
      <c r="CY38" s="1458"/>
      <c r="CZ38" s="1458"/>
      <c r="DA38" s="1458"/>
      <c r="DB38" s="1663"/>
      <c r="DC38" s="1328"/>
      <c r="DD38" s="1664"/>
      <c r="DE38" s="1669"/>
    </row>
    <row r="39" spans="1:109" ht="15.75" customHeight="1">
      <c r="A39" s="741" t="s">
        <v>1102</v>
      </c>
      <c r="B39" s="742">
        <v>33</v>
      </c>
      <c r="C39" s="758" t="s">
        <v>1105</v>
      </c>
      <c r="D39" s="742" t="s">
        <v>2344</v>
      </c>
      <c r="E39" s="742" t="s">
        <v>2217</v>
      </c>
      <c r="F39" s="754">
        <v>5</v>
      </c>
      <c r="G39" s="759" t="s">
        <v>705</v>
      </c>
      <c r="H39" s="760" t="s">
        <v>2345</v>
      </c>
      <c r="I39" s="761"/>
      <c r="J39" s="762">
        <v>1</v>
      </c>
      <c r="K39" s="762"/>
      <c r="L39" s="762"/>
      <c r="M39" s="762"/>
      <c r="N39" s="762"/>
      <c r="O39" s="762"/>
      <c r="P39" s="763"/>
      <c r="Q39" s="764">
        <f t="shared" si="0"/>
        <v>1</v>
      </c>
      <c r="R39" s="758" t="s">
        <v>1852</v>
      </c>
      <c r="S39" s="742" t="s">
        <v>1826</v>
      </c>
      <c r="T39" s="765" t="s">
        <v>1827</v>
      </c>
      <c r="U39" s="742" t="s">
        <v>705</v>
      </c>
      <c r="V39" s="742" t="s">
        <v>1857</v>
      </c>
      <c r="W39" s="742" t="s">
        <v>2346</v>
      </c>
      <c r="X39" s="798">
        <v>1</v>
      </c>
      <c r="Y39" s="790" t="s">
        <v>1838</v>
      </c>
      <c r="Z39" s="759" t="s">
        <v>705</v>
      </c>
      <c r="AA39" s="754"/>
      <c r="AB39" s="754"/>
      <c r="AC39" s="754"/>
      <c r="AD39" s="754"/>
      <c r="AE39" s="754"/>
      <c r="AF39" s="768"/>
      <c r="AG39" s="769"/>
      <c r="AH39" s="769"/>
      <c r="AI39" s="769"/>
      <c r="AJ39" s="769"/>
      <c r="AK39" s="769"/>
      <c r="AL39" s="769"/>
      <c r="AM39" s="769"/>
      <c r="AN39" s="769"/>
      <c r="AO39" s="769"/>
      <c r="AP39" s="776"/>
      <c r="AQ39" s="1370"/>
      <c r="AR39" s="1324"/>
      <c r="AS39" s="1324"/>
      <c r="AT39" s="1324"/>
      <c r="AU39" s="1325"/>
      <c r="AV39" s="1369"/>
      <c r="AW39" s="1319"/>
      <c r="AX39" s="1319"/>
      <c r="AY39" s="1319"/>
      <c r="AZ39" s="1319"/>
      <c r="BA39" s="1319"/>
      <c r="BB39" s="1319"/>
      <c r="BC39" s="1319"/>
      <c r="BD39" s="1319"/>
      <c r="BE39" s="1319"/>
      <c r="BF39" s="1319"/>
      <c r="BG39" s="1319"/>
      <c r="BH39" s="1319"/>
      <c r="BI39" s="1319"/>
      <c r="BJ39" s="1319"/>
      <c r="BK39" s="1320"/>
      <c r="BL39" s="1327"/>
      <c r="BM39" s="1328"/>
      <c r="BN39" s="1328"/>
      <c r="BO39" s="1328"/>
      <c r="BP39" s="1389"/>
      <c r="BQ39" s="1660"/>
      <c r="BR39" s="1661"/>
      <c r="BS39" s="1661"/>
      <c r="BT39" s="1661"/>
      <c r="BU39" s="1662"/>
      <c r="BV39" s="1660"/>
      <c r="BW39" s="1661"/>
      <c r="BX39" s="1661"/>
      <c r="BY39" s="1661"/>
      <c r="BZ39" s="1662"/>
      <c r="CA39" s="1369"/>
      <c r="CB39" s="1319"/>
      <c r="CC39" s="1319"/>
      <c r="CD39" s="1319"/>
      <c r="CE39" s="1320"/>
      <c r="CF39" s="1319"/>
      <c r="CG39" s="1319"/>
      <c r="CH39" s="1319"/>
      <c r="CI39" s="1319"/>
      <c r="CJ39" s="1319"/>
      <c r="CK39" s="1321"/>
      <c r="CL39" s="1322"/>
      <c r="CM39" s="1322"/>
      <c r="CN39" s="1322"/>
      <c r="CO39" s="1323"/>
      <c r="CP39" s="1370"/>
      <c r="CQ39" s="1324"/>
      <c r="CR39" s="1324"/>
      <c r="CS39" s="1324"/>
      <c r="CT39" s="1325"/>
      <c r="CU39" s="1467"/>
      <c r="CV39" s="1458"/>
      <c r="CW39" s="1458"/>
      <c r="CX39" s="1663"/>
      <c r="CY39" s="1458"/>
      <c r="CZ39" s="1458"/>
      <c r="DA39" s="1458"/>
      <c r="DB39" s="1663"/>
      <c r="DC39" s="1328"/>
      <c r="DD39" s="1664"/>
      <c r="DE39" s="1669"/>
    </row>
    <row r="40" spans="1:109" ht="15.75" customHeight="1">
      <c r="A40" s="741" t="s">
        <v>1102</v>
      </c>
      <c r="B40" s="742">
        <v>34</v>
      </c>
      <c r="C40" s="758" t="s">
        <v>1106</v>
      </c>
      <c r="D40" s="742" t="s">
        <v>2344</v>
      </c>
      <c r="E40" s="742" t="s">
        <v>2217</v>
      </c>
      <c r="F40" s="754">
        <v>6</v>
      </c>
      <c r="G40" s="759" t="s">
        <v>1084</v>
      </c>
      <c r="H40" s="760" t="s">
        <v>2347</v>
      </c>
      <c r="I40" s="761"/>
      <c r="J40" s="762">
        <v>1</v>
      </c>
      <c r="K40" s="762"/>
      <c r="L40" s="762"/>
      <c r="M40" s="762"/>
      <c r="N40" s="762"/>
      <c r="O40" s="762"/>
      <c r="P40" s="763"/>
      <c r="Q40" s="764">
        <f t="shared" si="0"/>
        <v>1</v>
      </c>
      <c r="R40" s="758" t="s">
        <v>1852</v>
      </c>
      <c r="S40" s="742" t="s">
        <v>1826</v>
      </c>
      <c r="T40" s="1389" t="s">
        <v>1837</v>
      </c>
      <c r="U40" s="742" t="s">
        <v>2348</v>
      </c>
      <c r="V40" s="742" t="s">
        <v>1857</v>
      </c>
      <c r="W40" s="742" t="s">
        <v>2349</v>
      </c>
      <c r="X40" s="798">
        <v>1</v>
      </c>
      <c r="Y40" s="788" t="s">
        <v>1838</v>
      </c>
      <c r="Z40" s="759" t="s">
        <v>1084</v>
      </c>
      <c r="AA40" s="754"/>
      <c r="AB40" s="754"/>
      <c r="AC40" s="754"/>
      <c r="AD40" s="754"/>
      <c r="AE40" s="754"/>
      <c r="AF40" s="768"/>
      <c r="AG40" s="769"/>
      <c r="AH40" s="769"/>
      <c r="AI40" s="769"/>
      <c r="AJ40" s="769"/>
      <c r="AK40" s="769"/>
      <c r="AL40" s="769"/>
      <c r="AM40" s="769"/>
      <c r="AN40" s="769"/>
      <c r="AO40" s="769"/>
      <c r="AP40" s="769"/>
      <c r="AQ40" s="1369"/>
      <c r="AR40" s="1319"/>
      <c r="AS40" s="1319"/>
      <c r="AT40" s="1319"/>
      <c r="AU40" s="1320"/>
      <c r="AV40" s="1369"/>
      <c r="AW40" s="1319"/>
      <c r="AX40" s="1319"/>
      <c r="AY40" s="1319"/>
      <c r="AZ40" s="1319"/>
      <c r="BA40" s="1319"/>
      <c r="BB40" s="1319"/>
      <c r="BC40" s="1319"/>
      <c r="BD40" s="1319"/>
      <c r="BE40" s="1319"/>
      <c r="BF40" s="1319"/>
      <c r="BG40" s="1319"/>
      <c r="BH40" s="1319"/>
      <c r="BI40" s="1319"/>
      <c r="BJ40" s="1319"/>
      <c r="BK40" s="1320"/>
      <c r="BL40" s="1327"/>
      <c r="BM40" s="1328"/>
      <c r="BN40" s="1328"/>
      <c r="BO40" s="1328"/>
      <c r="BP40" s="1389"/>
      <c r="BQ40" s="1369"/>
      <c r="BR40" s="1319"/>
      <c r="BS40" s="1319"/>
      <c r="BT40" s="1319"/>
      <c r="BU40" s="1320"/>
      <c r="BV40" s="1369"/>
      <c r="BW40" s="1319"/>
      <c r="BX40" s="1319"/>
      <c r="BY40" s="1319"/>
      <c r="BZ40" s="1319"/>
      <c r="CA40" s="1369"/>
      <c r="CB40" s="1319"/>
      <c r="CC40" s="1319"/>
      <c r="CD40" s="1319"/>
      <c r="CE40" s="1320"/>
      <c r="CF40" s="1319"/>
      <c r="CG40" s="1319"/>
      <c r="CH40" s="1319"/>
      <c r="CI40" s="1319"/>
      <c r="CJ40" s="1320"/>
      <c r="CK40" s="1369"/>
      <c r="CL40" s="1319"/>
      <c r="CM40" s="1319"/>
      <c r="CN40" s="1319"/>
      <c r="CO40" s="1320"/>
      <c r="CP40" s="1369"/>
      <c r="CQ40" s="1319"/>
      <c r="CR40" s="1319"/>
      <c r="CS40" s="1319"/>
      <c r="CT40" s="1320"/>
      <c r="CU40" s="1467"/>
      <c r="CV40" s="1458"/>
      <c r="CW40" s="1458"/>
      <c r="CX40" s="1663"/>
      <c r="CY40" s="1458"/>
      <c r="CZ40" s="1458"/>
      <c r="DA40" s="1458"/>
      <c r="DB40" s="1663"/>
      <c r="DC40" s="1328"/>
      <c r="DD40" s="1664"/>
      <c r="DE40" s="1669"/>
    </row>
    <row r="41" spans="1:109" ht="15.75" customHeight="1">
      <c r="A41" s="741" t="s">
        <v>1102</v>
      </c>
      <c r="B41" s="742">
        <v>35</v>
      </c>
      <c r="C41" s="758" t="s">
        <v>1095</v>
      </c>
      <c r="D41" s="742" t="s">
        <v>2335</v>
      </c>
      <c r="E41" s="742" t="s">
        <v>2217</v>
      </c>
      <c r="F41" s="754">
        <v>7</v>
      </c>
      <c r="G41" s="759" t="s">
        <v>784</v>
      </c>
      <c r="H41" s="760" t="s">
        <v>2350</v>
      </c>
      <c r="I41" s="761"/>
      <c r="J41" s="762"/>
      <c r="K41" s="762">
        <v>1</v>
      </c>
      <c r="L41" s="762"/>
      <c r="M41" s="762"/>
      <c r="N41" s="762"/>
      <c r="O41" s="762"/>
      <c r="P41" s="763"/>
      <c r="Q41" s="764">
        <f t="shared" si="0"/>
        <v>1</v>
      </c>
      <c r="R41" s="758" t="s">
        <v>1852</v>
      </c>
      <c r="S41" s="742" t="s">
        <v>1826</v>
      </c>
      <c r="T41" s="765" t="s">
        <v>1827</v>
      </c>
      <c r="U41" s="742" t="s">
        <v>2351</v>
      </c>
      <c r="V41" s="742" t="s">
        <v>1857</v>
      </c>
      <c r="W41" s="742" t="s">
        <v>2352</v>
      </c>
      <c r="X41" s="798">
        <v>2</v>
      </c>
      <c r="Y41" s="788" t="s">
        <v>1838</v>
      </c>
      <c r="Z41" s="759" t="s">
        <v>784</v>
      </c>
      <c r="AA41" s="754"/>
      <c r="AB41" s="754"/>
      <c r="AC41" s="754"/>
      <c r="AD41" s="754"/>
      <c r="AE41" s="754"/>
      <c r="AF41" s="768"/>
      <c r="AG41" s="769"/>
      <c r="AH41" s="769"/>
      <c r="AI41" s="769"/>
      <c r="AJ41" s="769"/>
      <c r="AK41" s="769"/>
      <c r="AL41" s="769"/>
      <c r="AM41" s="769"/>
      <c r="AN41" s="769"/>
      <c r="AO41" s="769"/>
      <c r="AP41" s="769"/>
      <c r="AQ41" s="1369"/>
      <c r="AR41" s="1319"/>
      <c r="AS41" s="1319"/>
      <c r="AT41" s="1319"/>
      <c r="AU41" s="1320"/>
      <c r="AV41" s="1369"/>
      <c r="AW41" s="1319"/>
      <c r="AX41" s="1319"/>
      <c r="AY41" s="1319"/>
      <c r="AZ41" s="1319"/>
      <c r="BA41" s="1319"/>
      <c r="BB41" s="1319"/>
      <c r="BC41" s="1319"/>
      <c r="BD41" s="1319"/>
      <c r="BE41" s="1319"/>
      <c r="BF41" s="1319"/>
      <c r="BG41" s="1319"/>
      <c r="BH41" s="1319"/>
      <c r="BI41" s="1319"/>
      <c r="BJ41" s="1319"/>
      <c r="BK41" s="1320"/>
      <c r="BL41" s="1327"/>
      <c r="BM41" s="1328"/>
      <c r="BN41" s="1328"/>
      <c r="BO41" s="1328"/>
      <c r="BP41" s="1389"/>
      <c r="BQ41" s="1369"/>
      <c r="BR41" s="1319"/>
      <c r="BS41" s="1319"/>
      <c r="BT41" s="1319"/>
      <c r="BU41" s="1320"/>
      <c r="BV41" s="1370"/>
      <c r="BW41" s="1324"/>
      <c r="BX41" s="1324"/>
      <c r="BY41" s="1324"/>
      <c r="BZ41" s="1324"/>
      <c r="CA41" s="1369"/>
      <c r="CB41" s="1319"/>
      <c r="CC41" s="1319"/>
      <c r="CD41" s="1319"/>
      <c r="CE41" s="1320"/>
      <c r="CF41" s="1319"/>
      <c r="CG41" s="1319"/>
      <c r="CH41" s="1319"/>
      <c r="CI41" s="1319"/>
      <c r="CJ41" s="1320"/>
      <c r="CK41" s="1369"/>
      <c r="CL41" s="1319"/>
      <c r="CM41" s="1319"/>
      <c r="CN41" s="1319"/>
      <c r="CO41" s="1320"/>
      <c r="CP41" s="1369"/>
      <c r="CQ41" s="1319"/>
      <c r="CR41" s="1319"/>
      <c r="CS41" s="1319"/>
      <c r="CT41" s="1320"/>
      <c r="CU41" s="1467"/>
      <c r="CV41" s="1458"/>
      <c r="CW41" s="1458"/>
      <c r="CX41" s="1663"/>
      <c r="CY41" s="1458"/>
      <c r="CZ41" s="1458"/>
      <c r="DA41" s="1458"/>
      <c r="DB41" s="1663"/>
      <c r="DC41" s="1328"/>
      <c r="DD41" s="1664"/>
      <c r="DE41" s="1669"/>
    </row>
    <row r="42" spans="1:109" ht="15.75" customHeight="1">
      <c r="A42" s="741" t="s">
        <v>1102</v>
      </c>
      <c r="B42" s="742">
        <v>36</v>
      </c>
      <c r="C42" s="758" t="s">
        <v>1096</v>
      </c>
      <c r="D42" s="742" t="s">
        <v>2353</v>
      </c>
      <c r="E42" s="742" t="s">
        <v>2217</v>
      </c>
      <c r="F42" s="754">
        <v>8</v>
      </c>
      <c r="G42" s="759" t="s">
        <v>788</v>
      </c>
      <c r="H42" s="760" t="s">
        <v>2354</v>
      </c>
      <c r="I42" s="761"/>
      <c r="J42" s="762"/>
      <c r="K42" s="762">
        <v>1</v>
      </c>
      <c r="L42" s="762"/>
      <c r="M42" s="762"/>
      <c r="N42" s="762"/>
      <c r="O42" s="762"/>
      <c r="P42" s="763"/>
      <c r="Q42" s="764">
        <f t="shared" si="0"/>
        <v>1</v>
      </c>
      <c r="R42" s="758" t="s">
        <v>1852</v>
      </c>
      <c r="S42" s="742" t="s">
        <v>1826</v>
      </c>
      <c r="T42" s="765" t="s">
        <v>1827</v>
      </c>
      <c r="U42" s="742" t="s">
        <v>788</v>
      </c>
      <c r="V42" s="742" t="s">
        <v>1857</v>
      </c>
      <c r="W42" s="742" t="s">
        <v>2355</v>
      </c>
      <c r="X42" s="1243">
        <v>2</v>
      </c>
      <c r="Y42" s="788" t="s">
        <v>1838</v>
      </c>
      <c r="Z42" s="759" t="s">
        <v>788</v>
      </c>
      <c r="AA42" s="754"/>
      <c r="AB42" s="754"/>
      <c r="AC42" s="754"/>
      <c r="AD42" s="754"/>
      <c r="AE42" s="754"/>
      <c r="AF42" s="768"/>
      <c r="AG42" s="769"/>
      <c r="AH42" s="769"/>
      <c r="AI42" s="769"/>
      <c r="AJ42" s="769"/>
      <c r="AK42" s="769"/>
      <c r="AL42" s="769"/>
      <c r="AM42" s="769"/>
      <c r="AN42" s="769"/>
      <c r="AO42" s="769"/>
      <c r="AP42" s="769"/>
      <c r="AQ42" s="1370"/>
      <c r="AR42" s="1324"/>
      <c r="AS42" s="1324"/>
      <c r="AT42" s="1324"/>
      <c r="AU42" s="1325"/>
      <c r="AV42" s="1369"/>
      <c r="AW42" s="1319"/>
      <c r="AX42" s="1319"/>
      <c r="AY42" s="1319"/>
      <c r="AZ42" s="1319"/>
      <c r="BA42" s="1319"/>
      <c r="BB42" s="1319"/>
      <c r="BC42" s="1319"/>
      <c r="BD42" s="1319"/>
      <c r="BE42" s="1319"/>
      <c r="BF42" s="1319"/>
      <c r="BG42" s="1319"/>
      <c r="BH42" s="1319"/>
      <c r="BI42" s="1319"/>
      <c r="BJ42" s="1319"/>
      <c r="BK42" s="1320"/>
      <c r="BL42" s="1327"/>
      <c r="BM42" s="1328"/>
      <c r="BN42" s="1328"/>
      <c r="BO42" s="1328"/>
      <c r="BP42" s="1389"/>
      <c r="BQ42" s="1369"/>
      <c r="BR42" s="1319"/>
      <c r="BS42" s="1319"/>
      <c r="BT42" s="1319"/>
      <c r="BU42" s="1320"/>
      <c r="BV42" s="1370"/>
      <c r="BW42" s="1324"/>
      <c r="BX42" s="1324"/>
      <c r="BY42" s="1324"/>
      <c r="BZ42" s="1324"/>
      <c r="CA42" s="1369"/>
      <c r="CB42" s="1319"/>
      <c r="CC42" s="1319"/>
      <c r="CD42" s="1319"/>
      <c r="CE42" s="1320"/>
      <c r="CF42" s="1319"/>
      <c r="CG42" s="1319"/>
      <c r="CH42" s="1319"/>
      <c r="CI42" s="1319"/>
      <c r="CJ42" s="1320"/>
      <c r="CK42" s="1369"/>
      <c r="CL42" s="1319"/>
      <c r="CM42" s="1319"/>
      <c r="CN42" s="1319"/>
      <c r="CO42" s="1320"/>
      <c r="CP42" s="1369"/>
      <c r="CQ42" s="1319"/>
      <c r="CR42" s="1319"/>
      <c r="CS42" s="1319"/>
      <c r="CT42" s="1320"/>
      <c r="CU42" s="1467"/>
      <c r="CV42" s="1458"/>
      <c r="CW42" s="1458"/>
      <c r="CX42" s="1663"/>
      <c r="CY42" s="1458"/>
      <c r="CZ42" s="1458"/>
      <c r="DA42" s="1458"/>
      <c r="DB42" s="1663"/>
      <c r="DC42" s="1328"/>
      <c r="DD42" s="1664"/>
      <c r="DE42" s="1669"/>
    </row>
    <row r="43" spans="1:109" ht="15.75" customHeight="1">
      <c r="A43" s="741" t="s">
        <v>1102</v>
      </c>
      <c r="B43" s="742">
        <v>37</v>
      </c>
      <c r="C43" s="758" t="s">
        <v>1113</v>
      </c>
      <c r="D43" s="742" t="s">
        <v>2356</v>
      </c>
      <c r="E43" s="742" t="s">
        <v>2231</v>
      </c>
      <c r="F43" s="754">
        <v>9</v>
      </c>
      <c r="G43" s="759" t="s">
        <v>567</v>
      </c>
      <c r="H43" s="760" t="s">
        <v>2357</v>
      </c>
      <c r="I43" s="761">
        <v>0.5</v>
      </c>
      <c r="J43" s="762">
        <v>0.5</v>
      </c>
      <c r="K43" s="762"/>
      <c r="L43" s="762"/>
      <c r="M43" s="762"/>
      <c r="N43" s="762"/>
      <c r="O43" s="762"/>
      <c r="P43" s="763"/>
      <c r="Q43" s="764">
        <f t="shared" si="0"/>
        <v>1</v>
      </c>
      <c r="R43" s="758" t="s">
        <v>1825</v>
      </c>
      <c r="S43" s="742"/>
      <c r="T43" s="765"/>
      <c r="U43" s="742" t="s">
        <v>2234</v>
      </c>
      <c r="V43" s="742" t="s">
        <v>321</v>
      </c>
      <c r="W43" s="742" t="s">
        <v>2358</v>
      </c>
      <c r="X43" s="1277">
        <v>1</v>
      </c>
      <c r="Y43" s="788" t="s">
        <v>1838</v>
      </c>
      <c r="Z43" s="759" t="s">
        <v>567</v>
      </c>
      <c r="AA43" s="754"/>
      <c r="AB43" s="754"/>
      <c r="AC43" s="754"/>
      <c r="AD43" s="754"/>
      <c r="AE43" s="754"/>
      <c r="AF43" s="768"/>
      <c r="AG43" s="785"/>
      <c r="AH43" s="785"/>
      <c r="AI43" s="785"/>
      <c r="AJ43" s="785"/>
      <c r="AK43" s="785"/>
      <c r="AL43" s="785"/>
      <c r="AM43" s="785"/>
      <c r="AN43" s="785"/>
      <c r="AO43" s="785"/>
      <c r="AP43" s="785"/>
      <c r="AQ43" s="1460"/>
      <c r="AR43" s="1665"/>
      <c r="AS43" s="1665"/>
      <c r="AT43" s="1665"/>
      <c r="AU43" s="1466"/>
      <c r="AV43" s="1460"/>
      <c r="AW43" s="1665"/>
      <c r="AX43" s="1665"/>
      <c r="AY43" s="1665"/>
      <c r="AZ43" s="1665"/>
      <c r="BA43" s="1665"/>
      <c r="BB43" s="1665"/>
      <c r="BC43" s="1665"/>
      <c r="BD43" s="1665"/>
      <c r="BE43" s="1665"/>
      <c r="BF43" s="1665"/>
      <c r="BG43" s="1665"/>
      <c r="BH43" s="1665"/>
      <c r="BI43" s="1665"/>
      <c r="BJ43" s="1665"/>
      <c r="BK43" s="1466"/>
      <c r="BL43" s="1327"/>
      <c r="BM43" s="1328"/>
      <c r="BN43" s="1328"/>
      <c r="BO43" s="1328"/>
      <c r="BP43" s="1389"/>
      <c r="BQ43" s="1369"/>
      <c r="BR43" s="1319"/>
      <c r="BS43" s="1319"/>
      <c r="BT43" s="1319"/>
      <c r="BU43" s="1320"/>
      <c r="BV43" s="1369"/>
      <c r="BW43" s="1319"/>
      <c r="BX43" s="1319"/>
      <c r="BY43" s="1319"/>
      <c r="BZ43" s="1319"/>
      <c r="CA43" s="1369"/>
      <c r="CB43" s="1319"/>
      <c r="CC43" s="1319"/>
      <c r="CD43" s="1319"/>
      <c r="CE43" s="1320"/>
      <c r="CF43" s="1319"/>
      <c r="CG43" s="1319"/>
      <c r="CH43" s="1319"/>
      <c r="CI43" s="1319"/>
      <c r="CJ43" s="1320"/>
      <c r="CK43" s="1369"/>
      <c r="CL43" s="1319"/>
      <c r="CM43" s="1319"/>
      <c r="CN43" s="1319"/>
      <c r="CO43" s="1320"/>
      <c r="CP43" s="1369"/>
      <c r="CQ43" s="1319"/>
      <c r="CR43" s="1319"/>
      <c r="CS43" s="1319"/>
      <c r="CT43" s="1320"/>
      <c r="CU43" s="1467"/>
      <c r="CV43" s="1458"/>
      <c r="CW43" s="1458"/>
      <c r="CX43" s="1663"/>
      <c r="CY43" s="1458"/>
      <c r="CZ43" s="1458"/>
      <c r="DA43" s="1458"/>
      <c r="DB43" s="1663"/>
      <c r="DC43" s="1328"/>
      <c r="DD43" s="1664"/>
      <c r="DE43" s="1669"/>
    </row>
    <row r="44" spans="1:109" ht="15.75" customHeight="1">
      <c r="A44" s="741" t="s">
        <v>1102</v>
      </c>
      <c r="B44" s="742">
        <v>38</v>
      </c>
      <c r="C44" s="758" t="s">
        <v>1101</v>
      </c>
      <c r="D44" s="742" t="s">
        <v>2356</v>
      </c>
      <c r="E44" s="742" t="s">
        <v>2231</v>
      </c>
      <c r="F44" s="754">
        <v>10</v>
      </c>
      <c r="G44" s="759" t="s">
        <v>891</v>
      </c>
      <c r="H44" s="760" t="s">
        <v>2359</v>
      </c>
      <c r="I44" s="761"/>
      <c r="J44" s="762"/>
      <c r="K44" s="762">
        <v>1</v>
      </c>
      <c r="L44" s="762"/>
      <c r="M44" s="762"/>
      <c r="N44" s="762"/>
      <c r="O44" s="762"/>
      <c r="P44" s="763"/>
      <c r="Q44" s="764">
        <f t="shared" si="0"/>
        <v>1</v>
      </c>
      <c r="R44" s="758" t="s">
        <v>1825</v>
      </c>
      <c r="S44" s="742"/>
      <c r="T44" s="765"/>
      <c r="U44" s="742" t="s">
        <v>2234</v>
      </c>
      <c r="V44" s="742" t="s">
        <v>321</v>
      </c>
      <c r="W44" s="742" t="s">
        <v>2360</v>
      </c>
      <c r="X44" s="798">
        <v>2</v>
      </c>
      <c r="Y44" s="790" t="s">
        <v>1838</v>
      </c>
      <c r="Z44" s="759" t="s">
        <v>891</v>
      </c>
      <c r="AA44" s="754"/>
      <c r="AB44" s="754"/>
      <c r="AC44" s="754"/>
      <c r="AD44" s="754"/>
      <c r="AE44" s="754"/>
      <c r="AF44" s="768"/>
      <c r="AG44" s="769"/>
      <c r="AH44" s="769"/>
      <c r="AI44" s="769"/>
      <c r="AJ44" s="769"/>
      <c r="AK44" s="769"/>
      <c r="AL44" s="769"/>
      <c r="AM44" s="769"/>
      <c r="AN44" s="769"/>
      <c r="AO44" s="769"/>
      <c r="AP44" s="769"/>
      <c r="AQ44" s="1369"/>
      <c r="AR44" s="1319"/>
      <c r="AS44" s="1319"/>
      <c r="AT44" s="1319"/>
      <c r="AU44" s="1320"/>
      <c r="AV44" s="1369"/>
      <c r="AW44" s="1319"/>
      <c r="AX44" s="1319"/>
      <c r="AY44" s="1319"/>
      <c r="AZ44" s="1319"/>
      <c r="BA44" s="1319"/>
      <c r="BB44" s="1319"/>
      <c r="BC44" s="1319"/>
      <c r="BD44" s="1319"/>
      <c r="BE44" s="1319"/>
      <c r="BF44" s="1319"/>
      <c r="BG44" s="1319"/>
      <c r="BH44" s="1319"/>
      <c r="BI44" s="1319"/>
      <c r="BJ44" s="1319"/>
      <c r="BK44" s="1320"/>
      <c r="BL44" s="1327"/>
      <c r="BM44" s="1328"/>
      <c r="BN44" s="1328"/>
      <c r="BO44" s="1328"/>
      <c r="BP44" s="1389"/>
      <c r="BQ44" s="1369"/>
      <c r="BR44" s="1319"/>
      <c r="BS44" s="1319"/>
      <c r="BT44" s="1319"/>
      <c r="BU44" s="1320"/>
      <c r="BV44" s="1369"/>
      <c r="BW44" s="1319"/>
      <c r="BX44" s="1319"/>
      <c r="BY44" s="1319"/>
      <c r="BZ44" s="1319"/>
      <c r="CA44" s="1369"/>
      <c r="CB44" s="1319"/>
      <c r="CC44" s="1319"/>
      <c r="CD44" s="1319"/>
      <c r="CE44" s="1320"/>
      <c r="CF44" s="1319"/>
      <c r="CG44" s="1319"/>
      <c r="CH44" s="1319"/>
      <c r="CI44" s="1319"/>
      <c r="CJ44" s="1320"/>
      <c r="CK44" s="1369"/>
      <c r="CL44" s="1319"/>
      <c r="CM44" s="1319"/>
      <c r="CN44" s="1319"/>
      <c r="CO44" s="1320"/>
      <c r="CP44" s="1369"/>
      <c r="CQ44" s="1319"/>
      <c r="CR44" s="1319"/>
      <c r="CS44" s="1319"/>
      <c r="CT44" s="1320"/>
      <c r="CU44" s="1467"/>
      <c r="CV44" s="1458"/>
      <c r="CW44" s="1458"/>
      <c r="CX44" s="1663"/>
      <c r="CY44" s="1458"/>
      <c r="CZ44" s="1458"/>
      <c r="DA44" s="1458"/>
      <c r="DB44" s="1663"/>
      <c r="DC44" s="1328"/>
      <c r="DD44" s="1664"/>
      <c r="DE44" s="1669"/>
    </row>
    <row r="45" spans="1:109" ht="15.75" customHeight="1">
      <c r="A45" s="741" t="s">
        <v>1102</v>
      </c>
      <c r="B45" s="742">
        <v>39</v>
      </c>
      <c r="C45" s="758" t="s">
        <v>1107</v>
      </c>
      <c r="D45" s="742" t="s">
        <v>2361</v>
      </c>
      <c r="E45" s="742" t="s">
        <v>2217</v>
      </c>
      <c r="F45" s="754">
        <v>11</v>
      </c>
      <c r="G45" s="759" t="s">
        <v>203</v>
      </c>
      <c r="H45" s="760" t="s">
        <v>2362</v>
      </c>
      <c r="I45" s="761"/>
      <c r="J45" s="762">
        <v>1</v>
      </c>
      <c r="K45" s="762"/>
      <c r="L45" s="762"/>
      <c r="M45" s="762"/>
      <c r="N45" s="762"/>
      <c r="O45" s="762"/>
      <c r="P45" s="763"/>
      <c r="Q45" s="764">
        <f t="shared" si="0"/>
        <v>1</v>
      </c>
      <c r="R45" s="758" t="s">
        <v>1846</v>
      </c>
      <c r="S45" s="742" t="s">
        <v>1826</v>
      </c>
      <c r="T45" s="765" t="s">
        <v>1827</v>
      </c>
      <c r="U45" s="742" t="s">
        <v>2363</v>
      </c>
      <c r="V45" s="742" t="s">
        <v>1857</v>
      </c>
      <c r="W45" s="742" t="s">
        <v>2364</v>
      </c>
      <c r="X45" s="798">
        <v>1</v>
      </c>
      <c r="Y45" s="790" t="s">
        <v>1838</v>
      </c>
      <c r="Z45" s="759" t="s">
        <v>203</v>
      </c>
      <c r="AA45" s="754"/>
      <c r="AB45" s="754"/>
      <c r="AC45" s="754"/>
      <c r="AD45" s="754"/>
      <c r="AE45" s="754"/>
      <c r="AF45" s="768"/>
      <c r="AG45" s="769"/>
      <c r="AH45" s="769"/>
      <c r="AI45" s="769"/>
      <c r="AJ45" s="769"/>
      <c r="AK45" s="769"/>
      <c r="AL45" s="769"/>
      <c r="AM45" s="769"/>
      <c r="AN45" s="769"/>
      <c r="AO45" s="769"/>
      <c r="AP45" s="769"/>
      <c r="AQ45" s="1370"/>
      <c r="AR45" s="1324"/>
      <c r="AS45" s="1324"/>
      <c r="AT45" s="1324"/>
      <c r="AU45" s="1325"/>
      <c r="AV45" s="1369"/>
      <c r="AW45" s="1319"/>
      <c r="AX45" s="1319"/>
      <c r="AY45" s="1319"/>
      <c r="AZ45" s="1319"/>
      <c r="BA45" s="1319"/>
      <c r="BB45" s="1319"/>
      <c r="BC45" s="1319"/>
      <c r="BD45" s="1319"/>
      <c r="BE45" s="1319"/>
      <c r="BF45" s="1319"/>
      <c r="BG45" s="1319"/>
      <c r="BH45" s="1319"/>
      <c r="BI45" s="1319"/>
      <c r="BJ45" s="1319"/>
      <c r="BK45" s="1320"/>
      <c r="BL45" s="1327"/>
      <c r="BM45" s="1328"/>
      <c r="BN45" s="1328"/>
      <c r="BO45" s="1328"/>
      <c r="BP45" s="1389"/>
      <c r="BQ45" s="1369"/>
      <c r="BR45" s="1319"/>
      <c r="BS45" s="1319"/>
      <c r="BT45" s="1319"/>
      <c r="BU45" s="1320"/>
      <c r="BV45" s="1369"/>
      <c r="BW45" s="1319"/>
      <c r="BX45" s="1319"/>
      <c r="BY45" s="1319"/>
      <c r="BZ45" s="1319"/>
      <c r="CA45" s="1460"/>
      <c r="CB45" s="1665"/>
      <c r="CC45" s="1665"/>
      <c r="CD45" s="1665"/>
      <c r="CE45" s="1466"/>
      <c r="CF45" s="1319"/>
      <c r="CG45" s="1319"/>
      <c r="CH45" s="1319"/>
      <c r="CI45" s="1319"/>
      <c r="CJ45" s="1320"/>
      <c r="CK45" s="1369"/>
      <c r="CL45" s="1319"/>
      <c r="CM45" s="1319"/>
      <c r="CN45" s="1319"/>
      <c r="CO45" s="1320"/>
      <c r="CP45" s="1369"/>
      <c r="CQ45" s="1319"/>
      <c r="CR45" s="1319"/>
      <c r="CS45" s="1319"/>
      <c r="CT45" s="1320"/>
      <c r="CU45" s="1467"/>
      <c r="CV45" s="1458"/>
      <c r="CW45" s="1458"/>
      <c r="CX45" s="1663"/>
      <c r="CY45" s="1458"/>
      <c r="CZ45" s="1458"/>
      <c r="DA45" s="1458"/>
      <c r="DB45" s="1663"/>
      <c r="DC45" s="1328"/>
      <c r="DD45" s="1664"/>
      <c r="DE45" s="1669"/>
    </row>
    <row r="46" spans="1:109" ht="15.75" customHeight="1">
      <c r="A46" s="741" t="s">
        <v>1102</v>
      </c>
      <c r="B46" s="742">
        <v>40</v>
      </c>
      <c r="C46" s="758" t="s">
        <v>1108</v>
      </c>
      <c r="D46" s="742" t="s">
        <v>2361</v>
      </c>
      <c r="E46" s="742" t="s">
        <v>2231</v>
      </c>
      <c r="F46" s="754">
        <v>12</v>
      </c>
      <c r="G46" s="759" t="s">
        <v>209</v>
      </c>
      <c r="H46" s="760" t="s">
        <v>2365</v>
      </c>
      <c r="I46" s="761"/>
      <c r="J46" s="762">
        <v>1</v>
      </c>
      <c r="K46" s="762"/>
      <c r="L46" s="762"/>
      <c r="M46" s="762"/>
      <c r="N46" s="762"/>
      <c r="O46" s="762"/>
      <c r="P46" s="763"/>
      <c r="Q46" s="764">
        <f t="shared" si="0"/>
        <v>1</v>
      </c>
      <c r="R46" s="758" t="s">
        <v>1846</v>
      </c>
      <c r="S46" s="742" t="s">
        <v>1826</v>
      </c>
      <c r="T46" s="765" t="s">
        <v>1827</v>
      </c>
      <c r="U46" s="742" t="s">
        <v>2176</v>
      </c>
      <c r="V46" s="742" t="s">
        <v>321</v>
      </c>
      <c r="W46" s="742" t="s">
        <v>2366</v>
      </c>
      <c r="X46" s="798">
        <v>2</v>
      </c>
      <c r="Y46" s="790" t="s">
        <v>1838</v>
      </c>
      <c r="Z46" s="759" t="s">
        <v>209</v>
      </c>
      <c r="AA46" s="754"/>
      <c r="AB46" s="754"/>
      <c r="AC46" s="754"/>
      <c r="AD46" s="754"/>
      <c r="AE46" s="754"/>
      <c r="AF46" s="768"/>
      <c r="AG46" s="769"/>
      <c r="AH46" s="769"/>
      <c r="AI46" s="769"/>
      <c r="AJ46" s="769"/>
      <c r="AK46" s="769"/>
      <c r="AL46" s="769"/>
      <c r="AM46" s="769"/>
      <c r="AN46" s="769"/>
      <c r="AO46" s="769"/>
      <c r="AP46" s="769"/>
      <c r="AQ46" s="1370"/>
      <c r="AR46" s="1324"/>
      <c r="AS46" s="1324"/>
      <c r="AT46" s="1324"/>
      <c r="AU46" s="1325"/>
      <c r="AV46" s="1369"/>
      <c r="AW46" s="1319"/>
      <c r="AX46" s="1319"/>
      <c r="AY46" s="1319"/>
      <c r="AZ46" s="1319"/>
      <c r="BA46" s="1319"/>
      <c r="BB46" s="1319"/>
      <c r="BC46" s="1319"/>
      <c r="BD46" s="1319"/>
      <c r="BE46" s="1319"/>
      <c r="BF46" s="1319"/>
      <c r="BG46" s="1319"/>
      <c r="BH46" s="1319"/>
      <c r="BI46" s="1319"/>
      <c r="BJ46" s="1319"/>
      <c r="BK46" s="1320"/>
      <c r="BL46" s="1327"/>
      <c r="BM46" s="1328"/>
      <c r="BN46" s="1328"/>
      <c r="BO46" s="1328"/>
      <c r="BP46" s="1389"/>
      <c r="BQ46" s="1369"/>
      <c r="BR46" s="1319"/>
      <c r="BS46" s="1319"/>
      <c r="BT46" s="1319"/>
      <c r="BU46" s="1320"/>
      <c r="BV46" s="1369"/>
      <c r="BW46" s="1319"/>
      <c r="BX46" s="1319"/>
      <c r="BY46" s="1319"/>
      <c r="BZ46" s="1319"/>
      <c r="CA46" s="1370"/>
      <c r="CB46" s="1324"/>
      <c r="CC46" s="1324"/>
      <c r="CD46" s="1324"/>
      <c r="CE46" s="1325"/>
      <c r="CF46" s="1319"/>
      <c r="CG46" s="1319"/>
      <c r="CH46" s="1319"/>
      <c r="CI46" s="1319"/>
      <c r="CJ46" s="1320"/>
      <c r="CK46" s="1369"/>
      <c r="CL46" s="1319"/>
      <c r="CM46" s="1319"/>
      <c r="CN46" s="1319"/>
      <c r="CO46" s="1320"/>
      <c r="CP46" s="1369"/>
      <c r="CQ46" s="1319"/>
      <c r="CR46" s="1319"/>
      <c r="CS46" s="1319"/>
      <c r="CT46" s="1320"/>
      <c r="CU46" s="1467"/>
      <c r="CV46" s="1458"/>
      <c r="CW46" s="1458"/>
      <c r="CX46" s="1663"/>
      <c r="CY46" s="1458"/>
      <c r="CZ46" s="1458"/>
      <c r="DA46" s="1458"/>
      <c r="DB46" s="1663"/>
      <c r="DC46" s="1328"/>
      <c r="DD46" s="1664"/>
      <c r="DE46" s="1669"/>
    </row>
    <row r="47" spans="1:109" ht="15.75" customHeight="1">
      <c r="A47" s="741" t="s">
        <v>1102</v>
      </c>
      <c r="B47" s="742">
        <v>41</v>
      </c>
      <c r="C47" s="758" t="s">
        <v>1097</v>
      </c>
      <c r="D47" s="742" t="s">
        <v>2361</v>
      </c>
      <c r="E47" s="742" t="s">
        <v>2217</v>
      </c>
      <c r="F47" s="754">
        <v>13</v>
      </c>
      <c r="G47" s="759" t="s">
        <v>795</v>
      </c>
      <c r="H47" s="760" t="s">
        <v>2367</v>
      </c>
      <c r="I47" s="761"/>
      <c r="J47" s="762"/>
      <c r="K47" s="762">
        <v>1</v>
      </c>
      <c r="L47" s="762"/>
      <c r="M47" s="762"/>
      <c r="N47" s="762"/>
      <c r="O47" s="762"/>
      <c r="P47" s="763"/>
      <c r="Q47" s="764">
        <f t="shared" si="0"/>
        <v>1</v>
      </c>
      <c r="R47" s="758" t="s">
        <v>1846</v>
      </c>
      <c r="S47" s="742" t="s">
        <v>1826</v>
      </c>
      <c r="T47" s="765" t="s">
        <v>1827</v>
      </c>
      <c r="U47" s="742" t="s">
        <v>2368</v>
      </c>
      <c r="V47" s="742" t="s">
        <v>1857</v>
      </c>
      <c r="W47" s="742" t="s">
        <v>2369</v>
      </c>
      <c r="X47" s="1243">
        <v>2</v>
      </c>
      <c r="Y47" s="790" t="s">
        <v>1838</v>
      </c>
      <c r="Z47" s="759" t="s">
        <v>795</v>
      </c>
      <c r="AA47" s="754"/>
      <c r="AB47" s="754"/>
      <c r="AC47" s="754"/>
      <c r="AD47" s="754"/>
      <c r="AE47" s="754"/>
      <c r="AF47" s="768"/>
      <c r="AG47" s="769"/>
      <c r="AH47" s="769"/>
      <c r="AI47" s="769"/>
      <c r="AJ47" s="769"/>
      <c r="AK47" s="769"/>
      <c r="AL47" s="769"/>
      <c r="AM47" s="769"/>
      <c r="AN47" s="769"/>
      <c r="AO47" s="769"/>
      <c r="AP47" s="769"/>
      <c r="AQ47" s="1369"/>
      <c r="AR47" s="1319"/>
      <c r="AS47" s="1319"/>
      <c r="AT47" s="1319"/>
      <c r="AU47" s="1320"/>
      <c r="AV47" s="1369"/>
      <c r="AW47" s="1319"/>
      <c r="AX47" s="1319"/>
      <c r="AY47" s="1319"/>
      <c r="AZ47" s="1319"/>
      <c r="BA47" s="1319"/>
      <c r="BB47" s="1319"/>
      <c r="BC47" s="1319"/>
      <c r="BD47" s="1319"/>
      <c r="BE47" s="1319"/>
      <c r="BF47" s="1319"/>
      <c r="BG47" s="1319"/>
      <c r="BH47" s="1319"/>
      <c r="BI47" s="1319"/>
      <c r="BJ47" s="1319"/>
      <c r="BK47" s="1320"/>
      <c r="BL47" s="1327"/>
      <c r="BM47" s="1328"/>
      <c r="BN47" s="1328"/>
      <c r="BO47" s="1328"/>
      <c r="BP47" s="1389"/>
      <c r="BQ47" s="1369"/>
      <c r="BR47" s="1319"/>
      <c r="BS47" s="1319"/>
      <c r="BT47" s="1319"/>
      <c r="BU47" s="1320"/>
      <c r="BV47" s="1369"/>
      <c r="BW47" s="1319"/>
      <c r="BX47" s="1319"/>
      <c r="BY47" s="1319"/>
      <c r="BZ47" s="1319"/>
      <c r="CA47" s="1369"/>
      <c r="CB47" s="1319"/>
      <c r="CC47" s="1319"/>
      <c r="CD47" s="1319"/>
      <c r="CE47" s="1320"/>
      <c r="CF47" s="1319"/>
      <c r="CG47" s="1319"/>
      <c r="CH47" s="1319"/>
      <c r="CI47" s="1319"/>
      <c r="CJ47" s="1320"/>
      <c r="CK47" s="1369"/>
      <c r="CL47" s="1319"/>
      <c r="CM47" s="1319"/>
      <c r="CN47" s="1319"/>
      <c r="CO47" s="1320"/>
      <c r="CP47" s="1369"/>
      <c r="CQ47" s="1319"/>
      <c r="CR47" s="1319"/>
      <c r="CS47" s="1319"/>
      <c r="CT47" s="1320"/>
      <c r="CU47" s="1467"/>
      <c r="CV47" s="1458"/>
      <c r="CW47" s="1458"/>
      <c r="CX47" s="1663"/>
      <c r="CY47" s="1458"/>
      <c r="CZ47" s="1458"/>
      <c r="DA47" s="1458"/>
      <c r="DB47" s="1663"/>
      <c r="DC47" s="1328"/>
      <c r="DD47" s="1664"/>
      <c r="DE47" s="1669"/>
    </row>
    <row r="48" spans="1:109" ht="15.75" customHeight="1">
      <c r="A48" s="741" t="s">
        <v>1102</v>
      </c>
      <c r="B48" s="742">
        <v>42</v>
      </c>
      <c r="C48" s="758" t="s">
        <v>1098</v>
      </c>
      <c r="D48" s="742" t="s">
        <v>2361</v>
      </c>
      <c r="E48" s="742" t="s">
        <v>2217</v>
      </c>
      <c r="F48" s="754">
        <v>14</v>
      </c>
      <c r="G48" s="759" t="s">
        <v>1085</v>
      </c>
      <c r="H48" s="760" t="s">
        <v>2370</v>
      </c>
      <c r="I48" s="761"/>
      <c r="J48" s="762">
        <v>0.39</v>
      </c>
      <c r="K48" s="762">
        <v>0.61</v>
      </c>
      <c r="L48" s="762"/>
      <c r="M48" s="762"/>
      <c r="N48" s="762"/>
      <c r="O48" s="762"/>
      <c r="P48" s="763"/>
      <c r="Q48" s="764">
        <f t="shared" si="0"/>
        <v>1</v>
      </c>
      <c r="R48" s="758" t="s">
        <v>1846</v>
      </c>
      <c r="S48" s="742" t="s">
        <v>1826</v>
      </c>
      <c r="T48" s="765" t="s">
        <v>1827</v>
      </c>
      <c r="U48" s="742" t="s">
        <v>2371</v>
      </c>
      <c r="V48" s="742" t="s">
        <v>321</v>
      </c>
      <c r="W48" s="742" t="s">
        <v>2372</v>
      </c>
      <c r="X48" s="1243">
        <v>2</v>
      </c>
      <c r="Y48" s="790" t="s">
        <v>1828</v>
      </c>
      <c r="Z48" s="759" t="s">
        <v>1085</v>
      </c>
      <c r="AA48" s="754"/>
      <c r="AB48" s="754"/>
      <c r="AC48" s="754"/>
      <c r="AD48" s="754"/>
      <c r="AE48" s="754"/>
      <c r="AF48" s="768"/>
      <c r="AG48" s="769"/>
      <c r="AH48" s="769"/>
      <c r="AI48" s="769"/>
      <c r="AJ48" s="769"/>
      <c r="AK48" s="769"/>
      <c r="AL48" s="769"/>
      <c r="AM48" s="769"/>
      <c r="AN48" s="769"/>
      <c r="AO48" s="769"/>
      <c r="AP48" s="769"/>
      <c r="AQ48" s="1369"/>
      <c r="AR48" s="1319"/>
      <c r="AS48" s="1319"/>
      <c r="AT48" s="1319"/>
      <c r="AU48" s="1320"/>
      <c r="AV48" s="1369"/>
      <c r="AW48" s="1319"/>
      <c r="AX48" s="1319"/>
      <c r="AY48" s="1319"/>
      <c r="AZ48" s="1319"/>
      <c r="BA48" s="1319"/>
      <c r="BB48" s="1319"/>
      <c r="BC48" s="1319"/>
      <c r="BD48" s="1319"/>
      <c r="BE48" s="1319"/>
      <c r="BF48" s="1319"/>
      <c r="BG48" s="1319"/>
      <c r="BH48" s="1319"/>
      <c r="BI48" s="1319"/>
      <c r="BJ48" s="1319"/>
      <c r="BK48" s="1320"/>
      <c r="BL48" s="1327"/>
      <c r="BM48" s="1328"/>
      <c r="BN48" s="1328"/>
      <c r="BO48" s="1328"/>
      <c r="BP48" s="1389"/>
      <c r="BQ48" s="1369"/>
      <c r="BR48" s="1319"/>
      <c r="BS48" s="1319"/>
      <c r="BT48" s="1319"/>
      <c r="BU48" s="1320"/>
      <c r="BV48" s="1369"/>
      <c r="BW48" s="1319"/>
      <c r="BX48" s="1319"/>
      <c r="BY48" s="1319"/>
      <c r="BZ48" s="1319"/>
      <c r="CA48" s="1369"/>
      <c r="CB48" s="1319"/>
      <c r="CC48" s="1319"/>
      <c r="CD48" s="1319"/>
      <c r="CE48" s="1320"/>
      <c r="CF48" s="1319"/>
      <c r="CG48" s="1319"/>
      <c r="CH48" s="1319"/>
      <c r="CI48" s="1319"/>
      <c r="CJ48" s="1319"/>
      <c r="CK48" s="1369"/>
      <c r="CL48" s="1319"/>
      <c r="CM48" s="1319"/>
      <c r="CN48" s="1319"/>
      <c r="CO48" s="1320"/>
      <c r="CP48" s="1369"/>
      <c r="CQ48" s="1319"/>
      <c r="CR48" s="1319"/>
      <c r="CS48" s="1319"/>
      <c r="CT48" s="1320"/>
      <c r="CU48" s="1467"/>
      <c r="CV48" s="1458"/>
      <c r="CW48" s="1458"/>
      <c r="CX48" s="1663"/>
      <c r="CY48" s="1458"/>
      <c r="CZ48" s="1458"/>
      <c r="DA48" s="1458"/>
      <c r="DB48" s="1663"/>
      <c r="DC48" s="1328"/>
      <c r="DD48" s="1664"/>
      <c r="DE48" s="1669"/>
    </row>
    <row r="49" spans="1:109" ht="15.75" customHeight="1">
      <c r="A49" s="741" t="s">
        <v>1102</v>
      </c>
      <c r="B49" s="742">
        <v>43</v>
      </c>
      <c r="C49" s="758" t="s">
        <v>1305</v>
      </c>
      <c r="D49" s="742" t="s">
        <v>2356</v>
      </c>
      <c r="E49" s="742" t="s">
        <v>2223</v>
      </c>
      <c r="F49" s="754">
        <v>15</v>
      </c>
      <c r="G49" s="759" t="s">
        <v>2373</v>
      </c>
      <c r="H49" s="760" t="s">
        <v>2374</v>
      </c>
      <c r="I49" s="761"/>
      <c r="J49" s="762">
        <v>1</v>
      </c>
      <c r="K49" s="762"/>
      <c r="L49" s="762"/>
      <c r="M49" s="762"/>
      <c r="N49" s="762"/>
      <c r="O49" s="762"/>
      <c r="P49" s="763"/>
      <c r="Q49" s="764">
        <f t="shared" si="0"/>
        <v>1</v>
      </c>
      <c r="R49" s="758" t="s">
        <v>1835</v>
      </c>
      <c r="S49" s="1873" t="s">
        <v>1826</v>
      </c>
      <c r="T49" s="765" t="s">
        <v>1827</v>
      </c>
      <c r="U49" s="742" t="s">
        <v>2234</v>
      </c>
      <c r="V49" s="742" t="s">
        <v>321</v>
      </c>
      <c r="W49" s="742" t="s">
        <v>2375</v>
      </c>
      <c r="X49" s="798">
        <v>1</v>
      </c>
      <c r="Y49" s="790" t="s">
        <v>1838</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210</v>
      </c>
      <c r="BQ49" s="777" t="s">
        <v>2260</v>
      </c>
      <c r="BR49" s="769" t="s">
        <v>2260</v>
      </c>
      <c r="BS49" s="769" t="s">
        <v>2260</v>
      </c>
      <c r="BT49" s="769" t="s">
        <v>2260</v>
      </c>
      <c r="BU49" s="774" t="s">
        <v>2260</v>
      </c>
      <c r="BV49" s="777" t="s">
        <v>2260</v>
      </c>
      <c r="BW49" s="769" t="s">
        <v>2260</v>
      </c>
      <c r="BX49" s="769" t="s">
        <v>2260</v>
      </c>
      <c r="BY49" s="769" t="s">
        <v>2260</v>
      </c>
      <c r="BZ49" s="769" t="s">
        <v>2260</v>
      </c>
      <c r="CA49" s="777" t="s">
        <v>2260</v>
      </c>
      <c r="CB49" s="769" t="s">
        <v>2260</v>
      </c>
      <c r="CC49" s="769" t="s">
        <v>2260</v>
      </c>
      <c r="CD49" s="769" t="s">
        <v>2260</v>
      </c>
      <c r="CE49" s="774" t="s">
        <v>2260</v>
      </c>
      <c r="CF49" s="769" t="s">
        <v>2260</v>
      </c>
      <c r="CG49" s="769" t="s">
        <v>2260</v>
      </c>
      <c r="CH49" s="769" t="s">
        <v>2260</v>
      </c>
      <c r="CI49" s="769" t="s">
        <v>2260</v>
      </c>
      <c r="CJ49" s="774" t="s">
        <v>2260</v>
      </c>
      <c r="CK49" s="777" t="s">
        <v>2260</v>
      </c>
      <c r="CL49" s="769" t="s">
        <v>2260</v>
      </c>
      <c r="CM49" s="769" t="s">
        <v>2260</v>
      </c>
      <c r="CN49" s="769" t="s">
        <v>2260</v>
      </c>
      <c r="CO49" s="774" t="s">
        <v>2260</v>
      </c>
      <c r="CP49" s="777" t="s">
        <v>2260</v>
      </c>
      <c r="CQ49" s="769" t="s">
        <v>2260</v>
      </c>
      <c r="CR49" s="769" t="s">
        <v>2260</v>
      </c>
      <c r="CS49" s="769" t="s">
        <v>2260</v>
      </c>
      <c r="CT49" s="774" t="s">
        <v>2260</v>
      </c>
      <c r="CU49" s="1253" t="s">
        <v>2260</v>
      </c>
      <c r="CV49" s="1252" t="s">
        <v>2260</v>
      </c>
      <c r="CW49" s="1252" t="s">
        <v>2260</v>
      </c>
      <c r="CX49" s="1254" t="s">
        <v>2260</v>
      </c>
      <c r="CY49" s="1252">
        <v>0.42811700000000003</v>
      </c>
      <c r="CZ49" s="1252" t="s">
        <v>2260</v>
      </c>
      <c r="DA49" s="1252" t="s">
        <v>2260</v>
      </c>
      <c r="DB49" s="1254" t="s">
        <v>2260</v>
      </c>
      <c r="DC49" s="754"/>
      <c r="DD49" s="782">
        <v>1</v>
      </c>
      <c r="DE49" s="783"/>
    </row>
    <row r="50" spans="1:109" ht="15.75" customHeight="1">
      <c r="A50" s="741" t="s">
        <v>1102</v>
      </c>
      <c r="B50" s="742">
        <v>44</v>
      </c>
      <c r="C50" s="758" t="s">
        <v>1322</v>
      </c>
      <c r="D50" s="742" t="s">
        <v>2361</v>
      </c>
      <c r="E50" s="742" t="s">
        <v>2217</v>
      </c>
      <c r="F50" s="754">
        <v>16</v>
      </c>
      <c r="G50" s="759" t="s">
        <v>2376</v>
      </c>
      <c r="H50" s="760" t="s">
        <v>2377</v>
      </c>
      <c r="I50" s="761"/>
      <c r="J50" s="762">
        <v>1</v>
      </c>
      <c r="K50" s="762"/>
      <c r="L50" s="762"/>
      <c r="M50" s="762"/>
      <c r="N50" s="762"/>
      <c r="O50" s="762"/>
      <c r="P50" s="763"/>
      <c r="Q50" s="764">
        <f t="shared" si="0"/>
        <v>1</v>
      </c>
      <c r="R50" s="758" t="s">
        <v>1852</v>
      </c>
      <c r="S50" s="742" t="s">
        <v>1826</v>
      </c>
      <c r="T50" s="765" t="s">
        <v>1827</v>
      </c>
      <c r="U50" s="742" t="s">
        <v>2295</v>
      </c>
      <c r="V50" s="742" t="s">
        <v>1857</v>
      </c>
      <c r="W50" s="742" t="s">
        <v>2304</v>
      </c>
      <c r="X50" s="798">
        <v>0</v>
      </c>
      <c r="Y50" s="790" t="s">
        <v>1838</v>
      </c>
      <c r="Z50" s="759" t="s">
        <v>2297</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210</v>
      </c>
      <c r="BM50" s="754" t="s">
        <v>210</v>
      </c>
      <c r="BN50" s="754" t="s">
        <v>210</v>
      </c>
      <c r="BO50" s="754" t="s">
        <v>210</v>
      </c>
      <c r="BP50" s="765" t="s">
        <v>210</v>
      </c>
      <c r="BQ50" s="777" t="s">
        <v>2260</v>
      </c>
      <c r="BR50" s="769" t="s">
        <v>2260</v>
      </c>
      <c r="BS50" s="769" t="s">
        <v>2260</v>
      </c>
      <c r="BT50" s="769" t="s">
        <v>2260</v>
      </c>
      <c r="BU50" s="774" t="s">
        <v>2260</v>
      </c>
      <c r="BV50" s="777" t="s">
        <v>2260</v>
      </c>
      <c r="BW50" s="769" t="s">
        <v>2260</v>
      </c>
      <c r="BX50" s="769" t="s">
        <v>2260</v>
      </c>
      <c r="BY50" s="769" t="s">
        <v>2260</v>
      </c>
      <c r="BZ50" s="769" t="s">
        <v>2260</v>
      </c>
      <c r="CA50" s="777" t="s">
        <v>2260</v>
      </c>
      <c r="CB50" s="769" t="s">
        <v>2260</v>
      </c>
      <c r="CC50" s="769" t="s">
        <v>2260</v>
      </c>
      <c r="CD50" s="769" t="s">
        <v>2260</v>
      </c>
      <c r="CE50" s="774" t="s">
        <v>2260</v>
      </c>
      <c r="CF50" s="769" t="s">
        <v>2260</v>
      </c>
      <c r="CG50" s="769" t="s">
        <v>2260</v>
      </c>
      <c r="CH50" s="769" t="s">
        <v>2260</v>
      </c>
      <c r="CI50" s="769" t="s">
        <v>2260</v>
      </c>
      <c r="CJ50" s="774" t="s">
        <v>2260</v>
      </c>
      <c r="CK50" s="777" t="s">
        <v>2260</v>
      </c>
      <c r="CL50" s="769" t="s">
        <v>2260</v>
      </c>
      <c r="CM50" s="769" t="s">
        <v>2260</v>
      </c>
      <c r="CN50" s="769" t="s">
        <v>2260</v>
      </c>
      <c r="CO50" s="774" t="s">
        <v>2260</v>
      </c>
      <c r="CP50" s="777" t="s">
        <v>2260</v>
      </c>
      <c r="CQ50" s="769" t="s">
        <v>2260</v>
      </c>
      <c r="CR50" s="769" t="s">
        <v>2260</v>
      </c>
      <c r="CS50" s="769" t="s">
        <v>2260</v>
      </c>
      <c r="CT50" s="774" t="s">
        <v>2260</v>
      </c>
      <c r="CU50" s="1253">
        <v>-1.2207000000000001E-2</v>
      </c>
      <c r="CV50" s="1252" t="s">
        <v>2260</v>
      </c>
      <c r="CW50" s="1252" t="s">
        <v>2260</v>
      </c>
      <c r="CX50" s="1254" t="s">
        <v>2260</v>
      </c>
      <c r="CY50" s="1252">
        <v>6.3400000000000001E-3</v>
      </c>
      <c r="CZ50" s="1252" t="s">
        <v>2260</v>
      </c>
      <c r="DA50" s="1252" t="s">
        <v>2260</v>
      </c>
      <c r="DB50" s="1254" t="s">
        <v>2260</v>
      </c>
      <c r="DC50" s="754"/>
      <c r="DD50" s="782">
        <v>1</v>
      </c>
      <c r="DE50" s="783"/>
    </row>
    <row r="51" spans="1:109" ht="15.75" customHeight="1">
      <c r="A51" s="741" t="s">
        <v>1102</v>
      </c>
      <c r="B51" s="742">
        <v>45</v>
      </c>
      <c r="C51" s="758" t="s">
        <v>1495</v>
      </c>
      <c r="D51" s="742" t="s">
        <v>2361</v>
      </c>
      <c r="E51" s="742" t="s">
        <v>2217</v>
      </c>
      <c r="F51" s="754">
        <v>17</v>
      </c>
      <c r="G51" s="759" t="s">
        <v>2378</v>
      </c>
      <c r="H51" s="760" t="s">
        <v>2379</v>
      </c>
      <c r="I51" s="761"/>
      <c r="J51" s="762"/>
      <c r="K51" s="762">
        <v>1</v>
      </c>
      <c r="L51" s="762"/>
      <c r="M51" s="762"/>
      <c r="N51" s="762"/>
      <c r="O51" s="762"/>
      <c r="P51" s="763"/>
      <c r="Q51" s="764">
        <f t="shared" si="0"/>
        <v>1</v>
      </c>
      <c r="R51" s="758" t="s">
        <v>1852</v>
      </c>
      <c r="S51" s="742" t="s">
        <v>1826</v>
      </c>
      <c r="T51" s="765" t="s">
        <v>1827</v>
      </c>
      <c r="U51" s="742" t="s">
        <v>2351</v>
      </c>
      <c r="V51" s="742" t="s">
        <v>1857</v>
      </c>
      <c r="W51" s="742" t="s">
        <v>2380</v>
      </c>
      <c r="X51" s="798">
        <v>0</v>
      </c>
      <c r="Y51" s="790" t="s">
        <v>1838</v>
      </c>
      <c r="Z51" s="759" t="s">
        <v>2381</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210</v>
      </c>
      <c r="BM51" s="754" t="s">
        <v>210</v>
      </c>
      <c r="BN51" s="754" t="s">
        <v>210</v>
      </c>
      <c r="BO51" s="754" t="s">
        <v>210</v>
      </c>
      <c r="BP51" s="765" t="s">
        <v>210</v>
      </c>
      <c r="BQ51" s="777" t="s">
        <v>2260</v>
      </c>
      <c r="BR51" s="769" t="s">
        <v>2260</v>
      </c>
      <c r="BS51" s="769" t="s">
        <v>2260</v>
      </c>
      <c r="BT51" s="769" t="s">
        <v>2260</v>
      </c>
      <c r="BU51" s="774" t="s">
        <v>2260</v>
      </c>
      <c r="BV51" s="777">
        <v>6287</v>
      </c>
      <c r="BW51" s="769">
        <v>6287</v>
      </c>
      <c r="BX51" s="769">
        <v>6287</v>
      </c>
      <c r="BY51" s="769">
        <v>6287</v>
      </c>
      <c r="BZ51" s="769">
        <v>6287</v>
      </c>
      <c r="CA51" s="777" t="s">
        <v>2260</v>
      </c>
      <c r="CB51" s="769" t="s">
        <v>2260</v>
      </c>
      <c r="CC51" s="769" t="s">
        <v>2260</v>
      </c>
      <c r="CD51" s="769" t="s">
        <v>2260</v>
      </c>
      <c r="CE51" s="774" t="s">
        <v>2260</v>
      </c>
      <c r="CF51" s="769" t="s">
        <v>2260</v>
      </c>
      <c r="CG51" s="769" t="s">
        <v>2260</v>
      </c>
      <c r="CH51" s="769" t="s">
        <v>2260</v>
      </c>
      <c r="CI51" s="769" t="s">
        <v>2260</v>
      </c>
      <c r="CJ51" s="774" t="s">
        <v>2260</v>
      </c>
      <c r="CK51" s="797">
        <v>2292</v>
      </c>
      <c r="CL51" s="798">
        <v>2242</v>
      </c>
      <c r="CM51" s="798">
        <v>2192</v>
      </c>
      <c r="CN51" s="798">
        <v>2142</v>
      </c>
      <c r="CO51" s="799">
        <v>2092</v>
      </c>
      <c r="CP51" s="777" t="s">
        <v>2260</v>
      </c>
      <c r="CQ51" s="769" t="s">
        <v>2260</v>
      </c>
      <c r="CR51" s="769" t="s">
        <v>2260</v>
      </c>
      <c r="CS51" s="769" t="s">
        <v>2260</v>
      </c>
      <c r="CT51" s="774" t="s">
        <v>2260</v>
      </c>
      <c r="CU51" s="1253">
        <v>-4.1770000000000002E-3</v>
      </c>
      <c r="CV51" s="1252" t="s">
        <v>2260</v>
      </c>
      <c r="CW51" s="1252" t="s">
        <v>2260</v>
      </c>
      <c r="CX51" s="1254" t="s">
        <v>2260</v>
      </c>
      <c r="CY51" s="1252">
        <v>4.1770000000000002E-3</v>
      </c>
      <c r="CZ51" s="1252" t="s">
        <v>2260</v>
      </c>
      <c r="DA51" s="1252" t="s">
        <v>2260</v>
      </c>
      <c r="DB51" s="1254" t="s">
        <v>2260</v>
      </c>
      <c r="DC51" s="754"/>
      <c r="DD51" s="782">
        <v>1</v>
      </c>
      <c r="DE51" s="783"/>
    </row>
    <row r="52" spans="1:109" ht="15.75" customHeight="1">
      <c r="A52" s="741" t="s">
        <v>1102</v>
      </c>
      <c r="B52" s="742">
        <v>46</v>
      </c>
      <c r="C52" s="758" t="s">
        <v>1588</v>
      </c>
      <c r="D52" s="742" t="s">
        <v>2361</v>
      </c>
      <c r="E52" s="742" t="s">
        <v>2217</v>
      </c>
      <c r="F52" s="754">
        <v>18</v>
      </c>
      <c r="G52" s="759" t="s">
        <v>2382</v>
      </c>
      <c r="H52" s="760" t="s">
        <v>2383</v>
      </c>
      <c r="I52" s="761"/>
      <c r="J52" s="762">
        <v>1</v>
      </c>
      <c r="K52" s="762"/>
      <c r="L52" s="762"/>
      <c r="M52" s="762"/>
      <c r="N52" s="762"/>
      <c r="O52" s="762"/>
      <c r="P52" s="763"/>
      <c r="Q52" s="764">
        <f t="shared" si="0"/>
        <v>1</v>
      </c>
      <c r="R52" s="758" t="s">
        <v>1825</v>
      </c>
      <c r="S52" s="742"/>
      <c r="T52" s="765"/>
      <c r="U52" s="742" t="s">
        <v>2363</v>
      </c>
      <c r="V52" s="742" t="s">
        <v>1857</v>
      </c>
      <c r="W52" s="742" t="s">
        <v>2384</v>
      </c>
      <c r="X52" s="1278">
        <v>0</v>
      </c>
      <c r="Y52" s="790" t="s">
        <v>1838</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2260</v>
      </c>
      <c r="BR52" s="769" t="s">
        <v>2260</v>
      </c>
      <c r="BS52" s="769" t="s">
        <v>2260</v>
      </c>
      <c r="BT52" s="769" t="s">
        <v>2260</v>
      </c>
      <c r="BU52" s="774" t="s">
        <v>2260</v>
      </c>
      <c r="BV52" s="777" t="s">
        <v>2260</v>
      </c>
      <c r="BW52" s="769" t="s">
        <v>2260</v>
      </c>
      <c r="BX52" s="769" t="s">
        <v>2260</v>
      </c>
      <c r="BY52" s="769" t="s">
        <v>2260</v>
      </c>
      <c r="BZ52" s="769" t="s">
        <v>2260</v>
      </c>
      <c r="CA52" s="777" t="s">
        <v>2260</v>
      </c>
      <c r="CB52" s="769" t="s">
        <v>2260</v>
      </c>
      <c r="CC52" s="769" t="s">
        <v>2260</v>
      </c>
      <c r="CD52" s="769" t="s">
        <v>2260</v>
      </c>
      <c r="CE52" s="774" t="s">
        <v>2260</v>
      </c>
      <c r="CF52" s="769" t="s">
        <v>2260</v>
      </c>
      <c r="CG52" s="769" t="s">
        <v>2260</v>
      </c>
      <c r="CH52" s="769" t="s">
        <v>2260</v>
      </c>
      <c r="CI52" s="769" t="s">
        <v>2260</v>
      </c>
      <c r="CJ52" s="774" t="s">
        <v>2260</v>
      </c>
      <c r="CK52" s="777" t="s">
        <v>2260</v>
      </c>
      <c r="CL52" s="769" t="s">
        <v>2260</v>
      </c>
      <c r="CM52" s="769" t="s">
        <v>2260</v>
      </c>
      <c r="CN52" s="769" t="s">
        <v>2260</v>
      </c>
      <c r="CO52" s="774" t="s">
        <v>2260</v>
      </c>
      <c r="CP52" s="777" t="s">
        <v>2260</v>
      </c>
      <c r="CQ52" s="769" t="s">
        <v>2260</v>
      </c>
      <c r="CR52" s="769" t="s">
        <v>2260</v>
      </c>
      <c r="CS52" s="769" t="s">
        <v>2260</v>
      </c>
      <c r="CT52" s="774" t="s">
        <v>2260</v>
      </c>
      <c r="CU52" s="1253" t="s">
        <v>2260</v>
      </c>
      <c r="CV52" s="1252" t="s">
        <v>2260</v>
      </c>
      <c r="CW52" s="1252" t="s">
        <v>2260</v>
      </c>
      <c r="CX52" s="1254" t="s">
        <v>2260</v>
      </c>
      <c r="CY52" s="1252" t="s">
        <v>2260</v>
      </c>
      <c r="CZ52" s="1252" t="s">
        <v>2260</v>
      </c>
      <c r="DA52" s="1252" t="s">
        <v>2260</v>
      </c>
      <c r="DB52" s="1254" t="s">
        <v>2260</v>
      </c>
      <c r="DC52" s="754"/>
      <c r="DD52" s="782">
        <v>1</v>
      </c>
      <c r="DE52" s="783"/>
    </row>
    <row r="53" spans="1:109" ht="15.75" customHeight="1">
      <c r="A53" s="741" t="s">
        <v>1102</v>
      </c>
      <c r="B53" s="742">
        <v>47</v>
      </c>
      <c r="C53" s="758" t="s">
        <v>1506</v>
      </c>
      <c r="D53" s="742" t="s">
        <v>2353</v>
      </c>
      <c r="E53" s="742" t="s">
        <v>2217</v>
      </c>
      <c r="F53" s="754">
        <v>19</v>
      </c>
      <c r="G53" s="759" t="s">
        <v>2385</v>
      </c>
      <c r="H53" s="760" t="s">
        <v>2386</v>
      </c>
      <c r="I53" s="761"/>
      <c r="J53" s="762"/>
      <c r="K53" s="762">
        <v>1</v>
      </c>
      <c r="L53" s="762"/>
      <c r="M53" s="762"/>
      <c r="N53" s="762"/>
      <c r="O53" s="762"/>
      <c r="P53" s="763"/>
      <c r="Q53" s="764">
        <f t="shared" si="0"/>
        <v>1</v>
      </c>
      <c r="R53" s="758" t="s">
        <v>1852</v>
      </c>
      <c r="S53" s="742" t="s">
        <v>1826</v>
      </c>
      <c r="T53" s="765" t="s">
        <v>1837</v>
      </c>
      <c r="U53" s="742" t="s">
        <v>2387</v>
      </c>
      <c r="V53" s="742" t="s">
        <v>1857</v>
      </c>
      <c r="W53" s="742" t="s">
        <v>2388</v>
      </c>
      <c r="X53" s="798">
        <v>0</v>
      </c>
      <c r="Y53" s="790" t="s">
        <v>1828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27"/>
      <c r="BM53" s="1328"/>
      <c r="BN53" s="1328"/>
      <c r="BO53" s="1328"/>
      <c r="BP53" s="765" t="s">
        <v>210</v>
      </c>
      <c r="BQ53" s="777" t="s">
        <v>2260</v>
      </c>
      <c r="BR53" s="769" t="s">
        <v>2260</v>
      </c>
      <c r="BS53" s="769" t="s">
        <v>2260</v>
      </c>
      <c r="BT53" s="769" t="s">
        <v>2260</v>
      </c>
      <c r="BU53" s="774" t="s">
        <v>2260</v>
      </c>
      <c r="BV53" s="777">
        <v>25</v>
      </c>
      <c r="BW53" s="769">
        <v>25</v>
      </c>
      <c r="BX53" s="769">
        <v>26</v>
      </c>
      <c r="BY53" s="769">
        <v>27</v>
      </c>
      <c r="BZ53" s="769">
        <v>28</v>
      </c>
      <c r="CA53" s="777" t="s">
        <v>2260</v>
      </c>
      <c r="CB53" s="769" t="s">
        <v>2260</v>
      </c>
      <c r="CC53" s="769" t="s">
        <v>2260</v>
      </c>
      <c r="CD53" s="769" t="s">
        <v>2260</v>
      </c>
      <c r="CE53" s="774" t="s">
        <v>2260</v>
      </c>
      <c r="CF53" s="769" t="s">
        <v>2260</v>
      </c>
      <c r="CG53" s="769" t="s">
        <v>2260</v>
      </c>
      <c r="CH53" s="769" t="s">
        <v>2260</v>
      </c>
      <c r="CI53" s="769" t="s">
        <v>2260</v>
      </c>
      <c r="CJ53" s="774" t="s">
        <v>2260</v>
      </c>
      <c r="CK53" s="777">
        <v>38</v>
      </c>
      <c r="CL53" s="769">
        <v>38</v>
      </c>
      <c r="CM53" s="769">
        <v>39</v>
      </c>
      <c r="CN53" s="769">
        <v>40</v>
      </c>
      <c r="CO53" s="774">
        <v>41</v>
      </c>
      <c r="CP53" s="777" t="s">
        <v>2260</v>
      </c>
      <c r="CQ53" s="769" t="s">
        <v>2260</v>
      </c>
      <c r="CR53" s="769" t="s">
        <v>2260</v>
      </c>
      <c r="CS53" s="769" t="s">
        <v>2260</v>
      </c>
      <c r="CT53" s="774" t="s">
        <v>2260</v>
      </c>
      <c r="CU53" s="1253">
        <v>-0.2248</v>
      </c>
      <c r="CV53" s="1252" t="s">
        <v>2260</v>
      </c>
      <c r="CW53" s="1252" t="s">
        <v>2260</v>
      </c>
      <c r="CX53" s="1254" t="s">
        <v>2260</v>
      </c>
      <c r="CY53" s="1252">
        <v>0.1154</v>
      </c>
      <c r="CZ53" s="1252" t="s">
        <v>2260</v>
      </c>
      <c r="DA53" s="1252" t="s">
        <v>2260</v>
      </c>
      <c r="DB53" s="1254" t="s">
        <v>2260</v>
      </c>
      <c r="DC53" s="754"/>
      <c r="DD53" s="782">
        <v>4</v>
      </c>
      <c r="DE53" s="783" t="s">
        <v>2389</v>
      </c>
    </row>
    <row r="54" spans="1:109" ht="15.75" customHeight="1">
      <c r="A54" s="741" t="s">
        <v>1102</v>
      </c>
      <c r="B54" s="742">
        <v>48</v>
      </c>
      <c r="C54" s="897" t="s">
        <v>1339</v>
      </c>
      <c r="D54" s="742" t="s">
        <v>2353</v>
      </c>
      <c r="E54" s="742" t="s">
        <v>2231</v>
      </c>
      <c r="F54" s="754">
        <v>20</v>
      </c>
      <c r="G54" s="759" t="s">
        <v>2390</v>
      </c>
      <c r="H54" s="760" t="s">
        <v>2391</v>
      </c>
      <c r="I54" s="761">
        <v>1</v>
      </c>
      <c r="J54" s="762"/>
      <c r="K54" s="762"/>
      <c r="L54" s="762"/>
      <c r="M54" s="762"/>
      <c r="N54" s="762"/>
      <c r="O54" s="762"/>
      <c r="P54" s="763"/>
      <c r="Q54" s="764">
        <f t="shared" si="0"/>
        <v>1</v>
      </c>
      <c r="R54" s="758" t="s">
        <v>1852</v>
      </c>
      <c r="S54" s="742" t="s">
        <v>1826</v>
      </c>
      <c r="T54" s="765" t="s">
        <v>1827</v>
      </c>
      <c r="U54" s="742" t="s">
        <v>2290</v>
      </c>
      <c r="V54" s="742" t="s">
        <v>1857</v>
      </c>
      <c r="W54" s="742" t="s">
        <v>2392</v>
      </c>
      <c r="X54" s="1243">
        <v>0</v>
      </c>
      <c r="Y54" s="788" t="s">
        <v>1838</v>
      </c>
      <c r="Z54" s="759"/>
      <c r="AA54" s="754"/>
      <c r="AB54" s="754"/>
      <c r="AC54" s="754"/>
      <c r="AD54" s="754"/>
      <c r="AE54" s="754"/>
      <c r="AF54" s="768"/>
      <c r="AG54" s="769"/>
      <c r="AH54" s="769"/>
      <c r="AI54" s="769"/>
      <c r="AJ54" s="769"/>
      <c r="AK54" s="769"/>
      <c r="AL54" s="769"/>
      <c r="AM54" s="769"/>
      <c r="AN54" s="769"/>
      <c r="AO54" s="769"/>
      <c r="AP54" s="769"/>
      <c r="AQ54" s="1369"/>
      <c r="AR54" s="1319"/>
      <c r="AS54" s="1319"/>
      <c r="AT54" s="1319"/>
      <c r="AU54" s="1320"/>
      <c r="AV54" s="777"/>
      <c r="AW54" s="769"/>
      <c r="AX54" s="769"/>
      <c r="AY54" s="769"/>
      <c r="AZ54" s="769"/>
      <c r="BA54" s="769"/>
      <c r="BB54" s="769"/>
      <c r="BC54" s="769"/>
      <c r="BD54" s="769"/>
      <c r="BE54" s="769"/>
      <c r="BF54" s="769"/>
      <c r="BG54" s="769"/>
      <c r="BH54" s="769"/>
      <c r="BI54" s="769"/>
      <c r="BJ54" s="769"/>
      <c r="BK54" s="774"/>
      <c r="BL54" s="758" t="s">
        <v>210</v>
      </c>
      <c r="BM54" s="754" t="s">
        <v>210</v>
      </c>
      <c r="BN54" s="754" t="s">
        <v>210</v>
      </c>
      <c r="BO54" s="754" t="s">
        <v>210</v>
      </c>
      <c r="BP54" s="765" t="s">
        <v>210</v>
      </c>
      <c r="BQ54" s="777" t="s">
        <v>2260</v>
      </c>
      <c r="BR54" s="769" t="s">
        <v>2260</v>
      </c>
      <c r="BS54" s="769" t="s">
        <v>2260</v>
      </c>
      <c r="BT54" s="769" t="s">
        <v>2260</v>
      </c>
      <c r="BU54" s="774" t="s">
        <v>2260</v>
      </c>
      <c r="BV54" s="1369"/>
      <c r="BW54" s="1319"/>
      <c r="BX54" s="1319"/>
      <c r="BY54" s="1319"/>
      <c r="BZ54" s="1319"/>
      <c r="CA54" s="777" t="s">
        <v>2260</v>
      </c>
      <c r="CB54" s="769" t="s">
        <v>2260</v>
      </c>
      <c r="CC54" s="769" t="s">
        <v>2260</v>
      </c>
      <c r="CD54" s="769" t="s">
        <v>2260</v>
      </c>
      <c r="CE54" s="774" t="s">
        <v>2260</v>
      </c>
      <c r="CF54" s="769" t="s">
        <v>2260</v>
      </c>
      <c r="CG54" s="769" t="s">
        <v>2260</v>
      </c>
      <c r="CH54" s="769" t="s">
        <v>2260</v>
      </c>
      <c r="CI54" s="769" t="s">
        <v>2260</v>
      </c>
      <c r="CJ54" s="774" t="s">
        <v>2260</v>
      </c>
      <c r="CK54" s="1369"/>
      <c r="CL54" s="1319"/>
      <c r="CM54" s="1319"/>
      <c r="CN54" s="1319"/>
      <c r="CO54" s="1320"/>
      <c r="CP54" s="777" t="s">
        <v>2260</v>
      </c>
      <c r="CQ54" s="769" t="s">
        <v>2260</v>
      </c>
      <c r="CR54" s="769" t="s">
        <v>2260</v>
      </c>
      <c r="CS54" s="769" t="s">
        <v>2260</v>
      </c>
      <c r="CT54" s="774" t="s">
        <v>2260</v>
      </c>
      <c r="CU54" s="1467"/>
      <c r="CV54" s="1252" t="s">
        <v>2260</v>
      </c>
      <c r="CW54" s="1252" t="s">
        <v>2260</v>
      </c>
      <c r="CX54" s="1254" t="s">
        <v>2260</v>
      </c>
      <c r="CY54" s="1458"/>
      <c r="CZ54" s="1252" t="s">
        <v>2260</v>
      </c>
      <c r="DA54" s="1252" t="s">
        <v>2260</v>
      </c>
      <c r="DB54" s="1254" t="s">
        <v>2260</v>
      </c>
      <c r="DC54" s="754" t="s">
        <v>173</v>
      </c>
      <c r="DD54" s="782">
        <v>1</v>
      </c>
      <c r="DE54" s="783"/>
    </row>
    <row r="55" spans="1:109" ht="15.75" customHeight="1">
      <c r="A55" s="741" t="s">
        <v>1102</v>
      </c>
      <c r="B55" s="742">
        <v>49</v>
      </c>
      <c r="C55" s="758" t="s">
        <v>1605</v>
      </c>
      <c r="D55" s="742" t="s">
        <v>2393</v>
      </c>
      <c r="E55" s="742" t="s">
        <v>2231</v>
      </c>
      <c r="F55" s="754">
        <v>21</v>
      </c>
      <c r="G55" s="759" t="s">
        <v>2394</v>
      </c>
      <c r="H55" s="760" t="s">
        <v>2395</v>
      </c>
      <c r="I55" s="761"/>
      <c r="J55" s="762"/>
      <c r="K55" s="762"/>
      <c r="L55" s="762"/>
      <c r="M55" s="762">
        <v>1</v>
      </c>
      <c r="N55" s="762"/>
      <c r="O55" s="762"/>
      <c r="P55" s="763"/>
      <c r="Q55" s="764">
        <f t="shared" si="0"/>
        <v>1</v>
      </c>
      <c r="R55" s="758" t="s">
        <v>1825</v>
      </c>
      <c r="S55" s="742"/>
      <c r="T55" s="765"/>
      <c r="U55" s="742" t="s">
        <v>2396</v>
      </c>
      <c r="V55" s="742" t="s">
        <v>2397</v>
      </c>
      <c r="W55" s="742" t="s">
        <v>2398</v>
      </c>
      <c r="X55" s="1278">
        <v>1</v>
      </c>
      <c r="Y55" s="788" t="s">
        <v>1828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210</v>
      </c>
      <c r="BM55" s="754" t="s">
        <v>210</v>
      </c>
      <c r="BN55" s="754" t="s">
        <v>210</v>
      </c>
      <c r="BO55" s="754" t="s">
        <v>210</v>
      </c>
      <c r="BP55" s="765" t="s">
        <v>210</v>
      </c>
      <c r="BQ55" s="777" t="s">
        <v>2260</v>
      </c>
      <c r="BR55" s="769" t="s">
        <v>2260</v>
      </c>
      <c r="BS55" s="769" t="s">
        <v>2260</v>
      </c>
      <c r="BT55" s="769" t="s">
        <v>2260</v>
      </c>
      <c r="BU55" s="774" t="s">
        <v>2260</v>
      </c>
      <c r="BV55" s="777" t="s">
        <v>2260</v>
      </c>
      <c r="BW55" s="769" t="s">
        <v>2260</v>
      </c>
      <c r="BX55" s="769" t="s">
        <v>2260</v>
      </c>
      <c r="BY55" s="769" t="s">
        <v>2260</v>
      </c>
      <c r="BZ55" s="769" t="s">
        <v>2260</v>
      </c>
      <c r="CA55" s="777" t="s">
        <v>2260</v>
      </c>
      <c r="CB55" s="769" t="s">
        <v>2260</v>
      </c>
      <c r="CC55" s="769" t="s">
        <v>2260</v>
      </c>
      <c r="CD55" s="769" t="s">
        <v>2260</v>
      </c>
      <c r="CE55" s="774" t="s">
        <v>2260</v>
      </c>
      <c r="CF55" s="769" t="s">
        <v>2260</v>
      </c>
      <c r="CG55" s="769" t="s">
        <v>2260</v>
      </c>
      <c r="CH55" s="769" t="s">
        <v>2260</v>
      </c>
      <c r="CI55" s="769" t="s">
        <v>2260</v>
      </c>
      <c r="CJ55" s="774" t="s">
        <v>2260</v>
      </c>
      <c r="CK55" s="777" t="s">
        <v>2260</v>
      </c>
      <c r="CL55" s="769" t="s">
        <v>2260</v>
      </c>
      <c r="CM55" s="769" t="s">
        <v>2260</v>
      </c>
      <c r="CN55" s="769" t="s">
        <v>2260</v>
      </c>
      <c r="CO55" s="774" t="s">
        <v>2260</v>
      </c>
      <c r="CP55" s="777" t="s">
        <v>2260</v>
      </c>
      <c r="CQ55" s="769" t="s">
        <v>2260</v>
      </c>
      <c r="CR55" s="769" t="s">
        <v>2260</v>
      </c>
      <c r="CS55" s="769" t="s">
        <v>2260</v>
      </c>
      <c r="CT55" s="774" t="s">
        <v>2260</v>
      </c>
      <c r="CU55" s="1253" t="s">
        <v>2260</v>
      </c>
      <c r="CV55" s="1252" t="s">
        <v>2260</v>
      </c>
      <c r="CW55" s="1252" t="s">
        <v>2260</v>
      </c>
      <c r="CX55" s="1254" t="s">
        <v>2260</v>
      </c>
      <c r="CY55" s="1252" t="s">
        <v>2260</v>
      </c>
      <c r="CZ55" s="1252" t="s">
        <v>2260</v>
      </c>
      <c r="DA55" s="1252" t="s">
        <v>2260</v>
      </c>
      <c r="DB55" s="1254" t="s">
        <v>2260</v>
      </c>
      <c r="DC55" s="754"/>
      <c r="DD55" s="782">
        <v>1</v>
      </c>
      <c r="DE55" s="783"/>
    </row>
    <row r="56" spans="1:109" ht="15.75" customHeight="1">
      <c r="A56" s="741" t="s">
        <v>1102</v>
      </c>
      <c r="B56" s="742">
        <v>50</v>
      </c>
      <c r="C56" s="758" t="s">
        <v>1114</v>
      </c>
      <c r="D56" s="742" t="s">
        <v>2393</v>
      </c>
      <c r="E56" s="742" t="s">
        <v>2231</v>
      </c>
      <c r="F56" s="754">
        <v>22</v>
      </c>
      <c r="G56" s="759" t="s">
        <v>755</v>
      </c>
      <c r="H56" s="760" t="s">
        <v>2399</v>
      </c>
      <c r="I56" s="761"/>
      <c r="J56" s="762"/>
      <c r="K56" s="762"/>
      <c r="L56" s="762"/>
      <c r="M56" s="762">
        <v>1</v>
      </c>
      <c r="N56" s="762"/>
      <c r="O56" s="762"/>
      <c r="P56" s="763"/>
      <c r="Q56" s="764">
        <f t="shared" si="0"/>
        <v>1</v>
      </c>
      <c r="R56" s="758" t="s">
        <v>1825</v>
      </c>
      <c r="S56" s="742"/>
      <c r="T56" s="765"/>
      <c r="U56" s="742" t="s">
        <v>2396</v>
      </c>
      <c r="V56" s="742" t="s">
        <v>321</v>
      </c>
      <c r="W56" s="742" t="s">
        <v>2400</v>
      </c>
      <c r="X56" s="798">
        <v>1</v>
      </c>
      <c r="Y56" s="795" t="s">
        <v>1828</v>
      </c>
      <c r="Z56" s="759" t="s">
        <v>755</v>
      </c>
      <c r="AA56" s="754"/>
      <c r="AB56" s="754"/>
      <c r="AC56" s="754"/>
      <c r="AD56" s="754"/>
      <c r="AE56" s="754"/>
      <c r="AF56" s="768"/>
      <c r="AG56" s="769"/>
      <c r="AH56" s="769"/>
      <c r="AI56" s="769"/>
      <c r="AJ56" s="769"/>
      <c r="AK56" s="769"/>
      <c r="AL56" s="769"/>
      <c r="AM56" s="769"/>
      <c r="AN56" s="769"/>
      <c r="AO56" s="769"/>
      <c r="AP56" s="769"/>
      <c r="AQ56" s="1369"/>
      <c r="AR56" s="1319"/>
      <c r="AS56" s="1319"/>
      <c r="AT56" s="1319"/>
      <c r="AU56" s="1320"/>
      <c r="AV56" s="1369"/>
      <c r="AW56" s="1319"/>
      <c r="AX56" s="1319"/>
      <c r="AY56" s="1319"/>
      <c r="AZ56" s="1319"/>
      <c r="BA56" s="1319"/>
      <c r="BB56" s="1319"/>
      <c r="BC56" s="1319"/>
      <c r="BD56" s="1319"/>
      <c r="BE56" s="1319"/>
      <c r="BF56" s="1319"/>
      <c r="BG56" s="1319"/>
      <c r="BH56" s="1319"/>
      <c r="BI56" s="1319"/>
      <c r="BJ56" s="1319"/>
      <c r="BK56" s="1320"/>
      <c r="BL56" s="1672"/>
      <c r="BM56" s="1673"/>
      <c r="BN56" s="1673"/>
      <c r="BO56" s="1673"/>
      <c r="BP56" s="1674"/>
      <c r="BQ56" s="1369"/>
      <c r="BR56" s="1319"/>
      <c r="BS56" s="1319"/>
      <c r="BT56" s="1319"/>
      <c r="BU56" s="1320"/>
      <c r="BV56" s="1369"/>
      <c r="BW56" s="1319"/>
      <c r="BX56" s="1319"/>
      <c r="BY56" s="1319"/>
      <c r="BZ56" s="1319"/>
      <c r="CA56" s="1369"/>
      <c r="CB56" s="1319"/>
      <c r="CC56" s="1319"/>
      <c r="CD56" s="1319"/>
      <c r="CE56" s="1320"/>
      <c r="CF56" s="1319"/>
      <c r="CG56" s="1319"/>
      <c r="CH56" s="1319"/>
      <c r="CI56" s="1319"/>
      <c r="CJ56" s="1320"/>
      <c r="CK56" s="1369"/>
      <c r="CL56" s="1319"/>
      <c r="CM56" s="1319"/>
      <c r="CN56" s="1319"/>
      <c r="CO56" s="1320"/>
      <c r="CP56" s="1369"/>
      <c r="CQ56" s="1319"/>
      <c r="CR56" s="1319"/>
      <c r="CS56" s="1319"/>
      <c r="CT56" s="1320"/>
      <c r="CU56" s="1467"/>
      <c r="CV56" s="1458"/>
      <c r="CW56" s="1458"/>
      <c r="CX56" s="1663"/>
      <c r="CY56" s="1458"/>
      <c r="CZ56" s="1458"/>
      <c r="DA56" s="1458"/>
      <c r="DB56" s="1663"/>
      <c r="DC56" s="1328"/>
      <c r="DD56" s="1664"/>
      <c r="DE56" s="1669"/>
    </row>
    <row r="57" spans="1:109" ht="15.75" customHeight="1">
      <c r="A57" s="741" t="s">
        <v>1102</v>
      </c>
      <c r="B57" s="742">
        <v>51</v>
      </c>
      <c r="C57" s="758" t="s">
        <v>1356</v>
      </c>
      <c r="D57" s="742" t="s">
        <v>2401</v>
      </c>
      <c r="E57" s="742" t="s">
        <v>2231</v>
      </c>
      <c r="F57" s="754">
        <v>23</v>
      </c>
      <c r="G57" s="759" t="s">
        <v>2402</v>
      </c>
      <c r="H57" s="760" t="s">
        <v>2403</v>
      </c>
      <c r="I57" s="761"/>
      <c r="J57" s="762"/>
      <c r="K57" s="762"/>
      <c r="L57" s="762"/>
      <c r="M57" s="762">
        <v>1</v>
      </c>
      <c r="N57" s="762"/>
      <c r="O57" s="762"/>
      <c r="P57" s="763"/>
      <c r="Q57" s="764">
        <f t="shared" si="0"/>
        <v>1</v>
      </c>
      <c r="R57" s="758" t="s">
        <v>1852</v>
      </c>
      <c r="S57" s="742" t="s">
        <v>1826</v>
      </c>
      <c r="T57" s="765" t="s">
        <v>1827</v>
      </c>
      <c r="U57" s="742" t="s">
        <v>2396</v>
      </c>
      <c r="V57" s="742" t="s">
        <v>321</v>
      </c>
      <c r="W57" s="742" t="s">
        <v>2404</v>
      </c>
      <c r="X57" s="798">
        <v>2</v>
      </c>
      <c r="Y57" s="790" t="s">
        <v>1838</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210</v>
      </c>
      <c r="BM57" s="754" t="s">
        <v>210</v>
      </c>
      <c r="BN57" s="754" t="s">
        <v>210</v>
      </c>
      <c r="BO57" s="754" t="s">
        <v>210</v>
      </c>
      <c r="BP57" s="765" t="s">
        <v>210</v>
      </c>
      <c r="BQ57" s="777" t="s">
        <v>2260</v>
      </c>
      <c r="BR57" s="769" t="s">
        <v>2260</v>
      </c>
      <c r="BS57" s="769" t="s">
        <v>2260</v>
      </c>
      <c r="BT57" s="769" t="s">
        <v>2260</v>
      </c>
      <c r="BU57" s="774" t="s">
        <v>2260</v>
      </c>
      <c r="BV57" s="775">
        <v>0.75</v>
      </c>
      <c r="BW57" s="776">
        <v>0.65</v>
      </c>
      <c r="BX57" s="776">
        <v>0.6</v>
      </c>
      <c r="BY57" s="776">
        <v>0.55000000000000004</v>
      </c>
      <c r="BZ57" s="776">
        <v>0.5</v>
      </c>
      <c r="CA57" s="777" t="s">
        <v>2260</v>
      </c>
      <c r="CB57" s="769" t="s">
        <v>2260</v>
      </c>
      <c r="CC57" s="769" t="s">
        <v>2260</v>
      </c>
      <c r="CD57" s="769" t="s">
        <v>2260</v>
      </c>
      <c r="CE57" s="774" t="s">
        <v>2260</v>
      </c>
      <c r="CF57" s="769" t="s">
        <v>2260</v>
      </c>
      <c r="CG57" s="769" t="s">
        <v>2260</v>
      </c>
      <c r="CH57" s="769" t="s">
        <v>2260</v>
      </c>
      <c r="CI57" s="769" t="s">
        <v>2260</v>
      </c>
      <c r="CJ57" s="774" t="s">
        <v>2260</v>
      </c>
      <c r="CK57" s="777" t="s">
        <v>2260</v>
      </c>
      <c r="CL57" s="769" t="s">
        <v>2260</v>
      </c>
      <c r="CM57" s="769" t="s">
        <v>2260</v>
      </c>
      <c r="CN57" s="769" t="s">
        <v>2260</v>
      </c>
      <c r="CO57" s="774" t="s">
        <v>2260</v>
      </c>
      <c r="CP57" s="777" t="s">
        <v>2260</v>
      </c>
      <c r="CQ57" s="769" t="s">
        <v>2260</v>
      </c>
      <c r="CR57" s="769" t="s">
        <v>2260</v>
      </c>
      <c r="CS57" s="769" t="s">
        <v>2260</v>
      </c>
      <c r="CT57" s="774" t="s">
        <v>2260</v>
      </c>
      <c r="CU57" s="1253">
        <v>-4.7160000000000002</v>
      </c>
      <c r="CV57" s="1252" t="s">
        <v>2260</v>
      </c>
      <c r="CW57" s="1252" t="s">
        <v>2260</v>
      </c>
      <c r="CX57" s="1254" t="s">
        <v>2260</v>
      </c>
      <c r="CY57" s="1252">
        <v>4.7160000000000002</v>
      </c>
      <c r="CZ57" s="1252" t="s">
        <v>2260</v>
      </c>
      <c r="DA57" s="1252" t="s">
        <v>2260</v>
      </c>
      <c r="DB57" s="1254" t="s">
        <v>2260</v>
      </c>
      <c r="DC57" s="754"/>
      <c r="DD57" s="782">
        <v>1</v>
      </c>
      <c r="DE57" s="783"/>
    </row>
    <row r="58" spans="1:109" ht="15.75" customHeight="1">
      <c r="A58" s="741" t="s">
        <v>1102</v>
      </c>
      <c r="B58" s="742">
        <v>52</v>
      </c>
      <c r="C58" s="758" t="s">
        <v>1622</v>
      </c>
      <c r="D58" s="742" t="s">
        <v>2405</v>
      </c>
      <c r="E58" s="742" t="s">
        <v>2223</v>
      </c>
      <c r="F58" s="754">
        <v>24</v>
      </c>
      <c r="G58" s="759" t="s">
        <v>2406</v>
      </c>
      <c r="H58" s="760" t="s">
        <v>2407</v>
      </c>
      <c r="I58" s="761">
        <v>0.2</v>
      </c>
      <c r="J58" s="762">
        <v>0.2</v>
      </c>
      <c r="K58" s="762">
        <v>0.2</v>
      </c>
      <c r="L58" s="762">
        <v>0.2</v>
      </c>
      <c r="M58" s="762">
        <v>0.2</v>
      </c>
      <c r="N58" s="762"/>
      <c r="O58" s="762"/>
      <c r="P58" s="763"/>
      <c r="Q58" s="764">
        <f t="shared" si="0"/>
        <v>1</v>
      </c>
      <c r="R58" s="758" t="s">
        <v>1825</v>
      </c>
      <c r="S58" s="742"/>
      <c r="T58" s="765"/>
      <c r="U58" s="742" t="s">
        <v>2408</v>
      </c>
      <c r="V58" s="742" t="s">
        <v>321</v>
      </c>
      <c r="W58" s="742" t="s">
        <v>2409</v>
      </c>
      <c r="X58" s="798">
        <v>1</v>
      </c>
      <c r="Y58" s="790" t="s">
        <v>1828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2260</v>
      </c>
      <c r="BR58" s="769" t="s">
        <v>2260</v>
      </c>
      <c r="BS58" s="769" t="s">
        <v>2260</v>
      </c>
      <c r="BT58" s="769" t="s">
        <v>2260</v>
      </c>
      <c r="BU58" s="774" t="s">
        <v>2260</v>
      </c>
      <c r="BV58" s="777" t="s">
        <v>2260</v>
      </c>
      <c r="BW58" s="769" t="s">
        <v>2260</v>
      </c>
      <c r="BX58" s="769" t="s">
        <v>2260</v>
      </c>
      <c r="BY58" s="769" t="s">
        <v>2260</v>
      </c>
      <c r="BZ58" s="769" t="s">
        <v>2260</v>
      </c>
      <c r="CA58" s="777" t="s">
        <v>2260</v>
      </c>
      <c r="CB58" s="769" t="s">
        <v>2260</v>
      </c>
      <c r="CC58" s="769" t="s">
        <v>2260</v>
      </c>
      <c r="CD58" s="769" t="s">
        <v>2260</v>
      </c>
      <c r="CE58" s="774" t="s">
        <v>2260</v>
      </c>
      <c r="CF58" s="769" t="s">
        <v>2260</v>
      </c>
      <c r="CG58" s="769" t="s">
        <v>2260</v>
      </c>
      <c r="CH58" s="769" t="s">
        <v>2260</v>
      </c>
      <c r="CI58" s="769" t="s">
        <v>2260</v>
      </c>
      <c r="CJ58" s="774" t="s">
        <v>2260</v>
      </c>
      <c r="CK58" s="777" t="s">
        <v>2260</v>
      </c>
      <c r="CL58" s="769" t="s">
        <v>2260</v>
      </c>
      <c r="CM58" s="769" t="s">
        <v>2260</v>
      </c>
      <c r="CN58" s="769" t="s">
        <v>2260</v>
      </c>
      <c r="CO58" s="774" t="s">
        <v>2260</v>
      </c>
      <c r="CP58" s="777" t="s">
        <v>2260</v>
      </c>
      <c r="CQ58" s="769" t="s">
        <v>2260</v>
      </c>
      <c r="CR58" s="769" t="s">
        <v>2260</v>
      </c>
      <c r="CS58" s="769" t="s">
        <v>2260</v>
      </c>
      <c r="CT58" s="774" t="s">
        <v>2260</v>
      </c>
      <c r="CU58" s="1253" t="s">
        <v>2260</v>
      </c>
      <c r="CV58" s="1252" t="s">
        <v>2260</v>
      </c>
      <c r="CW58" s="1252" t="s">
        <v>2260</v>
      </c>
      <c r="CX58" s="1254" t="s">
        <v>2260</v>
      </c>
      <c r="CY58" s="1252" t="s">
        <v>2260</v>
      </c>
      <c r="CZ58" s="1252" t="s">
        <v>2260</v>
      </c>
      <c r="DA58" s="1252" t="s">
        <v>2260</v>
      </c>
      <c r="DB58" s="1254" t="s">
        <v>2260</v>
      </c>
      <c r="DC58" s="754"/>
      <c r="DD58" s="782">
        <v>1</v>
      </c>
      <c r="DE58" s="783"/>
    </row>
    <row r="59" spans="1:109" ht="15.75" customHeight="1">
      <c r="A59" s="741" t="s">
        <v>1102</v>
      </c>
      <c r="B59" s="742">
        <v>53</v>
      </c>
      <c r="C59" s="758" t="s">
        <v>1639</v>
      </c>
      <c r="D59" s="742" t="s">
        <v>2405</v>
      </c>
      <c r="E59" s="742" t="s">
        <v>2223</v>
      </c>
      <c r="F59" s="754">
        <v>25</v>
      </c>
      <c r="G59" s="759" t="s">
        <v>2410</v>
      </c>
      <c r="H59" s="760" t="s">
        <v>2411</v>
      </c>
      <c r="I59" s="761">
        <v>0.2</v>
      </c>
      <c r="J59" s="762">
        <v>0.2</v>
      </c>
      <c r="K59" s="762">
        <v>0.2</v>
      </c>
      <c r="L59" s="762">
        <v>0.2</v>
      </c>
      <c r="M59" s="762">
        <v>0.2</v>
      </c>
      <c r="N59" s="762"/>
      <c r="O59" s="762"/>
      <c r="P59" s="763"/>
      <c r="Q59" s="764">
        <f t="shared" si="0"/>
        <v>1</v>
      </c>
      <c r="R59" s="758" t="s">
        <v>1825</v>
      </c>
      <c r="S59" s="742"/>
      <c r="T59" s="765"/>
      <c r="U59" s="742" t="s">
        <v>2408</v>
      </c>
      <c r="V59" s="742" t="s">
        <v>321</v>
      </c>
      <c r="W59" s="742" t="s">
        <v>2412</v>
      </c>
      <c r="X59" s="1277">
        <v>1</v>
      </c>
      <c r="Y59" s="790" t="s">
        <v>1828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2260</v>
      </c>
      <c r="BR59" s="769" t="s">
        <v>2260</v>
      </c>
      <c r="BS59" s="769" t="s">
        <v>2260</v>
      </c>
      <c r="BT59" s="769" t="s">
        <v>2260</v>
      </c>
      <c r="BU59" s="774" t="s">
        <v>2260</v>
      </c>
      <c r="BV59" s="777" t="s">
        <v>2260</v>
      </c>
      <c r="BW59" s="769" t="s">
        <v>2260</v>
      </c>
      <c r="BX59" s="769" t="s">
        <v>2260</v>
      </c>
      <c r="BY59" s="769" t="s">
        <v>2260</v>
      </c>
      <c r="BZ59" s="769" t="s">
        <v>2260</v>
      </c>
      <c r="CA59" s="777" t="s">
        <v>2260</v>
      </c>
      <c r="CB59" s="769" t="s">
        <v>2260</v>
      </c>
      <c r="CC59" s="769" t="s">
        <v>2260</v>
      </c>
      <c r="CD59" s="769" t="s">
        <v>2260</v>
      </c>
      <c r="CE59" s="774" t="s">
        <v>2260</v>
      </c>
      <c r="CF59" s="769" t="s">
        <v>2260</v>
      </c>
      <c r="CG59" s="769" t="s">
        <v>2260</v>
      </c>
      <c r="CH59" s="769" t="s">
        <v>2260</v>
      </c>
      <c r="CI59" s="769" t="s">
        <v>2260</v>
      </c>
      <c r="CJ59" s="774" t="s">
        <v>2260</v>
      </c>
      <c r="CK59" s="777" t="s">
        <v>2260</v>
      </c>
      <c r="CL59" s="769" t="s">
        <v>2260</v>
      </c>
      <c r="CM59" s="769" t="s">
        <v>2260</v>
      </c>
      <c r="CN59" s="769" t="s">
        <v>2260</v>
      </c>
      <c r="CO59" s="774" t="s">
        <v>2260</v>
      </c>
      <c r="CP59" s="777" t="s">
        <v>2260</v>
      </c>
      <c r="CQ59" s="769" t="s">
        <v>2260</v>
      </c>
      <c r="CR59" s="769" t="s">
        <v>2260</v>
      </c>
      <c r="CS59" s="769" t="s">
        <v>2260</v>
      </c>
      <c r="CT59" s="774" t="s">
        <v>2260</v>
      </c>
      <c r="CU59" s="1253" t="s">
        <v>2260</v>
      </c>
      <c r="CV59" s="1252" t="s">
        <v>2260</v>
      </c>
      <c r="CW59" s="1252" t="s">
        <v>2260</v>
      </c>
      <c r="CX59" s="1254" t="s">
        <v>2260</v>
      </c>
      <c r="CY59" s="1252" t="s">
        <v>2260</v>
      </c>
      <c r="CZ59" s="1252" t="s">
        <v>2260</v>
      </c>
      <c r="DA59" s="1252" t="s">
        <v>2260</v>
      </c>
      <c r="DB59" s="1254" t="s">
        <v>2260</v>
      </c>
      <c r="DC59" s="754"/>
      <c r="DD59" s="782">
        <v>1</v>
      </c>
      <c r="DE59" s="783"/>
    </row>
    <row r="60" spans="1:109" ht="15.75" customHeight="1">
      <c r="A60" s="741" t="s">
        <v>1102</v>
      </c>
      <c r="B60" s="742">
        <v>54</v>
      </c>
      <c r="C60" s="758" t="s">
        <v>1655</v>
      </c>
      <c r="D60" s="742" t="s">
        <v>2335</v>
      </c>
      <c r="E60" s="742" t="s">
        <v>2231</v>
      </c>
      <c r="F60" s="754">
        <v>30</v>
      </c>
      <c r="G60" s="759" t="s">
        <v>2413</v>
      </c>
      <c r="H60" s="760" t="s">
        <v>2414</v>
      </c>
      <c r="I60" s="761"/>
      <c r="J60" s="762">
        <v>0.51</v>
      </c>
      <c r="K60" s="762">
        <v>0.49</v>
      </c>
      <c r="L60" s="762"/>
      <c r="M60" s="762"/>
      <c r="N60" s="762"/>
      <c r="O60" s="762"/>
      <c r="P60" s="763"/>
      <c r="Q60" s="764">
        <f t="shared" si="0"/>
        <v>1</v>
      </c>
      <c r="R60" s="758" t="s">
        <v>1825</v>
      </c>
      <c r="S60" s="742"/>
      <c r="T60" s="765"/>
      <c r="U60" s="742" t="s">
        <v>2264</v>
      </c>
      <c r="V60" s="742" t="s">
        <v>1897</v>
      </c>
      <c r="W60" s="742" t="s">
        <v>2415</v>
      </c>
      <c r="X60" s="1243">
        <v>1</v>
      </c>
      <c r="Y60" s="790" t="s">
        <v>1828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2260</v>
      </c>
      <c r="BR60" s="769" t="s">
        <v>2260</v>
      </c>
      <c r="BS60" s="769" t="s">
        <v>2260</v>
      </c>
      <c r="BT60" s="769" t="s">
        <v>2260</v>
      </c>
      <c r="BU60" s="774" t="s">
        <v>2260</v>
      </c>
      <c r="BV60" s="777" t="s">
        <v>2260</v>
      </c>
      <c r="BW60" s="769" t="s">
        <v>2260</v>
      </c>
      <c r="BX60" s="769" t="s">
        <v>2260</v>
      </c>
      <c r="BY60" s="769" t="s">
        <v>2260</v>
      </c>
      <c r="BZ60" s="769" t="s">
        <v>2260</v>
      </c>
      <c r="CA60" s="777" t="s">
        <v>2260</v>
      </c>
      <c r="CB60" s="769" t="s">
        <v>2260</v>
      </c>
      <c r="CC60" s="769" t="s">
        <v>2260</v>
      </c>
      <c r="CD60" s="769" t="s">
        <v>2260</v>
      </c>
      <c r="CE60" s="774" t="s">
        <v>2260</v>
      </c>
      <c r="CF60" s="769" t="s">
        <v>2260</v>
      </c>
      <c r="CG60" s="769" t="s">
        <v>2260</v>
      </c>
      <c r="CH60" s="769" t="s">
        <v>2260</v>
      </c>
      <c r="CI60" s="769" t="s">
        <v>2260</v>
      </c>
      <c r="CJ60" s="769" t="s">
        <v>2260</v>
      </c>
      <c r="CK60" s="777" t="s">
        <v>2260</v>
      </c>
      <c r="CL60" s="769" t="s">
        <v>2260</v>
      </c>
      <c r="CM60" s="769" t="s">
        <v>2260</v>
      </c>
      <c r="CN60" s="769" t="s">
        <v>2260</v>
      </c>
      <c r="CO60" s="774" t="s">
        <v>2260</v>
      </c>
      <c r="CP60" s="777" t="s">
        <v>2260</v>
      </c>
      <c r="CQ60" s="769" t="s">
        <v>2260</v>
      </c>
      <c r="CR60" s="769" t="s">
        <v>2260</v>
      </c>
      <c r="CS60" s="769" t="s">
        <v>2260</v>
      </c>
      <c r="CT60" s="774" t="s">
        <v>2260</v>
      </c>
      <c r="CU60" s="1253" t="s">
        <v>2260</v>
      </c>
      <c r="CV60" s="1252" t="s">
        <v>2260</v>
      </c>
      <c r="CW60" s="1252" t="s">
        <v>2260</v>
      </c>
      <c r="CX60" s="1254" t="s">
        <v>2260</v>
      </c>
      <c r="CY60" s="1252" t="s">
        <v>2260</v>
      </c>
      <c r="CZ60" s="1252" t="s">
        <v>2260</v>
      </c>
      <c r="DA60" s="1252" t="s">
        <v>2260</v>
      </c>
      <c r="DB60" s="1254" t="s">
        <v>2260</v>
      </c>
      <c r="DC60" s="754"/>
      <c r="DD60" s="782">
        <v>1</v>
      </c>
      <c r="DE60" s="783"/>
    </row>
    <row r="61" spans="1:109" ht="15.75" customHeight="1">
      <c r="A61" s="741" t="s">
        <v>1102</v>
      </c>
      <c r="B61" s="742">
        <v>55</v>
      </c>
      <c r="C61" s="758" t="s">
        <v>1517</v>
      </c>
      <c r="D61" s="742" t="s">
        <v>2353</v>
      </c>
      <c r="E61" s="742" t="s">
        <v>2231</v>
      </c>
      <c r="F61" s="754">
        <v>32</v>
      </c>
      <c r="G61" s="759" t="s">
        <v>2416</v>
      </c>
      <c r="H61" s="760" t="s">
        <v>2417</v>
      </c>
      <c r="I61" s="761">
        <v>0.15</v>
      </c>
      <c r="J61" s="762"/>
      <c r="K61" s="762">
        <v>0.85</v>
      </c>
      <c r="L61" s="762"/>
      <c r="M61" s="762"/>
      <c r="N61" s="762"/>
      <c r="O61" s="762"/>
      <c r="P61" s="763"/>
      <c r="Q61" s="764">
        <f t="shared" si="0"/>
        <v>1</v>
      </c>
      <c r="R61" s="758" t="s">
        <v>1852</v>
      </c>
      <c r="S61" s="742" t="s">
        <v>1826</v>
      </c>
      <c r="T61" s="765" t="s">
        <v>1827</v>
      </c>
      <c r="U61" s="742" t="s">
        <v>2387</v>
      </c>
      <c r="V61" s="742" t="s">
        <v>1857</v>
      </c>
      <c r="W61" s="742" t="s">
        <v>2418</v>
      </c>
      <c r="X61" s="798">
        <v>0</v>
      </c>
      <c r="Y61" s="767" t="s">
        <v>1828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210</v>
      </c>
      <c r="BM61" s="754" t="s">
        <v>210</v>
      </c>
      <c r="BN61" s="754" t="s">
        <v>210</v>
      </c>
      <c r="BO61" s="754" t="s">
        <v>210</v>
      </c>
      <c r="BP61" s="765"/>
      <c r="BQ61" s="773" t="s">
        <v>2260</v>
      </c>
      <c r="BR61" s="769" t="s">
        <v>2260</v>
      </c>
      <c r="BS61" s="769" t="s">
        <v>2260</v>
      </c>
      <c r="BT61" s="769" t="s">
        <v>2260</v>
      </c>
      <c r="BU61" s="774" t="s">
        <v>2260</v>
      </c>
      <c r="BV61" s="777">
        <v>61</v>
      </c>
      <c r="BW61" s="769">
        <v>783</v>
      </c>
      <c r="BX61" s="769">
        <v>923</v>
      </c>
      <c r="BY61" s="769">
        <v>1375</v>
      </c>
      <c r="BZ61" s="769" t="s">
        <v>2260</v>
      </c>
      <c r="CA61" s="777" t="s">
        <v>2260</v>
      </c>
      <c r="CB61" s="769" t="s">
        <v>2260</v>
      </c>
      <c r="CC61" s="769" t="s">
        <v>2260</v>
      </c>
      <c r="CD61" s="769" t="s">
        <v>2260</v>
      </c>
      <c r="CE61" s="774" t="s">
        <v>2260</v>
      </c>
      <c r="CF61" s="769">
        <v>308</v>
      </c>
      <c r="CG61" s="766">
        <v>1107</v>
      </c>
      <c r="CH61" s="766">
        <v>1239</v>
      </c>
      <c r="CI61" s="766">
        <v>1735</v>
      </c>
      <c r="CJ61" s="766" t="s">
        <v>2260</v>
      </c>
      <c r="CK61" s="777">
        <v>545</v>
      </c>
      <c r="CL61" s="769">
        <v>1271</v>
      </c>
      <c r="CM61" s="769">
        <v>1411</v>
      </c>
      <c r="CN61" s="769">
        <v>1866</v>
      </c>
      <c r="CO61" s="774" t="s">
        <v>2260</v>
      </c>
      <c r="CP61" s="777" t="s">
        <v>2260</v>
      </c>
      <c r="CQ61" s="769" t="s">
        <v>2260</v>
      </c>
      <c r="CR61" s="769" t="s">
        <v>2260</v>
      </c>
      <c r="CS61" s="769" t="s">
        <v>2260</v>
      </c>
      <c r="CT61" s="774" t="s">
        <v>2260</v>
      </c>
      <c r="CU61" s="1253">
        <v>-1.4E-2</v>
      </c>
      <c r="CV61" s="1252" t="s">
        <v>2260</v>
      </c>
      <c r="CW61" s="1252" t="s">
        <v>2260</v>
      </c>
      <c r="CX61" s="1254" t="s">
        <v>2260</v>
      </c>
      <c r="CY61" s="1252">
        <v>1.4E-2</v>
      </c>
      <c r="CZ61" s="1252" t="s">
        <v>2260</v>
      </c>
      <c r="DA61" s="1252" t="s">
        <v>2260</v>
      </c>
      <c r="DB61" s="1254" t="s">
        <v>2260</v>
      </c>
      <c r="DC61" s="754"/>
      <c r="DD61" s="782">
        <v>1</v>
      </c>
      <c r="DE61" s="783"/>
    </row>
    <row r="62" spans="1:109" ht="15.75" customHeight="1">
      <c r="A62" s="741" t="s">
        <v>1102</v>
      </c>
      <c r="B62" s="742">
        <v>56</v>
      </c>
      <c r="C62" s="758" t="s">
        <v>1373</v>
      </c>
      <c r="D62" s="742" t="s">
        <v>2339</v>
      </c>
      <c r="E62" s="742" t="s">
        <v>2217</v>
      </c>
      <c r="F62" s="754">
        <v>34</v>
      </c>
      <c r="G62" s="759" t="s">
        <v>2419</v>
      </c>
      <c r="H62" s="760" t="s">
        <v>2420</v>
      </c>
      <c r="I62" s="761"/>
      <c r="J62" s="762">
        <v>1</v>
      </c>
      <c r="K62" s="762"/>
      <c r="L62" s="762"/>
      <c r="M62" s="762"/>
      <c r="N62" s="762"/>
      <c r="O62" s="762"/>
      <c r="P62" s="763"/>
      <c r="Q62" s="764">
        <f t="shared" si="0"/>
        <v>1</v>
      </c>
      <c r="R62" s="758" t="s">
        <v>1852</v>
      </c>
      <c r="S62" s="742" t="s">
        <v>1826</v>
      </c>
      <c r="T62" s="765" t="s">
        <v>1827</v>
      </c>
      <c r="U62" s="742" t="s">
        <v>2421</v>
      </c>
      <c r="V62" s="742" t="s">
        <v>1857</v>
      </c>
      <c r="W62" s="742" t="s">
        <v>2422</v>
      </c>
      <c r="X62" s="1243">
        <v>2</v>
      </c>
      <c r="Y62" s="767" t="s">
        <v>1838</v>
      </c>
      <c r="Z62" s="759" t="s">
        <v>2309</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210</v>
      </c>
      <c r="BM62" s="754" t="s">
        <v>210</v>
      </c>
      <c r="BN62" s="754" t="s">
        <v>210</v>
      </c>
      <c r="BO62" s="754" t="s">
        <v>210</v>
      </c>
      <c r="BP62" s="765" t="s">
        <v>210</v>
      </c>
      <c r="BQ62" s="777" t="s">
        <v>2260</v>
      </c>
      <c r="BR62" s="769" t="s">
        <v>2260</v>
      </c>
      <c r="BS62" s="769" t="s">
        <v>2260</v>
      </c>
      <c r="BT62" s="769" t="s">
        <v>2260</v>
      </c>
      <c r="BU62" s="774" t="s">
        <v>2260</v>
      </c>
      <c r="BV62" s="777" t="s">
        <v>2260</v>
      </c>
      <c r="BW62" s="769" t="s">
        <v>2260</v>
      </c>
      <c r="BX62" s="769" t="s">
        <v>2260</v>
      </c>
      <c r="BY62" s="769" t="s">
        <v>2260</v>
      </c>
      <c r="BZ62" s="769" t="s">
        <v>2260</v>
      </c>
      <c r="CA62" s="777" t="s">
        <v>2260</v>
      </c>
      <c r="CB62" s="769" t="s">
        <v>2260</v>
      </c>
      <c r="CC62" s="769" t="s">
        <v>2260</v>
      </c>
      <c r="CD62" s="769" t="s">
        <v>2260</v>
      </c>
      <c r="CE62" s="774" t="s">
        <v>2260</v>
      </c>
      <c r="CF62" s="769" t="s">
        <v>2260</v>
      </c>
      <c r="CG62" s="769" t="s">
        <v>2260</v>
      </c>
      <c r="CH62" s="769" t="s">
        <v>2260</v>
      </c>
      <c r="CI62" s="769" t="s">
        <v>2260</v>
      </c>
      <c r="CJ62" s="769" t="s">
        <v>2260</v>
      </c>
      <c r="CK62" s="777" t="s">
        <v>2260</v>
      </c>
      <c r="CL62" s="769" t="s">
        <v>2260</v>
      </c>
      <c r="CM62" s="769" t="s">
        <v>2260</v>
      </c>
      <c r="CN62" s="769" t="s">
        <v>2260</v>
      </c>
      <c r="CO62" s="774" t="s">
        <v>2260</v>
      </c>
      <c r="CP62" s="777" t="s">
        <v>2260</v>
      </c>
      <c r="CQ62" s="769" t="s">
        <v>2260</v>
      </c>
      <c r="CR62" s="769" t="s">
        <v>2260</v>
      </c>
      <c r="CS62" s="769" t="s">
        <v>2260</v>
      </c>
      <c r="CT62" s="774" t="s">
        <v>2260</v>
      </c>
      <c r="CU62" s="1253">
        <v>-2.6760000000000002</v>
      </c>
      <c r="CV62" s="1252" t="s">
        <v>2260</v>
      </c>
      <c r="CW62" s="1252" t="s">
        <v>2260</v>
      </c>
      <c r="CX62" s="1254" t="s">
        <v>2260</v>
      </c>
      <c r="CY62" s="1252">
        <v>1.3380000000000001</v>
      </c>
      <c r="CZ62" s="1252" t="s">
        <v>2260</v>
      </c>
      <c r="DA62" s="1252" t="s">
        <v>2260</v>
      </c>
      <c r="DB62" s="1254" t="s">
        <v>2260</v>
      </c>
      <c r="DC62" s="754"/>
      <c r="DD62" s="782">
        <v>1</v>
      </c>
      <c r="DE62" s="783"/>
    </row>
    <row r="63" spans="1:109" ht="15.75" customHeight="1">
      <c r="A63" s="741" t="s">
        <v>1102</v>
      </c>
      <c r="B63" s="742">
        <v>57</v>
      </c>
      <c r="C63" s="758" t="s">
        <v>1670</v>
      </c>
      <c r="D63" s="742" t="s">
        <v>2339</v>
      </c>
      <c r="E63" s="742" t="s">
        <v>2231</v>
      </c>
      <c r="F63" s="754">
        <v>35</v>
      </c>
      <c r="G63" s="759" t="s">
        <v>2423</v>
      </c>
      <c r="H63" s="760" t="s">
        <v>2424</v>
      </c>
      <c r="I63" s="761"/>
      <c r="J63" s="762">
        <v>1</v>
      </c>
      <c r="K63" s="762"/>
      <c r="L63" s="762"/>
      <c r="M63" s="762"/>
      <c r="N63" s="762"/>
      <c r="O63" s="762"/>
      <c r="P63" s="763"/>
      <c r="Q63" s="764">
        <f t="shared" si="0"/>
        <v>1</v>
      </c>
      <c r="R63" s="758" t="s">
        <v>1825</v>
      </c>
      <c r="S63" s="742"/>
      <c r="T63" s="765"/>
      <c r="U63" s="742" t="s">
        <v>2247</v>
      </c>
      <c r="V63" s="742" t="s">
        <v>1897</v>
      </c>
      <c r="W63" s="742" t="s">
        <v>2425</v>
      </c>
      <c r="X63" s="1278">
        <v>3</v>
      </c>
      <c r="Y63" s="788" t="s">
        <v>1838</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2260</v>
      </c>
      <c r="BR63" s="769" t="s">
        <v>2260</v>
      </c>
      <c r="BS63" s="769" t="s">
        <v>2260</v>
      </c>
      <c r="BT63" s="769" t="s">
        <v>2260</v>
      </c>
      <c r="BU63" s="774" t="s">
        <v>2260</v>
      </c>
      <c r="BV63" s="777" t="s">
        <v>2260</v>
      </c>
      <c r="BW63" s="769" t="s">
        <v>2260</v>
      </c>
      <c r="BX63" s="769" t="s">
        <v>2260</v>
      </c>
      <c r="BY63" s="769" t="s">
        <v>2260</v>
      </c>
      <c r="BZ63" s="769" t="s">
        <v>2260</v>
      </c>
      <c r="CA63" s="777" t="s">
        <v>2260</v>
      </c>
      <c r="CB63" s="769" t="s">
        <v>2260</v>
      </c>
      <c r="CC63" s="769" t="s">
        <v>2260</v>
      </c>
      <c r="CD63" s="769" t="s">
        <v>2260</v>
      </c>
      <c r="CE63" s="774" t="s">
        <v>2260</v>
      </c>
      <c r="CF63" s="769" t="s">
        <v>2260</v>
      </c>
      <c r="CG63" s="769" t="s">
        <v>2260</v>
      </c>
      <c r="CH63" s="769" t="s">
        <v>2260</v>
      </c>
      <c r="CI63" s="769" t="s">
        <v>2260</v>
      </c>
      <c r="CJ63" s="774" t="s">
        <v>2260</v>
      </c>
      <c r="CK63" s="777" t="s">
        <v>2260</v>
      </c>
      <c r="CL63" s="769" t="s">
        <v>2260</v>
      </c>
      <c r="CM63" s="769" t="s">
        <v>2260</v>
      </c>
      <c r="CN63" s="769" t="s">
        <v>2260</v>
      </c>
      <c r="CO63" s="774" t="s">
        <v>2260</v>
      </c>
      <c r="CP63" s="777" t="s">
        <v>2260</v>
      </c>
      <c r="CQ63" s="769" t="s">
        <v>2260</v>
      </c>
      <c r="CR63" s="769" t="s">
        <v>2260</v>
      </c>
      <c r="CS63" s="769" t="s">
        <v>2260</v>
      </c>
      <c r="CT63" s="774" t="s">
        <v>2260</v>
      </c>
      <c r="CU63" s="1253" t="s">
        <v>2260</v>
      </c>
      <c r="CV63" s="1252" t="s">
        <v>2260</v>
      </c>
      <c r="CW63" s="1252" t="s">
        <v>2260</v>
      </c>
      <c r="CX63" s="1254" t="s">
        <v>2260</v>
      </c>
      <c r="CY63" s="1252" t="s">
        <v>2260</v>
      </c>
      <c r="CZ63" s="1252" t="s">
        <v>2260</v>
      </c>
      <c r="DA63" s="1252" t="s">
        <v>2260</v>
      </c>
      <c r="DB63" s="1254" t="s">
        <v>2260</v>
      </c>
      <c r="DC63" s="754"/>
      <c r="DD63" s="782">
        <v>1</v>
      </c>
      <c r="DE63" s="783"/>
    </row>
    <row r="64" spans="1:109" ht="15.75" customHeight="1">
      <c r="A64" s="741" t="s">
        <v>1102</v>
      </c>
      <c r="B64" s="742">
        <v>58</v>
      </c>
      <c r="C64" s="758" t="s">
        <v>1684</v>
      </c>
      <c r="D64" s="742" t="s">
        <v>2393</v>
      </c>
      <c r="E64" s="742" t="s">
        <v>2231</v>
      </c>
      <c r="F64" s="754">
        <v>36</v>
      </c>
      <c r="G64" s="759" t="s">
        <v>2426</v>
      </c>
      <c r="H64" s="760" t="s">
        <v>2427</v>
      </c>
      <c r="I64" s="761"/>
      <c r="J64" s="762"/>
      <c r="K64" s="762"/>
      <c r="L64" s="762"/>
      <c r="M64" s="762">
        <v>1</v>
      </c>
      <c r="N64" s="762"/>
      <c r="O64" s="762"/>
      <c r="P64" s="763"/>
      <c r="Q64" s="764">
        <f t="shared" si="0"/>
        <v>1</v>
      </c>
      <c r="R64" s="758" t="s">
        <v>1825</v>
      </c>
      <c r="S64" s="742"/>
      <c r="T64" s="765"/>
      <c r="U64" s="742" t="s">
        <v>2329</v>
      </c>
      <c r="V64" s="742" t="s">
        <v>1890</v>
      </c>
      <c r="W64" s="742" t="s">
        <v>2428</v>
      </c>
      <c r="X64" s="798">
        <v>0</v>
      </c>
      <c r="Y64" s="788"/>
      <c r="Z64" s="759"/>
      <c r="AA64" s="754"/>
      <c r="AB64" s="754"/>
      <c r="AC64" s="754"/>
      <c r="AD64" s="754"/>
      <c r="AE64" s="754"/>
      <c r="AF64" s="806"/>
      <c r="AG64" s="769"/>
      <c r="AH64" s="769"/>
      <c r="AI64" s="769"/>
      <c r="AJ64" s="769"/>
      <c r="AK64" s="769"/>
      <c r="AL64" s="769"/>
      <c r="AM64" s="769"/>
      <c r="AN64" s="769"/>
      <c r="AO64" s="769"/>
      <c r="AP64" s="769"/>
      <c r="AQ64" s="777" t="s">
        <v>605</v>
      </c>
      <c r="AR64" s="769" t="s">
        <v>605</v>
      </c>
      <c r="AS64" s="769" t="s">
        <v>605</v>
      </c>
      <c r="AT64" s="769" t="s">
        <v>605</v>
      </c>
      <c r="AU64" s="774" t="s">
        <v>605</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2260</v>
      </c>
      <c r="BR64" s="769" t="s">
        <v>2260</v>
      </c>
      <c r="BS64" s="769" t="s">
        <v>2260</v>
      </c>
      <c r="BT64" s="769" t="s">
        <v>2260</v>
      </c>
      <c r="BU64" s="774" t="s">
        <v>2260</v>
      </c>
      <c r="BV64" s="777" t="s">
        <v>2260</v>
      </c>
      <c r="BW64" s="769" t="s">
        <v>2260</v>
      </c>
      <c r="BX64" s="769" t="s">
        <v>2260</v>
      </c>
      <c r="BY64" s="769" t="s">
        <v>2260</v>
      </c>
      <c r="BZ64" s="769" t="s">
        <v>2260</v>
      </c>
      <c r="CA64" s="777" t="s">
        <v>2260</v>
      </c>
      <c r="CB64" s="769" t="s">
        <v>2260</v>
      </c>
      <c r="CC64" s="769" t="s">
        <v>2260</v>
      </c>
      <c r="CD64" s="769" t="s">
        <v>2260</v>
      </c>
      <c r="CE64" s="774" t="s">
        <v>2260</v>
      </c>
      <c r="CF64" s="769" t="s">
        <v>2260</v>
      </c>
      <c r="CG64" s="769" t="s">
        <v>2260</v>
      </c>
      <c r="CH64" s="769" t="s">
        <v>2260</v>
      </c>
      <c r="CI64" s="769" t="s">
        <v>2260</v>
      </c>
      <c r="CJ64" s="769" t="s">
        <v>2260</v>
      </c>
      <c r="CK64" s="777" t="s">
        <v>2260</v>
      </c>
      <c r="CL64" s="769" t="s">
        <v>2260</v>
      </c>
      <c r="CM64" s="769" t="s">
        <v>2260</v>
      </c>
      <c r="CN64" s="769" t="s">
        <v>2260</v>
      </c>
      <c r="CO64" s="774" t="s">
        <v>2260</v>
      </c>
      <c r="CP64" s="777" t="s">
        <v>2260</v>
      </c>
      <c r="CQ64" s="769" t="s">
        <v>2260</v>
      </c>
      <c r="CR64" s="769" t="s">
        <v>2260</v>
      </c>
      <c r="CS64" s="769" t="s">
        <v>2260</v>
      </c>
      <c r="CT64" s="774" t="s">
        <v>2260</v>
      </c>
      <c r="CU64" s="1253" t="s">
        <v>2260</v>
      </c>
      <c r="CV64" s="1252" t="s">
        <v>2260</v>
      </c>
      <c r="CW64" s="1252" t="s">
        <v>2260</v>
      </c>
      <c r="CX64" s="1254" t="s">
        <v>2260</v>
      </c>
      <c r="CY64" s="1252" t="s">
        <v>2260</v>
      </c>
      <c r="CZ64" s="1252" t="s">
        <v>2260</v>
      </c>
      <c r="DA64" s="1252" t="s">
        <v>2260</v>
      </c>
      <c r="DB64" s="1254" t="s">
        <v>2260</v>
      </c>
      <c r="DC64" s="754"/>
      <c r="DD64" s="782"/>
      <c r="DE64" s="783"/>
    </row>
    <row r="65" spans="1:109" ht="15.75" customHeight="1">
      <c r="A65" s="741" t="s">
        <v>1102</v>
      </c>
      <c r="B65" s="742">
        <v>59</v>
      </c>
      <c r="C65" s="758" t="s">
        <v>1696</v>
      </c>
      <c r="D65" s="742" t="s">
        <v>2393</v>
      </c>
      <c r="E65" s="742" t="s">
        <v>2231</v>
      </c>
      <c r="F65" s="754">
        <v>37</v>
      </c>
      <c r="G65" s="759" t="s">
        <v>2429</v>
      </c>
      <c r="H65" s="760" t="s">
        <v>2430</v>
      </c>
      <c r="I65" s="761"/>
      <c r="J65" s="762"/>
      <c r="K65" s="762"/>
      <c r="L65" s="762"/>
      <c r="M65" s="762">
        <v>1</v>
      </c>
      <c r="N65" s="762"/>
      <c r="O65" s="762"/>
      <c r="P65" s="763"/>
      <c r="Q65" s="764">
        <f t="shared" si="0"/>
        <v>1</v>
      </c>
      <c r="R65" s="758" t="s">
        <v>1825</v>
      </c>
      <c r="S65" s="742"/>
      <c r="T65" s="765"/>
      <c r="U65" s="742" t="s">
        <v>2329</v>
      </c>
      <c r="V65" s="742" t="s">
        <v>1857</v>
      </c>
      <c r="W65" s="742" t="s">
        <v>2431</v>
      </c>
      <c r="X65" s="798">
        <v>1</v>
      </c>
      <c r="Y65" s="788" t="s">
        <v>1828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2260</v>
      </c>
      <c r="BR65" s="769" t="s">
        <v>2260</v>
      </c>
      <c r="BS65" s="769" t="s">
        <v>2260</v>
      </c>
      <c r="BT65" s="769" t="s">
        <v>2260</v>
      </c>
      <c r="BU65" s="774" t="s">
        <v>2260</v>
      </c>
      <c r="BV65" s="777" t="s">
        <v>2260</v>
      </c>
      <c r="BW65" s="769" t="s">
        <v>2260</v>
      </c>
      <c r="BX65" s="769" t="s">
        <v>2260</v>
      </c>
      <c r="BY65" s="769" t="s">
        <v>2260</v>
      </c>
      <c r="BZ65" s="769" t="s">
        <v>2260</v>
      </c>
      <c r="CA65" s="777" t="s">
        <v>2260</v>
      </c>
      <c r="CB65" s="769" t="s">
        <v>2260</v>
      </c>
      <c r="CC65" s="769" t="s">
        <v>2260</v>
      </c>
      <c r="CD65" s="769" t="s">
        <v>2260</v>
      </c>
      <c r="CE65" s="774" t="s">
        <v>2260</v>
      </c>
      <c r="CF65" s="769" t="s">
        <v>2260</v>
      </c>
      <c r="CG65" s="769" t="s">
        <v>2260</v>
      </c>
      <c r="CH65" s="769" t="s">
        <v>2260</v>
      </c>
      <c r="CI65" s="769" t="s">
        <v>2260</v>
      </c>
      <c r="CJ65" s="769" t="s">
        <v>2260</v>
      </c>
      <c r="CK65" s="777" t="s">
        <v>2260</v>
      </c>
      <c r="CL65" s="769" t="s">
        <v>2260</v>
      </c>
      <c r="CM65" s="769" t="s">
        <v>2260</v>
      </c>
      <c r="CN65" s="769" t="s">
        <v>2260</v>
      </c>
      <c r="CO65" s="774" t="s">
        <v>2260</v>
      </c>
      <c r="CP65" s="777" t="s">
        <v>2260</v>
      </c>
      <c r="CQ65" s="769" t="s">
        <v>2260</v>
      </c>
      <c r="CR65" s="769" t="s">
        <v>2260</v>
      </c>
      <c r="CS65" s="769" t="s">
        <v>2260</v>
      </c>
      <c r="CT65" s="774" t="s">
        <v>2260</v>
      </c>
      <c r="CU65" s="1253" t="s">
        <v>2260</v>
      </c>
      <c r="CV65" s="1252" t="s">
        <v>2260</v>
      </c>
      <c r="CW65" s="1252" t="s">
        <v>2260</v>
      </c>
      <c r="CX65" s="1254" t="s">
        <v>2260</v>
      </c>
      <c r="CY65" s="1252" t="s">
        <v>2260</v>
      </c>
      <c r="CZ65" s="1252" t="s">
        <v>2260</v>
      </c>
      <c r="DA65" s="1252" t="s">
        <v>2260</v>
      </c>
      <c r="DB65" s="1254" t="s">
        <v>2260</v>
      </c>
      <c r="DC65" s="754"/>
      <c r="DD65" s="782"/>
      <c r="DE65" s="783"/>
    </row>
    <row r="66" spans="1:109" ht="15.75" customHeight="1">
      <c r="A66" s="741" t="s">
        <v>1102</v>
      </c>
      <c r="B66" s="742">
        <v>60</v>
      </c>
      <c r="C66" s="758" t="s">
        <v>1390</v>
      </c>
      <c r="D66" s="742"/>
      <c r="E66" s="742" t="s">
        <v>2231</v>
      </c>
      <c r="F66" s="754">
        <v>38</v>
      </c>
      <c r="G66" s="759" t="s">
        <v>2432</v>
      </c>
      <c r="H66" s="760"/>
      <c r="I66" s="761"/>
      <c r="J66" s="762">
        <v>1</v>
      </c>
      <c r="K66" s="762"/>
      <c r="L66" s="762"/>
      <c r="M66" s="762"/>
      <c r="N66" s="762"/>
      <c r="O66" s="762"/>
      <c r="P66" s="763"/>
      <c r="Q66" s="764">
        <f t="shared" si="0"/>
        <v>1</v>
      </c>
      <c r="R66" s="758" t="s">
        <v>1846</v>
      </c>
      <c r="S66" s="742" t="s">
        <v>1826</v>
      </c>
      <c r="T66" s="765" t="s">
        <v>1837</v>
      </c>
      <c r="U66" s="742" t="s">
        <v>2433</v>
      </c>
      <c r="V66" s="742" t="s">
        <v>1857</v>
      </c>
      <c r="W66" s="742" t="s">
        <v>2434</v>
      </c>
      <c r="X66" s="798">
        <v>0</v>
      </c>
      <c r="Y66" s="788" t="s">
        <v>1828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210</v>
      </c>
      <c r="BQ66" s="777" t="s">
        <v>2260</v>
      </c>
      <c r="BR66" s="769" t="s">
        <v>2260</v>
      </c>
      <c r="BS66" s="769" t="s">
        <v>2260</v>
      </c>
      <c r="BT66" s="769" t="s">
        <v>2260</v>
      </c>
      <c r="BU66" s="774" t="s">
        <v>2260</v>
      </c>
      <c r="BV66" s="777" t="s">
        <v>2260</v>
      </c>
      <c r="BW66" s="769" t="s">
        <v>2260</v>
      </c>
      <c r="BX66" s="769" t="s">
        <v>2260</v>
      </c>
      <c r="BY66" s="769" t="s">
        <v>2260</v>
      </c>
      <c r="BZ66" s="769" t="s">
        <v>2260</v>
      </c>
      <c r="CA66" s="777" t="s">
        <v>2260</v>
      </c>
      <c r="CB66" s="769" t="s">
        <v>2260</v>
      </c>
      <c r="CC66" s="769" t="s">
        <v>2260</v>
      </c>
      <c r="CD66" s="769" t="s">
        <v>2260</v>
      </c>
      <c r="CE66" s="774" t="s">
        <v>2260</v>
      </c>
      <c r="CF66" s="769" t="s">
        <v>2260</v>
      </c>
      <c r="CG66" s="769" t="s">
        <v>2260</v>
      </c>
      <c r="CH66" s="769" t="s">
        <v>2260</v>
      </c>
      <c r="CI66" s="769" t="s">
        <v>2260</v>
      </c>
      <c r="CJ66" s="769" t="s">
        <v>2260</v>
      </c>
      <c r="CK66" s="777" t="s">
        <v>2260</v>
      </c>
      <c r="CL66" s="769" t="s">
        <v>2260</v>
      </c>
      <c r="CM66" s="769" t="s">
        <v>2260</v>
      </c>
      <c r="CN66" s="769" t="s">
        <v>2260</v>
      </c>
      <c r="CO66" s="774" t="s">
        <v>2260</v>
      </c>
      <c r="CP66" s="777" t="s">
        <v>2260</v>
      </c>
      <c r="CQ66" s="769" t="s">
        <v>2260</v>
      </c>
      <c r="CR66" s="769" t="s">
        <v>2260</v>
      </c>
      <c r="CS66" s="769" t="s">
        <v>2260</v>
      </c>
      <c r="CT66" s="774" t="s">
        <v>2260</v>
      </c>
      <c r="CU66" s="1257">
        <v>-3.0000000000000001E-5</v>
      </c>
      <c r="CV66" s="1252" t="s">
        <v>2260</v>
      </c>
      <c r="CW66" s="1252" t="s">
        <v>2260</v>
      </c>
      <c r="CX66" s="1254" t="s">
        <v>2260</v>
      </c>
      <c r="CY66" s="1252" t="s">
        <v>2260</v>
      </c>
      <c r="CZ66" s="1252" t="s">
        <v>2260</v>
      </c>
      <c r="DA66" s="1252" t="s">
        <v>2260</v>
      </c>
      <c r="DB66" s="1254" t="s">
        <v>2260</v>
      </c>
      <c r="DC66" s="754"/>
      <c r="DD66" s="782"/>
      <c r="DE66" s="783"/>
    </row>
    <row r="67" spans="1:109" ht="15.75" customHeight="1">
      <c r="A67" s="741" t="s">
        <v>1102</v>
      </c>
      <c r="B67" s="742">
        <v>61</v>
      </c>
      <c r="C67" s="758" t="s">
        <v>1407</v>
      </c>
      <c r="D67" s="742"/>
      <c r="E67" s="742" t="s">
        <v>2231</v>
      </c>
      <c r="F67" s="754">
        <v>39</v>
      </c>
      <c r="G67" s="759" t="s">
        <v>2078</v>
      </c>
      <c r="H67" s="760"/>
      <c r="I67" s="761">
        <v>0.06</v>
      </c>
      <c r="J67" s="762">
        <v>0.94</v>
      </c>
      <c r="K67" s="762"/>
      <c r="L67" s="762"/>
      <c r="M67" s="762"/>
      <c r="N67" s="762"/>
      <c r="O67" s="762"/>
      <c r="P67" s="763"/>
      <c r="Q67" s="764">
        <f t="shared" si="0"/>
        <v>1</v>
      </c>
      <c r="R67" s="758" t="s">
        <v>1846</v>
      </c>
      <c r="S67" s="742" t="s">
        <v>1826</v>
      </c>
      <c r="T67" s="765" t="s">
        <v>1837</v>
      </c>
      <c r="U67" s="742" t="s">
        <v>2433</v>
      </c>
      <c r="V67" s="742" t="s">
        <v>1857</v>
      </c>
      <c r="W67" s="742" t="s">
        <v>2435</v>
      </c>
      <c r="X67" s="798">
        <v>1</v>
      </c>
      <c r="Y67" s="788" t="s">
        <v>1828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66">
        <v>469.4</v>
      </c>
      <c r="AV67" s="777"/>
      <c r="AW67" s="769"/>
      <c r="AX67" s="769"/>
      <c r="AY67" s="769"/>
      <c r="AZ67" s="769"/>
      <c r="BA67" s="769"/>
      <c r="BB67" s="769"/>
      <c r="BC67" s="769"/>
      <c r="BD67" s="769"/>
      <c r="BE67" s="769"/>
      <c r="BF67" s="769"/>
      <c r="BG67" s="769"/>
      <c r="BH67" s="769"/>
      <c r="BI67" s="769"/>
      <c r="BJ67" s="769"/>
      <c r="BK67" s="774"/>
      <c r="BL67" s="1828" t="s">
        <v>210</v>
      </c>
      <c r="BM67" s="1829" t="s">
        <v>210</v>
      </c>
      <c r="BN67" s="1829" t="s">
        <v>210</v>
      </c>
      <c r="BO67" s="1829" t="s">
        <v>210</v>
      </c>
      <c r="BP67" s="765" t="s">
        <v>210</v>
      </c>
      <c r="BQ67" s="777" t="s">
        <v>2260</v>
      </c>
      <c r="BR67" s="769" t="s">
        <v>2260</v>
      </c>
      <c r="BS67" s="769" t="s">
        <v>2260</v>
      </c>
      <c r="BT67" s="769" t="s">
        <v>2260</v>
      </c>
      <c r="BU67" s="774" t="s">
        <v>2260</v>
      </c>
      <c r="BV67" s="777" t="s">
        <v>2260</v>
      </c>
      <c r="BW67" s="769" t="s">
        <v>2260</v>
      </c>
      <c r="BX67" s="769" t="s">
        <v>2260</v>
      </c>
      <c r="BY67" s="769" t="s">
        <v>2260</v>
      </c>
      <c r="BZ67" s="769" t="s">
        <v>2260</v>
      </c>
      <c r="CA67" s="777" t="s">
        <v>2260</v>
      </c>
      <c r="CB67" s="769" t="s">
        <v>2260</v>
      </c>
      <c r="CC67" s="769" t="s">
        <v>2260</v>
      </c>
      <c r="CD67" s="769" t="s">
        <v>2260</v>
      </c>
      <c r="CE67" s="774" t="s">
        <v>2260</v>
      </c>
      <c r="CF67" s="769" t="s">
        <v>2260</v>
      </c>
      <c r="CG67" s="769" t="s">
        <v>2260</v>
      </c>
      <c r="CH67" s="769" t="s">
        <v>2260</v>
      </c>
      <c r="CI67" s="769" t="s">
        <v>2260</v>
      </c>
      <c r="CJ67" s="769" t="s">
        <v>2260</v>
      </c>
      <c r="CK67" s="777" t="s">
        <v>2260</v>
      </c>
      <c r="CL67" s="769" t="s">
        <v>2260</v>
      </c>
      <c r="CM67" s="769" t="s">
        <v>2260</v>
      </c>
      <c r="CN67" s="769" t="s">
        <v>2260</v>
      </c>
      <c r="CO67" s="774" t="s">
        <v>2260</v>
      </c>
      <c r="CP67" s="777" t="s">
        <v>2260</v>
      </c>
      <c r="CQ67" s="769" t="s">
        <v>2260</v>
      </c>
      <c r="CR67" s="769" t="s">
        <v>2260</v>
      </c>
      <c r="CS67" s="769" t="s">
        <v>2260</v>
      </c>
      <c r="CT67" s="774" t="s">
        <v>2260</v>
      </c>
      <c r="CU67" s="1467">
        <v>-0.45900000000000002</v>
      </c>
      <c r="CV67" s="1252" t="s">
        <v>2260</v>
      </c>
      <c r="CW67" s="1252" t="s">
        <v>2260</v>
      </c>
      <c r="CX67" s="1254" t="s">
        <v>2260</v>
      </c>
      <c r="CY67" s="1252" t="s">
        <v>2260</v>
      </c>
      <c r="CZ67" s="1252" t="s">
        <v>2260</v>
      </c>
      <c r="DA67" s="1252" t="s">
        <v>2260</v>
      </c>
      <c r="DB67" s="1254" t="s">
        <v>2260</v>
      </c>
      <c r="DC67" s="754"/>
      <c r="DD67" s="782"/>
      <c r="DE67" s="783"/>
    </row>
    <row r="68" spans="1:109" ht="15.75" customHeight="1">
      <c r="A68" s="741" t="s">
        <v>1102</v>
      </c>
      <c r="B68" s="742">
        <v>62</v>
      </c>
      <c r="C68" s="758" t="s">
        <v>1706</v>
      </c>
      <c r="D68" s="742"/>
      <c r="E68" s="742"/>
      <c r="F68" s="754">
        <v>40</v>
      </c>
      <c r="G68" s="759" t="s">
        <v>2436</v>
      </c>
      <c r="H68" s="760"/>
      <c r="I68" s="761"/>
      <c r="J68" s="762"/>
      <c r="K68" s="762"/>
      <c r="L68" s="762"/>
      <c r="M68" s="762"/>
      <c r="N68" s="762"/>
      <c r="O68" s="762"/>
      <c r="P68" s="763"/>
      <c r="Q68" s="764">
        <f t="shared" si="0"/>
        <v>0</v>
      </c>
      <c r="R68" s="758" t="s">
        <v>1825</v>
      </c>
      <c r="S68" s="742"/>
      <c r="T68" s="765"/>
      <c r="U68" s="742"/>
      <c r="V68" s="742" t="s">
        <v>321</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2260</v>
      </c>
      <c r="BR68" s="769" t="s">
        <v>2260</v>
      </c>
      <c r="BS68" s="769" t="s">
        <v>2260</v>
      </c>
      <c r="BT68" s="769" t="s">
        <v>2260</v>
      </c>
      <c r="BU68" s="774" t="s">
        <v>2260</v>
      </c>
      <c r="BV68" s="777" t="s">
        <v>2260</v>
      </c>
      <c r="BW68" s="769" t="s">
        <v>2260</v>
      </c>
      <c r="BX68" s="769" t="s">
        <v>2260</v>
      </c>
      <c r="BY68" s="769" t="s">
        <v>2260</v>
      </c>
      <c r="BZ68" s="769" t="s">
        <v>2260</v>
      </c>
      <c r="CA68" s="777" t="s">
        <v>2260</v>
      </c>
      <c r="CB68" s="769" t="s">
        <v>2260</v>
      </c>
      <c r="CC68" s="769" t="s">
        <v>2260</v>
      </c>
      <c r="CD68" s="769" t="s">
        <v>2260</v>
      </c>
      <c r="CE68" s="774" t="s">
        <v>2260</v>
      </c>
      <c r="CF68" s="769" t="s">
        <v>2260</v>
      </c>
      <c r="CG68" s="769" t="s">
        <v>2260</v>
      </c>
      <c r="CH68" s="769" t="s">
        <v>2260</v>
      </c>
      <c r="CI68" s="769" t="s">
        <v>2260</v>
      </c>
      <c r="CJ68" s="769" t="s">
        <v>2260</v>
      </c>
      <c r="CK68" s="777" t="s">
        <v>2260</v>
      </c>
      <c r="CL68" s="769" t="s">
        <v>2260</v>
      </c>
      <c r="CM68" s="769" t="s">
        <v>2260</v>
      </c>
      <c r="CN68" s="769" t="s">
        <v>2260</v>
      </c>
      <c r="CO68" s="774" t="s">
        <v>2260</v>
      </c>
      <c r="CP68" s="777" t="s">
        <v>2260</v>
      </c>
      <c r="CQ68" s="769" t="s">
        <v>2260</v>
      </c>
      <c r="CR68" s="769" t="s">
        <v>2260</v>
      </c>
      <c r="CS68" s="769" t="s">
        <v>2260</v>
      </c>
      <c r="CT68" s="774" t="s">
        <v>2260</v>
      </c>
      <c r="CU68" s="1253" t="s">
        <v>2260</v>
      </c>
      <c r="CV68" s="1252" t="s">
        <v>2260</v>
      </c>
      <c r="CW68" s="1252" t="s">
        <v>2260</v>
      </c>
      <c r="CX68" s="1254" t="s">
        <v>2260</v>
      </c>
      <c r="CY68" s="1252" t="s">
        <v>2260</v>
      </c>
      <c r="CZ68" s="1252" t="s">
        <v>2260</v>
      </c>
      <c r="DA68" s="1252" t="s">
        <v>2260</v>
      </c>
      <c r="DB68" s="1254" t="s">
        <v>2260</v>
      </c>
      <c r="DC68" s="754"/>
      <c r="DD68" s="782"/>
      <c r="DE68" s="783"/>
    </row>
    <row r="69" spans="1:109" ht="15.75" customHeight="1">
      <c r="A69" s="741" t="s">
        <v>1102</v>
      </c>
      <c r="B69" s="742">
        <v>63</v>
      </c>
      <c r="C69" s="758" t="s">
        <v>1424</v>
      </c>
      <c r="D69" s="742"/>
      <c r="E69" s="742"/>
      <c r="F69" s="754">
        <v>41</v>
      </c>
      <c r="G69" s="759" t="s">
        <v>2437</v>
      </c>
      <c r="H69" s="760"/>
      <c r="I69" s="761"/>
      <c r="J69" s="762">
        <v>1</v>
      </c>
      <c r="K69" s="762"/>
      <c r="L69" s="762"/>
      <c r="M69" s="762"/>
      <c r="N69" s="762"/>
      <c r="O69" s="762"/>
      <c r="P69" s="763"/>
      <c r="Q69" s="764">
        <f t="shared" si="0"/>
        <v>1</v>
      </c>
      <c r="R69" s="758" t="s">
        <v>1846</v>
      </c>
      <c r="S69" s="742" t="s">
        <v>1826</v>
      </c>
      <c r="T69" s="765" t="s">
        <v>1837</v>
      </c>
      <c r="U69" s="742"/>
      <c r="V69" s="742" t="s">
        <v>2397</v>
      </c>
      <c r="W69" s="742"/>
      <c r="X69" s="798">
        <v>0</v>
      </c>
      <c r="Y69" s="788" t="s">
        <v>1828</v>
      </c>
      <c r="Z69" s="759"/>
      <c r="AA69" s="754"/>
      <c r="AB69" s="754"/>
      <c r="AC69" s="754"/>
      <c r="AD69" s="754"/>
      <c r="AE69" s="754"/>
      <c r="AF69" s="806"/>
      <c r="AG69" s="769"/>
      <c r="AH69" s="769"/>
      <c r="AI69" s="769"/>
      <c r="AJ69" s="769"/>
      <c r="AK69" s="769"/>
      <c r="AL69" s="769"/>
      <c r="AM69" s="769"/>
      <c r="AN69" s="769"/>
      <c r="AO69" s="769"/>
      <c r="AP69" s="769"/>
      <c r="AQ69" s="777" t="s">
        <v>2260</v>
      </c>
      <c r="AR69" s="769" t="s">
        <v>2260</v>
      </c>
      <c r="AS69" s="769" t="s">
        <v>2260</v>
      </c>
      <c r="AT69" s="769" t="s">
        <v>2260</v>
      </c>
      <c r="AU69" s="1878">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210</v>
      </c>
      <c r="BQ69" s="777" t="s">
        <v>2260</v>
      </c>
      <c r="BR69" s="769" t="s">
        <v>2260</v>
      </c>
      <c r="BS69" s="769" t="s">
        <v>2260</v>
      </c>
      <c r="BT69" s="769" t="s">
        <v>2260</v>
      </c>
      <c r="BU69" s="774" t="s">
        <v>2260</v>
      </c>
      <c r="BV69" s="777" t="s">
        <v>2260</v>
      </c>
      <c r="BW69" s="769" t="s">
        <v>2260</v>
      </c>
      <c r="BX69" s="769" t="s">
        <v>2260</v>
      </c>
      <c r="BY69" s="769" t="s">
        <v>2260</v>
      </c>
      <c r="BZ69" s="769" t="s">
        <v>2260</v>
      </c>
      <c r="CA69" s="777" t="s">
        <v>2260</v>
      </c>
      <c r="CB69" s="769" t="s">
        <v>2260</v>
      </c>
      <c r="CC69" s="769" t="s">
        <v>2260</v>
      </c>
      <c r="CD69" s="769" t="s">
        <v>2260</v>
      </c>
      <c r="CE69" s="774" t="s">
        <v>2260</v>
      </c>
      <c r="CF69" s="769" t="s">
        <v>2260</v>
      </c>
      <c r="CG69" s="769" t="s">
        <v>2260</v>
      </c>
      <c r="CH69" s="769" t="s">
        <v>2260</v>
      </c>
      <c r="CI69" s="769" t="s">
        <v>2260</v>
      </c>
      <c r="CJ69" s="769" t="s">
        <v>2260</v>
      </c>
      <c r="CK69" s="777" t="s">
        <v>2260</v>
      </c>
      <c r="CL69" s="769" t="s">
        <v>2260</v>
      </c>
      <c r="CM69" s="769" t="s">
        <v>2260</v>
      </c>
      <c r="CN69" s="769" t="s">
        <v>2260</v>
      </c>
      <c r="CO69" s="774" t="s">
        <v>2260</v>
      </c>
      <c r="CP69" s="777" t="s">
        <v>2260</v>
      </c>
      <c r="CQ69" s="769" t="s">
        <v>2260</v>
      </c>
      <c r="CR69" s="769" t="s">
        <v>2260</v>
      </c>
      <c r="CS69" s="769" t="s">
        <v>2260</v>
      </c>
      <c r="CT69" s="774" t="s">
        <v>2260</v>
      </c>
      <c r="CU69" s="1257">
        <v>-6.4799999999999996E-2</v>
      </c>
      <c r="CV69" s="1252" t="s">
        <v>2260</v>
      </c>
      <c r="CW69" s="1252" t="s">
        <v>2260</v>
      </c>
      <c r="CX69" s="1254" t="s">
        <v>2260</v>
      </c>
      <c r="CY69" s="1252" t="s">
        <v>2260</v>
      </c>
      <c r="CZ69" s="1252" t="s">
        <v>2260</v>
      </c>
      <c r="DA69" s="1252" t="s">
        <v>2260</v>
      </c>
      <c r="DB69" s="1254" t="s">
        <v>2260</v>
      </c>
      <c r="DC69" s="754"/>
      <c r="DD69" s="782"/>
      <c r="DE69" s="783"/>
    </row>
    <row r="70" spans="1:109" ht="15.75" customHeight="1">
      <c r="A70" s="741" t="s">
        <v>1102</v>
      </c>
      <c r="B70" s="742">
        <v>64</v>
      </c>
      <c r="C70" s="758" t="s">
        <v>1715</v>
      </c>
      <c r="D70" s="742"/>
      <c r="E70" s="742"/>
      <c r="F70" s="754" t="s">
        <v>2331</v>
      </c>
      <c r="G70" s="759" t="s">
        <v>2332</v>
      </c>
      <c r="H70" s="760"/>
      <c r="I70" s="761"/>
      <c r="J70" s="762"/>
      <c r="K70" s="762"/>
      <c r="L70" s="762"/>
      <c r="M70" s="762"/>
      <c r="N70" s="762"/>
      <c r="O70" s="762"/>
      <c r="P70" s="763"/>
      <c r="Q70" s="764">
        <f t="shared" si="0"/>
        <v>0</v>
      </c>
      <c r="R70" s="758" t="s">
        <v>1825</v>
      </c>
      <c r="S70" s="742"/>
      <c r="T70" s="765"/>
      <c r="U70" s="742"/>
      <c r="V70" s="742" t="s">
        <v>1890</v>
      </c>
      <c r="W70" s="742" t="s">
        <v>2333</v>
      </c>
      <c r="X70" s="798">
        <v>0</v>
      </c>
      <c r="Y70" s="788"/>
      <c r="Z70" s="759"/>
      <c r="AA70" s="754"/>
      <c r="AB70" s="754"/>
      <c r="AC70" s="754"/>
      <c r="AD70" s="754"/>
      <c r="AE70" s="754"/>
      <c r="AF70" s="768"/>
      <c r="AG70" s="769"/>
      <c r="AH70" s="769"/>
      <c r="AI70" s="769"/>
      <c r="AJ70" s="769"/>
      <c r="AK70" s="769"/>
      <c r="AL70" s="769"/>
      <c r="AM70" s="769"/>
      <c r="AN70" s="769"/>
      <c r="AO70" s="769"/>
      <c r="AP70" s="769"/>
      <c r="AQ70" s="777" t="s">
        <v>2334</v>
      </c>
      <c r="AR70" s="769" t="s">
        <v>2334</v>
      </c>
      <c r="AS70" s="769" t="s">
        <v>2334</v>
      </c>
      <c r="AT70" s="769" t="s">
        <v>2334</v>
      </c>
      <c r="AU70" s="774" t="s">
        <v>2334</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2260</v>
      </c>
      <c r="BR70" s="769" t="s">
        <v>2260</v>
      </c>
      <c r="BS70" s="769" t="s">
        <v>2260</v>
      </c>
      <c r="BT70" s="769" t="s">
        <v>2260</v>
      </c>
      <c r="BU70" s="774" t="s">
        <v>2260</v>
      </c>
      <c r="BV70" s="777" t="s">
        <v>2260</v>
      </c>
      <c r="BW70" s="769" t="s">
        <v>2260</v>
      </c>
      <c r="BX70" s="769" t="s">
        <v>2260</v>
      </c>
      <c r="BY70" s="769" t="s">
        <v>2260</v>
      </c>
      <c r="BZ70" s="769" t="s">
        <v>2260</v>
      </c>
      <c r="CA70" s="777" t="s">
        <v>2260</v>
      </c>
      <c r="CB70" s="769" t="s">
        <v>2260</v>
      </c>
      <c r="CC70" s="769" t="s">
        <v>2260</v>
      </c>
      <c r="CD70" s="769" t="s">
        <v>2260</v>
      </c>
      <c r="CE70" s="774" t="s">
        <v>2260</v>
      </c>
      <c r="CF70" s="769" t="s">
        <v>2260</v>
      </c>
      <c r="CG70" s="769" t="s">
        <v>2260</v>
      </c>
      <c r="CH70" s="769" t="s">
        <v>2260</v>
      </c>
      <c r="CI70" s="769" t="s">
        <v>2260</v>
      </c>
      <c r="CJ70" s="769" t="s">
        <v>2260</v>
      </c>
      <c r="CK70" s="777" t="s">
        <v>2260</v>
      </c>
      <c r="CL70" s="769" t="s">
        <v>2260</v>
      </c>
      <c r="CM70" s="769" t="s">
        <v>2260</v>
      </c>
      <c r="CN70" s="769" t="s">
        <v>2260</v>
      </c>
      <c r="CO70" s="774" t="s">
        <v>2260</v>
      </c>
      <c r="CP70" s="777" t="s">
        <v>2260</v>
      </c>
      <c r="CQ70" s="769" t="s">
        <v>2260</v>
      </c>
      <c r="CR70" s="769" t="s">
        <v>2260</v>
      </c>
      <c r="CS70" s="769" t="s">
        <v>2260</v>
      </c>
      <c r="CT70" s="774" t="s">
        <v>2260</v>
      </c>
      <c r="CU70" s="1253" t="s">
        <v>2260</v>
      </c>
      <c r="CV70" s="1252" t="s">
        <v>2260</v>
      </c>
      <c r="CW70" s="1252" t="s">
        <v>2260</v>
      </c>
      <c r="CX70" s="1254" t="s">
        <v>2260</v>
      </c>
      <c r="CY70" s="1252" t="s">
        <v>2260</v>
      </c>
      <c r="CZ70" s="1252" t="s">
        <v>2260</v>
      </c>
      <c r="DA70" s="1252" t="s">
        <v>2260</v>
      </c>
      <c r="DB70" s="1254" t="s">
        <v>2260</v>
      </c>
      <c r="DC70" s="754"/>
      <c r="DD70" s="782"/>
      <c r="DE70" s="783"/>
    </row>
    <row r="71" spans="1:109" ht="15.75" customHeight="1">
      <c r="A71" s="741" t="s">
        <v>1102</v>
      </c>
      <c r="B71" s="742">
        <v>65</v>
      </c>
      <c r="C71" s="758" t="s">
        <v>1528</v>
      </c>
      <c r="D71" s="742"/>
      <c r="E71" s="742"/>
      <c r="F71" s="754">
        <v>42</v>
      </c>
      <c r="G71" s="759" t="s">
        <v>2438</v>
      </c>
      <c r="H71" s="760"/>
      <c r="I71" s="761"/>
      <c r="J71" s="762"/>
      <c r="K71" s="762">
        <v>1</v>
      </c>
      <c r="L71" s="762"/>
      <c r="M71" s="762"/>
      <c r="N71" s="762"/>
      <c r="O71" s="762"/>
      <c r="P71" s="763"/>
      <c r="Q71" s="764">
        <f t="shared" si="0"/>
        <v>1</v>
      </c>
      <c r="R71" s="758" t="s">
        <v>1846</v>
      </c>
      <c r="S71" s="742" t="s">
        <v>1826</v>
      </c>
      <c r="T71" s="765" t="s">
        <v>1837</v>
      </c>
      <c r="U71" s="742"/>
      <c r="V71" s="742" t="s">
        <v>2439</v>
      </c>
      <c r="W71" s="742" t="s">
        <v>2440</v>
      </c>
      <c r="X71" s="1243">
        <v>0</v>
      </c>
      <c r="Y71" s="788" t="s">
        <v>1828</v>
      </c>
      <c r="Z71" s="759"/>
      <c r="AA71" s="754"/>
      <c r="AB71" s="754"/>
      <c r="AC71" s="754"/>
      <c r="AD71" s="754"/>
      <c r="AE71" s="754"/>
      <c r="AF71" s="768"/>
      <c r="AG71" s="769"/>
      <c r="AH71" s="769"/>
      <c r="AI71" s="769"/>
      <c r="AJ71" s="769"/>
      <c r="AK71" s="769"/>
      <c r="AL71" s="769"/>
      <c r="AM71" s="769"/>
      <c r="AN71" s="769"/>
      <c r="AO71" s="769"/>
      <c r="AP71" s="769"/>
      <c r="AQ71" s="777" t="s">
        <v>2260</v>
      </c>
      <c r="AR71" s="769" t="s">
        <v>2260</v>
      </c>
      <c r="AS71" s="769" t="s">
        <v>2260</v>
      </c>
      <c r="AT71" s="769" t="s">
        <v>2260</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210</v>
      </c>
      <c r="BQ71" s="777" t="s">
        <v>2260</v>
      </c>
      <c r="BR71" s="769" t="s">
        <v>2260</v>
      </c>
      <c r="BS71" s="769" t="s">
        <v>2260</v>
      </c>
      <c r="BT71" s="769" t="s">
        <v>2260</v>
      </c>
      <c r="BU71" s="774" t="s">
        <v>2260</v>
      </c>
      <c r="BV71" s="777" t="s">
        <v>2260</v>
      </c>
      <c r="BW71" s="769" t="s">
        <v>2260</v>
      </c>
      <c r="BX71" s="769" t="s">
        <v>2260</v>
      </c>
      <c r="BY71" s="769" t="s">
        <v>2260</v>
      </c>
      <c r="BZ71" s="769" t="s">
        <v>2260</v>
      </c>
      <c r="CA71" s="777" t="s">
        <v>2260</v>
      </c>
      <c r="CB71" s="769" t="s">
        <v>2260</v>
      </c>
      <c r="CC71" s="769" t="s">
        <v>2260</v>
      </c>
      <c r="CD71" s="769" t="s">
        <v>2260</v>
      </c>
      <c r="CE71" s="774" t="s">
        <v>2260</v>
      </c>
      <c r="CF71" s="769" t="s">
        <v>2260</v>
      </c>
      <c r="CG71" s="769" t="s">
        <v>2260</v>
      </c>
      <c r="CH71" s="769" t="s">
        <v>2260</v>
      </c>
      <c r="CI71" s="769" t="s">
        <v>2260</v>
      </c>
      <c r="CJ71" s="769" t="s">
        <v>2260</v>
      </c>
      <c r="CK71" s="777" t="s">
        <v>2260</v>
      </c>
      <c r="CL71" s="769" t="s">
        <v>2260</v>
      </c>
      <c r="CM71" s="769" t="s">
        <v>2260</v>
      </c>
      <c r="CN71" s="769" t="s">
        <v>2260</v>
      </c>
      <c r="CO71" s="774" t="s">
        <v>2260</v>
      </c>
      <c r="CP71" s="777" t="s">
        <v>2260</v>
      </c>
      <c r="CQ71" s="769" t="s">
        <v>2260</v>
      </c>
      <c r="CR71" s="769" t="s">
        <v>2260</v>
      </c>
      <c r="CS71" s="769" t="s">
        <v>2260</v>
      </c>
      <c r="CT71" s="774" t="s">
        <v>2260</v>
      </c>
      <c r="CU71" s="1257">
        <v>-5.9499999999999997E-2</v>
      </c>
      <c r="CV71" s="1252" t="s">
        <v>2260</v>
      </c>
      <c r="CW71" s="1252" t="s">
        <v>2260</v>
      </c>
      <c r="CX71" s="1254" t="s">
        <v>2260</v>
      </c>
      <c r="CY71" s="1252" t="s">
        <v>2260</v>
      </c>
      <c r="CZ71" s="1252" t="s">
        <v>2260</v>
      </c>
      <c r="DA71" s="1252" t="s">
        <v>2260</v>
      </c>
      <c r="DB71" s="1254" t="s">
        <v>2260</v>
      </c>
      <c r="DC71" s="754"/>
      <c r="DD71" s="782"/>
      <c r="DE71" s="783"/>
    </row>
    <row r="72" spans="1:109" ht="15.75" customHeight="1">
      <c r="A72" s="741" t="s">
        <v>1102</v>
      </c>
      <c r="B72" s="742">
        <v>66</v>
      </c>
      <c r="C72" s="758" t="s">
        <v>1723</v>
      </c>
      <c r="D72" s="742"/>
      <c r="E72" s="742"/>
      <c r="F72" s="754">
        <v>43</v>
      </c>
      <c r="G72" s="759" t="s">
        <v>2441</v>
      </c>
      <c r="H72" s="760"/>
      <c r="I72" s="761"/>
      <c r="J72" s="762"/>
      <c r="K72" s="762"/>
      <c r="L72" s="762"/>
      <c r="M72" s="762"/>
      <c r="N72" s="762"/>
      <c r="O72" s="762"/>
      <c r="P72" s="763"/>
      <c r="Q72" s="764">
        <f t="shared" si="0"/>
        <v>0</v>
      </c>
      <c r="R72" s="758" t="s">
        <v>1825</v>
      </c>
      <c r="S72" s="742"/>
      <c r="T72" s="765"/>
      <c r="U72" s="742"/>
      <c r="V72" s="742" t="s">
        <v>321</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2260</v>
      </c>
      <c r="BR72" s="769" t="s">
        <v>2260</v>
      </c>
      <c r="BS72" s="769" t="s">
        <v>2260</v>
      </c>
      <c r="BT72" s="769" t="s">
        <v>2260</v>
      </c>
      <c r="BU72" s="774" t="s">
        <v>2260</v>
      </c>
      <c r="BV72" s="777" t="s">
        <v>2260</v>
      </c>
      <c r="BW72" s="769" t="s">
        <v>2260</v>
      </c>
      <c r="BX72" s="769" t="s">
        <v>2260</v>
      </c>
      <c r="BY72" s="769" t="s">
        <v>2260</v>
      </c>
      <c r="BZ72" s="769" t="s">
        <v>2260</v>
      </c>
      <c r="CA72" s="777" t="s">
        <v>2260</v>
      </c>
      <c r="CB72" s="769" t="s">
        <v>2260</v>
      </c>
      <c r="CC72" s="769" t="s">
        <v>2260</v>
      </c>
      <c r="CD72" s="769" t="s">
        <v>2260</v>
      </c>
      <c r="CE72" s="774" t="s">
        <v>2260</v>
      </c>
      <c r="CF72" s="769" t="s">
        <v>2260</v>
      </c>
      <c r="CG72" s="769" t="s">
        <v>2260</v>
      </c>
      <c r="CH72" s="769" t="s">
        <v>2260</v>
      </c>
      <c r="CI72" s="769" t="s">
        <v>2260</v>
      </c>
      <c r="CJ72" s="769" t="s">
        <v>2260</v>
      </c>
      <c r="CK72" s="777" t="s">
        <v>2260</v>
      </c>
      <c r="CL72" s="769" t="s">
        <v>2260</v>
      </c>
      <c r="CM72" s="769" t="s">
        <v>2260</v>
      </c>
      <c r="CN72" s="769" t="s">
        <v>2260</v>
      </c>
      <c r="CO72" s="774" t="s">
        <v>2260</v>
      </c>
      <c r="CP72" s="777" t="s">
        <v>2260</v>
      </c>
      <c r="CQ72" s="769" t="s">
        <v>2260</v>
      </c>
      <c r="CR72" s="769" t="s">
        <v>2260</v>
      </c>
      <c r="CS72" s="769" t="s">
        <v>2260</v>
      </c>
      <c r="CT72" s="774" t="s">
        <v>2260</v>
      </c>
      <c r="CU72" s="1253" t="s">
        <v>2260</v>
      </c>
      <c r="CV72" s="1252" t="s">
        <v>2260</v>
      </c>
      <c r="CW72" s="1252" t="s">
        <v>2260</v>
      </c>
      <c r="CX72" s="1254" t="s">
        <v>2260</v>
      </c>
      <c r="CY72" s="1252" t="s">
        <v>2260</v>
      </c>
      <c r="CZ72" s="1252" t="s">
        <v>2260</v>
      </c>
      <c r="DA72" s="1252" t="s">
        <v>2260</v>
      </c>
      <c r="DB72" s="1254" t="s">
        <v>2260</v>
      </c>
      <c r="DC72" s="754"/>
      <c r="DD72" s="782"/>
      <c r="DE72" s="783"/>
    </row>
    <row r="73" spans="1:109" ht="15.75" customHeight="1">
      <c r="A73" s="741" t="s">
        <v>1102</v>
      </c>
      <c r="B73" s="742">
        <v>67</v>
      </c>
      <c r="C73" s="758" t="s">
        <v>1730</v>
      </c>
      <c r="D73" s="742"/>
      <c r="E73" s="742"/>
      <c r="F73" s="754">
        <v>44</v>
      </c>
      <c r="G73" s="759" t="s">
        <v>2442</v>
      </c>
      <c r="H73" s="760"/>
      <c r="I73" s="761"/>
      <c r="J73" s="762"/>
      <c r="K73" s="762"/>
      <c r="L73" s="762"/>
      <c r="M73" s="762"/>
      <c r="N73" s="762"/>
      <c r="O73" s="762"/>
      <c r="P73" s="763"/>
      <c r="Q73" s="764">
        <f t="shared" ref="Q73:Q136" si="1">SUM(I73:P73)</f>
        <v>0</v>
      </c>
      <c r="R73" s="758" t="s">
        <v>1825</v>
      </c>
      <c r="S73" s="742"/>
      <c r="T73" s="765"/>
      <c r="U73" s="742"/>
      <c r="V73" s="742" t="s">
        <v>1897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2260</v>
      </c>
      <c r="BR73" s="769" t="s">
        <v>2260</v>
      </c>
      <c r="BS73" s="769" t="s">
        <v>2260</v>
      </c>
      <c r="BT73" s="769" t="s">
        <v>2260</v>
      </c>
      <c r="BU73" s="774" t="s">
        <v>2260</v>
      </c>
      <c r="BV73" s="777" t="s">
        <v>2260</v>
      </c>
      <c r="BW73" s="769" t="s">
        <v>2260</v>
      </c>
      <c r="BX73" s="769" t="s">
        <v>2260</v>
      </c>
      <c r="BY73" s="769" t="s">
        <v>2260</v>
      </c>
      <c r="BZ73" s="769" t="s">
        <v>2260</v>
      </c>
      <c r="CA73" s="777" t="s">
        <v>2260</v>
      </c>
      <c r="CB73" s="769" t="s">
        <v>2260</v>
      </c>
      <c r="CC73" s="769" t="s">
        <v>2260</v>
      </c>
      <c r="CD73" s="769" t="s">
        <v>2260</v>
      </c>
      <c r="CE73" s="774" t="s">
        <v>2260</v>
      </c>
      <c r="CF73" s="769" t="s">
        <v>2260</v>
      </c>
      <c r="CG73" s="769" t="s">
        <v>2260</v>
      </c>
      <c r="CH73" s="769" t="s">
        <v>2260</v>
      </c>
      <c r="CI73" s="769" t="s">
        <v>2260</v>
      </c>
      <c r="CJ73" s="769" t="s">
        <v>2260</v>
      </c>
      <c r="CK73" s="777" t="s">
        <v>2260</v>
      </c>
      <c r="CL73" s="769" t="s">
        <v>2260</v>
      </c>
      <c r="CM73" s="769" t="s">
        <v>2260</v>
      </c>
      <c r="CN73" s="769" t="s">
        <v>2260</v>
      </c>
      <c r="CO73" s="774" t="s">
        <v>2260</v>
      </c>
      <c r="CP73" s="777" t="s">
        <v>2260</v>
      </c>
      <c r="CQ73" s="769" t="s">
        <v>2260</v>
      </c>
      <c r="CR73" s="769" t="s">
        <v>2260</v>
      </c>
      <c r="CS73" s="769" t="s">
        <v>2260</v>
      </c>
      <c r="CT73" s="774" t="s">
        <v>2260</v>
      </c>
      <c r="CU73" s="1253" t="s">
        <v>2260</v>
      </c>
      <c r="CV73" s="1252" t="s">
        <v>2260</v>
      </c>
      <c r="CW73" s="1252" t="s">
        <v>2260</v>
      </c>
      <c r="CX73" s="1254" t="s">
        <v>2260</v>
      </c>
      <c r="CY73" s="1252" t="s">
        <v>2260</v>
      </c>
      <c r="CZ73" s="1252" t="s">
        <v>2260</v>
      </c>
      <c r="DA73" s="1252" t="s">
        <v>2260</v>
      </c>
      <c r="DB73" s="1254" t="s">
        <v>2260</v>
      </c>
      <c r="DC73" s="754"/>
      <c r="DD73" s="782"/>
      <c r="DE73" s="783"/>
    </row>
    <row r="74" spans="1:109" ht="15.75" customHeight="1">
      <c r="A74" s="741" t="s">
        <v>1102</v>
      </c>
      <c r="B74" s="742">
        <v>68</v>
      </c>
      <c r="C74" s="758" t="s">
        <v>1737</v>
      </c>
      <c r="D74" s="742"/>
      <c r="E74" s="742"/>
      <c r="F74" s="754">
        <v>45</v>
      </c>
      <c r="G74" s="759" t="s">
        <v>2443</v>
      </c>
      <c r="H74" s="760"/>
      <c r="I74" s="761"/>
      <c r="J74" s="762"/>
      <c r="K74" s="762"/>
      <c r="L74" s="762"/>
      <c r="M74" s="762"/>
      <c r="N74" s="762"/>
      <c r="O74" s="762"/>
      <c r="P74" s="763"/>
      <c r="Q74" s="764">
        <f t="shared" si="1"/>
        <v>0</v>
      </c>
      <c r="R74" s="758" t="s">
        <v>1825</v>
      </c>
      <c r="S74" s="742"/>
      <c r="T74" s="765"/>
      <c r="U74" s="742"/>
      <c r="V74" s="742" t="s">
        <v>1890</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2444</v>
      </c>
      <c r="AR74" s="769" t="s">
        <v>2444</v>
      </c>
      <c r="AS74" s="769" t="s">
        <v>2444</v>
      </c>
      <c r="AT74" s="769" t="s">
        <v>2444</v>
      </c>
      <c r="AU74" s="774" t="s">
        <v>2334</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2260</v>
      </c>
      <c r="BR74" s="769" t="s">
        <v>2260</v>
      </c>
      <c r="BS74" s="769" t="s">
        <v>2260</v>
      </c>
      <c r="BT74" s="769" t="s">
        <v>2260</v>
      </c>
      <c r="BU74" s="774" t="s">
        <v>2260</v>
      </c>
      <c r="BV74" s="777" t="s">
        <v>2260</v>
      </c>
      <c r="BW74" s="769" t="s">
        <v>2260</v>
      </c>
      <c r="BX74" s="769" t="s">
        <v>2260</v>
      </c>
      <c r="BY74" s="769" t="s">
        <v>2260</v>
      </c>
      <c r="BZ74" s="769" t="s">
        <v>2260</v>
      </c>
      <c r="CA74" s="777" t="s">
        <v>2260</v>
      </c>
      <c r="CB74" s="769" t="s">
        <v>2260</v>
      </c>
      <c r="CC74" s="769" t="s">
        <v>2260</v>
      </c>
      <c r="CD74" s="769" t="s">
        <v>2260</v>
      </c>
      <c r="CE74" s="774" t="s">
        <v>2260</v>
      </c>
      <c r="CF74" s="769" t="s">
        <v>2260</v>
      </c>
      <c r="CG74" s="769" t="s">
        <v>2260</v>
      </c>
      <c r="CH74" s="769" t="s">
        <v>2260</v>
      </c>
      <c r="CI74" s="769" t="s">
        <v>2260</v>
      </c>
      <c r="CJ74" s="769" t="s">
        <v>2260</v>
      </c>
      <c r="CK74" s="777" t="s">
        <v>2260</v>
      </c>
      <c r="CL74" s="769" t="s">
        <v>2260</v>
      </c>
      <c r="CM74" s="769" t="s">
        <v>2260</v>
      </c>
      <c r="CN74" s="769" t="s">
        <v>2260</v>
      </c>
      <c r="CO74" s="774" t="s">
        <v>2260</v>
      </c>
      <c r="CP74" s="777" t="s">
        <v>2260</v>
      </c>
      <c r="CQ74" s="769" t="s">
        <v>2260</v>
      </c>
      <c r="CR74" s="769" t="s">
        <v>2260</v>
      </c>
      <c r="CS74" s="769" t="s">
        <v>2260</v>
      </c>
      <c r="CT74" s="774" t="s">
        <v>2260</v>
      </c>
      <c r="CU74" s="1253" t="s">
        <v>2260</v>
      </c>
      <c r="CV74" s="1252" t="s">
        <v>2260</v>
      </c>
      <c r="CW74" s="1252" t="s">
        <v>2260</v>
      </c>
      <c r="CX74" s="1254" t="s">
        <v>2260</v>
      </c>
      <c r="CY74" s="1252" t="s">
        <v>2260</v>
      </c>
      <c r="CZ74" s="1252" t="s">
        <v>2260</v>
      </c>
      <c r="DA74" s="1252" t="s">
        <v>2260</v>
      </c>
      <c r="DB74" s="1254" t="s">
        <v>2260</v>
      </c>
      <c r="DC74" s="754"/>
      <c r="DD74" s="782"/>
      <c r="DE74" s="783"/>
    </row>
    <row r="75" spans="1:109" ht="15.75" customHeight="1">
      <c r="A75" s="741" t="s">
        <v>1102</v>
      </c>
      <c r="B75" s="742">
        <v>69</v>
      </c>
      <c r="C75" s="758" t="s">
        <v>1743</v>
      </c>
      <c r="D75" s="742"/>
      <c r="E75" s="742"/>
      <c r="F75" s="754">
        <v>46</v>
      </c>
      <c r="G75" s="759" t="s">
        <v>2445</v>
      </c>
      <c r="H75" s="760"/>
      <c r="I75" s="761"/>
      <c r="J75" s="762"/>
      <c r="K75" s="762"/>
      <c r="L75" s="762"/>
      <c r="M75" s="762"/>
      <c r="N75" s="762"/>
      <c r="O75" s="762"/>
      <c r="P75" s="763"/>
      <c r="Q75" s="764">
        <f t="shared" si="1"/>
        <v>0</v>
      </c>
      <c r="R75" s="758" t="s">
        <v>1825</v>
      </c>
      <c r="S75" s="742"/>
      <c r="T75" s="765"/>
      <c r="U75" s="742"/>
      <c r="V75" s="742" t="s">
        <v>1890</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2444</v>
      </c>
      <c r="AR75" s="769" t="s">
        <v>2444</v>
      </c>
      <c r="AS75" s="769" t="s">
        <v>2444</v>
      </c>
      <c r="AT75" s="769" t="s">
        <v>2444</v>
      </c>
      <c r="AU75" s="774" t="s">
        <v>628</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2260</v>
      </c>
      <c r="BR75" s="769" t="s">
        <v>2260</v>
      </c>
      <c r="BS75" s="769" t="s">
        <v>2260</v>
      </c>
      <c r="BT75" s="769" t="s">
        <v>2260</v>
      </c>
      <c r="BU75" s="774" t="s">
        <v>2260</v>
      </c>
      <c r="BV75" s="777" t="s">
        <v>2260</v>
      </c>
      <c r="BW75" s="769" t="s">
        <v>2260</v>
      </c>
      <c r="BX75" s="769" t="s">
        <v>2260</v>
      </c>
      <c r="BY75" s="769" t="s">
        <v>2260</v>
      </c>
      <c r="BZ75" s="769" t="s">
        <v>2260</v>
      </c>
      <c r="CA75" s="777" t="s">
        <v>2260</v>
      </c>
      <c r="CB75" s="769" t="s">
        <v>2260</v>
      </c>
      <c r="CC75" s="769" t="s">
        <v>2260</v>
      </c>
      <c r="CD75" s="769" t="s">
        <v>2260</v>
      </c>
      <c r="CE75" s="774" t="s">
        <v>2260</v>
      </c>
      <c r="CF75" s="769" t="s">
        <v>2260</v>
      </c>
      <c r="CG75" s="769" t="s">
        <v>2260</v>
      </c>
      <c r="CH75" s="769" t="s">
        <v>2260</v>
      </c>
      <c r="CI75" s="769" t="s">
        <v>2260</v>
      </c>
      <c r="CJ75" s="769" t="s">
        <v>2260</v>
      </c>
      <c r="CK75" s="777" t="s">
        <v>2260</v>
      </c>
      <c r="CL75" s="769" t="s">
        <v>2260</v>
      </c>
      <c r="CM75" s="769" t="s">
        <v>2260</v>
      </c>
      <c r="CN75" s="769" t="s">
        <v>2260</v>
      </c>
      <c r="CO75" s="774" t="s">
        <v>2260</v>
      </c>
      <c r="CP75" s="777" t="s">
        <v>2260</v>
      </c>
      <c r="CQ75" s="769" t="s">
        <v>2260</v>
      </c>
      <c r="CR75" s="769" t="s">
        <v>2260</v>
      </c>
      <c r="CS75" s="769" t="s">
        <v>2260</v>
      </c>
      <c r="CT75" s="774" t="s">
        <v>2260</v>
      </c>
      <c r="CU75" s="1253" t="s">
        <v>2260</v>
      </c>
      <c r="CV75" s="1252" t="s">
        <v>2260</v>
      </c>
      <c r="CW75" s="1252" t="s">
        <v>2260</v>
      </c>
      <c r="CX75" s="1254" t="s">
        <v>2260</v>
      </c>
      <c r="CY75" s="1252" t="s">
        <v>2260</v>
      </c>
      <c r="CZ75" s="1252" t="s">
        <v>2260</v>
      </c>
      <c r="DA75" s="1252" t="s">
        <v>2260</v>
      </c>
      <c r="DB75" s="1254" t="s">
        <v>2260</v>
      </c>
      <c r="DC75" s="754"/>
      <c r="DD75" s="782"/>
      <c r="DE75" s="783"/>
    </row>
    <row r="76" spans="1:109" ht="15.75" customHeight="1">
      <c r="A76" s="741" t="s">
        <v>1102</v>
      </c>
      <c r="B76" s="742">
        <v>70</v>
      </c>
      <c r="C76" s="758" t="s">
        <v>1440</v>
      </c>
      <c r="D76" s="742"/>
      <c r="E76" s="742"/>
      <c r="F76" s="754">
        <v>47</v>
      </c>
      <c r="G76" s="759" t="s">
        <v>2446</v>
      </c>
      <c r="H76" s="760"/>
      <c r="I76" s="761"/>
      <c r="J76" s="762">
        <v>1</v>
      </c>
      <c r="K76" s="762"/>
      <c r="L76" s="762"/>
      <c r="M76" s="762"/>
      <c r="N76" s="762"/>
      <c r="O76" s="762"/>
      <c r="P76" s="763"/>
      <c r="Q76" s="764">
        <f t="shared" si="1"/>
        <v>1</v>
      </c>
      <c r="R76" s="758" t="s">
        <v>1846</v>
      </c>
      <c r="S76" s="742" t="s">
        <v>1826</v>
      </c>
      <c r="T76" s="765" t="s">
        <v>1837</v>
      </c>
      <c r="U76" s="742"/>
      <c r="V76" s="742" t="s">
        <v>1890</v>
      </c>
      <c r="W76" s="742" t="s">
        <v>1900</v>
      </c>
      <c r="X76" s="798">
        <v>0</v>
      </c>
      <c r="Y76" s="788" t="s">
        <v>1876</v>
      </c>
      <c r="Z76" s="759"/>
      <c r="AA76" s="754"/>
      <c r="AB76" s="754"/>
      <c r="AC76" s="754"/>
      <c r="AD76" s="754"/>
      <c r="AE76" s="754"/>
      <c r="AF76" s="768"/>
      <c r="AG76" s="769"/>
      <c r="AH76" s="769"/>
      <c r="AI76" s="769"/>
      <c r="AJ76" s="769"/>
      <c r="AK76" s="769"/>
      <c r="AL76" s="769"/>
      <c r="AM76" s="769"/>
      <c r="AN76" s="769"/>
      <c r="AO76" s="769"/>
      <c r="AP76" s="769"/>
      <c r="AQ76" s="777" t="s">
        <v>2447</v>
      </c>
      <c r="AR76" s="769" t="s">
        <v>2447</v>
      </c>
      <c r="AS76" s="769" t="s">
        <v>2447</v>
      </c>
      <c r="AT76" s="769" t="s">
        <v>2447</v>
      </c>
      <c r="AU76" s="774" t="s">
        <v>2447</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210</v>
      </c>
      <c r="BQ76" s="777" t="s">
        <v>2260</v>
      </c>
      <c r="BR76" s="769" t="s">
        <v>2260</v>
      </c>
      <c r="BS76" s="769" t="s">
        <v>2260</v>
      </c>
      <c r="BT76" s="769" t="s">
        <v>2260</v>
      </c>
      <c r="BU76" s="774" t="s">
        <v>2260</v>
      </c>
      <c r="BV76" s="777" t="s">
        <v>2260</v>
      </c>
      <c r="BW76" s="769" t="s">
        <v>2260</v>
      </c>
      <c r="BX76" s="769" t="s">
        <v>2260</v>
      </c>
      <c r="BY76" s="769" t="s">
        <v>2260</v>
      </c>
      <c r="BZ76" s="769" t="s">
        <v>2260</v>
      </c>
      <c r="CA76" s="777" t="s">
        <v>2260</v>
      </c>
      <c r="CB76" s="769" t="s">
        <v>2260</v>
      </c>
      <c r="CC76" s="769" t="s">
        <v>2260</v>
      </c>
      <c r="CD76" s="769" t="s">
        <v>2260</v>
      </c>
      <c r="CE76" s="774" t="s">
        <v>2260</v>
      </c>
      <c r="CF76" s="769" t="s">
        <v>2260</v>
      </c>
      <c r="CG76" s="769" t="s">
        <v>2260</v>
      </c>
      <c r="CH76" s="769" t="s">
        <v>2260</v>
      </c>
      <c r="CI76" s="769" t="s">
        <v>2260</v>
      </c>
      <c r="CJ76" s="769" t="s">
        <v>2260</v>
      </c>
      <c r="CK76" s="777" t="s">
        <v>2260</v>
      </c>
      <c r="CL76" s="769" t="s">
        <v>2260</v>
      </c>
      <c r="CM76" s="769" t="s">
        <v>2260</v>
      </c>
      <c r="CN76" s="769" t="s">
        <v>2260</v>
      </c>
      <c r="CO76" s="774" t="s">
        <v>2260</v>
      </c>
      <c r="CP76" s="777" t="s">
        <v>2260</v>
      </c>
      <c r="CQ76" s="769" t="s">
        <v>2260</v>
      </c>
      <c r="CR76" s="769" t="s">
        <v>2260</v>
      </c>
      <c r="CS76" s="769" t="s">
        <v>2260</v>
      </c>
      <c r="CT76" s="774" t="s">
        <v>2260</v>
      </c>
      <c r="CU76" s="1253">
        <v>-0.47</v>
      </c>
      <c r="CV76" s="1252" t="s">
        <v>2260</v>
      </c>
      <c r="CW76" s="1252" t="s">
        <v>2260</v>
      </c>
      <c r="CX76" s="1254" t="s">
        <v>2260</v>
      </c>
      <c r="CY76" s="1252" t="s">
        <v>2260</v>
      </c>
      <c r="CZ76" s="1252" t="s">
        <v>2260</v>
      </c>
      <c r="DA76" s="1252" t="s">
        <v>2260</v>
      </c>
      <c r="DB76" s="1254" t="s">
        <v>2260</v>
      </c>
      <c r="DC76" s="754"/>
      <c r="DD76" s="782"/>
      <c r="DE76" s="783"/>
    </row>
    <row r="77" spans="1:109" ht="15.75" customHeight="1">
      <c r="A77" s="741" t="s">
        <v>1102</v>
      </c>
      <c r="B77" s="742">
        <v>71</v>
      </c>
      <c r="C77" s="758" t="s">
        <v>1454</v>
      </c>
      <c r="D77" s="742"/>
      <c r="E77" s="742"/>
      <c r="F77" s="754">
        <v>48</v>
      </c>
      <c r="G77" s="759" t="s">
        <v>2448</v>
      </c>
      <c r="H77" s="760"/>
      <c r="I77" s="761"/>
      <c r="J77" s="762">
        <v>1</v>
      </c>
      <c r="K77" s="762"/>
      <c r="L77" s="762"/>
      <c r="M77" s="762"/>
      <c r="N77" s="762"/>
      <c r="O77" s="762"/>
      <c r="P77" s="763"/>
      <c r="Q77" s="764">
        <f t="shared" si="1"/>
        <v>1</v>
      </c>
      <c r="R77" s="758" t="s">
        <v>2449</v>
      </c>
      <c r="S77" s="742" t="s">
        <v>1826</v>
      </c>
      <c r="T77" s="765" t="s">
        <v>1837</v>
      </c>
      <c r="U77" s="742"/>
      <c r="V77" s="742" t="s">
        <v>1890</v>
      </c>
      <c r="W77" s="742" t="s">
        <v>2450</v>
      </c>
      <c r="X77" s="1243">
        <v>0</v>
      </c>
      <c r="Y77" s="788" t="s">
        <v>1876</v>
      </c>
      <c r="Z77" s="759"/>
      <c r="AA77" s="754"/>
      <c r="AB77" s="754"/>
      <c r="AC77" s="754"/>
      <c r="AD77" s="754"/>
      <c r="AE77" s="754"/>
      <c r="AF77" s="768"/>
      <c r="AG77" s="769"/>
      <c r="AH77" s="769"/>
      <c r="AI77" s="769"/>
      <c r="AJ77" s="769"/>
      <c r="AK77" s="769"/>
      <c r="AL77" s="769"/>
      <c r="AM77" s="769"/>
      <c r="AN77" s="769"/>
      <c r="AO77" s="769"/>
      <c r="AP77" s="769"/>
      <c r="AQ77" s="777" t="s">
        <v>2447</v>
      </c>
      <c r="AR77" s="769" t="s">
        <v>2447</v>
      </c>
      <c r="AS77" s="769" t="s">
        <v>2447</v>
      </c>
      <c r="AT77" s="769" t="s">
        <v>2447</v>
      </c>
      <c r="AU77" s="774" t="s">
        <v>2447</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210</v>
      </c>
      <c r="BQ77" s="777" t="s">
        <v>2260</v>
      </c>
      <c r="BR77" s="769" t="s">
        <v>2260</v>
      </c>
      <c r="BS77" s="769" t="s">
        <v>2260</v>
      </c>
      <c r="BT77" s="769" t="s">
        <v>2260</v>
      </c>
      <c r="BU77" s="774" t="s">
        <v>2260</v>
      </c>
      <c r="BV77" s="777" t="s">
        <v>2260</v>
      </c>
      <c r="BW77" s="769" t="s">
        <v>2260</v>
      </c>
      <c r="BX77" s="769" t="s">
        <v>2260</v>
      </c>
      <c r="BY77" s="769" t="s">
        <v>2260</v>
      </c>
      <c r="BZ77" s="769" t="s">
        <v>2260</v>
      </c>
      <c r="CA77" s="777" t="s">
        <v>2260</v>
      </c>
      <c r="CB77" s="769" t="s">
        <v>2260</v>
      </c>
      <c r="CC77" s="769" t="s">
        <v>2260</v>
      </c>
      <c r="CD77" s="769" t="s">
        <v>2260</v>
      </c>
      <c r="CE77" s="774" t="s">
        <v>2260</v>
      </c>
      <c r="CF77" s="769" t="s">
        <v>2260</v>
      </c>
      <c r="CG77" s="769" t="s">
        <v>2260</v>
      </c>
      <c r="CH77" s="769" t="s">
        <v>2260</v>
      </c>
      <c r="CI77" s="769" t="s">
        <v>2260</v>
      </c>
      <c r="CJ77" s="769" t="s">
        <v>2260</v>
      </c>
      <c r="CK77" s="777" t="s">
        <v>2260</v>
      </c>
      <c r="CL77" s="769" t="s">
        <v>2260</v>
      </c>
      <c r="CM77" s="769" t="s">
        <v>2260</v>
      </c>
      <c r="CN77" s="769" t="s">
        <v>2260</v>
      </c>
      <c r="CO77" s="774" t="s">
        <v>2260</v>
      </c>
      <c r="CP77" s="777" t="s">
        <v>2260</v>
      </c>
      <c r="CQ77" s="769" t="s">
        <v>2260</v>
      </c>
      <c r="CR77" s="769" t="s">
        <v>2260</v>
      </c>
      <c r="CS77" s="769" t="s">
        <v>2260</v>
      </c>
      <c r="CT77" s="774" t="s">
        <v>2260</v>
      </c>
      <c r="CU77" s="1253" t="s">
        <v>2260</v>
      </c>
      <c r="CV77" s="1252" t="s">
        <v>2260</v>
      </c>
      <c r="CW77" s="1252" t="s">
        <v>2260</v>
      </c>
      <c r="CX77" s="1254" t="s">
        <v>2260</v>
      </c>
      <c r="CY77" s="1252">
        <v>0.94</v>
      </c>
      <c r="CZ77" s="1252" t="s">
        <v>2260</v>
      </c>
      <c r="DA77" s="1252" t="s">
        <v>2260</v>
      </c>
      <c r="DB77" s="1254" t="s">
        <v>2260</v>
      </c>
      <c r="DC77" s="754"/>
      <c r="DD77" s="782"/>
      <c r="DE77" s="783"/>
    </row>
    <row r="78" spans="1:109" ht="15.75" hidden="1" customHeight="1">
      <c r="A78" s="741" t="s">
        <v>1260</v>
      </c>
      <c r="B78" s="742">
        <v>72</v>
      </c>
      <c r="C78" s="758" t="s">
        <v>1117</v>
      </c>
      <c r="D78" s="742" t="s">
        <v>2451</v>
      </c>
      <c r="E78" s="742" t="s">
        <v>2231</v>
      </c>
      <c r="F78" s="754" t="s">
        <v>2452</v>
      </c>
      <c r="G78" s="759" t="s">
        <v>172</v>
      </c>
      <c r="H78" s="760" t="s">
        <v>2453</v>
      </c>
      <c r="I78" s="761"/>
      <c r="J78" s="762">
        <v>1</v>
      </c>
      <c r="K78" s="762"/>
      <c r="L78" s="762"/>
      <c r="M78" s="762"/>
      <c r="N78" s="762"/>
      <c r="O78" s="762"/>
      <c r="P78" s="763"/>
      <c r="Q78" s="764">
        <f t="shared" si="1"/>
        <v>1</v>
      </c>
      <c r="R78" s="758" t="s">
        <v>1846</v>
      </c>
      <c r="S78" s="742" t="s">
        <v>1826</v>
      </c>
      <c r="T78" s="765" t="s">
        <v>1827</v>
      </c>
      <c r="U78" s="742" t="s">
        <v>2247</v>
      </c>
      <c r="V78" s="742" t="s">
        <v>1897</v>
      </c>
      <c r="W78" s="742" t="s">
        <v>2454</v>
      </c>
      <c r="X78" s="798">
        <v>2</v>
      </c>
      <c r="Y78" s="790" t="s">
        <v>1838</v>
      </c>
      <c r="Z78" s="759" t="s">
        <v>172</v>
      </c>
      <c r="AA78" s="754"/>
      <c r="AB78" s="754"/>
      <c r="AC78" s="754"/>
      <c r="AD78" s="754"/>
      <c r="AE78" s="754"/>
      <c r="AF78" s="806"/>
      <c r="AG78" s="769"/>
      <c r="AH78" s="769"/>
      <c r="AI78" s="769"/>
      <c r="AJ78" s="769"/>
      <c r="AK78" s="769"/>
      <c r="AL78" s="769"/>
      <c r="AM78" s="769"/>
      <c r="AN78" s="769"/>
      <c r="AO78" s="769"/>
      <c r="AP78" s="769"/>
      <c r="AQ78" s="1369"/>
      <c r="AR78" s="1319"/>
      <c r="AS78" s="1319"/>
      <c r="AT78" s="1319"/>
      <c r="AU78" s="1320"/>
      <c r="AV78" s="1369"/>
      <c r="AW78" s="1319"/>
      <c r="AX78" s="1319"/>
      <c r="AY78" s="1319"/>
      <c r="AZ78" s="1319"/>
      <c r="BA78" s="1319"/>
      <c r="BB78" s="1319"/>
      <c r="BC78" s="1319"/>
      <c r="BD78" s="1319"/>
      <c r="BE78" s="1319"/>
      <c r="BF78" s="1319"/>
      <c r="BG78" s="1319"/>
      <c r="BH78" s="1319"/>
      <c r="BI78" s="1319"/>
      <c r="BJ78" s="1319"/>
      <c r="BK78" s="1320"/>
      <c r="BL78" s="1327"/>
      <c r="BM78" s="1328"/>
      <c r="BN78" s="1328"/>
      <c r="BO78" s="1328"/>
      <c r="BP78" s="1389"/>
      <c r="BQ78" s="1369"/>
      <c r="BR78" s="1319"/>
      <c r="BS78" s="1319"/>
      <c r="BT78" s="1319"/>
      <c r="BU78" s="1320"/>
      <c r="BV78" s="1369"/>
      <c r="BW78" s="1319"/>
      <c r="BX78" s="1319"/>
      <c r="BY78" s="1319"/>
      <c r="BZ78" s="1319"/>
      <c r="CA78" s="1369"/>
      <c r="CB78" s="1319"/>
      <c r="CC78" s="1319"/>
      <c r="CD78" s="1319"/>
      <c r="CE78" s="1320"/>
      <c r="CF78" s="1319"/>
      <c r="CG78" s="1319"/>
      <c r="CH78" s="1319"/>
      <c r="CI78" s="1319"/>
      <c r="CJ78" s="1319"/>
      <c r="CK78" s="1369"/>
      <c r="CL78" s="1319"/>
      <c r="CM78" s="1319"/>
      <c r="CN78" s="1319"/>
      <c r="CO78" s="1320"/>
      <c r="CP78" s="1369"/>
      <c r="CQ78" s="1319"/>
      <c r="CR78" s="1319"/>
      <c r="CS78" s="1319"/>
      <c r="CT78" s="1320"/>
      <c r="CU78" s="1467"/>
      <c r="CV78" s="1458"/>
      <c r="CW78" s="1458"/>
      <c r="CX78" s="1663"/>
      <c r="CY78" s="1458"/>
      <c r="CZ78" s="1458"/>
      <c r="DA78" s="1458"/>
      <c r="DB78" s="1663"/>
      <c r="DC78" s="1328"/>
      <c r="DD78" s="1664"/>
      <c r="DE78" s="1669"/>
    </row>
    <row r="79" spans="1:109" ht="15.75" hidden="1" customHeight="1">
      <c r="A79" s="741" t="s">
        <v>1260</v>
      </c>
      <c r="B79" s="742">
        <v>73</v>
      </c>
      <c r="C79" s="758" t="s">
        <v>1118</v>
      </c>
      <c r="D79" s="742" t="s">
        <v>2451</v>
      </c>
      <c r="E79" s="742" t="s">
        <v>2217</v>
      </c>
      <c r="F79" s="754" t="s">
        <v>2455</v>
      </c>
      <c r="G79" s="759" t="s">
        <v>179</v>
      </c>
      <c r="H79" s="760" t="s">
        <v>2456</v>
      </c>
      <c r="I79" s="761"/>
      <c r="J79" s="762">
        <v>1</v>
      </c>
      <c r="K79" s="762"/>
      <c r="L79" s="762"/>
      <c r="M79" s="762"/>
      <c r="N79" s="762"/>
      <c r="O79" s="762"/>
      <c r="P79" s="763"/>
      <c r="Q79" s="764">
        <f t="shared" si="1"/>
        <v>1</v>
      </c>
      <c r="R79" s="758" t="s">
        <v>1852</v>
      </c>
      <c r="S79" s="742" t="s">
        <v>1826</v>
      </c>
      <c r="T79" s="765" t="s">
        <v>1827</v>
      </c>
      <c r="U79" s="742" t="s">
        <v>2220</v>
      </c>
      <c r="V79" s="742" t="s">
        <v>1875</v>
      </c>
      <c r="W79" s="742" t="s">
        <v>2343</v>
      </c>
      <c r="X79" s="1243">
        <v>0</v>
      </c>
      <c r="Y79" s="788" t="s">
        <v>1838</v>
      </c>
      <c r="Z79" s="759" t="s">
        <v>179</v>
      </c>
      <c r="AA79" s="754"/>
      <c r="AB79" s="754"/>
      <c r="AC79" s="754"/>
      <c r="AD79" s="754"/>
      <c r="AE79" s="754"/>
      <c r="AF79" s="806"/>
      <c r="AG79" s="769"/>
      <c r="AH79" s="769"/>
      <c r="AI79" s="769"/>
      <c r="AJ79" s="769"/>
      <c r="AK79" s="769"/>
      <c r="AL79" s="769"/>
      <c r="AM79" s="769"/>
      <c r="AN79" s="769"/>
      <c r="AO79" s="769"/>
      <c r="AP79" s="769"/>
      <c r="AQ79" s="1370"/>
      <c r="AR79" s="1324"/>
      <c r="AS79" s="1324"/>
      <c r="AT79" s="1324"/>
      <c r="AU79" s="1325"/>
      <c r="AV79" s="1369"/>
      <c r="AW79" s="1319"/>
      <c r="AX79" s="1319"/>
      <c r="AY79" s="1319"/>
      <c r="AZ79" s="1319"/>
      <c r="BA79" s="1319"/>
      <c r="BB79" s="1319"/>
      <c r="BC79" s="1319"/>
      <c r="BD79" s="1319"/>
      <c r="BE79" s="1319"/>
      <c r="BF79" s="1319"/>
      <c r="BG79" s="1319"/>
      <c r="BH79" s="1319"/>
      <c r="BI79" s="1319"/>
      <c r="BJ79" s="1319"/>
      <c r="BK79" s="1320"/>
      <c r="BL79" s="1327"/>
      <c r="BM79" s="1328"/>
      <c r="BN79" s="1328"/>
      <c r="BO79" s="1328"/>
      <c r="BP79" s="1389"/>
      <c r="BQ79" s="1369"/>
      <c r="BR79" s="1319"/>
      <c r="BS79" s="1319"/>
      <c r="BT79" s="1319"/>
      <c r="BU79" s="1320"/>
      <c r="BV79" s="1369"/>
      <c r="BW79" s="1319"/>
      <c r="BX79" s="1319"/>
      <c r="BY79" s="1319"/>
      <c r="BZ79" s="1319"/>
      <c r="CA79" s="1369"/>
      <c r="CB79" s="1319"/>
      <c r="CC79" s="1319"/>
      <c r="CD79" s="1319"/>
      <c r="CE79" s="1320"/>
      <c r="CF79" s="1319"/>
      <c r="CG79" s="1319"/>
      <c r="CH79" s="1319"/>
      <c r="CI79" s="1319"/>
      <c r="CJ79" s="1320"/>
      <c r="CK79" s="1322"/>
      <c r="CL79" s="1322"/>
      <c r="CM79" s="1322"/>
      <c r="CN79" s="1322"/>
      <c r="CO79" s="1322"/>
      <c r="CP79" s="1369"/>
      <c r="CQ79" s="1319"/>
      <c r="CR79" s="1319"/>
      <c r="CS79" s="1319"/>
      <c r="CT79" s="1320"/>
      <c r="CU79" s="1467"/>
      <c r="CV79" s="1458"/>
      <c r="CW79" s="1458"/>
      <c r="CX79" s="1663"/>
      <c r="CY79" s="1458"/>
      <c r="CZ79" s="1458"/>
      <c r="DA79" s="1458"/>
      <c r="DB79" s="1663"/>
      <c r="DC79" s="1328"/>
      <c r="DD79" s="1664"/>
      <c r="DE79" s="1669"/>
    </row>
    <row r="80" spans="1:109" ht="15.75" hidden="1" customHeight="1">
      <c r="A80" s="741" t="s">
        <v>1260</v>
      </c>
      <c r="B80" s="742">
        <v>74</v>
      </c>
      <c r="C80" s="758" t="s">
        <v>1121</v>
      </c>
      <c r="D80" s="742" t="s">
        <v>2451</v>
      </c>
      <c r="E80" s="742" t="s">
        <v>2217</v>
      </c>
      <c r="F80" s="754" t="s">
        <v>2457</v>
      </c>
      <c r="G80" s="759" t="s">
        <v>203</v>
      </c>
      <c r="H80" s="760" t="s">
        <v>2458</v>
      </c>
      <c r="I80" s="761"/>
      <c r="J80" s="762">
        <v>1</v>
      </c>
      <c r="K80" s="762"/>
      <c r="L80" s="762"/>
      <c r="M80" s="762"/>
      <c r="N80" s="762"/>
      <c r="O80" s="762"/>
      <c r="P80" s="763"/>
      <c r="Q80" s="764">
        <f t="shared" si="1"/>
        <v>1</v>
      </c>
      <c r="R80" s="758" t="s">
        <v>1846</v>
      </c>
      <c r="S80" s="742" t="s">
        <v>1826</v>
      </c>
      <c r="T80" s="765" t="s">
        <v>1827</v>
      </c>
      <c r="U80" s="742" t="s">
        <v>2363</v>
      </c>
      <c r="V80" s="742" t="s">
        <v>1857</v>
      </c>
      <c r="W80" s="742" t="s">
        <v>2459</v>
      </c>
      <c r="X80" s="1243">
        <v>0</v>
      </c>
      <c r="Y80" s="791" t="s">
        <v>1838</v>
      </c>
      <c r="Z80" s="759" t="s">
        <v>203</v>
      </c>
      <c r="AA80" s="754"/>
      <c r="AB80" s="754"/>
      <c r="AC80" s="754"/>
      <c r="AD80" s="754"/>
      <c r="AE80" s="754"/>
      <c r="AF80" s="806"/>
      <c r="AG80" s="769"/>
      <c r="AH80" s="769"/>
      <c r="AI80" s="769"/>
      <c r="AJ80" s="769"/>
      <c r="AK80" s="769"/>
      <c r="AL80" s="769"/>
      <c r="AM80" s="769"/>
      <c r="AN80" s="769"/>
      <c r="AO80" s="769"/>
      <c r="AP80" s="769"/>
      <c r="AQ80" s="1370"/>
      <c r="AR80" s="1324"/>
      <c r="AS80" s="1324"/>
      <c r="AT80" s="1324"/>
      <c r="AU80" s="1325"/>
      <c r="AV80" s="1369"/>
      <c r="AW80" s="1319"/>
      <c r="AX80" s="1319"/>
      <c r="AY80" s="1319"/>
      <c r="AZ80" s="1319"/>
      <c r="BA80" s="1319"/>
      <c r="BB80" s="1319"/>
      <c r="BC80" s="1319"/>
      <c r="BD80" s="1319"/>
      <c r="BE80" s="1319"/>
      <c r="BF80" s="1319"/>
      <c r="BG80" s="1319"/>
      <c r="BH80" s="1319"/>
      <c r="BI80" s="1319"/>
      <c r="BJ80" s="1319"/>
      <c r="BK80" s="1320"/>
      <c r="BL80" s="1327"/>
      <c r="BM80" s="1328"/>
      <c r="BN80" s="1328"/>
      <c r="BO80" s="1328"/>
      <c r="BP80" s="1389"/>
      <c r="BQ80" s="1369"/>
      <c r="BR80" s="1319"/>
      <c r="BS80" s="1319"/>
      <c r="BT80" s="1319"/>
      <c r="BU80" s="1320"/>
      <c r="BV80" s="1370"/>
      <c r="BW80" s="1324"/>
      <c r="BX80" s="1324"/>
      <c r="BY80" s="1324"/>
      <c r="BZ80" s="1324"/>
      <c r="CA80" s="1460"/>
      <c r="CB80" s="1665"/>
      <c r="CC80" s="1665"/>
      <c r="CD80" s="1665"/>
      <c r="CE80" s="1466"/>
      <c r="CF80" s="1319"/>
      <c r="CG80" s="1319"/>
      <c r="CH80" s="1319"/>
      <c r="CI80" s="1319"/>
      <c r="CJ80" s="1320"/>
      <c r="CK80" s="1369"/>
      <c r="CL80" s="1319"/>
      <c r="CM80" s="1319"/>
      <c r="CN80" s="1319"/>
      <c r="CO80" s="1320"/>
      <c r="CP80" s="1369"/>
      <c r="CQ80" s="1319"/>
      <c r="CR80" s="1319"/>
      <c r="CS80" s="1319"/>
      <c r="CT80" s="1320"/>
      <c r="CU80" s="1467"/>
      <c r="CV80" s="1458"/>
      <c r="CW80" s="1458"/>
      <c r="CX80" s="1663"/>
      <c r="CY80" s="1458"/>
      <c r="CZ80" s="1458"/>
      <c r="DA80" s="1458"/>
      <c r="DB80" s="1663"/>
      <c r="DC80" s="1328"/>
      <c r="DD80" s="1664"/>
      <c r="DE80" s="1669"/>
    </row>
    <row r="81" spans="1:109" ht="15.75" hidden="1" customHeight="1">
      <c r="A81" s="741" t="s">
        <v>1260</v>
      </c>
      <c r="B81" s="742">
        <v>75</v>
      </c>
      <c r="C81" s="758" t="s">
        <v>1122</v>
      </c>
      <c r="D81" s="742" t="s">
        <v>2451</v>
      </c>
      <c r="E81" s="742" t="s">
        <v>2231</v>
      </c>
      <c r="F81" s="754" t="s">
        <v>2460</v>
      </c>
      <c r="G81" s="759" t="s">
        <v>209</v>
      </c>
      <c r="H81" s="760" t="s">
        <v>2461</v>
      </c>
      <c r="I81" s="761"/>
      <c r="J81" s="762">
        <v>1</v>
      </c>
      <c r="K81" s="762"/>
      <c r="L81" s="762"/>
      <c r="M81" s="762"/>
      <c r="N81" s="762"/>
      <c r="O81" s="762"/>
      <c r="P81" s="763"/>
      <c r="Q81" s="764">
        <f t="shared" si="1"/>
        <v>1</v>
      </c>
      <c r="R81" s="758" t="s">
        <v>1846</v>
      </c>
      <c r="S81" s="742" t="s">
        <v>1826</v>
      </c>
      <c r="T81" s="765" t="s">
        <v>1827</v>
      </c>
      <c r="U81" s="742" t="s">
        <v>2238</v>
      </c>
      <c r="V81" s="742" t="s">
        <v>321</v>
      </c>
      <c r="W81" s="742" t="s">
        <v>2366</v>
      </c>
      <c r="X81" s="798">
        <v>2</v>
      </c>
      <c r="Y81" s="795" t="s">
        <v>1838</v>
      </c>
      <c r="Z81" s="759" t="s">
        <v>209</v>
      </c>
      <c r="AA81" s="754"/>
      <c r="AB81" s="754"/>
      <c r="AC81" s="754"/>
      <c r="AD81" s="754"/>
      <c r="AE81" s="754"/>
      <c r="AF81" s="806"/>
      <c r="AG81" s="769"/>
      <c r="AH81" s="769"/>
      <c r="AI81" s="769"/>
      <c r="AJ81" s="769"/>
      <c r="AK81" s="769"/>
      <c r="AL81" s="769"/>
      <c r="AM81" s="769"/>
      <c r="AN81" s="769"/>
      <c r="AO81" s="769"/>
      <c r="AP81" s="766"/>
      <c r="AQ81" s="1370"/>
      <c r="AR81" s="1324"/>
      <c r="AS81" s="1324"/>
      <c r="AT81" s="1324"/>
      <c r="AU81" s="1325"/>
      <c r="AV81" s="1675"/>
      <c r="AW81" s="1676"/>
      <c r="AX81" s="1676"/>
      <c r="AY81" s="1676"/>
      <c r="AZ81" s="1676"/>
      <c r="BA81" s="1319"/>
      <c r="BB81" s="1319"/>
      <c r="BC81" s="1319"/>
      <c r="BD81" s="1319"/>
      <c r="BE81" s="1319"/>
      <c r="BF81" s="1319"/>
      <c r="BG81" s="1319"/>
      <c r="BH81" s="1319"/>
      <c r="BI81" s="1319"/>
      <c r="BJ81" s="1319"/>
      <c r="BK81" s="1320"/>
      <c r="BL81" s="1327"/>
      <c r="BM81" s="1328"/>
      <c r="BN81" s="1328"/>
      <c r="BO81" s="1328"/>
      <c r="BP81" s="1389"/>
      <c r="BQ81" s="1369"/>
      <c r="BR81" s="1319"/>
      <c r="BS81" s="1319"/>
      <c r="BT81" s="1319"/>
      <c r="BU81" s="1320"/>
      <c r="BV81" s="1369"/>
      <c r="BW81" s="1319"/>
      <c r="BX81" s="1319"/>
      <c r="BY81" s="1319"/>
      <c r="BZ81" s="1319"/>
      <c r="CA81" s="1370"/>
      <c r="CB81" s="1324"/>
      <c r="CC81" s="1324"/>
      <c r="CD81" s="1324"/>
      <c r="CE81" s="1325"/>
      <c r="CF81" s="1319"/>
      <c r="CG81" s="1319"/>
      <c r="CH81" s="1319"/>
      <c r="CI81" s="1319"/>
      <c r="CJ81" s="1319"/>
      <c r="CK81" s="1369"/>
      <c r="CL81" s="1319"/>
      <c r="CM81" s="1319"/>
      <c r="CN81" s="1319"/>
      <c r="CO81" s="1320"/>
      <c r="CP81" s="1369"/>
      <c r="CQ81" s="1319"/>
      <c r="CR81" s="1319"/>
      <c r="CS81" s="1319"/>
      <c r="CT81" s="1320"/>
      <c r="CU81" s="1467"/>
      <c r="CV81" s="1458"/>
      <c r="CW81" s="1458"/>
      <c r="CX81" s="1663"/>
      <c r="CY81" s="1458"/>
      <c r="CZ81" s="1458"/>
      <c r="DA81" s="1458"/>
      <c r="DB81" s="1663"/>
      <c r="DC81" s="1328"/>
      <c r="DD81" s="1664"/>
      <c r="DE81" s="1669"/>
    </row>
    <row r="82" spans="1:109" ht="15.75" hidden="1" customHeight="1">
      <c r="A82" s="741" t="s">
        <v>1260</v>
      </c>
      <c r="B82" s="742">
        <v>76</v>
      </c>
      <c r="C82" s="758" t="s">
        <v>1127</v>
      </c>
      <c r="D82" s="742" t="s">
        <v>2451</v>
      </c>
      <c r="E82" s="742" t="s">
        <v>2231</v>
      </c>
      <c r="F82" s="754" t="s">
        <v>2462</v>
      </c>
      <c r="G82" s="759" t="s">
        <v>567</v>
      </c>
      <c r="H82" s="760" t="s">
        <v>2463</v>
      </c>
      <c r="I82" s="761">
        <v>1</v>
      </c>
      <c r="J82" s="762"/>
      <c r="K82" s="762"/>
      <c r="L82" s="762"/>
      <c r="M82" s="762"/>
      <c r="N82" s="762"/>
      <c r="O82" s="762"/>
      <c r="P82" s="763"/>
      <c r="Q82" s="764">
        <f t="shared" si="1"/>
        <v>1</v>
      </c>
      <c r="R82" s="758" t="s">
        <v>1825</v>
      </c>
      <c r="S82" s="742"/>
      <c r="T82" s="765"/>
      <c r="U82" s="742" t="s">
        <v>2234</v>
      </c>
      <c r="V82" s="742" t="s">
        <v>321</v>
      </c>
      <c r="W82" s="742" t="s">
        <v>2464</v>
      </c>
      <c r="X82" s="1277">
        <v>0</v>
      </c>
      <c r="Y82" s="790" t="s">
        <v>1838</v>
      </c>
      <c r="Z82" s="759" t="s">
        <v>567</v>
      </c>
      <c r="AA82" s="754"/>
      <c r="AB82" s="754"/>
      <c r="AC82" s="754"/>
      <c r="AD82" s="754"/>
      <c r="AE82" s="754"/>
      <c r="AF82" s="806"/>
      <c r="AG82" s="769"/>
      <c r="AH82" s="769"/>
      <c r="AI82" s="769"/>
      <c r="AJ82" s="769"/>
      <c r="AK82" s="769"/>
      <c r="AL82" s="769"/>
      <c r="AM82" s="769"/>
      <c r="AN82" s="785"/>
      <c r="AO82" s="785"/>
      <c r="AP82" s="785"/>
      <c r="AQ82" s="1460"/>
      <c r="AR82" s="1665"/>
      <c r="AS82" s="1665"/>
      <c r="AT82" s="1665"/>
      <c r="AU82" s="1466"/>
      <c r="AV82" s="1460"/>
      <c r="AW82" s="1665"/>
      <c r="AX82" s="1665"/>
      <c r="AY82" s="1665"/>
      <c r="AZ82" s="1665"/>
      <c r="BA82" s="1665"/>
      <c r="BB82" s="1665"/>
      <c r="BC82" s="1665"/>
      <c r="BD82" s="1665"/>
      <c r="BE82" s="1665"/>
      <c r="BF82" s="1665"/>
      <c r="BG82" s="1665"/>
      <c r="BH82" s="1665"/>
      <c r="BI82" s="1665"/>
      <c r="BJ82" s="1665"/>
      <c r="BK82" s="1466"/>
      <c r="BL82" s="1327"/>
      <c r="BM82" s="1328"/>
      <c r="BN82" s="1328"/>
      <c r="BO82" s="1328"/>
      <c r="BP82" s="1389"/>
      <c r="BQ82" s="1369"/>
      <c r="BR82" s="1319"/>
      <c r="BS82" s="1319"/>
      <c r="BT82" s="1319"/>
      <c r="BU82" s="1320"/>
      <c r="BV82" s="1369"/>
      <c r="BW82" s="1319"/>
      <c r="BX82" s="1319"/>
      <c r="BY82" s="1319"/>
      <c r="BZ82" s="1319"/>
      <c r="CA82" s="1369"/>
      <c r="CB82" s="1319"/>
      <c r="CC82" s="1319"/>
      <c r="CD82" s="1319"/>
      <c r="CE82" s="1320"/>
      <c r="CF82" s="1319"/>
      <c r="CG82" s="1319"/>
      <c r="CH82" s="1319"/>
      <c r="CI82" s="1319"/>
      <c r="CJ82" s="1320"/>
      <c r="CK82" s="1369"/>
      <c r="CL82" s="1319"/>
      <c r="CM82" s="1319"/>
      <c r="CN82" s="1319"/>
      <c r="CO82" s="1320"/>
      <c r="CP82" s="1369"/>
      <c r="CQ82" s="1319"/>
      <c r="CR82" s="1319"/>
      <c r="CS82" s="1319"/>
      <c r="CT82" s="1320"/>
      <c r="CU82" s="1467"/>
      <c r="CV82" s="1458"/>
      <c r="CW82" s="1458"/>
      <c r="CX82" s="1663"/>
      <c r="CY82" s="1458"/>
      <c r="CZ82" s="1458"/>
      <c r="DA82" s="1458"/>
      <c r="DB82" s="1663"/>
      <c r="DC82" s="1328"/>
      <c r="DD82" s="1664"/>
      <c r="DE82" s="1669"/>
    </row>
    <row r="83" spans="1:109" ht="15.75" hidden="1" customHeight="1">
      <c r="A83" s="741" t="s">
        <v>1260</v>
      </c>
      <c r="B83" s="742">
        <v>77</v>
      </c>
      <c r="C83" s="758" t="s">
        <v>1306</v>
      </c>
      <c r="D83" s="742" t="s">
        <v>2451</v>
      </c>
      <c r="E83" s="742" t="s">
        <v>2217</v>
      </c>
      <c r="F83" s="754" t="s">
        <v>2465</v>
      </c>
      <c r="G83" s="759" t="s">
        <v>2466</v>
      </c>
      <c r="H83" s="760" t="s">
        <v>2467</v>
      </c>
      <c r="I83" s="761"/>
      <c r="J83" s="762">
        <v>1</v>
      </c>
      <c r="K83" s="762"/>
      <c r="L83" s="762"/>
      <c r="M83" s="762"/>
      <c r="N83" s="762"/>
      <c r="O83" s="762"/>
      <c r="P83" s="763"/>
      <c r="Q83" s="764">
        <f t="shared" si="1"/>
        <v>1</v>
      </c>
      <c r="R83" s="758" t="s">
        <v>1852</v>
      </c>
      <c r="S83" s="742" t="s">
        <v>1826</v>
      </c>
      <c r="T83" s="765" t="s">
        <v>1827</v>
      </c>
      <c r="U83" s="742" t="s">
        <v>2421</v>
      </c>
      <c r="V83" s="742" t="s">
        <v>1857</v>
      </c>
      <c r="W83" s="742" t="s">
        <v>2468</v>
      </c>
      <c r="X83" s="798">
        <v>2</v>
      </c>
      <c r="Y83" s="795" t="s">
        <v>1838</v>
      </c>
      <c r="Z83" s="759" t="s">
        <v>2309</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210</v>
      </c>
      <c r="BM83" s="754" t="s">
        <v>210</v>
      </c>
      <c r="BN83" s="754" t="s">
        <v>210</v>
      </c>
      <c r="BO83" s="754" t="s">
        <v>210</v>
      </c>
      <c r="BP83" s="765" t="s">
        <v>210</v>
      </c>
      <c r="BQ83" s="777" t="s">
        <v>2260</v>
      </c>
      <c r="BR83" s="769" t="s">
        <v>2260</v>
      </c>
      <c r="BS83" s="769" t="s">
        <v>2260</v>
      </c>
      <c r="BT83" s="769" t="s">
        <v>2260</v>
      </c>
      <c r="BU83" s="774" t="s">
        <v>2260</v>
      </c>
      <c r="BV83" s="777">
        <v>1.66</v>
      </c>
      <c r="BW83" s="769">
        <v>1.66</v>
      </c>
      <c r="BX83" s="769">
        <v>1.66</v>
      </c>
      <c r="BY83" s="769">
        <v>1.66</v>
      </c>
      <c r="BZ83" s="769">
        <v>1.66</v>
      </c>
      <c r="CA83" s="777" t="s">
        <v>2260</v>
      </c>
      <c r="CB83" s="769" t="s">
        <v>2260</v>
      </c>
      <c r="CC83" s="769" t="s">
        <v>2260</v>
      </c>
      <c r="CD83" s="769" t="s">
        <v>2260</v>
      </c>
      <c r="CE83" s="774" t="s">
        <v>2260</v>
      </c>
      <c r="CF83" s="769" t="s">
        <v>2260</v>
      </c>
      <c r="CG83" s="769" t="s">
        <v>2260</v>
      </c>
      <c r="CH83" s="769" t="s">
        <v>2260</v>
      </c>
      <c r="CI83" s="769" t="s">
        <v>2260</v>
      </c>
      <c r="CJ83" s="774" t="s">
        <v>2260</v>
      </c>
      <c r="CK83" s="777">
        <v>0.44</v>
      </c>
      <c r="CL83" s="769">
        <v>0.39</v>
      </c>
      <c r="CM83" s="769">
        <v>0.33</v>
      </c>
      <c r="CN83" s="769">
        <v>0.3</v>
      </c>
      <c r="CO83" s="774">
        <v>0.28999999999999998</v>
      </c>
      <c r="CP83" s="777" t="s">
        <v>2260</v>
      </c>
      <c r="CQ83" s="769" t="s">
        <v>2260</v>
      </c>
      <c r="CR83" s="769" t="s">
        <v>2260</v>
      </c>
      <c r="CS83" s="769" t="s">
        <v>2260</v>
      </c>
      <c r="CT83" s="774" t="s">
        <v>2260</v>
      </c>
      <c r="CU83" s="1253">
        <v>-0.17499999999999999</v>
      </c>
      <c r="CV83" s="1252" t="s">
        <v>2260</v>
      </c>
      <c r="CW83" s="1252" t="s">
        <v>2260</v>
      </c>
      <c r="CX83" s="1254" t="s">
        <v>2260</v>
      </c>
      <c r="CY83" s="1252">
        <v>0.14599999999999999</v>
      </c>
      <c r="CZ83" s="1252" t="s">
        <v>2260</v>
      </c>
      <c r="DA83" s="1252" t="s">
        <v>2260</v>
      </c>
      <c r="DB83" s="1254" t="s">
        <v>2260</v>
      </c>
      <c r="DC83" s="754"/>
      <c r="DD83" s="782">
        <v>1</v>
      </c>
      <c r="DE83" s="783"/>
    </row>
    <row r="84" spans="1:109" ht="15.75" hidden="1" customHeight="1">
      <c r="A84" s="741" t="s">
        <v>1260</v>
      </c>
      <c r="B84" s="742">
        <v>78</v>
      </c>
      <c r="C84" s="758" t="s">
        <v>1323</v>
      </c>
      <c r="D84" s="742" t="s">
        <v>2451</v>
      </c>
      <c r="E84" s="742" t="s">
        <v>2217</v>
      </c>
      <c r="F84" s="754" t="s">
        <v>2469</v>
      </c>
      <c r="G84" s="759" t="s">
        <v>2470</v>
      </c>
      <c r="H84" s="760" t="s">
        <v>2471</v>
      </c>
      <c r="I84" s="761"/>
      <c r="J84" s="762">
        <v>1</v>
      </c>
      <c r="K84" s="762"/>
      <c r="L84" s="762"/>
      <c r="M84" s="762"/>
      <c r="N84" s="762"/>
      <c r="O84" s="762"/>
      <c r="P84" s="763"/>
      <c r="Q84" s="764">
        <f t="shared" si="1"/>
        <v>1</v>
      </c>
      <c r="R84" s="758" t="s">
        <v>1852</v>
      </c>
      <c r="S84" s="742" t="s">
        <v>1826</v>
      </c>
      <c r="T84" s="765" t="s">
        <v>1827</v>
      </c>
      <c r="U84" s="742" t="s">
        <v>2421</v>
      </c>
      <c r="V84" s="742" t="s">
        <v>1857</v>
      </c>
      <c r="W84" s="742" t="s">
        <v>2468</v>
      </c>
      <c r="X84" s="798">
        <v>2</v>
      </c>
      <c r="Y84" s="790" t="s">
        <v>1838</v>
      </c>
      <c r="Z84" s="759" t="s">
        <v>2309</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210</v>
      </c>
      <c r="BM84" s="754" t="s">
        <v>210</v>
      </c>
      <c r="BN84" s="754" t="s">
        <v>210</v>
      </c>
      <c r="BO84" s="754" t="s">
        <v>210</v>
      </c>
      <c r="BP84" s="765" t="s">
        <v>210</v>
      </c>
      <c r="BQ84" s="777" t="s">
        <v>2260</v>
      </c>
      <c r="BR84" s="769" t="s">
        <v>2260</v>
      </c>
      <c r="BS84" s="769" t="s">
        <v>2260</v>
      </c>
      <c r="BT84" s="769" t="s">
        <v>2260</v>
      </c>
      <c r="BU84" s="774" t="s">
        <v>2260</v>
      </c>
      <c r="BV84" s="777">
        <v>0.8</v>
      </c>
      <c r="BW84" s="769">
        <v>0.8</v>
      </c>
      <c r="BX84" s="769">
        <v>0.8</v>
      </c>
      <c r="BY84" s="769">
        <v>0.8</v>
      </c>
      <c r="BZ84" s="769">
        <v>0.8</v>
      </c>
      <c r="CA84" s="777" t="s">
        <v>2260</v>
      </c>
      <c r="CB84" s="769" t="s">
        <v>2260</v>
      </c>
      <c r="CC84" s="769" t="s">
        <v>2260</v>
      </c>
      <c r="CD84" s="769" t="s">
        <v>2260</v>
      </c>
      <c r="CE84" s="774" t="s">
        <v>2260</v>
      </c>
      <c r="CF84" s="769" t="s">
        <v>2260</v>
      </c>
      <c r="CG84" s="769" t="s">
        <v>2260</v>
      </c>
      <c r="CH84" s="769" t="s">
        <v>2260</v>
      </c>
      <c r="CI84" s="769" t="s">
        <v>2260</v>
      </c>
      <c r="CJ84" s="769" t="s">
        <v>2260</v>
      </c>
      <c r="CK84" s="777">
        <v>0.21</v>
      </c>
      <c r="CL84" s="769">
        <v>0.19</v>
      </c>
      <c r="CM84" s="769">
        <v>0.17</v>
      </c>
      <c r="CN84" s="769">
        <v>0.16</v>
      </c>
      <c r="CO84" s="774">
        <v>0.16</v>
      </c>
      <c r="CP84" s="777" t="s">
        <v>2260</v>
      </c>
      <c r="CQ84" s="769" t="s">
        <v>2260</v>
      </c>
      <c r="CR84" s="769" t="s">
        <v>2260</v>
      </c>
      <c r="CS84" s="769" t="s">
        <v>2260</v>
      </c>
      <c r="CT84" s="774" t="s">
        <v>2260</v>
      </c>
      <c r="CU84" s="1253">
        <v>-0.25600000000000001</v>
      </c>
      <c r="CV84" s="1252" t="s">
        <v>2260</v>
      </c>
      <c r="CW84" s="1252" t="s">
        <v>2260</v>
      </c>
      <c r="CX84" s="1254" t="s">
        <v>2260</v>
      </c>
      <c r="CY84" s="1252">
        <v>0.21299999999999999</v>
      </c>
      <c r="CZ84" s="1252" t="s">
        <v>2260</v>
      </c>
      <c r="DA84" s="1252" t="s">
        <v>2260</v>
      </c>
      <c r="DB84" s="1254" t="s">
        <v>2260</v>
      </c>
      <c r="DC84" s="754"/>
      <c r="DD84" s="782">
        <v>1</v>
      </c>
      <c r="DE84" s="783"/>
    </row>
    <row r="85" spans="1:109" ht="15.75" hidden="1" customHeight="1">
      <c r="A85" s="741" t="s">
        <v>1260</v>
      </c>
      <c r="B85" s="742">
        <v>79</v>
      </c>
      <c r="C85" s="758" t="s">
        <v>1340</v>
      </c>
      <c r="D85" s="742" t="s">
        <v>2451</v>
      </c>
      <c r="E85" s="742" t="s">
        <v>2217</v>
      </c>
      <c r="F85" s="754" t="s">
        <v>2472</v>
      </c>
      <c r="G85" s="759" t="s">
        <v>2293</v>
      </c>
      <c r="H85" s="760" t="s">
        <v>2473</v>
      </c>
      <c r="I85" s="761"/>
      <c r="J85" s="762">
        <v>1</v>
      </c>
      <c r="K85" s="762"/>
      <c r="L85" s="762"/>
      <c r="M85" s="762"/>
      <c r="N85" s="762"/>
      <c r="O85" s="762"/>
      <c r="P85" s="763"/>
      <c r="Q85" s="764">
        <f t="shared" si="1"/>
        <v>1</v>
      </c>
      <c r="R85" s="758" t="s">
        <v>1852</v>
      </c>
      <c r="S85" s="742" t="s">
        <v>1826</v>
      </c>
      <c r="T85" s="765" t="s">
        <v>1827</v>
      </c>
      <c r="U85" s="742" t="s">
        <v>2295</v>
      </c>
      <c r="V85" s="742" t="s">
        <v>1857</v>
      </c>
      <c r="W85" s="742" t="s">
        <v>2304</v>
      </c>
      <c r="X85" s="798">
        <v>0</v>
      </c>
      <c r="Y85" s="788" t="s">
        <v>1838</v>
      </c>
      <c r="Z85" s="759" t="s">
        <v>2297</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210</v>
      </c>
      <c r="BM85" s="754" t="s">
        <v>210</v>
      </c>
      <c r="BN85" s="754" t="s">
        <v>210</v>
      </c>
      <c r="BO85" s="754" t="s">
        <v>210</v>
      </c>
      <c r="BP85" s="765" t="s">
        <v>210</v>
      </c>
      <c r="BQ85" s="777" t="s">
        <v>2260</v>
      </c>
      <c r="BR85" s="769" t="s">
        <v>2260</v>
      </c>
      <c r="BS85" s="769" t="s">
        <v>2260</v>
      </c>
      <c r="BT85" s="769" t="s">
        <v>2260</v>
      </c>
      <c r="BU85" s="774" t="s">
        <v>2260</v>
      </c>
      <c r="BV85" s="775">
        <v>195</v>
      </c>
      <c r="BW85" s="776">
        <v>195</v>
      </c>
      <c r="BX85" s="776">
        <v>195</v>
      </c>
      <c r="BY85" s="776">
        <v>195</v>
      </c>
      <c r="BZ85" s="776">
        <v>195</v>
      </c>
      <c r="CA85" s="777" t="s">
        <v>2260</v>
      </c>
      <c r="CB85" s="769" t="s">
        <v>2260</v>
      </c>
      <c r="CC85" s="769" t="s">
        <v>2260</v>
      </c>
      <c r="CD85" s="769" t="s">
        <v>2260</v>
      </c>
      <c r="CE85" s="774" t="s">
        <v>2260</v>
      </c>
      <c r="CF85" s="769" t="s">
        <v>2260</v>
      </c>
      <c r="CG85" s="769" t="s">
        <v>2260</v>
      </c>
      <c r="CH85" s="769" t="s">
        <v>2260</v>
      </c>
      <c r="CI85" s="769" t="s">
        <v>2260</v>
      </c>
      <c r="CJ85" s="774" t="s">
        <v>2260</v>
      </c>
      <c r="CK85" s="797">
        <v>17</v>
      </c>
      <c r="CL85" s="798">
        <v>15</v>
      </c>
      <c r="CM85" s="798">
        <v>13</v>
      </c>
      <c r="CN85" s="798">
        <v>11</v>
      </c>
      <c r="CO85" s="799">
        <v>10</v>
      </c>
      <c r="CP85" s="777" t="s">
        <v>2260</v>
      </c>
      <c r="CQ85" s="769" t="s">
        <v>2260</v>
      </c>
      <c r="CR85" s="769" t="s">
        <v>2260</v>
      </c>
      <c r="CS85" s="769" t="s">
        <v>2260</v>
      </c>
      <c r="CT85" s="774" t="s">
        <v>2260</v>
      </c>
      <c r="CU85" s="1253">
        <v>-8.6400000000000001E-3</v>
      </c>
      <c r="CV85" s="1252" t="s">
        <v>2260</v>
      </c>
      <c r="CW85" s="1252" t="s">
        <v>2260</v>
      </c>
      <c r="CX85" s="1254" t="s">
        <v>2260</v>
      </c>
      <c r="CY85" s="1252">
        <v>4.5999999999999999E-3</v>
      </c>
      <c r="CZ85" s="1252" t="s">
        <v>2260</v>
      </c>
      <c r="DA85" s="1252" t="s">
        <v>2260</v>
      </c>
      <c r="DB85" s="1254" t="s">
        <v>2260</v>
      </c>
      <c r="DC85" s="754"/>
      <c r="DD85" s="782">
        <v>1</v>
      </c>
      <c r="DE85" s="783"/>
    </row>
    <row r="86" spans="1:109" ht="15.75" hidden="1" customHeight="1">
      <c r="A86" s="741" t="s">
        <v>1260</v>
      </c>
      <c r="B86" s="742">
        <v>80</v>
      </c>
      <c r="C86" s="758" t="s">
        <v>1357</v>
      </c>
      <c r="D86" s="742" t="s">
        <v>2451</v>
      </c>
      <c r="E86" s="742" t="s">
        <v>2217</v>
      </c>
      <c r="F86" s="754" t="s">
        <v>2474</v>
      </c>
      <c r="G86" s="759" t="s">
        <v>2475</v>
      </c>
      <c r="H86" s="760" t="s">
        <v>2476</v>
      </c>
      <c r="I86" s="761"/>
      <c r="J86" s="762">
        <v>1</v>
      </c>
      <c r="K86" s="762"/>
      <c r="L86" s="762"/>
      <c r="M86" s="762"/>
      <c r="N86" s="762"/>
      <c r="O86" s="762"/>
      <c r="P86" s="763"/>
      <c r="Q86" s="764">
        <f t="shared" si="1"/>
        <v>1</v>
      </c>
      <c r="R86" s="758" t="s">
        <v>1846</v>
      </c>
      <c r="S86" s="742" t="s">
        <v>1826</v>
      </c>
      <c r="T86" s="765" t="s">
        <v>1827</v>
      </c>
      <c r="U86" s="742" t="s">
        <v>2477</v>
      </c>
      <c r="V86" s="742" t="s">
        <v>1857</v>
      </c>
      <c r="W86" s="742" t="s">
        <v>2478</v>
      </c>
      <c r="X86" s="798">
        <v>0</v>
      </c>
      <c r="Y86" s="788" t="s">
        <v>1838</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210</v>
      </c>
      <c r="BM86" s="754" t="s">
        <v>210</v>
      </c>
      <c r="BN86" s="754" t="s">
        <v>210</v>
      </c>
      <c r="BO86" s="754" t="s">
        <v>210</v>
      </c>
      <c r="BP86" s="765" t="s">
        <v>210</v>
      </c>
      <c r="BQ86" s="777" t="s">
        <v>2260</v>
      </c>
      <c r="BR86" s="769" t="s">
        <v>2260</v>
      </c>
      <c r="BS86" s="769" t="s">
        <v>2260</v>
      </c>
      <c r="BT86" s="769" t="s">
        <v>2260</v>
      </c>
      <c r="BU86" s="774" t="s">
        <v>2260</v>
      </c>
      <c r="BV86" s="777" t="s">
        <v>2260</v>
      </c>
      <c r="BW86" s="769" t="s">
        <v>2260</v>
      </c>
      <c r="BX86" s="769" t="s">
        <v>2260</v>
      </c>
      <c r="BY86" s="769" t="s">
        <v>2260</v>
      </c>
      <c r="BZ86" s="769" t="s">
        <v>2260</v>
      </c>
      <c r="CA86" s="777" t="s">
        <v>2260</v>
      </c>
      <c r="CB86" s="769" t="s">
        <v>2260</v>
      </c>
      <c r="CC86" s="769" t="s">
        <v>2260</v>
      </c>
      <c r="CD86" s="769" t="s">
        <v>2260</v>
      </c>
      <c r="CE86" s="774" t="s">
        <v>2260</v>
      </c>
      <c r="CF86" s="769" t="s">
        <v>2260</v>
      </c>
      <c r="CG86" s="769" t="s">
        <v>2260</v>
      </c>
      <c r="CH86" s="769" t="s">
        <v>2260</v>
      </c>
      <c r="CI86" s="769" t="s">
        <v>2260</v>
      </c>
      <c r="CJ86" s="774" t="s">
        <v>2260</v>
      </c>
      <c r="CK86" s="777" t="s">
        <v>2260</v>
      </c>
      <c r="CL86" s="769" t="s">
        <v>2260</v>
      </c>
      <c r="CM86" s="769" t="s">
        <v>2260</v>
      </c>
      <c r="CN86" s="769" t="s">
        <v>2260</v>
      </c>
      <c r="CO86" s="774" t="s">
        <v>2260</v>
      </c>
      <c r="CP86" s="777" t="s">
        <v>2260</v>
      </c>
      <c r="CQ86" s="769" t="s">
        <v>2260</v>
      </c>
      <c r="CR86" s="769" t="s">
        <v>2260</v>
      </c>
      <c r="CS86" s="769" t="s">
        <v>2260</v>
      </c>
      <c r="CT86" s="774" t="s">
        <v>2260</v>
      </c>
      <c r="CU86" s="1253">
        <v>-8.3000000000000004E-2</v>
      </c>
      <c r="CV86" s="1252" t="s">
        <v>2260</v>
      </c>
      <c r="CW86" s="1252" t="s">
        <v>2260</v>
      </c>
      <c r="CX86" s="1254" t="s">
        <v>2260</v>
      </c>
      <c r="CY86" s="1252" t="s">
        <v>2260</v>
      </c>
      <c r="CZ86" s="1252" t="s">
        <v>2260</v>
      </c>
      <c r="DA86" s="1252" t="s">
        <v>2260</v>
      </c>
      <c r="DB86" s="1254" t="s">
        <v>2260</v>
      </c>
      <c r="DC86" s="754"/>
      <c r="DD86" s="782">
        <v>1</v>
      </c>
      <c r="DE86" s="783"/>
    </row>
    <row r="87" spans="1:109" ht="15.75" hidden="1" customHeight="1">
      <c r="A87" s="741" t="s">
        <v>1260</v>
      </c>
      <c r="B87" s="742">
        <v>81</v>
      </c>
      <c r="C87" s="758" t="s">
        <v>1374</v>
      </c>
      <c r="D87" s="742" t="s">
        <v>2451</v>
      </c>
      <c r="E87" s="742" t="s">
        <v>2217</v>
      </c>
      <c r="F87" s="754" t="s">
        <v>2479</v>
      </c>
      <c r="G87" s="759" t="s">
        <v>2480</v>
      </c>
      <c r="H87" s="760" t="s">
        <v>2481</v>
      </c>
      <c r="I87" s="761"/>
      <c r="J87" s="762">
        <v>1</v>
      </c>
      <c r="K87" s="762"/>
      <c r="L87" s="762"/>
      <c r="M87" s="762"/>
      <c r="N87" s="762"/>
      <c r="O87" s="762"/>
      <c r="P87" s="763"/>
      <c r="Q87" s="764">
        <f t="shared" si="1"/>
        <v>1</v>
      </c>
      <c r="R87" s="758" t="s">
        <v>1846</v>
      </c>
      <c r="S87" s="742" t="s">
        <v>1826</v>
      </c>
      <c r="T87" s="765" t="s">
        <v>1827</v>
      </c>
      <c r="U87" s="742" t="s">
        <v>2482</v>
      </c>
      <c r="V87" s="742" t="s">
        <v>1857</v>
      </c>
      <c r="W87" s="742" t="s">
        <v>2483</v>
      </c>
      <c r="X87" s="798">
        <v>0</v>
      </c>
      <c r="Y87" s="788" t="s">
        <v>1838</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210</v>
      </c>
      <c r="BM87" s="754" t="s">
        <v>210</v>
      </c>
      <c r="BN87" s="754" t="s">
        <v>210</v>
      </c>
      <c r="BO87" s="754" t="s">
        <v>210</v>
      </c>
      <c r="BP87" s="765" t="s">
        <v>210</v>
      </c>
      <c r="BQ87" s="777" t="s">
        <v>2260</v>
      </c>
      <c r="BR87" s="769" t="s">
        <v>2260</v>
      </c>
      <c r="BS87" s="769" t="s">
        <v>2260</v>
      </c>
      <c r="BT87" s="769" t="s">
        <v>2260</v>
      </c>
      <c r="BU87" s="774" t="s">
        <v>2260</v>
      </c>
      <c r="BV87" s="777">
        <v>3601</v>
      </c>
      <c r="BW87" s="769">
        <v>3601</v>
      </c>
      <c r="BX87" s="769">
        <v>3601</v>
      </c>
      <c r="BY87" s="769">
        <v>3601</v>
      </c>
      <c r="BZ87" s="769">
        <v>3601</v>
      </c>
      <c r="CA87" s="777" t="s">
        <v>2260</v>
      </c>
      <c r="CB87" s="769" t="s">
        <v>2260</v>
      </c>
      <c r="CC87" s="769" t="s">
        <v>2260</v>
      </c>
      <c r="CD87" s="769" t="s">
        <v>2260</v>
      </c>
      <c r="CE87" s="774" t="s">
        <v>2260</v>
      </c>
      <c r="CF87" s="769" t="s">
        <v>2260</v>
      </c>
      <c r="CG87" s="769" t="s">
        <v>2260</v>
      </c>
      <c r="CH87" s="769" t="s">
        <v>2260</v>
      </c>
      <c r="CI87" s="769" t="s">
        <v>2260</v>
      </c>
      <c r="CJ87" s="774" t="s">
        <v>2260</v>
      </c>
      <c r="CK87" s="777" t="s">
        <v>2260</v>
      </c>
      <c r="CL87" s="769" t="s">
        <v>2260</v>
      </c>
      <c r="CM87" s="769" t="s">
        <v>2260</v>
      </c>
      <c r="CN87" s="769" t="s">
        <v>2260</v>
      </c>
      <c r="CO87" s="774" t="s">
        <v>2260</v>
      </c>
      <c r="CP87" s="777" t="s">
        <v>2260</v>
      </c>
      <c r="CQ87" s="769" t="s">
        <v>2260</v>
      </c>
      <c r="CR87" s="769" t="s">
        <v>2260</v>
      </c>
      <c r="CS87" s="769" t="s">
        <v>2260</v>
      </c>
      <c r="CT87" s="774" t="s">
        <v>2260</v>
      </c>
      <c r="CU87" s="1253">
        <v>-8.92E-4</v>
      </c>
      <c r="CV87" s="1252" t="s">
        <v>2260</v>
      </c>
      <c r="CW87" s="1252" t="s">
        <v>2260</v>
      </c>
      <c r="CX87" s="1254" t="s">
        <v>2260</v>
      </c>
      <c r="CY87" s="1252" t="s">
        <v>2260</v>
      </c>
      <c r="CZ87" s="1252" t="s">
        <v>2260</v>
      </c>
      <c r="DA87" s="1252" t="s">
        <v>2260</v>
      </c>
      <c r="DB87" s="1254" t="s">
        <v>2260</v>
      </c>
      <c r="DC87" s="754"/>
      <c r="DD87" s="782">
        <v>1</v>
      </c>
      <c r="DE87" s="783"/>
    </row>
    <row r="88" spans="1:109" ht="15.75" hidden="1" customHeight="1">
      <c r="A88" s="741" t="s">
        <v>1260</v>
      </c>
      <c r="B88" s="742">
        <v>82</v>
      </c>
      <c r="C88" s="758" t="s">
        <v>1761</v>
      </c>
      <c r="D88" s="742" t="s">
        <v>2484</v>
      </c>
      <c r="E88" s="742" t="s">
        <v>2231</v>
      </c>
      <c r="F88" s="754" t="s">
        <v>2485</v>
      </c>
      <c r="G88" s="759" t="s">
        <v>2251</v>
      </c>
      <c r="H88" s="760" t="s">
        <v>2486</v>
      </c>
      <c r="I88" s="761"/>
      <c r="J88" s="762"/>
      <c r="K88" s="762"/>
      <c r="L88" s="762"/>
      <c r="M88" s="762">
        <v>1</v>
      </c>
      <c r="N88" s="762"/>
      <c r="O88" s="762"/>
      <c r="P88" s="763"/>
      <c r="Q88" s="764">
        <f t="shared" si="1"/>
        <v>1</v>
      </c>
      <c r="R88" s="758" t="s">
        <v>1852</v>
      </c>
      <c r="S88" s="742" t="s">
        <v>1826</v>
      </c>
      <c r="T88" s="765" t="s">
        <v>1827</v>
      </c>
      <c r="U88" s="742" t="s">
        <v>1888</v>
      </c>
      <c r="V88" s="742" t="s">
        <v>1897</v>
      </c>
      <c r="W88" s="742" t="s">
        <v>2337</v>
      </c>
      <c r="X88" s="798">
        <v>2</v>
      </c>
      <c r="Y88" s="790" t="s">
        <v>1828</v>
      </c>
      <c r="Z88" s="759" t="s">
        <v>2251</v>
      </c>
      <c r="AA88" s="754"/>
      <c r="AB88" s="754"/>
      <c r="AC88" s="754"/>
      <c r="AD88" s="754"/>
      <c r="AE88" s="754"/>
      <c r="AF88" s="806"/>
      <c r="AG88" s="769"/>
      <c r="AH88" s="769"/>
      <c r="AI88" s="769"/>
      <c r="AJ88" s="769"/>
      <c r="AK88" s="769"/>
      <c r="AL88" s="769"/>
      <c r="AM88" s="769"/>
      <c r="AN88" s="769"/>
      <c r="AO88" s="769"/>
      <c r="AP88" s="769"/>
      <c r="AQ88" s="1369"/>
      <c r="AR88" s="1319"/>
      <c r="AS88" s="1319"/>
      <c r="AT88" s="1319"/>
      <c r="AU88" s="1320"/>
      <c r="AV88" s="1369"/>
      <c r="AW88" s="1319"/>
      <c r="AX88" s="1319"/>
      <c r="AY88" s="1319"/>
      <c r="AZ88" s="1319"/>
      <c r="BA88" s="1319"/>
      <c r="BB88" s="1319"/>
      <c r="BC88" s="1319"/>
      <c r="BD88" s="1319"/>
      <c r="BE88" s="1319"/>
      <c r="BF88" s="1319"/>
      <c r="BG88" s="1319"/>
      <c r="BH88" s="1319"/>
      <c r="BI88" s="1319"/>
      <c r="BJ88" s="1319"/>
      <c r="BK88" s="1320"/>
      <c r="BL88" s="1327"/>
      <c r="BM88" s="1328"/>
      <c r="BN88" s="1328"/>
      <c r="BO88" s="1328"/>
      <c r="BP88" s="1389"/>
      <c r="BQ88" s="1369"/>
      <c r="BR88" s="1319"/>
      <c r="BS88" s="1319"/>
      <c r="BT88" s="1319"/>
      <c r="BU88" s="1320"/>
      <c r="BV88" s="1369"/>
      <c r="BW88" s="1319"/>
      <c r="BX88" s="1319"/>
      <c r="BY88" s="1319"/>
      <c r="BZ88" s="1319"/>
      <c r="CA88" s="1369"/>
      <c r="CB88" s="1319"/>
      <c r="CC88" s="1319"/>
      <c r="CD88" s="1319"/>
      <c r="CE88" s="1320"/>
      <c r="CF88" s="1319"/>
      <c r="CG88" s="1319"/>
      <c r="CH88" s="1319"/>
      <c r="CI88" s="1319"/>
      <c r="CJ88" s="1320"/>
      <c r="CK88" s="1369"/>
      <c r="CL88" s="1319"/>
      <c r="CM88" s="1319"/>
      <c r="CN88" s="1319"/>
      <c r="CO88" s="1320"/>
      <c r="CP88" s="1369"/>
      <c r="CQ88" s="1319"/>
      <c r="CR88" s="1319"/>
      <c r="CS88" s="1319"/>
      <c r="CT88" s="1320"/>
      <c r="CU88" s="1467"/>
      <c r="CV88" s="1458"/>
      <c r="CW88" s="1458"/>
      <c r="CX88" s="1663"/>
      <c r="CY88" s="1458"/>
      <c r="CZ88" s="1458"/>
      <c r="DA88" s="1458"/>
      <c r="DB88" s="1663"/>
      <c r="DC88" s="1328"/>
      <c r="DD88" s="1664"/>
      <c r="DE88" s="1669"/>
    </row>
    <row r="89" spans="1:109" ht="15.75" hidden="1" customHeight="1">
      <c r="A89" s="741" t="s">
        <v>1260</v>
      </c>
      <c r="B89" s="742">
        <v>83</v>
      </c>
      <c r="C89" s="758" t="s">
        <v>1778</v>
      </c>
      <c r="D89" s="742" t="s">
        <v>2484</v>
      </c>
      <c r="E89" s="742" t="s">
        <v>2231</v>
      </c>
      <c r="F89" s="754" t="s">
        <v>2487</v>
      </c>
      <c r="G89" s="759" t="s">
        <v>2254</v>
      </c>
      <c r="H89" s="760" t="s">
        <v>2488</v>
      </c>
      <c r="I89" s="761"/>
      <c r="J89" s="762">
        <v>1</v>
      </c>
      <c r="K89" s="762"/>
      <c r="L89" s="762"/>
      <c r="M89" s="762"/>
      <c r="N89" s="762"/>
      <c r="O89" s="762"/>
      <c r="P89" s="763"/>
      <c r="Q89" s="764">
        <f t="shared" si="1"/>
        <v>1</v>
      </c>
      <c r="R89" s="758" t="s">
        <v>1852</v>
      </c>
      <c r="S89" s="742" t="s">
        <v>1826</v>
      </c>
      <c r="T89" s="765" t="s">
        <v>1827</v>
      </c>
      <c r="U89" s="742" t="s">
        <v>1891</v>
      </c>
      <c r="V89" s="742" t="s">
        <v>1897</v>
      </c>
      <c r="W89" s="742" t="s">
        <v>470</v>
      </c>
      <c r="X89" s="798">
        <v>2</v>
      </c>
      <c r="Y89" s="790" t="s">
        <v>1828</v>
      </c>
      <c r="Z89" s="759" t="s">
        <v>2254</v>
      </c>
      <c r="AA89" s="754"/>
      <c r="AB89" s="754"/>
      <c r="AC89" s="754"/>
      <c r="AD89" s="754"/>
      <c r="AE89" s="754"/>
      <c r="AF89" s="806"/>
      <c r="AG89" s="769"/>
      <c r="AH89" s="769"/>
      <c r="AI89" s="769"/>
      <c r="AJ89" s="769"/>
      <c r="AK89" s="769"/>
      <c r="AL89" s="769"/>
      <c r="AM89" s="769"/>
      <c r="AN89" s="769"/>
      <c r="AO89" s="769"/>
      <c r="AP89" s="769"/>
      <c r="AQ89" s="1369"/>
      <c r="AR89" s="1319"/>
      <c r="AS89" s="1319"/>
      <c r="AT89" s="1319"/>
      <c r="AU89" s="1320"/>
      <c r="AV89" s="1369"/>
      <c r="AW89" s="1319"/>
      <c r="AX89" s="1319"/>
      <c r="AY89" s="1319"/>
      <c r="AZ89" s="1319"/>
      <c r="BA89" s="1319"/>
      <c r="BB89" s="1319"/>
      <c r="BC89" s="1319"/>
      <c r="BD89" s="1319"/>
      <c r="BE89" s="1319"/>
      <c r="BF89" s="1319"/>
      <c r="BG89" s="1319"/>
      <c r="BH89" s="1319"/>
      <c r="BI89" s="1319"/>
      <c r="BJ89" s="1319"/>
      <c r="BK89" s="1320"/>
      <c r="BL89" s="1327"/>
      <c r="BM89" s="1328"/>
      <c r="BN89" s="1328"/>
      <c r="BO89" s="1328"/>
      <c r="BP89" s="1389"/>
      <c r="BQ89" s="1369"/>
      <c r="BR89" s="1319"/>
      <c r="BS89" s="1319"/>
      <c r="BT89" s="1319"/>
      <c r="BU89" s="1320"/>
      <c r="BV89" s="1369"/>
      <c r="BW89" s="1319"/>
      <c r="BX89" s="1319"/>
      <c r="BY89" s="1319"/>
      <c r="BZ89" s="1319"/>
      <c r="CA89" s="1369"/>
      <c r="CB89" s="1319"/>
      <c r="CC89" s="1319"/>
      <c r="CD89" s="1319"/>
      <c r="CE89" s="1320"/>
      <c r="CF89" s="1319"/>
      <c r="CG89" s="1319"/>
      <c r="CH89" s="1319"/>
      <c r="CI89" s="1319"/>
      <c r="CJ89" s="1320"/>
      <c r="CK89" s="1369"/>
      <c r="CL89" s="1319"/>
      <c r="CM89" s="1319"/>
      <c r="CN89" s="1319"/>
      <c r="CO89" s="1320"/>
      <c r="CP89" s="1369"/>
      <c r="CQ89" s="1319"/>
      <c r="CR89" s="1319"/>
      <c r="CS89" s="1319"/>
      <c r="CT89" s="1320"/>
      <c r="CU89" s="1467"/>
      <c r="CV89" s="1458"/>
      <c r="CW89" s="1458"/>
      <c r="CX89" s="1663"/>
      <c r="CY89" s="1458"/>
      <c r="CZ89" s="1458"/>
      <c r="DA89" s="1458"/>
      <c r="DB89" s="1663"/>
      <c r="DC89" s="1328"/>
      <c r="DD89" s="1664"/>
      <c r="DE89" s="1669"/>
    </row>
    <row r="90" spans="1:109" ht="15.75" hidden="1" customHeight="1">
      <c r="A90" s="741" t="s">
        <v>1260</v>
      </c>
      <c r="B90" s="742">
        <v>84</v>
      </c>
      <c r="C90" s="758" t="s">
        <v>1589</v>
      </c>
      <c r="D90" s="742" t="s">
        <v>2484</v>
      </c>
      <c r="E90" s="742" t="s">
        <v>2223</v>
      </c>
      <c r="F90" s="754" t="s">
        <v>2489</v>
      </c>
      <c r="G90" s="759" t="s">
        <v>2490</v>
      </c>
      <c r="H90" s="760" t="s">
        <v>2491</v>
      </c>
      <c r="I90" s="761"/>
      <c r="J90" s="762"/>
      <c r="K90" s="762"/>
      <c r="L90" s="762"/>
      <c r="M90" s="762">
        <v>1</v>
      </c>
      <c r="N90" s="762"/>
      <c r="O90" s="762"/>
      <c r="P90" s="763"/>
      <c r="Q90" s="764">
        <f t="shared" si="1"/>
        <v>1</v>
      </c>
      <c r="R90" s="758" t="s">
        <v>1825</v>
      </c>
      <c r="S90" s="742"/>
      <c r="T90" s="765"/>
      <c r="U90" s="742" t="s">
        <v>2396</v>
      </c>
      <c r="V90" s="742" t="s">
        <v>321</v>
      </c>
      <c r="W90" s="742" t="s">
        <v>2492</v>
      </c>
      <c r="X90" s="798">
        <v>0</v>
      </c>
      <c r="Y90" s="790" t="s">
        <v>1838</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2260</v>
      </c>
      <c r="BR90" s="769" t="s">
        <v>2260</v>
      </c>
      <c r="BS90" s="769" t="s">
        <v>2260</v>
      </c>
      <c r="BT90" s="769" t="s">
        <v>2260</v>
      </c>
      <c r="BU90" s="774" t="s">
        <v>2260</v>
      </c>
      <c r="BV90" s="777" t="s">
        <v>2260</v>
      </c>
      <c r="BW90" s="769" t="s">
        <v>2260</v>
      </c>
      <c r="BX90" s="769" t="s">
        <v>2260</v>
      </c>
      <c r="BY90" s="769" t="s">
        <v>2260</v>
      </c>
      <c r="BZ90" s="769" t="s">
        <v>2260</v>
      </c>
      <c r="CA90" s="777" t="s">
        <v>2260</v>
      </c>
      <c r="CB90" s="769" t="s">
        <v>2260</v>
      </c>
      <c r="CC90" s="769" t="s">
        <v>2260</v>
      </c>
      <c r="CD90" s="769" t="s">
        <v>2260</v>
      </c>
      <c r="CE90" s="774" t="s">
        <v>2260</v>
      </c>
      <c r="CF90" s="769" t="s">
        <v>2260</v>
      </c>
      <c r="CG90" s="769" t="s">
        <v>2260</v>
      </c>
      <c r="CH90" s="769" t="s">
        <v>2260</v>
      </c>
      <c r="CI90" s="769" t="s">
        <v>2260</v>
      </c>
      <c r="CJ90" s="774" t="s">
        <v>2260</v>
      </c>
      <c r="CK90" s="777" t="s">
        <v>2260</v>
      </c>
      <c r="CL90" s="769" t="s">
        <v>2260</v>
      </c>
      <c r="CM90" s="769" t="s">
        <v>2260</v>
      </c>
      <c r="CN90" s="769" t="s">
        <v>2260</v>
      </c>
      <c r="CO90" s="774" t="s">
        <v>2260</v>
      </c>
      <c r="CP90" s="777" t="s">
        <v>2260</v>
      </c>
      <c r="CQ90" s="769" t="s">
        <v>2260</v>
      </c>
      <c r="CR90" s="769" t="s">
        <v>2260</v>
      </c>
      <c r="CS90" s="769" t="s">
        <v>2260</v>
      </c>
      <c r="CT90" s="774" t="s">
        <v>2260</v>
      </c>
      <c r="CU90" s="1253" t="s">
        <v>2260</v>
      </c>
      <c r="CV90" s="1252" t="s">
        <v>2260</v>
      </c>
      <c r="CW90" s="1252" t="s">
        <v>2260</v>
      </c>
      <c r="CX90" s="1254" t="s">
        <v>2260</v>
      </c>
      <c r="CY90" s="1252" t="s">
        <v>2260</v>
      </c>
      <c r="CZ90" s="1252" t="s">
        <v>2260</v>
      </c>
      <c r="DA90" s="1252" t="s">
        <v>2260</v>
      </c>
      <c r="DB90" s="1254" t="s">
        <v>2260</v>
      </c>
      <c r="DC90" s="754"/>
      <c r="DD90" s="782">
        <v>1</v>
      </c>
      <c r="DE90" s="783"/>
    </row>
    <row r="91" spans="1:109" ht="15.75" hidden="1" customHeight="1">
      <c r="A91" s="741" t="s">
        <v>1260</v>
      </c>
      <c r="B91" s="742">
        <v>85</v>
      </c>
      <c r="C91" s="758" t="s">
        <v>1606</v>
      </c>
      <c r="D91" s="742" t="s">
        <v>2484</v>
      </c>
      <c r="E91" s="742" t="s">
        <v>2223</v>
      </c>
      <c r="F91" s="754" t="s">
        <v>2493</v>
      </c>
      <c r="G91" s="759" t="s">
        <v>2494</v>
      </c>
      <c r="H91" s="760" t="s">
        <v>2495</v>
      </c>
      <c r="I91" s="761"/>
      <c r="J91" s="762"/>
      <c r="K91" s="762"/>
      <c r="L91" s="762"/>
      <c r="M91" s="762">
        <v>1</v>
      </c>
      <c r="N91" s="762"/>
      <c r="O91" s="762"/>
      <c r="P91" s="763"/>
      <c r="Q91" s="764">
        <f t="shared" si="1"/>
        <v>1</v>
      </c>
      <c r="R91" s="758" t="s">
        <v>1825</v>
      </c>
      <c r="S91" s="742"/>
      <c r="T91" s="765"/>
      <c r="U91" s="742" t="s">
        <v>2396</v>
      </c>
      <c r="V91" s="742" t="s">
        <v>321</v>
      </c>
      <c r="W91" s="742" t="s">
        <v>2496</v>
      </c>
      <c r="X91" s="1278">
        <v>0</v>
      </c>
      <c r="Y91" s="790" t="s">
        <v>1828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2260</v>
      </c>
      <c r="BR91" s="769" t="s">
        <v>2260</v>
      </c>
      <c r="BS91" s="769" t="s">
        <v>2260</v>
      </c>
      <c r="BT91" s="769" t="s">
        <v>2260</v>
      </c>
      <c r="BU91" s="774" t="s">
        <v>2260</v>
      </c>
      <c r="BV91" s="777" t="s">
        <v>2260</v>
      </c>
      <c r="BW91" s="769" t="s">
        <v>2260</v>
      </c>
      <c r="BX91" s="769" t="s">
        <v>2260</v>
      </c>
      <c r="BY91" s="769" t="s">
        <v>2260</v>
      </c>
      <c r="BZ91" s="769" t="s">
        <v>2260</v>
      </c>
      <c r="CA91" s="777" t="s">
        <v>2260</v>
      </c>
      <c r="CB91" s="769" t="s">
        <v>2260</v>
      </c>
      <c r="CC91" s="769" t="s">
        <v>2260</v>
      </c>
      <c r="CD91" s="769" t="s">
        <v>2260</v>
      </c>
      <c r="CE91" s="774" t="s">
        <v>2260</v>
      </c>
      <c r="CF91" s="769" t="s">
        <v>2260</v>
      </c>
      <c r="CG91" s="769" t="s">
        <v>2260</v>
      </c>
      <c r="CH91" s="769" t="s">
        <v>2260</v>
      </c>
      <c r="CI91" s="769" t="s">
        <v>2260</v>
      </c>
      <c r="CJ91" s="774" t="s">
        <v>2260</v>
      </c>
      <c r="CK91" s="777" t="s">
        <v>2260</v>
      </c>
      <c r="CL91" s="769" t="s">
        <v>2260</v>
      </c>
      <c r="CM91" s="769" t="s">
        <v>2260</v>
      </c>
      <c r="CN91" s="769" t="s">
        <v>2260</v>
      </c>
      <c r="CO91" s="774" t="s">
        <v>2260</v>
      </c>
      <c r="CP91" s="777" t="s">
        <v>2260</v>
      </c>
      <c r="CQ91" s="769" t="s">
        <v>2260</v>
      </c>
      <c r="CR91" s="769" t="s">
        <v>2260</v>
      </c>
      <c r="CS91" s="769" t="s">
        <v>2260</v>
      </c>
      <c r="CT91" s="774" t="s">
        <v>2260</v>
      </c>
      <c r="CU91" s="1253" t="s">
        <v>2260</v>
      </c>
      <c r="CV91" s="1252" t="s">
        <v>2260</v>
      </c>
      <c r="CW91" s="1252" t="s">
        <v>2260</v>
      </c>
      <c r="CX91" s="1254" t="s">
        <v>2260</v>
      </c>
      <c r="CY91" s="1252" t="s">
        <v>2260</v>
      </c>
      <c r="CZ91" s="1252" t="s">
        <v>2260</v>
      </c>
      <c r="DA91" s="1252" t="s">
        <v>2260</v>
      </c>
      <c r="DB91" s="1254" t="s">
        <v>2260</v>
      </c>
      <c r="DC91" s="754"/>
      <c r="DD91" s="782">
        <v>1</v>
      </c>
      <c r="DE91" s="783"/>
    </row>
    <row r="92" spans="1:109" ht="15.75" hidden="1" customHeight="1">
      <c r="A92" s="741" t="s">
        <v>1260</v>
      </c>
      <c r="B92" s="742">
        <v>86</v>
      </c>
      <c r="C92" s="758" t="s">
        <v>1623</v>
      </c>
      <c r="D92" s="742" t="s">
        <v>2484</v>
      </c>
      <c r="E92" s="742" t="s">
        <v>2231</v>
      </c>
      <c r="F92" s="754" t="s">
        <v>2497</v>
      </c>
      <c r="G92" s="759" t="s">
        <v>2498</v>
      </c>
      <c r="H92" s="760" t="s">
        <v>2499</v>
      </c>
      <c r="I92" s="761"/>
      <c r="J92" s="762"/>
      <c r="K92" s="762"/>
      <c r="L92" s="762"/>
      <c r="M92" s="762">
        <v>1</v>
      </c>
      <c r="N92" s="762"/>
      <c r="O92" s="762"/>
      <c r="P92" s="763"/>
      <c r="Q92" s="764">
        <f t="shared" si="1"/>
        <v>1</v>
      </c>
      <c r="R92" s="758" t="s">
        <v>1825</v>
      </c>
      <c r="S92" s="742"/>
      <c r="T92" s="765"/>
      <c r="U92" s="742" t="s">
        <v>2396</v>
      </c>
      <c r="V92" s="742" t="s">
        <v>321</v>
      </c>
      <c r="W92" s="742" t="s">
        <v>2500</v>
      </c>
      <c r="X92" s="798">
        <v>0</v>
      </c>
      <c r="Y92" s="790" t="s">
        <v>1828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2260</v>
      </c>
      <c r="BR92" s="769" t="s">
        <v>2260</v>
      </c>
      <c r="BS92" s="769" t="s">
        <v>2260</v>
      </c>
      <c r="BT92" s="769" t="s">
        <v>2260</v>
      </c>
      <c r="BU92" s="774" t="s">
        <v>2260</v>
      </c>
      <c r="BV92" s="777" t="s">
        <v>2260</v>
      </c>
      <c r="BW92" s="769" t="s">
        <v>2260</v>
      </c>
      <c r="BX92" s="769" t="s">
        <v>2260</v>
      </c>
      <c r="BY92" s="769" t="s">
        <v>2260</v>
      </c>
      <c r="BZ92" s="769" t="s">
        <v>2260</v>
      </c>
      <c r="CA92" s="777" t="s">
        <v>2260</v>
      </c>
      <c r="CB92" s="769" t="s">
        <v>2260</v>
      </c>
      <c r="CC92" s="769" t="s">
        <v>2260</v>
      </c>
      <c r="CD92" s="769" t="s">
        <v>2260</v>
      </c>
      <c r="CE92" s="774" t="s">
        <v>2260</v>
      </c>
      <c r="CF92" s="769" t="s">
        <v>2260</v>
      </c>
      <c r="CG92" s="769" t="s">
        <v>2260</v>
      </c>
      <c r="CH92" s="769" t="s">
        <v>2260</v>
      </c>
      <c r="CI92" s="769" t="s">
        <v>2260</v>
      </c>
      <c r="CJ92" s="769" t="s">
        <v>2260</v>
      </c>
      <c r="CK92" s="777" t="s">
        <v>2260</v>
      </c>
      <c r="CL92" s="769" t="s">
        <v>2260</v>
      </c>
      <c r="CM92" s="769" t="s">
        <v>2260</v>
      </c>
      <c r="CN92" s="769" t="s">
        <v>2260</v>
      </c>
      <c r="CO92" s="774" t="s">
        <v>2260</v>
      </c>
      <c r="CP92" s="777" t="s">
        <v>2260</v>
      </c>
      <c r="CQ92" s="769" t="s">
        <v>2260</v>
      </c>
      <c r="CR92" s="769" t="s">
        <v>2260</v>
      </c>
      <c r="CS92" s="769" t="s">
        <v>2260</v>
      </c>
      <c r="CT92" s="774" t="s">
        <v>2260</v>
      </c>
      <c r="CU92" s="1253" t="s">
        <v>2260</v>
      </c>
      <c r="CV92" s="1252" t="s">
        <v>2260</v>
      </c>
      <c r="CW92" s="1252" t="s">
        <v>2260</v>
      </c>
      <c r="CX92" s="1254" t="s">
        <v>2260</v>
      </c>
      <c r="CY92" s="1252" t="s">
        <v>2260</v>
      </c>
      <c r="CZ92" s="1252" t="s">
        <v>2260</v>
      </c>
      <c r="DA92" s="1252" t="s">
        <v>2260</v>
      </c>
      <c r="DB92" s="1254" t="s">
        <v>2260</v>
      </c>
      <c r="DC92" s="754"/>
      <c r="DD92" s="782">
        <v>1</v>
      </c>
      <c r="DE92" s="783"/>
    </row>
    <row r="93" spans="1:109" ht="15.75" hidden="1" customHeight="1">
      <c r="A93" s="741" t="s">
        <v>1260</v>
      </c>
      <c r="B93" s="742">
        <v>87</v>
      </c>
      <c r="C93" s="758" t="s">
        <v>1391</v>
      </c>
      <c r="D93" s="742" t="s">
        <v>2484</v>
      </c>
      <c r="E93" s="742" t="s">
        <v>2231</v>
      </c>
      <c r="F93" s="754" t="s">
        <v>2501</v>
      </c>
      <c r="G93" s="759" t="s">
        <v>2502</v>
      </c>
      <c r="H93" s="760" t="s">
        <v>2503</v>
      </c>
      <c r="I93" s="761"/>
      <c r="J93" s="762"/>
      <c r="K93" s="762"/>
      <c r="L93" s="762"/>
      <c r="M93" s="762">
        <v>1</v>
      </c>
      <c r="N93" s="762"/>
      <c r="O93" s="762"/>
      <c r="P93" s="763"/>
      <c r="Q93" s="764">
        <f t="shared" si="1"/>
        <v>1</v>
      </c>
      <c r="R93" s="758" t="s">
        <v>1852</v>
      </c>
      <c r="S93" s="742" t="s">
        <v>1826</v>
      </c>
      <c r="T93" s="765" t="s">
        <v>1827</v>
      </c>
      <c r="U93" s="742" t="s">
        <v>2396</v>
      </c>
      <c r="V93" s="742" t="s">
        <v>321</v>
      </c>
      <c r="W93" s="742" t="s">
        <v>2504</v>
      </c>
      <c r="X93" s="1243">
        <v>2</v>
      </c>
      <c r="Y93" s="790" t="s">
        <v>1838</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210</v>
      </c>
      <c r="BM93" s="754" t="s">
        <v>210</v>
      </c>
      <c r="BN93" s="754" t="s">
        <v>210</v>
      </c>
      <c r="BO93" s="754" t="s">
        <v>210</v>
      </c>
      <c r="BP93" s="765" t="s">
        <v>210</v>
      </c>
      <c r="BQ93" s="777" t="s">
        <v>2260</v>
      </c>
      <c r="BR93" s="769" t="s">
        <v>2260</v>
      </c>
      <c r="BS93" s="769" t="s">
        <v>2260</v>
      </c>
      <c r="BT93" s="769" t="s">
        <v>2260</v>
      </c>
      <c r="BU93" s="774" t="s">
        <v>2260</v>
      </c>
      <c r="BV93" s="775">
        <v>2.4</v>
      </c>
      <c r="BW93" s="776">
        <v>2.4</v>
      </c>
      <c r="BX93" s="776">
        <v>2.2999999999999998</v>
      </c>
      <c r="BY93" s="776">
        <v>2.2999999999999998</v>
      </c>
      <c r="BZ93" s="776">
        <v>2.2999999999999998</v>
      </c>
      <c r="CA93" s="777" t="s">
        <v>2260</v>
      </c>
      <c r="CB93" s="769" t="s">
        <v>2260</v>
      </c>
      <c r="CC93" s="769" t="s">
        <v>2260</v>
      </c>
      <c r="CD93" s="769" t="s">
        <v>2260</v>
      </c>
      <c r="CE93" s="774" t="s">
        <v>2260</v>
      </c>
      <c r="CF93" s="779" t="s">
        <v>2260</v>
      </c>
      <c r="CG93" s="779" t="s">
        <v>2260</v>
      </c>
      <c r="CH93" s="779" t="s">
        <v>2260</v>
      </c>
      <c r="CI93" s="779" t="s">
        <v>2260</v>
      </c>
      <c r="CJ93" s="780" t="s">
        <v>2260</v>
      </c>
      <c r="CK93" s="777">
        <v>1.4</v>
      </c>
      <c r="CL93" s="769">
        <v>1.4</v>
      </c>
      <c r="CM93" s="769">
        <v>1.3</v>
      </c>
      <c r="CN93" s="769">
        <v>1.3</v>
      </c>
      <c r="CO93" s="774">
        <v>1.3</v>
      </c>
      <c r="CP93" s="777" t="s">
        <v>2260</v>
      </c>
      <c r="CQ93" s="769" t="s">
        <v>2260</v>
      </c>
      <c r="CR93" s="769" t="s">
        <v>2260</v>
      </c>
      <c r="CS93" s="769" t="s">
        <v>2260</v>
      </c>
      <c r="CT93" s="774" t="s">
        <v>2260</v>
      </c>
      <c r="CU93" s="1253">
        <v>-0.41399999999999998</v>
      </c>
      <c r="CV93" s="1252" t="s">
        <v>2260</v>
      </c>
      <c r="CW93" s="1252" t="s">
        <v>2260</v>
      </c>
      <c r="CX93" s="1254" t="s">
        <v>2260</v>
      </c>
      <c r="CY93" s="1252">
        <v>0.41399999999999998</v>
      </c>
      <c r="CZ93" s="1252" t="s">
        <v>2260</v>
      </c>
      <c r="DA93" s="1252" t="s">
        <v>2260</v>
      </c>
      <c r="DB93" s="1254" t="s">
        <v>2260</v>
      </c>
      <c r="DC93" s="754"/>
      <c r="DD93" s="782">
        <v>1</v>
      </c>
      <c r="DE93" s="783"/>
    </row>
    <row r="94" spans="1:109" ht="15.75" hidden="1" customHeight="1">
      <c r="A94" s="741" t="s">
        <v>1260</v>
      </c>
      <c r="B94" s="742">
        <v>88</v>
      </c>
      <c r="C94" s="758" t="s">
        <v>1119</v>
      </c>
      <c r="D94" s="742" t="s">
        <v>2505</v>
      </c>
      <c r="E94" s="742" t="s">
        <v>2223</v>
      </c>
      <c r="F94" s="754" t="s">
        <v>2506</v>
      </c>
      <c r="G94" s="759" t="s">
        <v>705</v>
      </c>
      <c r="H94" s="760" t="s">
        <v>2507</v>
      </c>
      <c r="I94" s="761"/>
      <c r="J94" s="762">
        <v>1</v>
      </c>
      <c r="K94" s="762"/>
      <c r="L94" s="762"/>
      <c r="M94" s="762"/>
      <c r="N94" s="762"/>
      <c r="O94" s="762"/>
      <c r="P94" s="763"/>
      <c r="Q94" s="764">
        <f t="shared" si="1"/>
        <v>1</v>
      </c>
      <c r="R94" s="758" t="s">
        <v>1852</v>
      </c>
      <c r="S94" s="742" t="s">
        <v>1826</v>
      </c>
      <c r="T94" s="765" t="s">
        <v>1827</v>
      </c>
      <c r="U94" s="742" t="s">
        <v>705</v>
      </c>
      <c r="V94" s="742" t="s">
        <v>1857</v>
      </c>
      <c r="W94" s="742" t="s">
        <v>2508</v>
      </c>
      <c r="X94" s="798">
        <v>1</v>
      </c>
      <c r="Y94" s="790" t="s">
        <v>1838</v>
      </c>
      <c r="Z94" s="759" t="s">
        <v>705</v>
      </c>
      <c r="AA94" s="754"/>
      <c r="AB94" s="754"/>
      <c r="AC94" s="754"/>
      <c r="AD94" s="754"/>
      <c r="AE94" s="754"/>
      <c r="AF94" s="806"/>
      <c r="AG94" s="769"/>
      <c r="AH94" s="769"/>
      <c r="AI94" s="769"/>
      <c r="AJ94" s="769"/>
      <c r="AK94" s="769"/>
      <c r="AL94" s="769"/>
      <c r="AM94" s="769"/>
      <c r="AN94" s="769"/>
      <c r="AO94" s="769"/>
      <c r="AP94" s="769"/>
      <c r="AQ94" s="1370"/>
      <c r="AR94" s="1324"/>
      <c r="AS94" s="1324"/>
      <c r="AT94" s="1324"/>
      <c r="AU94" s="1325"/>
      <c r="AV94" s="1369"/>
      <c r="AW94" s="1319"/>
      <c r="AX94" s="1319"/>
      <c r="AY94" s="1319"/>
      <c r="AZ94" s="1319"/>
      <c r="BA94" s="1319"/>
      <c r="BB94" s="1319"/>
      <c r="BC94" s="1319"/>
      <c r="BD94" s="1319"/>
      <c r="BE94" s="1319"/>
      <c r="BF94" s="1319"/>
      <c r="BG94" s="1319"/>
      <c r="BH94" s="1319"/>
      <c r="BI94" s="1319"/>
      <c r="BJ94" s="1319"/>
      <c r="BK94" s="1320"/>
      <c r="BL94" s="1327"/>
      <c r="BM94" s="1328"/>
      <c r="BN94" s="1328"/>
      <c r="BO94" s="1328"/>
      <c r="BP94" s="1389"/>
      <c r="BQ94" s="1369"/>
      <c r="BR94" s="1319"/>
      <c r="BS94" s="1319"/>
      <c r="BT94" s="1319"/>
      <c r="BU94" s="1320"/>
      <c r="BV94" s="1369"/>
      <c r="BW94" s="1319"/>
      <c r="BX94" s="1319"/>
      <c r="BY94" s="1319"/>
      <c r="BZ94" s="1319"/>
      <c r="CA94" s="1369"/>
      <c r="CB94" s="1319"/>
      <c r="CC94" s="1319"/>
      <c r="CD94" s="1319"/>
      <c r="CE94" s="1320"/>
      <c r="CF94" s="1319"/>
      <c r="CG94" s="1319"/>
      <c r="CH94" s="1319"/>
      <c r="CI94" s="1319"/>
      <c r="CJ94" s="1320"/>
      <c r="CK94" s="1369"/>
      <c r="CL94" s="1319"/>
      <c r="CM94" s="1319"/>
      <c r="CN94" s="1319"/>
      <c r="CO94" s="1320"/>
      <c r="CP94" s="1369"/>
      <c r="CQ94" s="1319"/>
      <c r="CR94" s="1319"/>
      <c r="CS94" s="1319"/>
      <c r="CT94" s="1320"/>
      <c r="CU94" s="1467"/>
      <c r="CV94" s="1458"/>
      <c r="CW94" s="1458"/>
      <c r="CX94" s="1663"/>
      <c r="CY94" s="1458"/>
      <c r="CZ94" s="1458"/>
      <c r="DA94" s="1458"/>
      <c r="DB94" s="1663"/>
      <c r="DC94" s="1328"/>
      <c r="DD94" s="1664"/>
      <c r="DE94" s="1669"/>
    </row>
    <row r="95" spans="1:109" ht="15.75" hidden="1" customHeight="1">
      <c r="A95" s="741" t="s">
        <v>1260</v>
      </c>
      <c r="B95" s="742">
        <v>89</v>
      </c>
      <c r="C95" s="758" t="s">
        <v>1120</v>
      </c>
      <c r="D95" s="742" t="s">
        <v>2505</v>
      </c>
      <c r="E95" s="742" t="s">
        <v>2223</v>
      </c>
      <c r="F95" s="754" t="s">
        <v>2509</v>
      </c>
      <c r="G95" s="759" t="s">
        <v>1084</v>
      </c>
      <c r="H95" s="760" t="s">
        <v>2510</v>
      </c>
      <c r="I95" s="761"/>
      <c r="J95" s="762">
        <v>0.5</v>
      </c>
      <c r="K95" s="762"/>
      <c r="L95" s="762"/>
      <c r="M95" s="762">
        <v>0.5</v>
      </c>
      <c r="N95" s="762"/>
      <c r="O95" s="762"/>
      <c r="P95" s="763"/>
      <c r="Q95" s="764">
        <f t="shared" si="1"/>
        <v>1</v>
      </c>
      <c r="R95" s="758" t="s">
        <v>1852</v>
      </c>
      <c r="S95" s="742" t="s">
        <v>1826</v>
      </c>
      <c r="T95" s="1389" t="s">
        <v>1837</v>
      </c>
      <c r="U95" s="742" t="s">
        <v>2348</v>
      </c>
      <c r="V95" s="742" t="s">
        <v>1857</v>
      </c>
      <c r="W95" s="742" t="s">
        <v>2511</v>
      </c>
      <c r="X95" s="798">
        <v>1</v>
      </c>
      <c r="Y95" s="790" t="s">
        <v>1838</v>
      </c>
      <c r="Z95" s="759" t="s">
        <v>1084</v>
      </c>
      <c r="AA95" s="754"/>
      <c r="AB95" s="754"/>
      <c r="AC95" s="754"/>
      <c r="AD95" s="754"/>
      <c r="AE95" s="754"/>
      <c r="AF95" s="768"/>
      <c r="AG95" s="811"/>
      <c r="AH95" s="811"/>
      <c r="AI95" s="811"/>
      <c r="AJ95" s="811"/>
      <c r="AK95" s="811"/>
      <c r="AL95" s="811"/>
      <c r="AM95" s="811"/>
      <c r="AN95" s="811"/>
      <c r="AO95" s="811"/>
      <c r="AP95" s="811"/>
      <c r="AQ95" s="1677"/>
      <c r="AR95" s="1678"/>
      <c r="AS95" s="1678"/>
      <c r="AT95" s="1678"/>
      <c r="AU95" s="1679"/>
      <c r="AV95" s="1677"/>
      <c r="AW95" s="1678"/>
      <c r="AX95" s="1678"/>
      <c r="AY95" s="1678"/>
      <c r="AZ95" s="1678"/>
      <c r="BA95" s="1678"/>
      <c r="BB95" s="1678"/>
      <c r="BC95" s="1678"/>
      <c r="BD95" s="1678"/>
      <c r="BE95" s="1678"/>
      <c r="BF95" s="1678"/>
      <c r="BG95" s="1678"/>
      <c r="BH95" s="1678"/>
      <c r="BI95" s="1678"/>
      <c r="BJ95" s="1678"/>
      <c r="BK95" s="1679"/>
      <c r="BL95" s="1327"/>
      <c r="BM95" s="1328"/>
      <c r="BN95" s="1328"/>
      <c r="BO95" s="1328"/>
      <c r="BP95" s="1389"/>
      <c r="BQ95" s="1369"/>
      <c r="BR95" s="1319"/>
      <c r="BS95" s="1319"/>
      <c r="BT95" s="1319"/>
      <c r="BU95" s="1320"/>
      <c r="BV95" s="1370"/>
      <c r="BW95" s="1324"/>
      <c r="BX95" s="1324"/>
      <c r="BY95" s="1324"/>
      <c r="BZ95" s="1324"/>
      <c r="CA95" s="1369"/>
      <c r="CB95" s="1319"/>
      <c r="CC95" s="1319"/>
      <c r="CD95" s="1319"/>
      <c r="CE95" s="1320"/>
      <c r="CF95" s="1319"/>
      <c r="CG95" s="1319"/>
      <c r="CH95" s="1319"/>
      <c r="CI95" s="1319"/>
      <c r="CJ95" s="1320"/>
      <c r="CK95" s="1369"/>
      <c r="CL95" s="1319"/>
      <c r="CM95" s="1319"/>
      <c r="CN95" s="1319"/>
      <c r="CO95" s="1320"/>
      <c r="CP95" s="1369"/>
      <c r="CQ95" s="1319"/>
      <c r="CR95" s="1319"/>
      <c r="CS95" s="1319"/>
      <c r="CT95" s="1320"/>
      <c r="CU95" s="1467"/>
      <c r="CV95" s="1458"/>
      <c r="CW95" s="1458"/>
      <c r="CX95" s="1663"/>
      <c r="CY95" s="1458"/>
      <c r="CZ95" s="1458"/>
      <c r="DA95" s="1458"/>
      <c r="DB95" s="1663"/>
      <c r="DC95" s="1328"/>
      <c r="DD95" s="1664"/>
      <c r="DE95" s="1669"/>
    </row>
    <row r="96" spans="1:109" ht="15.75" hidden="1" customHeight="1">
      <c r="A96" s="741" t="s">
        <v>1260</v>
      </c>
      <c r="B96" s="742">
        <v>90</v>
      </c>
      <c r="C96" s="758" t="s">
        <v>1408</v>
      </c>
      <c r="D96" s="742" t="s">
        <v>2505</v>
      </c>
      <c r="E96" s="742" t="s">
        <v>2223</v>
      </c>
      <c r="F96" s="754" t="s">
        <v>2512</v>
      </c>
      <c r="G96" s="759" t="s">
        <v>2513</v>
      </c>
      <c r="H96" s="760" t="s">
        <v>2514</v>
      </c>
      <c r="I96" s="761"/>
      <c r="J96" s="762">
        <v>1</v>
      </c>
      <c r="K96" s="762"/>
      <c r="L96" s="762"/>
      <c r="M96" s="762"/>
      <c r="N96" s="762"/>
      <c r="O96" s="762"/>
      <c r="P96" s="763"/>
      <c r="Q96" s="764">
        <f t="shared" si="1"/>
        <v>1</v>
      </c>
      <c r="R96" s="758" t="s">
        <v>1852</v>
      </c>
      <c r="S96" s="742" t="s">
        <v>1826</v>
      </c>
      <c r="T96" s="765" t="s">
        <v>1837</v>
      </c>
      <c r="U96" s="742" t="s">
        <v>2275</v>
      </c>
      <c r="V96" s="742" t="s">
        <v>321</v>
      </c>
      <c r="W96" s="742" t="s">
        <v>2515</v>
      </c>
      <c r="X96" s="1243">
        <v>2</v>
      </c>
      <c r="Y96" s="767" t="s">
        <v>1828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210</v>
      </c>
      <c r="BQ96" s="777" t="s">
        <v>2260</v>
      </c>
      <c r="BR96" s="769" t="s">
        <v>2260</v>
      </c>
      <c r="BS96" s="769" t="s">
        <v>2260</v>
      </c>
      <c r="BT96" s="769" t="s">
        <v>2260</v>
      </c>
      <c r="BU96" s="774" t="s">
        <v>2260</v>
      </c>
      <c r="BV96" s="777" t="s">
        <v>2260</v>
      </c>
      <c r="BW96" s="769" t="s">
        <v>2260</v>
      </c>
      <c r="BX96" s="769" t="s">
        <v>2260</v>
      </c>
      <c r="BY96" s="769" t="s">
        <v>2260</v>
      </c>
      <c r="BZ96" s="769" t="s">
        <v>2260</v>
      </c>
      <c r="CA96" s="777" t="s">
        <v>2260</v>
      </c>
      <c r="CB96" s="769" t="s">
        <v>2260</v>
      </c>
      <c r="CC96" s="769" t="s">
        <v>2260</v>
      </c>
      <c r="CD96" s="769" t="s">
        <v>2260</v>
      </c>
      <c r="CE96" s="774" t="s">
        <v>2260</v>
      </c>
      <c r="CF96" s="769" t="s">
        <v>2260</v>
      </c>
      <c r="CG96" s="769" t="s">
        <v>2260</v>
      </c>
      <c r="CH96" s="769" t="s">
        <v>2260</v>
      </c>
      <c r="CI96" s="769" t="s">
        <v>2260</v>
      </c>
      <c r="CJ96" s="774" t="s">
        <v>2260</v>
      </c>
      <c r="CK96" s="1879"/>
      <c r="CL96" s="1864"/>
      <c r="CM96" s="1864"/>
      <c r="CN96" s="1864"/>
      <c r="CO96" s="1880">
        <v>77</v>
      </c>
      <c r="CP96" s="777" t="s">
        <v>2260</v>
      </c>
      <c r="CQ96" s="769" t="s">
        <v>2260</v>
      </c>
      <c r="CR96" s="769" t="s">
        <v>2260</v>
      </c>
      <c r="CS96" s="769" t="s">
        <v>2260</v>
      </c>
      <c r="CT96" s="774" t="s">
        <v>2260</v>
      </c>
      <c r="CU96" s="1257">
        <v>-0.45300000000000001</v>
      </c>
      <c r="CV96" s="1252" t="s">
        <v>2260</v>
      </c>
      <c r="CW96" s="1252" t="s">
        <v>2260</v>
      </c>
      <c r="CX96" s="1254" t="s">
        <v>2260</v>
      </c>
      <c r="CY96" s="1255">
        <v>0.55400000000000005</v>
      </c>
      <c r="CZ96" s="1252" t="s">
        <v>2260</v>
      </c>
      <c r="DA96" s="1252" t="s">
        <v>2260</v>
      </c>
      <c r="DB96" s="1254" t="s">
        <v>2260</v>
      </c>
      <c r="DC96" s="754"/>
      <c r="DD96" s="782">
        <v>1</v>
      </c>
      <c r="DE96" s="783"/>
    </row>
    <row r="97" spans="1:109" ht="15.75" hidden="1" customHeight="1">
      <c r="A97" s="741" t="s">
        <v>1260</v>
      </c>
      <c r="B97" s="742">
        <v>91</v>
      </c>
      <c r="C97" s="758" t="s">
        <v>1425</v>
      </c>
      <c r="D97" s="742" t="s">
        <v>2505</v>
      </c>
      <c r="E97" s="742" t="s">
        <v>2217</v>
      </c>
      <c r="F97" s="754" t="s">
        <v>2516</v>
      </c>
      <c r="G97" s="759" t="s">
        <v>2517</v>
      </c>
      <c r="H97" s="760" t="s">
        <v>2518</v>
      </c>
      <c r="I97" s="761">
        <v>1</v>
      </c>
      <c r="J97" s="762"/>
      <c r="K97" s="762"/>
      <c r="L97" s="762"/>
      <c r="M97" s="762"/>
      <c r="N97" s="762"/>
      <c r="O97" s="762"/>
      <c r="P97" s="763"/>
      <c r="Q97" s="764">
        <f t="shared" si="1"/>
        <v>1</v>
      </c>
      <c r="R97" s="758" t="s">
        <v>1852</v>
      </c>
      <c r="S97" s="742" t="s">
        <v>1826</v>
      </c>
      <c r="T97" s="765" t="s">
        <v>1827</v>
      </c>
      <c r="U97" s="742" t="s">
        <v>2280</v>
      </c>
      <c r="V97" s="742" t="s">
        <v>1857</v>
      </c>
      <c r="W97" s="742" t="s">
        <v>2519</v>
      </c>
      <c r="X97" s="798">
        <v>0</v>
      </c>
      <c r="Y97" s="767" t="s">
        <v>1828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210</v>
      </c>
      <c r="BM97" s="754" t="s">
        <v>210</v>
      </c>
      <c r="BN97" s="754" t="s">
        <v>210</v>
      </c>
      <c r="BO97" s="754" t="s">
        <v>210</v>
      </c>
      <c r="BP97" s="765" t="s">
        <v>210</v>
      </c>
      <c r="BQ97" s="773" t="s">
        <v>2260</v>
      </c>
      <c r="BR97" s="769" t="s">
        <v>2260</v>
      </c>
      <c r="BS97" s="769" t="s">
        <v>2260</v>
      </c>
      <c r="BT97" s="769" t="s">
        <v>2260</v>
      </c>
      <c r="BU97" s="774" t="s">
        <v>2260</v>
      </c>
      <c r="BV97" s="777">
        <v>0</v>
      </c>
      <c r="BW97" s="769">
        <v>0</v>
      </c>
      <c r="BX97" s="769">
        <v>0</v>
      </c>
      <c r="BY97" s="769">
        <v>0</v>
      </c>
      <c r="BZ97" s="769">
        <v>0</v>
      </c>
      <c r="CA97" s="777" t="s">
        <v>2260</v>
      </c>
      <c r="CB97" s="769" t="s">
        <v>2260</v>
      </c>
      <c r="CC97" s="769" t="s">
        <v>2260</v>
      </c>
      <c r="CD97" s="769" t="s">
        <v>2260</v>
      </c>
      <c r="CE97" s="774" t="s">
        <v>2260</v>
      </c>
      <c r="CF97" s="769" t="s">
        <v>2260</v>
      </c>
      <c r="CG97" s="769" t="s">
        <v>2260</v>
      </c>
      <c r="CH97" s="769" t="s">
        <v>2260</v>
      </c>
      <c r="CI97" s="769" t="s">
        <v>2260</v>
      </c>
      <c r="CJ97" s="774" t="s">
        <v>2260</v>
      </c>
      <c r="CK97" s="777">
        <v>583</v>
      </c>
      <c r="CL97" s="769">
        <v>583</v>
      </c>
      <c r="CM97" s="769">
        <v>583</v>
      </c>
      <c r="CN97" s="769">
        <v>583</v>
      </c>
      <c r="CO97" s="774">
        <v>583</v>
      </c>
      <c r="CP97" s="777" t="s">
        <v>2260</v>
      </c>
      <c r="CQ97" s="769" t="s">
        <v>2260</v>
      </c>
      <c r="CR97" s="769" t="s">
        <v>2260</v>
      </c>
      <c r="CS97" s="769" t="s">
        <v>2260</v>
      </c>
      <c r="CT97" s="774" t="s">
        <v>2260</v>
      </c>
      <c r="CU97" s="1253">
        <v>-2.12E-4</v>
      </c>
      <c r="CV97" s="1252" t="s">
        <v>2260</v>
      </c>
      <c r="CW97" s="1252" t="s">
        <v>2260</v>
      </c>
      <c r="CX97" s="1254" t="s">
        <v>2260</v>
      </c>
      <c r="CY97" s="1252">
        <v>1.84E-4</v>
      </c>
      <c r="CZ97" s="1252" t="s">
        <v>2260</v>
      </c>
      <c r="DA97" s="1252" t="s">
        <v>2260</v>
      </c>
      <c r="DB97" s="1254" t="s">
        <v>2260</v>
      </c>
      <c r="DC97" s="754"/>
      <c r="DD97" s="782">
        <v>1</v>
      </c>
      <c r="DE97" s="783"/>
    </row>
    <row r="98" spans="1:109" ht="15.75" hidden="1" customHeight="1">
      <c r="A98" s="741" t="s">
        <v>1260</v>
      </c>
      <c r="B98" s="742">
        <v>92</v>
      </c>
      <c r="C98" s="758" t="s">
        <v>1441</v>
      </c>
      <c r="D98" s="742" t="s">
        <v>2505</v>
      </c>
      <c r="E98" s="742" t="s">
        <v>2223</v>
      </c>
      <c r="F98" s="754" t="s">
        <v>2520</v>
      </c>
      <c r="G98" s="759" t="s">
        <v>2521</v>
      </c>
      <c r="H98" s="760" t="s">
        <v>2522</v>
      </c>
      <c r="I98" s="761">
        <v>0.5</v>
      </c>
      <c r="J98" s="762">
        <v>0.5</v>
      </c>
      <c r="K98" s="762"/>
      <c r="L98" s="762"/>
      <c r="M98" s="762"/>
      <c r="N98" s="762"/>
      <c r="O98" s="762"/>
      <c r="P98" s="763"/>
      <c r="Q98" s="764">
        <f t="shared" si="1"/>
        <v>1</v>
      </c>
      <c r="R98" s="758" t="s">
        <v>1852</v>
      </c>
      <c r="S98" s="742" t="s">
        <v>1826</v>
      </c>
      <c r="T98" s="765" t="s">
        <v>1827</v>
      </c>
      <c r="U98" s="742" t="s">
        <v>2523</v>
      </c>
      <c r="V98" s="742" t="s">
        <v>1897</v>
      </c>
      <c r="W98" s="742" t="s">
        <v>2524</v>
      </c>
      <c r="X98" s="798">
        <v>0</v>
      </c>
      <c r="Y98" s="767" t="s">
        <v>1828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210</v>
      </c>
      <c r="BM98" s="754" t="s">
        <v>210</v>
      </c>
      <c r="BN98" s="754" t="s">
        <v>210</v>
      </c>
      <c r="BO98" s="754" t="s">
        <v>210</v>
      </c>
      <c r="BP98" s="765" t="s">
        <v>210</v>
      </c>
      <c r="BQ98" s="777" t="s">
        <v>2260</v>
      </c>
      <c r="BR98" s="769" t="s">
        <v>2260</v>
      </c>
      <c r="BS98" s="769" t="s">
        <v>2260</v>
      </c>
      <c r="BT98" s="769" t="s">
        <v>2260</v>
      </c>
      <c r="BU98" s="774" t="s">
        <v>2260</v>
      </c>
      <c r="BV98" s="777">
        <v>17652</v>
      </c>
      <c r="BW98" s="769">
        <v>17652</v>
      </c>
      <c r="BX98" s="769">
        <v>17652</v>
      </c>
      <c r="BY98" s="769">
        <v>17652</v>
      </c>
      <c r="BZ98" s="769">
        <v>17652</v>
      </c>
      <c r="CA98" s="777" t="s">
        <v>2260</v>
      </c>
      <c r="CB98" s="769" t="s">
        <v>2260</v>
      </c>
      <c r="CC98" s="769" t="s">
        <v>2260</v>
      </c>
      <c r="CD98" s="769" t="s">
        <v>2260</v>
      </c>
      <c r="CE98" s="774" t="s">
        <v>2260</v>
      </c>
      <c r="CF98" s="769" t="s">
        <v>2260</v>
      </c>
      <c r="CG98" s="769" t="s">
        <v>2260</v>
      </c>
      <c r="CH98" s="769" t="s">
        <v>2260</v>
      </c>
      <c r="CI98" s="769" t="s">
        <v>2260</v>
      </c>
      <c r="CJ98" s="774" t="s">
        <v>2260</v>
      </c>
      <c r="CK98" s="777">
        <v>17858</v>
      </c>
      <c r="CL98" s="769">
        <v>17858</v>
      </c>
      <c r="CM98" s="769">
        <v>17858</v>
      </c>
      <c r="CN98" s="769">
        <v>17858</v>
      </c>
      <c r="CO98" s="774">
        <v>17858</v>
      </c>
      <c r="CP98" s="777" t="s">
        <v>2260</v>
      </c>
      <c r="CQ98" s="769" t="s">
        <v>2260</v>
      </c>
      <c r="CR98" s="769" t="s">
        <v>2260</v>
      </c>
      <c r="CS98" s="769" t="s">
        <v>2260</v>
      </c>
      <c r="CT98" s="774" t="s">
        <v>2260</v>
      </c>
      <c r="CU98" s="1253">
        <v>-7.2099999999999996E-4</v>
      </c>
      <c r="CV98" s="1252" t="s">
        <v>2260</v>
      </c>
      <c r="CW98" s="1252" t="s">
        <v>2260</v>
      </c>
      <c r="CX98" s="1254" t="s">
        <v>2260</v>
      </c>
      <c r="CY98" s="1252">
        <v>4.2700000000000002E-4</v>
      </c>
      <c r="CZ98" s="1252" t="s">
        <v>2260</v>
      </c>
      <c r="DA98" s="1252" t="s">
        <v>2260</v>
      </c>
      <c r="DB98" s="1254" t="s">
        <v>2260</v>
      </c>
      <c r="DC98" s="754"/>
      <c r="DD98" s="782">
        <v>1</v>
      </c>
      <c r="DE98" s="783"/>
    </row>
    <row r="99" spans="1:109" ht="15.75" hidden="1" customHeight="1">
      <c r="A99" s="741" t="s">
        <v>1260</v>
      </c>
      <c r="B99" s="742">
        <v>93</v>
      </c>
      <c r="C99" s="758" t="s">
        <v>1455</v>
      </c>
      <c r="D99" s="742" t="s">
        <v>2505</v>
      </c>
      <c r="E99" s="742" t="s">
        <v>2223</v>
      </c>
      <c r="F99" s="754" t="s">
        <v>2525</v>
      </c>
      <c r="G99" s="759" t="s">
        <v>2526</v>
      </c>
      <c r="H99" s="760" t="s">
        <v>2527</v>
      </c>
      <c r="I99" s="761"/>
      <c r="J99" s="762">
        <v>1</v>
      </c>
      <c r="K99" s="762"/>
      <c r="L99" s="762"/>
      <c r="M99" s="762"/>
      <c r="N99" s="762"/>
      <c r="O99" s="762"/>
      <c r="P99" s="763"/>
      <c r="Q99" s="764">
        <f t="shared" si="1"/>
        <v>1</v>
      </c>
      <c r="R99" s="758" t="s">
        <v>1846</v>
      </c>
      <c r="S99" s="742" t="s">
        <v>1826</v>
      </c>
      <c r="T99" s="765" t="s">
        <v>1827</v>
      </c>
      <c r="U99" s="742" t="s">
        <v>2528</v>
      </c>
      <c r="V99" s="742" t="s">
        <v>321</v>
      </c>
      <c r="W99" s="742" t="s">
        <v>2529</v>
      </c>
      <c r="X99" s="1243">
        <v>0</v>
      </c>
      <c r="Y99" s="767" t="s">
        <v>1828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210</v>
      </c>
      <c r="BM99" s="754" t="s">
        <v>210</v>
      </c>
      <c r="BN99" s="754" t="s">
        <v>210</v>
      </c>
      <c r="BO99" s="754" t="s">
        <v>210</v>
      </c>
      <c r="BP99" s="765" t="s">
        <v>210</v>
      </c>
      <c r="BQ99" s="777" t="s">
        <v>2260</v>
      </c>
      <c r="BR99" s="769" t="s">
        <v>2260</v>
      </c>
      <c r="BS99" s="769" t="s">
        <v>2260</v>
      </c>
      <c r="BT99" s="769" t="s">
        <v>2260</v>
      </c>
      <c r="BU99" s="774" t="s">
        <v>2260</v>
      </c>
      <c r="BV99" s="777">
        <v>94</v>
      </c>
      <c r="BW99" s="769">
        <v>94</v>
      </c>
      <c r="BX99" s="769">
        <v>94</v>
      </c>
      <c r="BY99" s="769">
        <v>94</v>
      </c>
      <c r="BZ99" s="769">
        <v>94</v>
      </c>
      <c r="CA99" s="777">
        <v>97</v>
      </c>
      <c r="CB99" s="769">
        <v>97</v>
      </c>
      <c r="CC99" s="769">
        <v>97</v>
      </c>
      <c r="CD99" s="769">
        <v>97</v>
      </c>
      <c r="CE99" s="774">
        <v>97</v>
      </c>
      <c r="CF99" s="769" t="s">
        <v>2260</v>
      </c>
      <c r="CG99" s="769" t="s">
        <v>2260</v>
      </c>
      <c r="CH99" s="769" t="s">
        <v>2260</v>
      </c>
      <c r="CI99" s="769" t="s">
        <v>2260</v>
      </c>
      <c r="CJ99" s="769" t="s">
        <v>2260</v>
      </c>
      <c r="CK99" s="777" t="s">
        <v>2260</v>
      </c>
      <c r="CL99" s="769" t="s">
        <v>2260</v>
      </c>
      <c r="CM99" s="769" t="s">
        <v>2260</v>
      </c>
      <c r="CN99" s="769" t="s">
        <v>2260</v>
      </c>
      <c r="CO99" s="774" t="s">
        <v>2260</v>
      </c>
      <c r="CP99" s="777" t="s">
        <v>2260</v>
      </c>
      <c r="CQ99" s="769" t="s">
        <v>2260</v>
      </c>
      <c r="CR99" s="769" t="s">
        <v>2260</v>
      </c>
      <c r="CS99" s="769" t="s">
        <v>2260</v>
      </c>
      <c r="CT99" s="774" t="s">
        <v>2260</v>
      </c>
      <c r="CU99" s="1253">
        <v>-8.5900000000000004E-3</v>
      </c>
      <c r="CV99" s="1252" t="s">
        <v>2260</v>
      </c>
      <c r="CW99" s="1252" t="s">
        <v>2260</v>
      </c>
      <c r="CX99" s="1254" t="s">
        <v>2260</v>
      </c>
      <c r="CY99" s="1252" t="s">
        <v>2260</v>
      </c>
      <c r="CZ99" s="1252" t="s">
        <v>2260</v>
      </c>
      <c r="DA99" s="1252" t="s">
        <v>2260</v>
      </c>
      <c r="DB99" s="1254" t="s">
        <v>2260</v>
      </c>
      <c r="DC99" s="754"/>
      <c r="DD99" s="782">
        <v>1</v>
      </c>
      <c r="DE99" s="783"/>
    </row>
    <row r="100" spans="1:109" ht="15.75" hidden="1" customHeight="1">
      <c r="A100" s="741" t="s">
        <v>1260</v>
      </c>
      <c r="B100" s="742">
        <v>94</v>
      </c>
      <c r="C100" s="758" t="s">
        <v>1465</v>
      </c>
      <c r="D100" s="742" t="s">
        <v>2505</v>
      </c>
      <c r="E100" s="742" t="s">
        <v>2231</v>
      </c>
      <c r="F100" s="754" t="s">
        <v>2530</v>
      </c>
      <c r="G100" s="759" t="s">
        <v>2531</v>
      </c>
      <c r="H100" s="760" t="s">
        <v>2532</v>
      </c>
      <c r="I100" s="761">
        <v>1</v>
      </c>
      <c r="J100" s="762"/>
      <c r="K100" s="762"/>
      <c r="L100" s="762"/>
      <c r="M100" s="762"/>
      <c r="N100" s="762"/>
      <c r="O100" s="762"/>
      <c r="P100" s="763"/>
      <c r="Q100" s="764">
        <f t="shared" si="1"/>
        <v>1</v>
      </c>
      <c r="R100" s="758" t="s">
        <v>1846</v>
      </c>
      <c r="S100" s="742" t="s">
        <v>1826</v>
      </c>
      <c r="T100" s="765" t="s">
        <v>1827</v>
      </c>
      <c r="U100" s="742" t="s">
        <v>2290</v>
      </c>
      <c r="V100" s="742" t="s">
        <v>321</v>
      </c>
      <c r="W100" s="742" t="s">
        <v>2533</v>
      </c>
      <c r="X100" s="798">
        <v>0</v>
      </c>
      <c r="Y100" s="788" t="s">
        <v>1828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210</v>
      </c>
      <c r="BM100" s="754" t="s">
        <v>210</v>
      </c>
      <c r="BN100" s="754" t="s">
        <v>210</v>
      </c>
      <c r="BO100" s="754" t="s">
        <v>210</v>
      </c>
      <c r="BP100" s="765" t="s">
        <v>210</v>
      </c>
      <c r="BQ100" s="777" t="s">
        <v>2260</v>
      </c>
      <c r="BR100" s="769" t="s">
        <v>2260</v>
      </c>
      <c r="BS100" s="769" t="s">
        <v>2260</v>
      </c>
      <c r="BT100" s="769" t="s">
        <v>2260</v>
      </c>
      <c r="BU100" s="774" t="s">
        <v>2260</v>
      </c>
      <c r="BV100" s="777" t="s">
        <v>2260</v>
      </c>
      <c r="BW100" s="769" t="s">
        <v>2260</v>
      </c>
      <c r="BX100" s="769" t="s">
        <v>2260</v>
      </c>
      <c r="BY100" s="769" t="s">
        <v>2260</v>
      </c>
      <c r="BZ100" s="769" t="s">
        <v>2260</v>
      </c>
      <c r="CA100" s="777" t="s">
        <v>2260</v>
      </c>
      <c r="CB100" s="769" t="s">
        <v>2260</v>
      </c>
      <c r="CC100" s="769" t="s">
        <v>2260</v>
      </c>
      <c r="CD100" s="769" t="s">
        <v>2260</v>
      </c>
      <c r="CE100" s="774" t="s">
        <v>2260</v>
      </c>
      <c r="CF100" s="769" t="s">
        <v>2260</v>
      </c>
      <c r="CG100" s="769" t="s">
        <v>2260</v>
      </c>
      <c r="CH100" s="769" t="s">
        <v>2260</v>
      </c>
      <c r="CI100" s="769" t="s">
        <v>2260</v>
      </c>
      <c r="CJ100" s="774" t="s">
        <v>2260</v>
      </c>
      <c r="CK100" s="777" t="s">
        <v>2260</v>
      </c>
      <c r="CL100" s="769" t="s">
        <v>2260</v>
      </c>
      <c r="CM100" s="769" t="s">
        <v>2260</v>
      </c>
      <c r="CN100" s="769" t="s">
        <v>2260</v>
      </c>
      <c r="CO100" s="774" t="s">
        <v>2260</v>
      </c>
      <c r="CP100" s="777" t="s">
        <v>2260</v>
      </c>
      <c r="CQ100" s="769" t="s">
        <v>2260</v>
      </c>
      <c r="CR100" s="769" t="s">
        <v>2260</v>
      </c>
      <c r="CS100" s="769" t="s">
        <v>2260</v>
      </c>
      <c r="CT100" s="774" t="s">
        <v>2260</v>
      </c>
      <c r="CU100" s="1257">
        <v>-2.3800000000000002E-3</v>
      </c>
      <c r="CV100" s="1252" t="s">
        <v>2260</v>
      </c>
      <c r="CW100" s="1252" t="s">
        <v>2260</v>
      </c>
      <c r="CX100" s="1254" t="s">
        <v>2260</v>
      </c>
      <c r="CY100" s="1252" t="s">
        <v>2260</v>
      </c>
      <c r="CZ100" s="1252" t="s">
        <v>2260</v>
      </c>
      <c r="DA100" s="1252" t="s">
        <v>2260</v>
      </c>
      <c r="DB100" s="1254" t="s">
        <v>2260</v>
      </c>
      <c r="DC100" s="754"/>
      <c r="DD100" s="782">
        <v>1</v>
      </c>
      <c r="DE100" s="783"/>
    </row>
    <row r="101" spans="1:109" ht="15.75" hidden="1" customHeight="1">
      <c r="A101" s="741" t="s">
        <v>1260</v>
      </c>
      <c r="B101" s="742">
        <v>95</v>
      </c>
      <c r="C101" s="758" t="s">
        <v>1473</v>
      </c>
      <c r="D101" s="742" t="s">
        <v>2505</v>
      </c>
      <c r="E101" s="742" t="s">
        <v>2223</v>
      </c>
      <c r="F101" s="754" t="s">
        <v>2534</v>
      </c>
      <c r="G101" s="759" t="s">
        <v>2535</v>
      </c>
      <c r="H101" s="760" t="s">
        <v>2536</v>
      </c>
      <c r="I101" s="761">
        <v>0.2</v>
      </c>
      <c r="J101" s="762">
        <v>0.8</v>
      </c>
      <c r="K101" s="762"/>
      <c r="L101" s="762"/>
      <c r="M101" s="762"/>
      <c r="N101" s="762"/>
      <c r="O101" s="762"/>
      <c r="P101" s="763"/>
      <c r="Q101" s="764">
        <f t="shared" si="1"/>
        <v>1</v>
      </c>
      <c r="R101" s="758" t="s">
        <v>1852</v>
      </c>
      <c r="S101" s="742" t="s">
        <v>1826</v>
      </c>
      <c r="T101" s="765" t="s">
        <v>1827</v>
      </c>
      <c r="U101" s="742" t="s">
        <v>2537</v>
      </c>
      <c r="V101" s="742" t="s">
        <v>321</v>
      </c>
      <c r="W101" s="742" t="s">
        <v>2538</v>
      </c>
      <c r="X101" s="1243">
        <v>1</v>
      </c>
      <c r="Y101" s="788" t="s">
        <v>1828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210</v>
      </c>
      <c r="BM101" s="754" t="s">
        <v>210</v>
      </c>
      <c r="BN101" s="754" t="s">
        <v>210</v>
      </c>
      <c r="BO101" s="754" t="s">
        <v>210</v>
      </c>
      <c r="BP101" s="765" t="s">
        <v>210</v>
      </c>
      <c r="BQ101" s="777" t="s">
        <v>2260</v>
      </c>
      <c r="BR101" s="769" t="s">
        <v>2260</v>
      </c>
      <c r="BS101" s="769" t="s">
        <v>2260</v>
      </c>
      <c r="BT101" s="769" t="s">
        <v>2260</v>
      </c>
      <c r="BU101" s="774" t="s">
        <v>2260</v>
      </c>
      <c r="BV101" s="777">
        <v>75</v>
      </c>
      <c r="BW101" s="769">
        <v>75</v>
      </c>
      <c r="BX101" s="769">
        <v>75</v>
      </c>
      <c r="BY101" s="769">
        <v>75</v>
      </c>
      <c r="BZ101" s="769">
        <v>75</v>
      </c>
      <c r="CA101" s="777" t="s">
        <v>2260</v>
      </c>
      <c r="CB101" s="769" t="s">
        <v>2260</v>
      </c>
      <c r="CC101" s="769" t="s">
        <v>2260</v>
      </c>
      <c r="CD101" s="769" t="s">
        <v>2260</v>
      </c>
      <c r="CE101" s="774" t="s">
        <v>2260</v>
      </c>
      <c r="CF101" s="769" t="s">
        <v>2260</v>
      </c>
      <c r="CG101" s="769" t="s">
        <v>2260</v>
      </c>
      <c r="CH101" s="769" t="s">
        <v>2260</v>
      </c>
      <c r="CI101" s="769" t="s">
        <v>2260</v>
      </c>
      <c r="CJ101" s="774" t="s">
        <v>2260</v>
      </c>
      <c r="CK101" s="777">
        <v>93</v>
      </c>
      <c r="CL101" s="769">
        <v>93</v>
      </c>
      <c r="CM101" s="769">
        <v>93</v>
      </c>
      <c r="CN101" s="769">
        <v>93</v>
      </c>
      <c r="CO101" s="774">
        <v>93</v>
      </c>
      <c r="CP101" s="777" t="s">
        <v>2260</v>
      </c>
      <c r="CQ101" s="769" t="s">
        <v>2260</v>
      </c>
      <c r="CR101" s="769" t="s">
        <v>2260</v>
      </c>
      <c r="CS101" s="769" t="s">
        <v>2260</v>
      </c>
      <c r="CT101" s="774" t="s">
        <v>2260</v>
      </c>
      <c r="CU101" s="1253">
        <v>-2.1100000000000001E-2</v>
      </c>
      <c r="CV101" s="1252" t="s">
        <v>2260</v>
      </c>
      <c r="CW101" s="1252" t="s">
        <v>2260</v>
      </c>
      <c r="CX101" s="1254" t="s">
        <v>2260</v>
      </c>
      <c r="CY101" s="1252">
        <v>2.0799999999999999E-2</v>
      </c>
      <c r="CZ101" s="1252" t="s">
        <v>2260</v>
      </c>
      <c r="DA101" s="1252" t="s">
        <v>2260</v>
      </c>
      <c r="DB101" s="1254" t="s">
        <v>2260</v>
      </c>
      <c r="DC101" s="754"/>
      <c r="DD101" s="782">
        <v>1</v>
      </c>
      <c r="DE101" s="783"/>
    </row>
    <row r="102" spans="1:109" ht="15.75" hidden="1" customHeight="1">
      <c r="A102" s="741" t="s">
        <v>1260</v>
      </c>
      <c r="B102" s="742">
        <v>96</v>
      </c>
      <c r="C102" s="758" t="s">
        <v>1479</v>
      </c>
      <c r="D102" s="742" t="s">
        <v>2505</v>
      </c>
      <c r="E102" s="742" t="s">
        <v>2231</v>
      </c>
      <c r="F102" s="754" t="s">
        <v>2539</v>
      </c>
      <c r="G102" s="759" t="s">
        <v>2540</v>
      </c>
      <c r="H102" s="760" t="s">
        <v>2541</v>
      </c>
      <c r="I102" s="761">
        <v>1</v>
      </c>
      <c r="J102" s="762"/>
      <c r="K102" s="762"/>
      <c r="L102" s="762"/>
      <c r="M102" s="762"/>
      <c r="N102" s="762"/>
      <c r="O102" s="762"/>
      <c r="P102" s="763"/>
      <c r="Q102" s="764">
        <f t="shared" si="1"/>
        <v>1</v>
      </c>
      <c r="R102" s="758" t="s">
        <v>1852</v>
      </c>
      <c r="S102" s="742" t="s">
        <v>1826</v>
      </c>
      <c r="T102" s="765" t="s">
        <v>1827</v>
      </c>
      <c r="U102" s="742" t="s">
        <v>2290</v>
      </c>
      <c r="V102" s="742" t="s">
        <v>1857</v>
      </c>
      <c r="W102" s="742" t="s">
        <v>2542</v>
      </c>
      <c r="X102" s="798">
        <v>1</v>
      </c>
      <c r="Y102" s="788" t="s">
        <v>1838</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210</v>
      </c>
      <c r="BM102" s="754" t="s">
        <v>210</v>
      </c>
      <c r="BN102" s="754" t="s">
        <v>210</v>
      </c>
      <c r="BO102" s="754" t="s">
        <v>210</v>
      </c>
      <c r="BP102" s="765" t="s">
        <v>210</v>
      </c>
      <c r="BQ102" s="777" t="s">
        <v>2260</v>
      </c>
      <c r="BR102" s="769" t="s">
        <v>2260</v>
      </c>
      <c r="BS102" s="769" t="s">
        <v>2260</v>
      </c>
      <c r="BT102" s="769" t="s">
        <v>2260</v>
      </c>
      <c r="BU102" s="774" t="s">
        <v>2260</v>
      </c>
      <c r="BV102" s="777" t="s">
        <v>2260</v>
      </c>
      <c r="BW102" s="769" t="s">
        <v>2260</v>
      </c>
      <c r="BX102" s="769" t="s">
        <v>2260</v>
      </c>
      <c r="BY102" s="769" t="s">
        <v>2260</v>
      </c>
      <c r="BZ102" s="769" t="s">
        <v>2260</v>
      </c>
      <c r="CA102" s="777" t="s">
        <v>2260</v>
      </c>
      <c r="CB102" s="769" t="s">
        <v>2260</v>
      </c>
      <c r="CC102" s="769" t="s">
        <v>2260</v>
      </c>
      <c r="CD102" s="769" t="s">
        <v>2260</v>
      </c>
      <c r="CE102" s="774" t="s">
        <v>2260</v>
      </c>
      <c r="CF102" s="769" t="s">
        <v>2260</v>
      </c>
      <c r="CG102" s="769" t="s">
        <v>2260</v>
      </c>
      <c r="CH102" s="769" t="s">
        <v>2260</v>
      </c>
      <c r="CI102" s="769" t="s">
        <v>2260</v>
      </c>
      <c r="CJ102" s="774" t="s">
        <v>2260</v>
      </c>
      <c r="CK102" s="777">
        <v>-733.5</v>
      </c>
      <c r="CL102" s="769">
        <v>-733.5</v>
      </c>
      <c r="CM102" s="769">
        <v>-733.5</v>
      </c>
      <c r="CN102" s="769">
        <v>-733.5</v>
      </c>
      <c r="CO102" s="774">
        <v>-733.5</v>
      </c>
      <c r="CP102" s="777" t="s">
        <v>2260</v>
      </c>
      <c r="CQ102" s="769" t="s">
        <v>2260</v>
      </c>
      <c r="CR102" s="769" t="s">
        <v>2260</v>
      </c>
      <c r="CS102" s="769" t="s">
        <v>2260</v>
      </c>
      <c r="CT102" s="774" t="s">
        <v>2260</v>
      </c>
      <c r="CU102" s="1253">
        <v>-5.0000000000000002E-5</v>
      </c>
      <c r="CV102" s="1252" t="s">
        <v>2260</v>
      </c>
      <c r="CW102" s="1252" t="s">
        <v>2260</v>
      </c>
      <c r="CX102" s="1254" t="s">
        <v>2260</v>
      </c>
      <c r="CY102" s="1252">
        <v>5.0000000000000002E-5</v>
      </c>
      <c r="CZ102" s="1252" t="s">
        <v>2260</v>
      </c>
      <c r="DA102" s="1252" t="s">
        <v>2260</v>
      </c>
      <c r="DB102" s="1254" t="s">
        <v>2260</v>
      </c>
      <c r="DC102" s="754" t="s">
        <v>173</v>
      </c>
      <c r="DD102" s="782">
        <v>1</v>
      </c>
      <c r="DE102" s="783" t="s">
        <v>2543</v>
      </c>
    </row>
    <row r="103" spans="1:109" ht="15.75" hidden="1" customHeight="1">
      <c r="A103" s="741" t="s">
        <v>1260</v>
      </c>
      <c r="B103" s="742">
        <v>97</v>
      </c>
      <c r="C103" s="758" t="s">
        <v>1128</v>
      </c>
      <c r="D103" s="742" t="s">
        <v>2484</v>
      </c>
      <c r="E103" s="742" t="s">
        <v>2231</v>
      </c>
      <c r="F103" s="754" t="s">
        <v>2544</v>
      </c>
      <c r="G103" s="759" t="s">
        <v>755</v>
      </c>
      <c r="H103" s="760" t="s">
        <v>2545</v>
      </c>
      <c r="I103" s="761"/>
      <c r="J103" s="762"/>
      <c r="K103" s="762"/>
      <c r="L103" s="762"/>
      <c r="M103" s="762">
        <v>1</v>
      </c>
      <c r="N103" s="762"/>
      <c r="O103" s="762"/>
      <c r="P103" s="763"/>
      <c r="Q103" s="764">
        <f t="shared" si="1"/>
        <v>1</v>
      </c>
      <c r="R103" s="758" t="s">
        <v>1825</v>
      </c>
      <c r="S103" s="742"/>
      <c r="T103" s="765"/>
      <c r="U103" s="742" t="s">
        <v>2396</v>
      </c>
      <c r="V103" s="742" t="s">
        <v>321</v>
      </c>
      <c r="W103" s="742" t="s">
        <v>2504</v>
      </c>
      <c r="X103" s="1278">
        <v>1</v>
      </c>
      <c r="Y103" s="790" t="s">
        <v>1828</v>
      </c>
      <c r="Z103" s="759" t="s">
        <v>755</v>
      </c>
      <c r="AA103" s="754"/>
      <c r="AB103" s="754"/>
      <c r="AC103" s="754"/>
      <c r="AD103" s="754"/>
      <c r="AE103" s="754"/>
      <c r="AF103" s="759"/>
      <c r="AG103" s="769"/>
      <c r="AH103" s="769"/>
      <c r="AI103" s="769"/>
      <c r="AJ103" s="769"/>
      <c r="AK103" s="769"/>
      <c r="AL103" s="769"/>
      <c r="AM103" s="769"/>
      <c r="AN103" s="769"/>
      <c r="AO103" s="769"/>
      <c r="AP103" s="769"/>
      <c r="AQ103" s="1369"/>
      <c r="AR103" s="1319"/>
      <c r="AS103" s="1319"/>
      <c r="AT103" s="1319"/>
      <c r="AU103" s="1320"/>
      <c r="AV103" s="1369"/>
      <c r="AW103" s="1319"/>
      <c r="AX103" s="1319"/>
      <c r="AY103" s="1319"/>
      <c r="AZ103" s="1319"/>
      <c r="BA103" s="1319"/>
      <c r="BB103" s="1319"/>
      <c r="BC103" s="1319"/>
      <c r="BD103" s="1319"/>
      <c r="BE103" s="1319"/>
      <c r="BF103" s="1319"/>
      <c r="BG103" s="1319"/>
      <c r="BH103" s="1319"/>
      <c r="BI103" s="1319"/>
      <c r="BJ103" s="1319"/>
      <c r="BK103" s="1320"/>
      <c r="BL103" s="1327"/>
      <c r="BM103" s="1328"/>
      <c r="BN103" s="1328"/>
      <c r="BO103" s="1328"/>
      <c r="BP103" s="1389"/>
      <c r="BQ103" s="1369"/>
      <c r="BR103" s="1319"/>
      <c r="BS103" s="1319"/>
      <c r="BT103" s="1319"/>
      <c r="BU103" s="1320"/>
      <c r="BV103" s="1369"/>
      <c r="BW103" s="1319"/>
      <c r="BX103" s="1319"/>
      <c r="BY103" s="1319"/>
      <c r="BZ103" s="1319"/>
      <c r="CA103" s="1369"/>
      <c r="CB103" s="1319"/>
      <c r="CC103" s="1319"/>
      <c r="CD103" s="1319"/>
      <c r="CE103" s="1320"/>
      <c r="CF103" s="1319"/>
      <c r="CG103" s="1319"/>
      <c r="CH103" s="1319"/>
      <c r="CI103" s="1319"/>
      <c r="CJ103" s="1320"/>
      <c r="CK103" s="1369"/>
      <c r="CL103" s="1319"/>
      <c r="CM103" s="1319"/>
      <c r="CN103" s="1319"/>
      <c r="CO103" s="1320"/>
      <c r="CP103" s="1369"/>
      <c r="CQ103" s="1319"/>
      <c r="CR103" s="1319"/>
      <c r="CS103" s="1319"/>
      <c r="CT103" s="1320"/>
      <c r="CU103" s="1467"/>
      <c r="CV103" s="1458"/>
      <c r="CW103" s="1458"/>
      <c r="CX103" s="1663"/>
      <c r="CY103" s="1458"/>
      <c r="CZ103" s="1458"/>
      <c r="DA103" s="1458"/>
      <c r="DB103" s="1663"/>
      <c r="DC103" s="1328"/>
      <c r="DD103" s="1664"/>
      <c r="DE103" s="1669"/>
    </row>
    <row r="104" spans="1:109" ht="15.75" hidden="1" customHeight="1">
      <c r="A104" s="741" t="s">
        <v>1260</v>
      </c>
      <c r="B104" s="742">
        <v>98</v>
      </c>
      <c r="C104" s="758" t="s">
        <v>1485</v>
      </c>
      <c r="D104" s="742"/>
      <c r="E104" s="742"/>
      <c r="F104" s="754" t="s">
        <v>2546</v>
      </c>
      <c r="G104" s="759" t="s">
        <v>2547</v>
      </c>
      <c r="H104" s="760"/>
      <c r="I104" s="761"/>
      <c r="J104" s="762">
        <v>1</v>
      </c>
      <c r="K104" s="762"/>
      <c r="L104" s="762"/>
      <c r="M104" s="762"/>
      <c r="N104" s="762"/>
      <c r="O104" s="762"/>
      <c r="P104" s="763"/>
      <c r="Q104" s="764">
        <f t="shared" si="1"/>
        <v>1</v>
      </c>
      <c r="R104" s="758" t="s">
        <v>1846</v>
      </c>
      <c r="S104" s="742" t="s">
        <v>1826</v>
      </c>
      <c r="T104" s="765" t="s">
        <v>1837</v>
      </c>
      <c r="U104" s="742"/>
      <c r="V104" s="825" t="s">
        <v>1857</v>
      </c>
      <c r="W104" s="742" t="s">
        <v>2548</v>
      </c>
      <c r="X104" s="798">
        <v>0</v>
      </c>
      <c r="Y104" s="1272" t="s">
        <v>1838</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210</v>
      </c>
      <c r="BQ104" s="777" t="s">
        <v>2260</v>
      </c>
      <c r="BR104" s="769" t="s">
        <v>2260</v>
      </c>
      <c r="BS104" s="769" t="s">
        <v>2260</v>
      </c>
      <c r="BT104" s="769" t="s">
        <v>2260</v>
      </c>
      <c r="BU104" s="774" t="s">
        <v>2260</v>
      </c>
      <c r="BV104" s="777" t="s">
        <v>2260</v>
      </c>
      <c r="BW104" s="769" t="s">
        <v>2260</v>
      </c>
      <c r="BX104" s="769" t="s">
        <v>2260</v>
      </c>
      <c r="BY104" s="769" t="s">
        <v>2260</v>
      </c>
      <c r="BZ104" s="769" t="s">
        <v>2260</v>
      </c>
      <c r="CA104" s="777" t="s">
        <v>2260</v>
      </c>
      <c r="CB104" s="769" t="s">
        <v>2260</v>
      </c>
      <c r="CC104" s="769" t="s">
        <v>2260</v>
      </c>
      <c r="CD104" s="769" t="s">
        <v>2260</v>
      </c>
      <c r="CE104" s="774" t="s">
        <v>2260</v>
      </c>
      <c r="CF104" s="769" t="s">
        <v>2260</v>
      </c>
      <c r="CG104" s="769" t="s">
        <v>2260</v>
      </c>
      <c r="CH104" s="769" t="s">
        <v>2260</v>
      </c>
      <c r="CI104" s="769" t="s">
        <v>2260</v>
      </c>
      <c r="CJ104" s="774" t="s">
        <v>2260</v>
      </c>
      <c r="CK104" s="777" t="s">
        <v>2260</v>
      </c>
      <c r="CL104" s="769" t="s">
        <v>2260</v>
      </c>
      <c r="CM104" s="769" t="s">
        <v>2260</v>
      </c>
      <c r="CN104" s="769" t="s">
        <v>2260</v>
      </c>
      <c r="CO104" s="774" t="s">
        <v>2260</v>
      </c>
      <c r="CP104" s="777" t="s">
        <v>2260</v>
      </c>
      <c r="CQ104" s="769" t="s">
        <v>2260</v>
      </c>
      <c r="CR104" s="769" t="s">
        <v>2260</v>
      </c>
      <c r="CS104" s="769" t="s">
        <v>2260</v>
      </c>
      <c r="CT104" s="774" t="s">
        <v>2260</v>
      </c>
      <c r="CU104" s="1257">
        <v>-5.3100000000000001E-2</v>
      </c>
      <c r="CV104" s="1252" t="s">
        <v>2260</v>
      </c>
      <c r="CW104" s="1252" t="s">
        <v>2260</v>
      </c>
      <c r="CX104" s="1254" t="s">
        <v>2260</v>
      </c>
      <c r="CY104" s="1252" t="s">
        <v>2260</v>
      </c>
      <c r="CZ104" s="1252" t="s">
        <v>2260</v>
      </c>
      <c r="DA104" s="1252" t="s">
        <v>2260</v>
      </c>
      <c r="DB104" s="1254" t="s">
        <v>2260</v>
      </c>
      <c r="DC104" s="754"/>
      <c r="DD104" s="782"/>
      <c r="DE104" s="783"/>
    </row>
    <row r="105" spans="1:109" ht="15.75" hidden="1" customHeight="1">
      <c r="A105" s="741" t="s">
        <v>1260</v>
      </c>
      <c r="B105" s="742">
        <v>99</v>
      </c>
      <c r="C105" s="758" t="s">
        <v>1640</v>
      </c>
      <c r="D105" s="742"/>
      <c r="E105" s="742"/>
      <c r="F105" s="754" t="s">
        <v>2331</v>
      </c>
      <c r="G105" s="759" t="s">
        <v>2332</v>
      </c>
      <c r="H105" s="760"/>
      <c r="I105" s="761"/>
      <c r="J105" s="762"/>
      <c r="K105" s="762"/>
      <c r="L105" s="762"/>
      <c r="M105" s="762"/>
      <c r="N105" s="762"/>
      <c r="O105" s="762"/>
      <c r="P105" s="763"/>
      <c r="Q105" s="764">
        <f t="shared" si="1"/>
        <v>0</v>
      </c>
      <c r="R105" s="758" t="s">
        <v>1825</v>
      </c>
      <c r="S105" s="742"/>
      <c r="T105" s="765"/>
      <c r="U105" s="742"/>
      <c r="V105" s="1216" t="s">
        <v>1890</v>
      </c>
      <c r="W105" s="742" t="s">
        <v>2333</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2334</v>
      </c>
      <c r="AR105" s="769" t="s">
        <v>2334</v>
      </c>
      <c r="AS105" s="769" t="s">
        <v>2334</v>
      </c>
      <c r="AT105" s="769" t="s">
        <v>2334</v>
      </c>
      <c r="AU105" s="774" t="s">
        <v>2334</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2260</v>
      </c>
      <c r="BR105" s="769" t="s">
        <v>2260</v>
      </c>
      <c r="BS105" s="769" t="s">
        <v>2260</v>
      </c>
      <c r="BT105" s="769" t="s">
        <v>2260</v>
      </c>
      <c r="BU105" s="774" t="s">
        <v>2260</v>
      </c>
      <c r="BV105" s="777" t="s">
        <v>2260</v>
      </c>
      <c r="BW105" s="769" t="s">
        <v>2260</v>
      </c>
      <c r="BX105" s="769" t="s">
        <v>2260</v>
      </c>
      <c r="BY105" s="769" t="s">
        <v>2260</v>
      </c>
      <c r="BZ105" s="769" t="s">
        <v>2260</v>
      </c>
      <c r="CA105" s="777" t="s">
        <v>2260</v>
      </c>
      <c r="CB105" s="769" t="s">
        <v>2260</v>
      </c>
      <c r="CC105" s="769" t="s">
        <v>2260</v>
      </c>
      <c r="CD105" s="769" t="s">
        <v>2260</v>
      </c>
      <c r="CE105" s="774" t="s">
        <v>2260</v>
      </c>
      <c r="CF105" s="769" t="s">
        <v>2260</v>
      </c>
      <c r="CG105" s="769" t="s">
        <v>2260</v>
      </c>
      <c r="CH105" s="769" t="s">
        <v>2260</v>
      </c>
      <c r="CI105" s="769" t="s">
        <v>2260</v>
      </c>
      <c r="CJ105" s="774" t="s">
        <v>2260</v>
      </c>
      <c r="CK105" s="777" t="s">
        <v>2260</v>
      </c>
      <c r="CL105" s="769" t="s">
        <v>2260</v>
      </c>
      <c r="CM105" s="769" t="s">
        <v>2260</v>
      </c>
      <c r="CN105" s="769" t="s">
        <v>2260</v>
      </c>
      <c r="CO105" s="774" t="s">
        <v>2260</v>
      </c>
      <c r="CP105" s="777" t="s">
        <v>2260</v>
      </c>
      <c r="CQ105" s="769" t="s">
        <v>2260</v>
      </c>
      <c r="CR105" s="769" t="s">
        <v>2260</v>
      </c>
      <c r="CS105" s="769" t="s">
        <v>2260</v>
      </c>
      <c r="CT105" s="774" t="s">
        <v>2260</v>
      </c>
      <c r="CU105" s="1253" t="s">
        <v>2260</v>
      </c>
      <c r="CV105" s="1252" t="s">
        <v>2260</v>
      </c>
      <c r="CW105" s="1252" t="s">
        <v>2260</v>
      </c>
      <c r="CX105" s="1254" t="s">
        <v>2260</v>
      </c>
      <c r="CY105" s="1252" t="s">
        <v>2260</v>
      </c>
      <c r="CZ105" s="1252" t="s">
        <v>2260</v>
      </c>
      <c r="DA105" s="1252" t="s">
        <v>2260</v>
      </c>
      <c r="DB105" s="1254" t="s">
        <v>2260</v>
      </c>
      <c r="DC105" s="754"/>
      <c r="DD105" s="782"/>
      <c r="DE105" s="783"/>
    </row>
    <row r="106" spans="1:109" ht="23.1" hidden="1" customHeight="1">
      <c r="A106" s="741" t="s">
        <v>1260</v>
      </c>
      <c r="B106" s="742">
        <v>100</v>
      </c>
      <c r="C106" s="758" t="s">
        <v>1656</v>
      </c>
      <c r="D106" s="742"/>
      <c r="E106" s="742"/>
      <c r="F106" s="754" t="s">
        <v>2549</v>
      </c>
      <c r="G106" s="759" t="s">
        <v>2550</v>
      </c>
      <c r="H106" s="1218" t="s">
        <v>2551</v>
      </c>
      <c r="I106" s="761"/>
      <c r="J106" s="762"/>
      <c r="K106" s="762"/>
      <c r="L106" s="762"/>
      <c r="M106" s="762"/>
      <c r="N106" s="762"/>
      <c r="O106" s="762"/>
      <c r="P106" s="763"/>
      <c r="Q106" s="764">
        <f t="shared" si="1"/>
        <v>0</v>
      </c>
      <c r="R106" s="758" t="s">
        <v>1825</v>
      </c>
      <c r="S106" s="742"/>
      <c r="T106" s="765"/>
      <c r="U106" s="742"/>
      <c r="V106" s="742" t="s">
        <v>1857</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2552</v>
      </c>
      <c r="AR106" s="769" t="s">
        <v>2553</v>
      </c>
      <c r="AS106" s="769" t="s">
        <v>2554</v>
      </c>
      <c r="AT106" s="769" t="s">
        <v>2555</v>
      </c>
      <c r="AU106" s="774" t="s">
        <v>2556</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2260</v>
      </c>
      <c r="BR106" s="769" t="s">
        <v>2260</v>
      </c>
      <c r="BS106" s="769" t="s">
        <v>2260</v>
      </c>
      <c r="BT106" s="769" t="s">
        <v>2260</v>
      </c>
      <c r="BU106" s="774" t="s">
        <v>2260</v>
      </c>
      <c r="BV106" s="777" t="s">
        <v>2260</v>
      </c>
      <c r="BW106" s="769" t="s">
        <v>2260</v>
      </c>
      <c r="BX106" s="769" t="s">
        <v>2260</v>
      </c>
      <c r="BY106" s="769" t="s">
        <v>2260</v>
      </c>
      <c r="BZ106" s="769" t="s">
        <v>2260</v>
      </c>
      <c r="CA106" s="777" t="s">
        <v>2260</v>
      </c>
      <c r="CB106" s="769" t="s">
        <v>2260</v>
      </c>
      <c r="CC106" s="769" t="s">
        <v>2260</v>
      </c>
      <c r="CD106" s="769" t="s">
        <v>2260</v>
      </c>
      <c r="CE106" s="774" t="s">
        <v>2260</v>
      </c>
      <c r="CF106" s="769" t="s">
        <v>2260</v>
      </c>
      <c r="CG106" s="769" t="s">
        <v>2260</v>
      </c>
      <c r="CH106" s="769" t="s">
        <v>2260</v>
      </c>
      <c r="CI106" s="769" t="s">
        <v>2260</v>
      </c>
      <c r="CJ106" s="774" t="s">
        <v>2260</v>
      </c>
      <c r="CK106" s="777" t="s">
        <v>2260</v>
      </c>
      <c r="CL106" s="769" t="s">
        <v>2260</v>
      </c>
      <c r="CM106" s="769" t="s">
        <v>2260</v>
      </c>
      <c r="CN106" s="769" t="s">
        <v>2260</v>
      </c>
      <c r="CO106" s="774" t="s">
        <v>2260</v>
      </c>
      <c r="CP106" s="777" t="s">
        <v>2260</v>
      </c>
      <c r="CQ106" s="769" t="s">
        <v>2260</v>
      </c>
      <c r="CR106" s="769" t="s">
        <v>2260</v>
      </c>
      <c r="CS106" s="769" t="s">
        <v>2260</v>
      </c>
      <c r="CT106" s="774" t="s">
        <v>2260</v>
      </c>
      <c r="CU106" s="1253" t="s">
        <v>2260</v>
      </c>
      <c r="CV106" s="1252" t="s">
        <v>2260</v>
      </c>
      <c r="CW106" s="1252" t="s">
        <v>2260</v>
      </c>
      <c r="CX106" s="1254" t="s">
        <v>2260</v>
      </c>
      <c r="CY106" s="1252" t="s">
        <v>2260</v>
      </c>
      <c r="CZ106" s="1252" t="s">
        <v>2260</v>
      </c>
      <c r="DA106" s="1252" t="s">
        <v>2260</v>
      </c>
      <c r="DB106" s="1254" t="s">
        <v>2260</v>
      </c>
      <c r="DC106" s="754"/>
      <c r="DD106" s="782"/>
      <c r="DE106" s="783"/>
    </row>
    <row r="107" spans="1:109" ht="15.75" hidden="1" customHeight="1">
      <c r="A107" s="741" t="s">
        <v>1130</v>
      </c>
      <c r="B107" s="742">
        <v>101</v>
      </c>
      <c r="C107" s="758" t="s">
        <v>1131</v>
      </c>
      <c r="D107" s="742" t="s">
        <v>2557</v>
      </c>
      <c r="E107" s="742" t="s">
        <v>2231</v>
      </c>
      <c r="F107" s="754" t="s">
        <v>2558</v>
      </c>
      <c r="G107" s="759" t="s">
        <v>172</v>
      </c>
      <c r="H107" s="760" t="s">
        <v>2559</v>
      </c>
      <c r="I107" s="761">
        <v>0.5</v>
      </c>
      <c r="J107" s="762">
        <v>0.5</v>
      </c>
      <c r="K107" s="762"/>
      <c r="L107" s="762"/>
      <c r="M107" s="762"/>
      <c r="N107" s="762"/>
      <c r="O107" s="762"/>
      <c r="P107" s="763"/>
      <c r="Q107" s="764">
        <f t="shared" si="1"/>
        <v>1</v>
      </c>
      <c r="R107" s="758" t="s">
        <v>1846</v>
      </c>
      <c r="S107" s="742" t="s">
        <v>1826</v>
      </c>
      <c r="T107" s="765" t="s">
        <v>1827</v>
      </c>
      <c r="U107" s="742" t="s">
        <v>2247</v>
      </c>
      <c r="V107" s="742" t="s">
        <v>1897</v>
      </c>
      <c r="W107" s="742" t="s">
        <v>2560</v>
      </c>
      <c r="X107" s="1279">
        <v>2</v>
      </c>
      <c r="Y107" s="791" t="s">
        <v>1838</v>
      </c>
      <c r="Z107" s="759" t="s">
        <v>172</v>
      </c>
      <c r="AA107" s="754"/>
      <c r="AB107" s="754"/>
      <c r="AC107" s="754"/>
      <c r="AD107" s="754"/>
      <c r="AE107" s="754"/>
      <c r="AF107" s="759"/>
      <c r="AG107" s="769"/>
      <c r="AH107" s="769"/>
      <c r="AI107" s="769"/>
      <c r="AJ107" s="769"/>
      <c r="AK107" s="769"/>
      <c r="AL107" s="769"/>
      <c r="AM107" s="769"/>
      <c r="AN107" s="769"/>
      <c r="AO107" s="769"/>
      <c r="AP107" s="769"/>
      <c r="AQ107" s="1369"/>
      <c r="AR107" s="1319"/>
      <c r="AS107" s="1319"/>
      <c r="AT107" s="1319"/>
      <c r="AU107" s="1320"/>
      <c r="AV107" s="1369"/>
      <c r="AW107" s="1319"/>
      <c r="AX107" s="1319"/>
      <c r="AY107" s="1319"/>
      <c r="AZ107" s="1319"/>
      <c r="BA107" s="1319"/>
      <c r="BB107" s="1319"/>
      <c r="BC107" s="1319"/>
      <c r="BD107" s="1319"/>
      <c r="BE107" s="1319"/>
      <c r="BF107" s="1319"/>
      <c r="BG107" s="1319"/>
      <c r="BH107" s="1319"/>
      <c r="BI107" s="1319"/>
      <c r="BJ107" s="1319"/>
      <c r="BK107" s="1320"/>
      <c r="BL107" s="1327"/>
      <c r="BM107" s="1328"/>
      <c r="BN107" s="1328"/>
      <c r="BO107" s="1328"/>
      <c r="BP107" s="1389"/>
      <c r="BQ107" s="1369"/>
      <c r="BR107" s="1319"/>
      <c r="BS107" s="1319"/>
      <c r="BT107" s="1319"/>
      <c r="BU107" s="1320"/>
      <c r="BV107" s="1369"/>
      <c r="BW107" s="1319"/>
      <c r="BX107" s="1319"/>
      <c r="BY107" s="1319"/>
      <c r="BZ107" s="1319"/>
      <c r="CA107" s="1369"/>
      <c r="CB107" s="1319"/>
      <c r="CC107" s="1319"/>
      <c r="CD107" s="1319"/>
      <c r="CE107" s="1320"/>
      <c r="CF107" s="1319"/>
      <c r="CG107" s="1319"/>
      <c r="CH107" s="1319"/>
      <c r="CI107" s="1319"/>
      <c r="CJ107" s="1320"/>
      <c r="CK107" s="1369"/>
      <c r="CL107" s="1319"/>
      <c r="CM107" s="1319"/>
      <c r="CN107" s="1319"/>
      <c r="CO107" s="1320"/>
      <c r="CP107" s="1369"/>
      <c r="CQ107" s="1319"/>
      <c r="CR107" s="1319"/>
      <c r="CS107" s="1319"/>
      <c r="CT107" s="1320"/>
      <c r="CU107" s="1467"/>
      <c r="CV107" s="1458"/>
      <c r="CW107" s="1458"/>
      <c r="CX107" s="1663"/>
      <c r="CY107" s="1458"/>
      <c r="CZ107" s="1458"/>
      <c r="DA107" s="1458"/>
      <c r="DB107" s="1663"/>
      <c r="DC107" s="1328"/>
      <c r="DD107" s="1664"/>
      <c r="DE107" s="1669"/>
    </row>
    <row r="108" spans="1:109" ht="15.75" hidden="1" customHeight="1">
      <c r="A108" s="741" t="s">
        <v>1130</v>
      </c>
      <c r="B108" s="742">
        <v>102</v>
      </c>
      <c r="C108" s="758" t="s">
        <v>1307</v>
      </c>
      <c r="D108" s="742" t="s">
        <v>2557</v>
      </c>
      <c r="E108" s="742" t="s">
        <v>2217</v>
      </c>
      <c r="F108" s="754" t="s">
        <v>2561</v>
      </c>
      <c r="G108" s="759" t="s">
        <v>2562</v>
      </c>
      <c r="H108" s="760" t="s">
        <v>2563</v>
      </c>
      <c r="I108" s="761">
        <v>0.5</v>
      </c>
      <c r="J108" s="762">
        <v>0.5</v>
      </c>
      <c r="K108" s="762"/>
      <c r="L108" s="762"/>
      <c r="M108" s="762"/>
      <c r="N108" s="762"/>
      <c r="O108" s="762"/>
      <c r="P108" s="763"/>
      <c r="Q108" s="764">
        <f t="shared" si="1"/>
        <v>1</v>
      </c>
      <c r="R108" s="758" t="s">
        <v>1852</v>
      </c>
      <c r="S108" s="742" t="s">
        <v>1826</v>
      </c>
      <c r="T108" s="765" t="s">
        <v>1827</v>
      </c>
      <c r="U108" s="742" t="s">
        <v>2421</v>
      </c>
      <c r="V108" s="742" t="s">
        <v>1857</v>
      </c>
      <c r="W108" s="742" t="s">
        <v>2564</v>
      </c>
      <c r="X108" s="1279">
        <v>0</v>
      </c>
      <c r="Y108" s="795" t="s">
        <v>1838</v>
      </c>
      <c r="Z108" s="759" t="s">
        <v>2309</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210</v>
      </c>
      <c r="BM108" s="754" t="s">
        <v>210</v>
      </c>
      <c r="BN108" s="754" t="s">
        <v>210</v>
      </c>
      <c r="BO108" s="754" t="s">
        <v>210</v>
      </c>
      <c r="BP108" s="765" t="s">
        <v>210</v>
      </c>
      <c r="BQ108" s="777" t="s">
        <v>2260</v>
      </c>
      <c r="BR108" s="769" t="s">
        <v>2260</v>
      </c>
      <c r="BS108" s="769" t="s">
        <v>2260</v>
      </c>
      <c r="BT108" s="769" t="s">
        <v>2260</v>
      </c>
      <c r="BU108" s="774" t="s">
        <v>2260</v>
      </c>
      <c r="BV108" s="777">
        <v>864</v>
      </c>
      <c r="BW108" s="769">
        <v>864</v>
      </c>
      <c r="BX108" s="769">
        <v>864</v>
      </c>
      <c r="BY108" s="769">
        <v>864</v>
      </c>
      <c r="BZ108" s="769">
        <v>864</v>
      </c>
      <c r="CA108" s="777" t="s">
        <v>2260</v>
      </c>
      <c r="CB108" s="769" t="s">
        <v>2260</v>
      </c>
      <c r="CC108" s="769" t="s">
        <v>2260</v>
      </c>
      <c r="CD108" s="769" t="s">
        <v>2260</v>
      </c>
      <c r="CE108" s="774" t="s">
        <v>2260</v>
      </c>
      <c r="CF108" s="769" t="s">
        <v>2260</v>
      </c>
      <c r="CG108" s="769" t="s">
        <v>2260</v>
      </c>
      <c r="CH108" s="769" t="s">
        <v>2260</v>
      </c>
      <c r="CI108" s="769" t="s">
        <v>2260</v>
      </c>
      <c r="CJ108" s="774" t="s">
        <v>2260</v>
      </c>
      <c r="CK108" s="777">
        <v>389</v>
      </c>
      <c r="CL108" s="769">
        <v>338</v>
      </c>
      <c r="CM108" s="769">
        <v>285</v>
      </c>
      <c r="CN108" s="769">
        <v>285</v>
      </c>
      <c r="CO108" s="774">
        <v>285</v>
      </c>
      <c r="CP108" s="777" t="s">
        <v>2260</v>
      </c>
      <c r="CQ108" s="769" t="s">
        <v>2260</v>
      </c>
      <c r="CR108" s="769" t="s">
        <v>2260</v>
      </c>
      <c r="CS108" s="769" t="s">
        <v>2260</v>
      </c>
      <c r="CT108" s="774" t="s">
        <v>2260</v>
      </c>
      <c r="CU108" s="1253">
        <v>-6.7900000000000002E-4</v>
      </c>
      <c r="CV108" s="1252" t="s">
        <v>2260</v>
      </c>
      <c r="CW108" s="1252" t="s">
        <v>2260</v>
      </c>
      <c r="CX108" s="1254" t="s">
        <v>2260</v>
      </c>
      <c r="CY108" s="1252">
        <v>5.6599999999999999E-4</v>
      </c>
      <c r="CZ108" s="1252" t="s">
        <v>2260</v>
      </c>
      <c r="DA108" s="1252" t="s">
        <v>2260</v>
      </c>
      <c r="DB108" s="1254" t="s">
        <v>2260</v>
      </c>
      <c r="DC108" s="754"/>
      <c r="DD108" s="782">
        <v>1</v>
      </c>
      <c r="DE108" s="783"/>
    </row>
    <row r="109" spans="1:109" ht="15.75" hidden="1" customHeight="1">
      <c r="A109" s="741" t="s">
        <v>1130</v>
      </c>
      <c r="B109" s="742">
        <v>103</v>
      </c>
      <c r="C109" s="758" t="s">
        <v>1324</v>
      </c>
      <c r="D109" s="742" t="s">
        <v>2557</v>
      </c>
      <c r="E109" s="742" t="s">
        <v>2231</v>
      </c>
      <c r="F109" s="754" t="s">
        <v>2565</v>
      </c>
      <c r="G109" s="759" t="s">
        <v>2566</v>
      </c>
      <c r="H109" s="760" t="s">
        <v>2567</v>
      </c>
      <c r="I109" s="761"/>
      <c r="J109" s="762">
        <v>1</v>
      </c>
      <c r="K109" s="762"/>
      <c r="L109" s="762"/>
      <c r="M109" s="762"/>
      <c r="N109" s="762"/>
      <c r="O109" s="762"/>
      <c r="P109" s="763"/>
      <c r="Q109" s="764">
        <f t="shared" si="1"/>
        <v>1</v>
      </c>
      <c r="R109" s="758" t="s">
        <v>1852</v>
      </c>
      <c r="S109" s="742" t="s">
        <v>1826</v>
      </c>
      <c r="T109" s="765" t="s">
        <v>1827</v>
      </c>
      <c r="U109" s="742" t="s">
        <v>2568</v>
      </c>
      <c r="V109" s="742" t="s">
        <v>1857</v>
      </c>
      <c r="W109" s="742" t="s">
        <v>2569</v>
      </c>
      <c r="X109" s="1279">
        <v>0</v>
      </c>
      <c r="Y109" s="790" t="s">
        <v>1828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25" t="s">
        <v>210</v>
      </c>
      <c r="BM109" s="1826" t="s">
        <v>210</v>
      </c>
      <c r="BN109" s="1826" t="s">
        <v>210</v>
      </c>
      <c r="BO109" s="1826" t="s">
        <v>210</v>
      </c>
      <c r="BP109" s="765" t="s">
        <v>210</v>
      </c>
      <c r="BQ109" s="777" t="s">
        <v>2260</v>
      </c>
      <c r="BR109" s="769" t="s">
        <v>2260</v>
      </c>
      <c r="BS109" s="769" t="s">
        <v>2260</v>
      </c>
      <c r="BT109" s="769" t="s">
        <v>2260</v>
      </c>
      <c r="BU109" s="774" t="s">
        <v>2260</v>
      </c>
      <c r="BV109" s="777" t="s">
        <v>2260</v>
      </c>
      <c r="BW109" s="769" t="s">
        <v>2260</v>
      </c>
      <c r="BX109" s="769" t="s">
        <v>2260</v>
      </c>
      <c r="BY109" s="769" t="s">
        <v>2260</v>
      </c>
      <c r="BZ109" s="769" t="s">
        <v>2260</v>
      </c>
      <c r="CA109" s="777" t="s">
        <v>2260</v>
      </c>
      <c r="CB109" s="769" t="s">
        <v>2260</v>
      </c>
      <c r="CC109" s="769" t="s">
        <v>2260</v>
      </c>
      <c r="CD109" s="769" t="s">
        <v>2260</v>
      </c>
      <c r="CE109" s="774" t="s">
        <v>2260</v>
      </c>
      <c r="CF109" s="769" t="s">
        <v>2260</v>
      </c>
      <c r="CG109" s="769" t="s">
        <v>2260</v>
      </c>
      <c r="CH109" s="769" t="s">
        <v>2260</v>
      </c>
      <c r="CI109" s="769" t="s">
        <v>2260</v>
      </c>
      <c r="CJ109" s="774" t="s">
        <v>2260</v>
      </c>
      <c r="CK109" s="777">
        <v>200</v>
      </c>
      <c r="CL109" s="769">
        <v>300</v>
      </c>
      <c r="CM109" s="769">
        <v>140</v>
      </c>
      <c r="CN109" s="769">
        <v>140</v>
      </c>
      <c r="CO109" s="774">
        <v>140</v>
      </c>
      <c r="CP109" s="777" t="s">
        <v>2260</v>
      </c>
      <c r="CQ109" s="769" t="s">
        <v>2260</v>
      </c>
      <c r="CR109" s="769" t="s">
        <v>2260</v>
      </c>
      <c r="CS109" s="769" t="s">
        <v>2260</v>
      </c>
      <c r="CT109" s="774" t="s">
        <v>2260</v>
      </c>
      <c r="CU109" s="1253">
        <v>-1.1000000000000001E-3</v>
      </c>
      <c r="CV109" s="1252" t="s">
        <v>2260</v>
      </c>
      <c r="CW109" s="1252" t="s">
        <v>2260</v>
      </c>
      <c r="CX109" s="1254" t="s">
        <v>2260</v>
      </c>
      <c r="CY109" s="1252">
        <v>1E-3</v>
      </c>
      <c r="CZ109" s="1252" t="s">
        <v>2260</v>
      </c>
      <c r="DA109" s="1252" t="s">
        <v>2260</v>
      </c>
      <c r="DB109" s="1254" t="s">
        <v>2260</v>
      </c>
      <c r="DC109" s="754"/>
      <c r="DD109" s="782">
        <v>1</v>
      </c>
      <c r="DE109" s="783"/>
    </row>
    <row r="110" spans="1:109" ht="15.75" hidden="1" customHeight="1">
      <c r="A110" s="741" t="s">
        <v>1130</v>
      </c>
      <c r="B110" s="742">
        <v>104</v>
      </c>
      <c r="C110" s="758" t="s">
        <v>1132</v>
      </c>
      <c r="D110" s="742" t="s">
        <v>2570</v>
      </c>
      <c r="E110" s="742" t="s">
        <v>2217</v>
      </c>
      <c r="F110" s="754" t="s">
        <v>2571</v>
      </c>
      <c r="G110" s="759" t="s">
        <v>179</v>
      </c>
      <c r="H110" s="760" t="s">
        <v>2572</v>
      </c>
      <c r="I110" s="761">
        <v>0.5</v>
      </c>
      <c r="J110" s="762">
        <v>0.5</v>
      </c>
      <c r="K110" s="762"/>
      <c r="L110" s="762"/>
      <c r="M110" s="762"/>
      <c r="N110" s="762"/>
      <c r="O110" s="762"/>
      <c r="P110" s="763"/>
      <c r="Q110" s="764">
        <f t="shared" si="1"/>
        <v>1</v>
      </c>
      <c r="R110" s="758" t="s">
        <v>1846</v>
      </c>
      <c r="S110" s="742" t="s">
        <v>1826</v>
      </c>
      <c r="T110" s="765" t="s">
        <v>1827</v>
      </c>
      <c r="U110" s="742" t="s">
        <v>2220</v>
      </c>
      <c r="V110" s="742" t="s">
        <v>1851</v>
      </c>
      <c r="W110" s="742" t="s">
        <v>2573</v>
      </c>
      <c r="X110" s="1280">
        <v>0</v>
      </c>
      <c r="Y110" s="795" t="s">
        <v>1838</v>
      </c>
      <c r="Z110" s="759" t="s">
        <v>179</v>
      </c>
      <c r="AA110" s="754"/>
      <c r="AB110" s="754"/>
      <c r="AC110" s="754"/>
      <c r="AD110" s="754"/>
      <c r="AE110" s="754"/>
      <c r="AF110" s="759"/>
      <c r="AG110" s="769"/>
      <c r="AH110" s="769"/>
      <c r="AI110" s="769"/>
      <c r="AJ110" s="769"/>
      <c r="AK110" s="769"/>
      <c r="AL110" s="814"/>
      <c r="AM110" s="814"/>
      <c r="AN110" s="814"/>
      <c r="AO110" s="814"/>
      <c r="AP110" s="814"/>
      <c r="AQ110" s="1321"/>
      <c r="AR110" s="1322"/>
      <c r="AS110" s="1322"/>
      <c r="AT110" s="1322"/>
      <c r="AU110" s="1323"/>
      <c r="AV110" s="1369"/>
      <c r="AW110" s="1319"/>
      <c r="AX110" s="1319"/>
      <c r="AY110" s="1319"/>
      <c r="AZ110" s="1319"/>
      <c r="BA110" s="1319"/>
      <c r="BB110" s="1319"/>
      <c r="BC110" s="1319"/>
      <c r="BD110" s="1319"/>
      <c r="BE110" s="1319"/>
      <c r="BF110" s="1319"/>
      <c r="BG110" s="1319"/>
      <c r="BH110" s="1319"/>
      <c r="BI110" s="1319"/>
      <c r="BJ110" s="1319"/>
      <c r="BK110" s="1320"/>
      <c r="BL110" s="1327"/>
      <c r="BM110" s="1328"/>
      <c r="BN110" s="1328"/>
      <c r="BO110" s="1328"/>
      <c r="BP110" s="1389"/>
      <c r="BQ110" s="1369"/>
      <c r="BR110" s="1319"/>
      <c r="BS110" s="1319"/>
      <c r="BT110" s="1319"/>
      <c r="BU110" s="1320"/>
      <c r="BV110" s="1321"/>
      <c r="BW110" s="1322"/>
      <c r="BX110" s="1322"/>
      <c r="BY110" s="1322"/>
      <c r="BZ110" s="1322"/>
      <c r="CA110" s="1321"/>
      <c r="CB110" s="1322"/>
      <c r="CC110" s="1322"/>
      <c r="CD110" s="1322"/>
      <c r="CE110" s="1323"/>
      <c r="CF110" s="1319"/>
      <c r="CG110" s="1319"/>
      <c r="CH110" s="1319"/>
      <c r="CI110" s="1319"/>
      <c r="CJ110" s="1320"/>
      <c r="CK110" s="1369"/>
      <c r="CL110" s="1319"/>
      <c r="CM110" s="1319"/>
      <c r="CN110" s="1319"/>
      <c r="CO110" s="1320"/>
      <c r="CP110" s="1369"/>
      <c r="CQ110" s="1319"/>
      <c r="CR110" s="1319"/>
      <c r="CS110" s="1319"/>
      <c r="CT110" s="1320"/>
      <c r="CU110" s="1467"/>
      <c r="CV110" s="1458"/>
      <c r="CW110" s="1458"/>
      <c r="CX110" s="1663"/>
      <c r="CY110" s="1458"/>
      <c r="CZ110" s="1458"/>
      <c r="DA110" s="1458"/>
      <c r="DB110" s="1663"/>
      <c r="DC110" s="1328"/>
      <c r="DD110" s="1664"/>
      <c r="DE110" s="1669"/>
    </row>
    <row r="111" spans="1:109" ht="15.75" hidden="1" customHeight="1">
      <c r="A111" s="741" t="s">
        <v>1130</v>
      </c>
      <c r="B111" s="742">
        <v>105</v>
      </c>
      <c r="C111" s="758" t="s">
        <v>1133</v>
      </c>
      <c r="D111" s="742" t="s">
        <v>2570</v>
      </c>
      <c r="E111" s="742" t="s">
        <v>2217</v>
      </c>
      <c r="F111" s="754" t="s">
        <v>2574</v>
      </c>
      <c r="G111" s="759" t="s">
        <v>705</v>
      </c>
      <c r="H111" s="760" t="s">
        <v>2575</v>
      </c>
      <c r="I111" s="761"/>
      <c r="J111" s="762">
        <v>1</v>
      </c>
      <c r="K111" s="762"/>
      <c r="L111" s="762"/>
      <c r="M111" s="762"/>
      <c r="N111" s="762"/>
      <c r="O111" s="762"/>
      <c r="P111" s="763"/>
      <c r="Q111" s="764">
        <f t="shared" si="1"/>
        <v>1</v>
      </c>
      <c r="R111" s="758" t="s">
        <v>1846</v>
      </c>
      <c r="S111" s="742" t="s">
        <v>1826</v>
      </c>
      <c r="T111" s="765" t="s">
        <v>1827</v>
      </c>
      <c r="U111" s="742" t="s">
        <v>705</v>
      </c>
      <c r="V111" s="742" t="s">
        <v>1857</v>
      </c>
      <c r="W111" s="742" t="s">
        <v>2508</v>
      </c>
      <c r="X111" s="1279">
        <v>1</v>
      </c>
      <c r="Y111" s="790" t="s">
        <v>1838</v>
      </c>
      <c r="Z111" s="759" t="s">
        <v>705</v>
      </c>
      <c r="AA111" s="754"/>
      <c r="AB111" s="754"/>
      <c r="AC111" s="754"/>
      <c r="AD111" s="754"/>
      <c r="AE111" s="754"/>
      <c r="AF111" s="759"/>
      <c r="AG111" s="769"/>
      <c r="AH111" s="769"/>
      <c r="AI111" s="769"/>
      <c r="AJ111" s="769"/>
      <c r="AK111" s="769"/>
      <c r="AL111" s="769"/>
      <c r="AM111" s="769"/>
      <c r="AN111" s="769"/>
      <c r="AO111" s="769"/>
      <c r="AP111" s="769"/>
      <c r="AQ111" s="1370"/>
      <c r="AR111" s="1324"/>
      <c r="AS111" s="1324"/>
      <c r="AT111" s="1324"/>
      <c r="AU111" s="1325"/>
      <c r="AV111" s="1369"/>
      <c r="AW111" s="1319"/>
      <c r="AX111" s="1319"/>
      <c r="AY111" s="1319"/>
      <c r="AZ111" s="1319"/>
      <c r="BA111" s="1319"/>
      <c r="BB111" s="1319"/>
      <c r="BC111" s="1319"/>
      <c r="BD111" s="1319"/>
      <c r="BE111" s="1319"/>
      <c r="BF111" s="1319"/>
      <c r="BG111" s="1319"/>
      <c r="BH111" s="1319"/>
      <c r="BI111" s="1319"/>
      <c r="BJ111" s="1319"/>
      <c r="BK111" s="1320"/>
      <c r="BL111" s="1327"/>
      <c r="BM111" s="1328"/>
      <c r="BN111" s="1328"/>
      <c r="BO111" s="1328"/>
      <c r="BP111" s="1389"/>
      <c r="BQ111" s="1369"/>
      <c r="BR111" s="1319"/>
      <c r="BS111" s="1319"/>
      <c r="BT111" s="1319"/>
      <c r="BU111" s="1320"/>
      <c r="BV111" s="1369"/>
      <c r="BW111" s="1319"/>
      <c r="BX111" s="1319"/>
      <c r="BY111" s="1319"/>
      <c r="BZ111" s="1319"/>
      <c r="CA111" s="1369"/>
      <c r="CB111" s="1319"/>
      <c r="CC111" s="1319"/>
      <c r="CD111" s="1319"/>
      <c r="CE111" s="1320"/>
      <c r="CF111" s="1319"/>
      <c r="CG111" s="1319"/>
      <c r="CH111" s="1319"/>
      <c r="CI111" s="1319"/>
      <c r="CJ111" s="1319"/>
      <c r="CK111" s="1369"/>
      <c r="CL111" s="1319"/>
      <c r="CM111" s="1319"/>
      <c r="CN111" s="1319"/>
      <c r="CO111" s="1320"/>
      <c r="CP111" s="1369"/>
      <c r="CQ111" s="1319"/>
      <c r="CR111" s="1319"/>
      <c r="CS111" s="1319"/>
      <c r="CT111" s="1320"/>
      <c r="CU111" s="1467"/>
      <c r="CV111" s="1458"/>
      <c r="CW111" s="1458"/>
      <c r="CX111" s="1663"/>
      <c r="CY111" s="1458"/>
      <c r="CZ111" s="1458"/>
      <c r="DA111" s="1458"/>
      <c r="DB111" s="1663"/>
      <c r="DC111" s="1328"/>
      <c r="DD111" s="1664"/>
      <c r="DE111" s="1669"/>
    </row>
    <row r="112" spans="1:109" ht="15.75" hidden="1" customHeight="1">
      <c r="A112" s="741" t="s">
        <v>1130</v>
      </c>
      <c r="B112" s="742">
        <v>106</v>
      </c>
      <c r="C112" s="758" t="s">
        <v>1134</v>
      </c>
      <c r="D112" s="742" t="s">
        <v>2570</v>
      </c>
      <c r="E112" s="742" t="s">
        <v>2217</v>
      </c>
      <c r="F112" s="754" t="s">
        <v>2576</v>
      </c>
      <c r="G112" s="759" t="s">
        <v>1084</v>
      </c>
      <c r="H112" s="760" t="s">
        <v>2577</v>
      </c>
      <c r="I112" s="761">
        <v>0.5</v>
      </c>
      <c r="J112" s="762">
        <v>0.5</v>
      </c>
      <c r="K112" s="762"/>
      <c r="L112" s="762"/>
      <c r="M112" s="762"/>
      <c r="N112" s="762"/>
      <c r="O112" s="762"/>
      <c r="P112" s="763"/>
      <c r="Q112" s="764">
        <f t="shared" si="1"/>
        <v>1</v>
      </c>
      <c r="R112" s="758" t="s">
        <v>1846</v>
      </c>
      <c r="S112" s="742" t="s">
        <v>1826</v>
      </c>
      <c r="T112" s="1389" t="s">
        <v>1837</v>
      </c>
      <c r="U112" s="742" t="s">
        <v>2348</v>
      </c>
      <c r="V112" s="742" t="s">
        <v>1857</v>
      </c>
      <c r="W112" s="742" t="s">
        <v>2578</v>
      </c>
      <c r="X112" s="1279">
        <v>1</v>
      </c>
      <c r="Y112" s="788" t="s">
        <v>1838</v>
      </c>
      <c r="Z112" s="759" t="s">
        <v>1084</v>
      </c>
      <c r="AA112" s="754"/>
      <c r="AB112" s="754"/>
      <c r="AC112" s="754"/>
      <c r="AD112" s="754"/>
      <c r="AE112" s="754"/>
      <c r="AF112" s="759"/>
      <c r="AG112" s="769"/>
      <c r="AH112" s="769"/>
      <c r="AI112" s="769"/>
      <c r="AJ112" s="769"/>
      <c r="AK112" s="769"/>
      <c r="AL112" s="769"/>
      <c r="AM112" s="769"/>
      <c r="AN112" s="769"/>
      <c r="AO112" s="769"/>
      <c r="AP112" s="769"/>
      <c r="AQ112" s="1369"/>
      <c r="AR112" s="1319"/>
      <c r="AS112" s="1319"/>
      <c r="AT112" s="1319"/>
      <c r="AU112" s="1320"/>
      <c r="AV112" s="1369"/>
      <c r="AW112" s="1319"/>
      <c r="AX112" s="1319"/>
      <c r="AY112" s="1319"/>
      <c r="AZ112" s="1319"/>
      <c r="BA112" s="1319"/>
      <c r="BB112" s="1319"/>
      <c r="BC112" s="1319"/>
      <c r="BD112" s="1319"/>
      <c r="BE112" s="1319"/>
      <c r="BF112" s="1319"/>
      <c r="BG112" s="1319"/>
      <c r="BH112" s="1319"/>
      <c r="BI112" s="1319"/>
      <c r="BJ112" s="1319"/>
      <c r="BK112" s="1320"/>
      <c r="BL112" s="1327"/>
      <c r="BM112" s="1328"/>
      <c r="BN112" s="1328"/>
      <c r="BO112" s="1328"/>
      <c r="BP112" s="1389"/>
      <c r="BQ112" s="1369"/>
      <c r="BR112" s="1319"/>
      <c r="BS112" s="1319"/>
      <c r="BT112" s="1319"/>
      <c r="BU112" s="1320"/>
      <c r="BV112" s="1369"/>
      <c r="BW112" s="1319"/>
      <c r="BX112" s="1319"/>
      <c r="BY112" s="1319"/>
      <c r="BZ112" s="1319"/>
      <c r="CA112" s="1369"/>
      <c r="CB112" s="1319"/>
      <c r="CC112" s="1319"/>
      <c r="CD112" s="1319"/>
      <c r="CE112" s="1320"/>
      <c r="CF112" s="1319"/>
      <c r="CG112" s="1319"/>
      <c r="CH112" s="1319"/>
      <c r="CI112" s="1319"/>
      <c r="CJ112" s="1320"/>
      <c r="CK112" s="1369"/>
      <c r="CL112" s="1319"/>
      <c r="CM112" s="1319"/>
      <c r="CN112" s="1319"/>
      <c r="CO112" s="1320"/>
      <c r="CP112" s="1369"/>
      <c r="CQ112" s="1319"/>
      <c r="CR112" s="1319"/>
      <c r="CS112" s="1319"/>
      <c r="CT112" s="1320"/>
      <c r="CU112" s="1467"/>
      <c r="CV112" s="1458"/>
      <c r="CW112" s="1458"/>
      <c r="CX112" s="1663"/>
      <c r="CY112" s="1458"/>
      <c r="CZ112" s="1458"/>
      <c r="DA112" s="1458"/>
      <c r="DB112" s="1663"/>
      <c r="DC112" s="1328"/>
      <c r="DD112" s="1664"/>
      <c r="DE112" s="1669"/>
    </row>
    <row r="113" spans="1:109" ht="18" hidden="1" customHeight="1">
      <c r="A113" s="741" t="s">
        <v>1130</v>
      </c>
      <c r="B113" s="742">
        <v>107</v>
      </c>
      <c r="C113" s="758" t="s">
        <v>1140</v>
      </c>
      <c r="D113" s="742" t="s">
        <v>2570</v>
      </c>
      <c r="E113" s="742" t="s">
        <v>2231</v>
      </c>
      <c r="F113" s="754" t="s">
        <v>2579</v>
      </c>
      <c r="G113" s="759" t="s">
        <v>567</v>
      </c>
      <c r="H113" s="760" t="s">
        <v>2580</v>
      </c>
      <c r="I113" s="761">
        <v>1</v>
      </c>
      <c r="J113" s="762"/>
      <c r="K113" s="762"/>
      <c r="L113" s="762"/>
      <c r="M113" s="762"/>
      <c r="N113" s="762"/>
      <c r="O113" s="762"/>
      <c r="P113" s="763"/>
      <c r="Q113" s="764">
        <f t="shared" si="1"/>
        <v>1</v>
      </c>
      <c r="R113" s="758" t="s">
        <v>1825</v>
      </c>
      <c r="S113" s="742"/>
      <c r="T113" s="765"/>
      <c r="U113" s="742" t="s">
        <v>2234</v>
      </c>
      <c r="V113" s="742" t="s">
        <v>321</v>
      </c>
      <c r="W113" s="742" t="s">
        <v>2581</v>
      </c>
      <c r="X113" s="1279">
        <v>1</v>
      </c>
      <c r="Y113" s="788" t="s">
        <v>1838</v>
      </c>
      <c r="Z113" s="759" t="s">
        <v>567</v>
      </c>
      <c r="AA113" s="754"/>
      <c r="AB113" s="754"/>
      <c r="AC113" s="754"/>
      <c r="AD113" s="754"/>
      <c r="AE113" s="754"/>
      <c r="AF113" s="759"/>
      <c r="AG113" s="785"/>
      <c r="AH113" s="785"/>
      <c r="AI113" s="785"/>
      <c r="AJ113" s="785"/>
      <c r="AK113" s="785"/>
      <c r="AL113" s="785"/>
      <c r="AM113" s="785"/>
      <c r="AN113" s="785"/>
      <c r="AO113" s="785"/>
      <c r="AP113" s="785"/>
      <c r="AQ113" s="1460"/>
      <c r="AR113" s="1665"/>
      <c r="AS113" s="1665"/>
      <c r="AT113" s="1665"/>
      <c r="AU113" s="1466"/>
      <c r="AV113" s="1460"/>
      <c r="AW113" s="1665"/>
      <c r="AX113" s="1665"/>
      <c r="AY113" s="1665"/>
      <c r="AZ113" s="1665"/>
      <c r="BA113" s="1665"/>
      <c r="BB113" s="1665"/>
      <c r="BC113" s="1665"/>
      <c r="BD113" s="1665"/>
      <c r="BE113" s="1665"/>
      <c r="BF113" s="1665"/>
      <c r="BG113" s="1665"/>
      <c r="BH113" s="1665"/>
      <c r="BI113" s="1665"/>
      <c r="BJ113" s="1665"/>
      <c r="BK113" s="1466"/>
      <c r="BL113" s="1327"/>
      <c r="BM113" s="1328"/>
      <c r="BN113" s="1328"/>
      <c r="BO113" s="1328"/>
      <c r="BP113" s="1389"/>
      <c r="BQ113" s="1369"/>
      <c r="BR113" s="1319"/>
      <c r="BS113" s="1319"/>
      <c r="BT113" s="1319"/>
      <c r="BU113" s="1320"/>
      <c r="BV113" s="1369"/>
      <c r="BW113" s="1319"/>
      <c r="BX113" s="1319"/>
      <c r="BY113" s="1319"/>
      <c r="BZ113" s="1319"/>
      <c r="CA113" s="1369"/>
      <c r="CB113" s="1319"/>
      <c r="CC113" s="1319"/>
      <c r="CD113" s="1319"/>
      <c r="CE113" s="1320"/>
      <c r="CF113" s="1319"/>
      <c r="CG113" s="1319"/>
      <c r="CH113" s="1319"/>
      <c r="CI113" s="1319"/>
      <c r="CJ113" s="1320"/>
      <c r="CK113" s="1369"/>
      <c r="CL113" s="1319"/>
      <c r="CM113" s="1319"/>
      <c r="CN113" s="1319"/>
      <c r="CO113" s="1320"/>
      <c r="CP113" s="1369"/>
      <c r="CQ113" s="1319"/>
      <c r="CR113" s="1319"/>
      <c r="CS113" s="1319"/>
      <c r="CT113" s="1320"/>
      <c r="CU113" s="1467"/>
      <c r="CV113" s="1458"/>
      <c r="CW113" s="1458"/>
      <c r="CX113" s="1663"/>
      <c r="CY113" s="1458"/>
      <c r="CZ113" s="1458"/>
      <c r="DA113" s="1458"/>
      <c r="DB113" s="1663"/>
      <c r="DC113" s="1328"/>
      <c r="DD113" s="1664"/>
      <c r="DE113" s="1669"/>
    </row>
    <row r="114" spans="1:109" ht="15.75" hidden="1" customHeight="1">
      <c r="A114" s="741" t="s">
        <v>1130</v>
      </c>
      <c r="B114" s="742">
        <v>108</v>
      </c>
      <c r="C114" s="758" t="s">
        <v>1135</v>
      </c>
      <c r="D114" s="742" t="s">
        <v>2570</v>
      </c>
      <c r="E114" s="742" t="s">
        <v>2217</v>
      </c>
      <c r="F114" s="754" t="s">
        <v>2582</v>
      </c>
      <c r="G114" s="759" t="s">
        <v>203</v>
      </c>
      <c r="H114" s="760" t="s">
        <v>2583</v>
      </c>
      <c r="I114" s="761"/>
      <c r="J114" s="762">
        <v>1</v>
      </c>
      <c r="K114" s="762"/>
      <c r="L114" s="762"/>
      <c r="M114" s="762"/>
      <c r="N114" s="762"/>
      <c r="O114" s="762"/>
      <c r="P114" s="763"/>
      <c r="Q114" s="764">
        <f t="shared" si="1"/>
        <v>1</v>
      </c>
      <c r="R114" s="758" t="s">
        <v>1846</v>
      </c>
      <c r="S114" s="742" t="s">
        <v>1826</v>
      </c>
      <c r="T114" s="765" t="s">
        <v>1827</v>
      </c>
      <c r="U114" s="742" t="s">
        <v>2363</v>
      </c>
      <c r="V114" s="742" t="s">
        <v>1857</v>
      </c>
      <c r="W114" s="742" t="s">
        <v>2584</v>
      </c>
      <c r="X114" s="1279">
        <v>1</v>
      </c>
      <c r="Y114" s="788" t="s">
        <v>1838</v>
      </c>
      <c r="Z114" s="759" t="s">
        <v>203</v>
      </c>
      <c r="AA114" s="754"/>
      <c r="AB114" s="754"/>
      <c r="AC114" s="754"/>
      <c r="AD114" s="754"/>
      <c r="AE114" s="754"/>
      <c r="AF114" s="759"/>
      <c r="AG114" s="769"/>
      <c r="AH114" s="769"/>
      <c r="AI114" s="769"/>
      <c r="AJ114" s="769"/>
      <c r="AK114" s="769"/>
      <c r="AL114" s="769"/>
      <c r="AM114" s="769"/>
      <c r="AN114" s="769"/>
      <c r="AO114" s="769"/>
      <c r="AP114" s="769"/>
      <c r="AQ114" s="1370"/>
      <c r="AR114" s="1324"/>
      <c r="AS114" s="1324"/>
      <c r="AT114" s="1324"/>
      <c r="AU114" s="1325"/>
      <c r="AV114" s="1369"/>
      <c r="AW114" s="1319"/>
      <c r="AX114" s="1319"/>
      <c r="AY114" s="1319"/>
      <c r="AZ114" s="1319"/>
      <c r="BA114" s="1319"/>
      <c r="BB114" s="1319"/>
      <c r="BC114" s="1319"/>
      <c r="BD114" s="1319"/>
      <c r="BE114" s="1319"/>
      <c r="BF114" s="1319"/>
      <c r="BG114" s="1319"/>
      <c r="BH114" s="1319"/>
      <c r="BI114" s="1319"/>
      <c r="BJ114" s="1319"/>
      <c r="BK114" s="1320"/>
      <c r="BL114" s="1327"/>
      <c r="BM114" s="1328"/>
      <c r="BN114" s="1328"/>
      <c r="BO114" s="1328"/>
      <c r="BP114" s="1389"/>
      <c r="BQ114" s="1369"/>
      <c r="BR114" s="1319"/>
      <c r="BS114" s="1319"/>
      <c r="BT114" s="1319"/>
      <c r="BU114" s="1320"/>
      <c r="BV114" s="1369"/>
      <c r="BW114" s="1319"/>
      <c r="BX114" s="1319"/>
      <c r="BY114" s="1319"/>
      <c r="BZ114" s="1319"/>
      <c r="CA114" s="1369"/>
      <c r="CB114" s="1319"/>
      <c r="CC114" s="1319"/>
      <c r="CD114" s="1319"/>
      <c r="CE114" s="1320"/>
      <c r="CF114" s="1319"/>
      <c r="CG114" s="1319"/>
      <c r="CH114" s="1319"/>
      <c r="CI114" s="1319"/>
      <c r="CJ114" s="1320"/>
      <c r="CK114" s="1369"/>
      <c r="CL114" s="1319"/>
      <c r="CM114" s="1319"/>
      <c r="CN114" s="1319"/>
      <c r="CO114" s="1320"/>
      <c r="CP114" s="1369"/>
      <c r="CQ114" s="1319"/>
      <c r="CR114" s="1319"/>
      <c r="CS114" s="1319"/>
      <c r="CT114" s="1320"/>
      <c r="CU114" s="1467"/>
      <c r="CV114" s="1458"/>
      <c r="CW114" s="1458"/>
      <c r="CX114" s="1663"/>
      <c r="CY114" s="1458"/>
      <c r="CZ114" s="1458"/>
      <c r="DA114" s="1458"/>
      <c r="DB114" s="1663"/>
      <c r="DC114" s="1328"/>
      <c r="DD114" s="1664"/>
      <c r="DE114" s="1669"/>
    </row>
    <row r="115" spans="1:109" ht="15.75" hidden="1" customHeight="1">
      <c r="A115" s="741" t="s">
        <v>1130</v>
      </c>
      <c r="B115" s="742">
        <v>109</v>
      </c>
      <c r="C115" s="758" t="s">
        <v>1136</v>
      </c>
      <c r="D115" s="742" t="s">
        <v>2570</v>
      </c>
      <c r="E115" s="742" t="s">
        <v>2231</v>
      </c>
      <c r="F115" s="754" t="s">
        <v>2585</v>
      </c>
      <c r="G115" s="759" t="s">
        <v>209</v>
      </c>
      <c r="H115" s="760" t="s">
        <v>2586</v>
      </c>
      <c r="I115" s="761">
        <v>0.5</v>
      </c>
      <c r="J115" s="762">
        <v>0.5</v>
      </c>
      <c r="K115" s="762"/>
      <c r="L115" s="762"/>
      <c r="M115" s="762"/>
      <c r="N115" s="762"/>
      <c r="O115" s="762"/>
      <c r="P115" s="763"/>
      <c r="Q115" s="764">
        <f t="shared" si="1"/>
        <v>1</v>
      </c>
      <c r="R115" s="758" t="s">
        <v>1846</v>
      </c>
      <c r="S115" s="742" t="s">
        <v>1826</v>
      </c>
      <c r="T115" s="765" t="s">
        <v>1827</v>
      </c>
      <c r="U115" s="742" t="s">
        <v>2238</v>
      </c>
      <c r="V115" s="742" t="s">
        <v>321</v>
      </c>
      <c r="W115" s="742" t="s">
        <v>2587</v>
      </c>
      <c r="X115" s="1279">
        <v>2</v>
      </c>
      <c r="Y115" s="788" t="s">
        <v>1838</v>
      </c>
      <c r="Z115" s="759" t="s">
        <v>209</v>
      </c>
      <c r="AA115" s="754"/>
      <c r="AB115" s="754"/>
      <c r="AC115" s="754"/>
      <c r="AD115" s="754"/>
      <c r="AE115" s="754"/>
      <c r="AF115" s="759"/>
      <c r="AG115" s="769"/>
      <c r="AH115" s="769"/>
      <c r="AI115" s="769"/>
      <c r="AJ115" s="769"/>
      <c r="AK115" s="769"/>
      <c r="AL115" s="769"/>
      <c r="AM115" s="769"/>
      <c r="AN115" s="769"/>
      <c r="AO115" s="769"/>
      <c r="AP115" s="769"/>
      <c r="AQ115" s="1370"/>
      <c r="AR115" s="1324"/>
      <c r="AS115" s="1324"/>
      <c r="AT115" s="1324"/>
      <c r="AU115" s="1325"/>
      <c r="AV115" s="1369"/>
      <c r="AW115" s="1319"/>
      <c r="AX115" s="1319"/>
      <c r="AY115" s="1319"/>
      <c r="AZ115" s="1319"/>
      <c r="BA115" s="1319"/>
      <c r="BB115" s="1319"/>
      <c r="BC115" s="1319"/>
      <c r="BD115" s="1319"/>
      <c r="BE115" s="1319"/>
      <c r="BF115" s="1319"/>
      <c r="BG115" s="1319"/>
      <c r="BH115" s="1319"/>
      <c r="BI115" s="1319"/>
      <c r="BJ115" s="1319"/>
      <c r="BK115" s="1320"/>
      <c r="BL115" s="1327"/>
      <c r="BM115" s="1328"/>
      <c r="BN115" s="1328"/>
      <c r="BO115" s="1328"/>
      <c r="BP115" s="1389"/>
      <c r="BQ115" s="1369"/>
      <c r="BR115" s="1319"/>
      <c r="BS115" s="1319"/>
      <c r="BT115" s="1319"/>
      <c r="BU115" s="1320"/>
      <c r="BV115" s="1369"/>
      <c r="BW115" s="1319"/>
      <c r="BX115" s="1319"/>
      <c r="BY115" s="1319"/>
      <c r="BZ115" s="1319"/>
      <c r="CA115" s="1369"/>
      <c r="CB115" s="1319"/>
      <c r="CC115" s="1319"/>
      <c r="CD115" s="1319"/>
      <c r="CE115" s="1320"/>
      <c r="CF115" s="1319"/>
      <c r="CG115" s="1319"/>
      <c r="CH115" s="1319"/>
      <c r="CI115" s="1319"/>
      <c r="CJ115" s="1320"/>
      <c r="CK115" s="1369"/>
      <c r="CL115" s="1319"/>
      <c r="CM115" s="1319"/>
      <c r="CN115" s="1319"/>
      <c r="CO115" s="1320"/>
      <c r="CP115" s="1369"/>
      <c r="CQ115" s="1319"/>
      <c r="CR115" s="1319"/>
      <c r="CS115" s="1319"/>
      <c r="CT115" s="1320"/>
      <c r="CU115" s="1467"/>
      <c r="CV115" s="1458"/>
      <c r="CW115" s="1458"/>
      <c r="CX115" s="1663"/>
      <c r="CY115" s="1458"/>
      <c r="CZ115" s="1458"/>
      <c r="DA115" s="1458"/>
      <c r="DB115" s="1663"/>
      <c r="DC115" s="1328"/>
      <c r="DD115" s="1664"/>
      <c r="DE115" s="1669"/>
    </row>
    <row r="116" spans="1:109" ht="15.75" hidden="1" customHeight="1">
      <c r="A116" s="741" t="s">
        <v>1130</v>
      </c>
      <c r="B116" s="742">
        <v>110</v>
      </c>
      <c r="C116" s="758" t="s">
        <v>1341</v>
      </c>
      <c r="D116" s="742" t="s">
        <v>2570</v>
      </c>
      <c r="E116" s="742" t="s">
        <v>2217</v>
      </c>
      <c r="F116" s="754" t="s">
        <v>2588</v>
      </c>
      <c r="G116" s="759" t="s">
        <v>2293</v>
      </c>
      <c r="H116" s="760" t="s">
        <v>2589</v>
      </c>
      <c r="I116" s="761"/>
      <c r="J116" s="762">
        <v>1</v>
      </c>
      <c r="K116" s="762"/>
      <c r="L116" s="762"/>
      <c r="M116" s="762"/>
      <c r="N116" s="762"/>
      <c r="O116" s="762"/>
      <c r="P116" s="763"/>
      <c r="Q116" s="764">
        <f t="shared" si="1"/>
        <v>1</v>
      </c>
      <c r="R116" s="758" t="s">
        <v>1846</v>
      </c>
      <c r="S116" s="742" t="s">
        <v>1826</v>
      </c>
      <c r="T116" s="765" t="s">
        <v>1827</v>
      </c>
      <c r="U116" s="742" t="s">
        <v>2295</v>
      </c>
      <c r="V116" s="742" t="s">
        <v>2397</v>
      </c>
      <c r="W116" s="742" t="s">
        <v>2590</v>
      </c>
      <c r="X116" s="1279">
        <v>0</v>
      </c>
      <c r="Y116" s="790" t="s">
        <v>1828</v>
      </c>
      <c r="Z116" s="759" t="s">
        <v>2297</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210</v>
      </c>
      <c r="BM116" s="754" t="s">
        <v>210</v>
      </c>
      <c r="BN116" s="754" t="s">
        <v>210</v>
      </c>
      <c r="BO116" s="754" t="s">
        <v>210</v>
      </c>
      <c r="BP116" s="765" t="s">
        <v>210</v>
      </c>
      <c r="BQ116" s="777" t="s">
        <v>2260</v>
      </c>
      <c r="BR116" s="769" t="s">
        <v>2260</v>
      </c>
      <c r="BS116" s="769" t="s">
        <v>2260</v>
      </c>
      <c r="BT116" s="769" t="s">
        <v>2260</v>
      </c>
      <c r="BU116" s="774" t="s">
        <v>2260</v>
      </c>
      <c r="BV116" s="777" t="s">
        <v>2260</v>
      </c>
      <c r="BW116" s="769" t="s">
        <v>2260</v>
      </c>
      <c r="BX116" s="769" t="s">
        <v>2260</v>
      </c>
      <c r="BY116" s="769" t="s">
        <v>2260</v>
      </c>
      <c r="BZ116" s="769" t="s">
        <v>2260</v>
      </c>
      <c r="CA116" s="777" t="s">
        <v>2260</v>
      </c>
      <c r="CB116" s="769" t="s">
        <v>2260</v>
      </c>
      <c r="CC116" s="769" t="s">
        <v>2260</v>
      </c>
      <c r="CD116" s="769" t="s">
        <v>2260</v>
      </c>
      <c r="CE116" s="774" t="s">
        <v>2260</v>
      </c>
      <c r="CF116" s="769" t="s">
        <v>2260</v>
      </c>
      <c r="CG116" s="769" t="s">
        <v>2260</v>
      </c>
      <c r="CH116" s="769" t="s">
        <v>2260</v>
      </c>
      <c r="CI116" s="769" t="s">
        <v>2260</v>
      </c>
      <c r="CJ116" s="774" t="s">
        <v>2260</v>
      </c>
      <c r="CK116" s="777" t="s">
        <v>2260</v>
      </c>
      <c r="CL116" s="769" t="s">
        <v>2260</v>
      </c>
      <c r="CM116" s="769" t="s">
        <v>2260</v>
      </c>
      <c r="CN116" s="769" t="s">
        <v>2260</v>
      </c>
      <c r="CO116" s="774" t="s">
        <v>2260</v>
      </c>
      <c r="CP116" s="777" t="s">
        <v>2260</v>
      </c>
      <c r="CQ116" s="769" t="s">
        <v>2260</v>
      </c>
      <c r="CR116" s="769" t="s">
        <v>2260</v>
      </c>
      <c r="CS116" s="769" t="s">
        <v>2260</v>
      </c>
      <c r="CT116" s="774" t="s">
        <v>2260</v>
      </c>
      <c r="CU116" s="1253">
        <v>-9.8900000000000008E-4</v>
      </c>
      <c r="CV116" s="1252" t="s">
        <v>2260</v>
      </c>
      <c r="CW116" s="1252" t="s">
        <v>2260</v>
      </c>
      <c r="CX116" s="1254" t="s">
        <v>2260</v>
      </c>
      <c r="CY116" s="1252">
        <v>0</v>
      </c>
      <c r="CZ116" s="1252" t="s">
        <v>2260</v>
      </c>
      <c r="DA116" s="1252" t="s">
        <v>2260</v>
      </c>
      <c r="DB116" s="1254" t="s">
        <v>2260</v>
      </c>
      <c r="DC116" s="754"/>
      <c r="DD116" s="782">
        <v>1</v>
      </c>
      <c r="DE116" s="783"/>
    </row>
    <row r="117" spans="1:109" ht="15.75" hidden="1" customHeight="1">
      <c r="A117" s="741" t="s">
        <v>1130</v>
      </c>
      <c r="B117" s="742">
        <v>111</v>
      </c>
      <c r="C117" s="758" t="s">
        <v>1496</v>
      </c>
      <c r="D117" s="742" t="s">
        <v>2591</v>
      </c>
      <c r="E117" s="742" t="s">
        <v>2231</v>
      </c>
      <c r="F117" s="754" t="s">
        <v>2592</v>
      </c>
      <c r="G117" s="759" t="s">
        <v>2080</v>
      </c>
      <c r="H117" s="760" t="s">
        <v>2593</v>
      </c>
      <c r="I117" s="761"/>
      <c r="J117" s="762"/>
      <c r="K117" s="762">
        <v>1</v>
      </c>
      <c r="L117" s="762"/>
      <c r="M117" s="762"/>
      <c r="N117" s="762"/>
      <c r="O117" s="762"/>
      <c r="P117" s="763"/>
      <c r="Q117" s="764">
        <f t="shared" si="1"/>
        <v>1</v>
      </c>
      <c r="R117" s="758" t="s">
        <v>1852</v>
      </c>
      <c r="S117" s="742" t="s">
        <v>1826</v>
      </c>
      <c r="T117" s="765" t="s">
        <v>1837</v>
      </c>
      <c r="U117" s="742" t="s">
        <v>2387</v>
      </c>
      <c r="V117" s="742" t="s">
        <v>1857</v>
      </c>
      <c r="W117" s="742" t="s">
        <v>2594</v>
      </c>
      <c r="X117" s="1279">
        <v>1</v>
      </c>
      <c r="Y117" s="790" t="s">
        <v>1828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80">
        <v>0</v>
      </c>
      <c r="AV117" s="786"/>
      <c r="AW117" s="785"/>
      <c r="AX117" s="785"/>
      <c r="AY117" s="785"/>
      <c r="AZ117" s="785"/>
      <c r="BA117" s="785"/>
      <c r="BB117" s="785"/>
      <c r="BC117" s="785"/>
      <c r="BD117" s="785"/>
      <c r="BE117" s="785"/>
      <c r="BF117" s="785"/>
      <c r="BG117" s="785"/>
      <c r="BH117" s="785"/>
      <c r="BI117" s="785"/>
      <c r="BJ117" s="785"/>
      <c r="BK117" s="787"/>
      <c r="BL117" s="758" t="s">
        <v>210</v>
      </c>
      <c r="BM117" s="754" t="s">
        <v>210</v>
      </c>
      <c r="BN117" s="754" t="s">
        <v>210</v>
      </c>
      <c r="BO117" s="754" t="s">
        <v>210</v>
      </c>
      <c r="BP117" s="765" t="s">
        <v>210</v>
      </c>
      <c r="BQ117" s="777" t="s">
        <v>2260</v>
      </c>
      <c r="BR117" s="769" t="s">
        <v>2260</v>
      </c>
      <c r="BS117" s="769" t="s">
        <v>2260</v>
      </c>
      <c r="BT117" s="769" t="s">
        <v>2260</v>
      </c>
      <c r="BU117" s="774" t="s">
        <v>2260</v>
      </c>
      <c r="BV117" s="777" t="s">
        <v>2260</v>
      </c>
      <c r="BW117" s="769" t="s">
        <v>2260</v>
      </c>
      <c r="BX117" s="769" t="s">
        <v>2260</v>
      </c>
      <c r="BY117" s="769" t="s">
        <v>2260</v>
      </c>
      <c r="BZ117" s="769" t="s">
        <v>2260</v>
      </c>
      <c r="CA117" s="777" t="s">
        <v>2260</v>
      </c>
      <c r="CB117" s="769" t="s">
        <v>2260</v>
      </c>
      <c r="CC117" s="769" t="s">
        <v>2260</v>
      </c>
      <c r="CD117" s="769" t="s">
        <v>2260</v>
      </c>
      <c r="CE117" s="774" t="s">
        <v>2260</v>
      </c>
      <c r="CF117" s="769" t="s">
        <v>2260</v>
      </c>
      <c r="CG117" s="769" t="s">
        <v>2260</v>
      </c>
      <c r="CH117" s="769" t="s">
        <v>2260</v>
      </c>
      <c r="CI117" s="769" t="s">
        <v>2260</v>
      </c>
      <c r="CJ117" s="774" t="s">
        <v>2260</v>
      </c>
      <c r="CK117" s="777" t="s">
        <v>2260</v>
      </c>
      <c r="CL117" s="769" t="s">
        <v>2260</v>
      </c>
      <c r="CM117" s="769" t="s">
        <v>2260</v>
      </c>
      <c r="CN117" s="769" t="s">
        <v>2260</v>
      </c>
      <c r="CO117" s="774" t="s">
        <v>2260</v>
      </c>
      <c r="CP117" s="777" t="s">
        <v>2260</v>
      </c>
      <c r="CQ117" s="769" t="s">
        <v>2260</v>
      </c>
      <c r="CR117" s="769" t="s">
        <v>2260</v>
      </c>
      <c r="CS117" s="769" t="s">
        <v>2260</v>
      </c>
      <c r="CT117" s="774" t="s">
        <v>2260</v>
      </c>
      <c r="CU117" s="1253">
        <v>-1.9599999999999999E-2</v>
      </c>
      <c r="CV117" s="1252" t="s">
        <v>2260</v>
      </c>
      <c r="CW117" s="1252" t="s">
        <v>2260</v>
      </c>
      <c r="CX117" s="1254" t="s">
        <v>2260</v>
      </c>
      <c r="CY117" s="1252">
        <v>1.9599999999999999E-2</v>
      </c>
      <c r="CZ117" s="1252" t="s">
        <v>2260</v>
      </c>
      <c r="DA117" s="1252" t="s">
        <v>2260</v>
      </c>
      <c r="DB117" s="1254" t="s">
        <v>2260</v>
      </c>
      <c r="DC117" s="754"/>
      <c r="DD117" s="782">
        <v>1</v>
      </c>
      <c r="DE117" s="783"/>
    </row>
    <row r="118" spans="1:109" ht="15.75" hidden="1" customHeight="1">
      <c r="A118" s="741" t="s">
        <v>1130</v>
      </c>
      <c r="B118" s="742">
        <v>112</v>
      </c>
      <c r="C118" s="758" t="s">
        <v>1358</v>
      </c>
      <c r="D118" s="742" t="s">
        <v>2591</v>
      </c>
      <c r="E118" s="742" t="s">
        <v>2231</v>
      </c>
      <c r="F118" s="754" t="s">
        <v>2595</v>
      </c>
      <c r="G118" s="759" t="s">
        <v>2596</v>
      </c>
      <c r="H118" s="760" t="s">
        <v>2597</v>
      </c>
      <c r="I118" s="761">
        <v>0.5</v>
      </c>
      <c r="J118" s="762"/>
      <c r="K118" s="762">
        <v>0.5</v>
      </c>
      <c r="L118" s="762"/>
      <c r="M118" s="762"/>
      <c r="N118" s="762"/>
      <c r="O118" s="762"/>
      <c r="P118" s="763"/>
      <c r="Q118" s="764">
        <f t="shared" si="1"/>
        <v>1</v>
      </c>
      <c r="R118" s="758" t="s">
        <v>1852</v>
      </c>
      <c r="S118" s="742" t="s">
        <v>1826</v>
      </c>
      <c r="T118" s="765" t="s">
        <v>1827</v>
      </c>
      <c r="U118" s="742" t="s">
        <v>2523</v>
      </c>
      <c r="V118" s="742" t="s">
        <v>1857</v>
      </c>
      <c r="W118" s="742" t="s">
        <v>2598</v>
      </c>
      <c r="X118" s="1279">
        <v>2</v>
      </c>
      <c r="Y118" s="790" t="s">
        <v>1828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210</v>
      </c>
      <c r="BM118" s="754" t="s">
        <v>210</v>
      </c>
      <c r="BN118" s="754" t="s">
        <v>210</v>
      </c>
      <c r="BO118" s="754" t="s">
        <v>210</v>
      </c>
      <c r="BP118" s="765" t="s">
        <v>210</v>
      </c>
      <c r="BQ118" s="777" t="s">
        <v>2260</v>
      </c>
      <c r="BR118" s="769" t="s">
        <v>2260</v>
      </c>
      <c r="BS118" s="769" t="s">
        <v>2260</v>
      </c>
      <c r="BT118" s="769" t="s">
        <v>2260</v>
      </c>
      <c r="BU118" s="774" t="s">
        <v>2260</v>
      </c>
      <c r="BV118" s="777">
        <v>60</v>
      </c>
      <c r="BW118" s="769">
        <v>90</v>
      </c>
      <c r="BX118" s="769">
        <v>90</v>
      </c>
      <c r="BY118" s="769">
        <v>18</v>
      </c>
      <c r="BZ118" s="769">
        <v>12</v>
      </c>
      <c r="CA118" s="777" t="s">
        <v>2260</v>
      </c>
      <c r="CB118" s="769" t="s">
        <v>2260</v>
      </c>
      <c r="CC118" s="769" t="s">
        <v>2260</v>
      </c>
      <c r="CD118" s="769" t="s">
        <v>2260</v>
      </c>
      <c r="CE118" s="774" t="s">
        <v>2260</v>
      </c>
      <c r="CF118" s="769" t="s">
        <v>2260</v>
      </c>
      <c r="CG118" s="769" t="s">
        <v>2260</v>
      </c>
      <c r="CH118" s="769" t="s">
        <v>2260</v>
      </c>
      <c r="CI118" s="769" t="s">
        <v>2260</v>
      </c>
      <c r="CJ118" s="774" t="s">
        <v>2260</v>
      </c>
      <c r="CK118" s="775">
        <v>150</v>
      </c>
      <c r="CL118" s="776">
        <v>225</v>
      </c>
      <c r="CM118" s="776">
        <v>225</v>
      </c>
      <c r="CN118" s="776">
        <v>45</v>
      </c>
      <c r="CO118" s="789">
        <v>30</v>
      </c>
      <c r="CP118" s="777" t="s">
        <v>2260</v>
      </c>
      <c r="CQ118" s="769" t="s">
        <v>2260</v>
      </c>
      <c r="CR118" s="769" t="s">
        <v>2260</v>
      </c>
      <c r="CS118" s="769" t="s">
        <v>2260</v>
      </c>
      <c r="CT118" s="774" t="s">
        <v>2260</v>
      </c>
      <c r="CU118" s="1253">
        <v>-8.3299999999999997E-4</v>
      </c>
      <c r="CV118" s="1252" t="s">
        <v>2260</v>
      </c>
      <c r="CW118" s="1252" t="s">
        <v>2260</v>
      </c>
      <c r="CX118" s="1254" t="s">
        <v>2260</v>
      </c>
      <c r="CY118" s="1252">
        <v>8.3299999999999997E-4</v>
      </c>
      <c r="CZ118" s="1252" t="s">
        <v>2260</v>
      </c>
      <c r="DA118" s="1252" t="s">
        <v>2260</v>
      </c>
      <c r="DB118" s="1254" t="s">
        <v>2260</v>
      </c>
      <c r="DC118" s="754"/>
      <c r="DD118" s="782">
        <v>1</v>
      </c>
      <c r="DE118" s="783"/>
    </row>
    <row r="119" spans="1:109" ht="15.75" hidden="1" customHeight="1">
      <c r="A119" s="741" t="s">
        <v>1130</v>
      </c>
      <c r="B119" s="742">
        <v>113</v>
      </c>
      <c r="C119" s="758" t="s">
        <v>1507</v>
      </c>
      <c r="D119" s="742" t="s">
        <v>2591</v>
      </c>
      <c r="E119" s="742" t="s">
        <v>2231</v>
      </c>
      <c r="F119" s="754" t="s">
        <v>2599</v>
      </c>
      <c r="G119" s="759" t="s">
        <v>2600</v>
      </c>
      <c r="H119" s="760" t="s">
        <v>2601</v>
      </c>
      <c r="I119" s="761"/>
      <c r="J119" s="762"/>
      <c r="K119" s="762"/>
      <c r="L119" s="762">
        <v>1</v>
      </c>
      <c r="M119" s="762"/>
      <c r="N119" s="762"/>
      <c r="O119" s="762"/>
      <c r="P119" s="763"/>
      <c r="Q119" s="764">
        <f t="shared" si="1"/>
        <v>1</v>
      </c>
      <c r="R119" s="758" t="s">
        <v>1846</v>
      </c>
      <c r="S119" s="742" t="s">
        <v>1826</v>
      </c>
      <c r="T119" s="765" t="s">
        <v>1827</v>
      </c>
      <c r="U119" s="742" t="s">
        <v>815</v>
      </c>
      <c r="V119" s="742" t="s">
        <v>321</v>
      </c>
      <c r="W119" s="742" t="s">
        <v>2602</v>
      </c>
      <c r="X119" s="1279">
        <v>2</v>
      </c>
      <c r="Y119" s="790" t="s">
        <v>1828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210</v>
      </c>
      <c r="BM119" s="754" t="s">
        <v>210</v>
      </c>
      <c r="BN119" s="754" t="s">
        <v>210</v>
      </c>
      <c r="BO119" s="754" t="s">
        <v>210</v>
      </c>
      <c r="BP119" s="765" t="s">
        <v>210</v>
      </c>
      <c r="BQ119" s="777" t="s">
        <v>2260</v>
      </c>
      <c r="BR119" s="769" t="s">
        <v>2260</v>
      </c>
      <c r="BS119" s="769" t="s">
        <v>2260</v>
      </c>
      <c r="BT119" s="769" t="s">
        <v>2260</v>
      </c>
      <c r="BU119" s="774" t="s">
        <v>2260</v>
      </c>
      <c r="BV119" s="777" t="s">
        <v>2260</v>
      </c>
      <c r="BW119" s="769" t="s">
        <v>2260</v>
      </c>
      <c r="BX119" s="769" t="s">
        <v>2260</v>
      </c>
      <c r="BY119" s="769" t="s">
        <v>2260</v>
      </c>
      <c r="BZ119" s="769" t="s">
        <v>2260</v>
      </c>
      <c r="CA119" s="777" t="s">
        <v>2260</v>
      </c>
      <c r="CB119" s="769" t="s">
        <v>2260</v>
      </c>
      <c r="CC119" s="769" t="s">
        <v>2260</v>
      </c>
      <c r="CD119" s="769" t="s">
        <v>2260</v>
      </c>
      <c r="CE119" s="774" t="s">
        <v>2260</v>
      </c>
      <c r="CF119" s="769" t="s">
        <v>2260</v>
      </c>
      <c r="CG119" s="769" t="s">
        <v>2260</v>
      </c>
      <c r="CH119" s="769" t="s">
        <v>2260</v>
      </c>
      <c r="CI119" s="769" t="s">
        <v>2260</v>
      </c>
      <c r="CJ119" s="774" t="s">
        <v>2260</v>
      </c>
      <c r="CK119" s="777" t="s">
        <v>2260</v>
      </c>
      <c r="CL119" s="769" t="s">
        <v>2260</v>
      </c>
      <c r="CM119" s="769" t="s">
        <v>2260</v>
      </c>
      <c r="CN119" s="769" t="s">
        <v>2260</v>
      </c>
      <c r="CO119" s="774" t="s">
        <v>2260</v>
      </c>
      <c r="CP119" s="777" t="s">
        <v>2260</v>
      </c>
      <c r="CQ119" s="769" t="s">
        <v>2260</v>
      </c>
      <c r="CR119" s="769" t="s">
        <v>2260</v>
      </c>
      <c r="CS119" s="769" t="s">
        <v>2260</v>
      </c>
      <c r="CT119" s="774" t="s">
        <v>2260</v>
      </c>
      <c r="CU119" s="1253">
        <v>-9.0700000000000004E-4</v>
      </c>
      <c r="CV119" s="1252" t="s">
        <v>2260</v>
      </c>
      <c r="CW119" s="1252" t="s">
        <v>2260</v>
      </c>
      <c r="CX119" s="1254" t="s">
        <v>2260</v>
      </c>
      <c r="CY119" s="1252" t="s">
        <v>2260</v>
      </c>
      <c r="CZ119" s="1252" t="s">
        <v>2260</v>
      </c>
      <c r="DA119" s="1252" t="s">
        <v>2260</v>
      </c>
      <c r="DB119" s="1254" t="s">
        <v>2260</v>
      </c>
      <c r="DC119" s="754"/>
      <c r="DD119" s="782">
        <v>1</v>
      </c>
      <c r="DE119" s="783"/>
    </row>
    <row r="120" spans="1:109" ht="15.75" hidden="1" customHeight="1">
      <c r="A120" s="741" t="s">
        <v>1130</v>
      </c>
      <c r="B120" s="742">
        <v>114</v>
      </c>
      <c r="C120" s="758" t="s">
        <v>1112</v>
      </c>
      <c r="D120" s="742" t="s">
        <v>2591</v>
      </c>
      <c r="E120" s="742" t="s">
        <v>2231</v>
      </c>
      <c r="F120" s="754" t="s">
        <v>2603</v>
      </c>
      <c r="G120" s="759" t="s">
        <v>1085</v>
      </c>
      <c r="H120" s="760" t="s">
        <v>2604</v>
      </c>
      <c r="I120" s="761"/>
      <c r="J120" s="762">
        <v>0.5</v>
      </c>
      <c r="K120" s="762">
        <v>0.5</v>
      </c>
      <c r="L120" s="762"/>
      <c r="M120" s="762"/>
      <c r="N120" s="762"/>
      <c r="O120" s="762"/>
      <c r="P120" s="763"/>
      <c r="Q120" s="764">
        <f t="shared" si="1"/>
        <v>1</v>
      </c>
      <c r="R120" s="758" t="s">
        <v>1846</v>
      </c>
      <c r="S120" s="742" t="s">
        <v>1826</v>
      </c>
      <c r="T120" s="765" t="s">
        <v>1827</v>
      </c>
      <c r="U120" s="742" t="s">
        <v>2371</v>
      </c>
      <c r="V120" s="742" t="s">
        <v>321</v>
      </c>
      <c r="W120" s="742" t="s">
        <v>2605</v>
      </c>
      <c r="X120" s="1279">
        <v>2</v>
      </c>
      <c r="Y120" s="790" t="s">
        <v>1828</v>
      </c>
      <c r="Z120" s="759" t="s">
        <v>1085</v>
      </c>
      <c r="AA120" s="754"/>
      <c r="AB120" s="754"/>
      <c r="AC120" s="754"/>
      <c r="AD120" s="754"/>
      <c r="AE120" s="754"/>
      <c r="AF120" s="759"/>
      <c r="AG120" s="769"/>
      <c r="AH120" s="769"/>
      <c r="AI120" s="769"/>
      <c r="AJ120" s="769"/>
      <c r="AK120" s="769"/>
      <c r="AL120" s="769"/>
      <c r="AM120" s="769"/>
      <c r="AN120" s="769"/>
      <c r="AO120" s="769"/>
      <c r="AP120" s="769"/>
      <c r="AQ120" s="1369"/>
      <c r="AR120" s="1319"/>
      <c r="AS120" s="1319"/>
      <c r="AT120" s="1319"/>
      <c r="AU120" s="1320"/>
      <c r="AV120" s="777"/>
      <c r="AW120" s="769"/>
      <c r="AX120" s="769"/>
      <c r="AY120" s="769"/>
      <c r="AZ120" s="769"/>
      <c r="BA120" s="769"/>
      <c r="BB120" s="769"/>
      <c r="BC120" s="769"/>
      <c r="BD120" s="769"/>
      <c r="BE120" s="769"/>
      <c r="BF120" s="769"/>
      <c r="BG120" s="769"/>
      <c r="BH120" s="769"/>
      <c r="BI120" s="769"/>
      <c r="BJ120" s="769"/>
      <c r="BK120" s="774"/>
      <c r="BL120" s="1327"/>
      <c r="BM120" s="1328"/>
      <c r="BN120" s="1328"/>
      <c r="BO120" s="1328"/>
      <c r="BP120" s="1389"/>
      <c r="BQ120" s="1369"/>
      <c r="BR120" s="1319"/>
      <c r="BS120" s="1319"/>
      <c r="BT120" s="1319"/>
      <c r="BU120" s="1320"/>
      <c r="BV120" s="1369"/>
      <c r="BW120" s="1319"/>
      <c r="BX120" s="1319"/>
      <c r="BY120" s="1319"/>
      <c r="BZ120" s="1319"/>
      <c r="CA120" s="1369"/>
      <c r="CB120" s="1319"/>
      <c r="CC120" s="1319"/>
      <c r="CD120" s="1319"/>
      <c r="CE120" s="1320"/>
      <c r="CF120" s="1319"/>
      <c r="CG120" s="1319"/>
      <c r="CH120" s="1319"/>
      <c r="CI120" s="1319"/>
      <c r="CJ120" s="1319"/>
      <c r="CK120" s="1369"/>
      <c r="CL120" s="1319"/>
      <c r="CM120" s="1319"/>
      <c r="CN120" s="1319"/>
      <c r="CO120" s="1320"/>
      <c r="CP120" s="1369"/>
      <c r="CQ120" s="1319"/>
      <c r="CR120" s="1319"/>
      <c r="CS120" s="1319"/>
      <c r="CT120" s="1320"/>
      <c r="CU120" s="1467"/>
      <c r="CV120" s="1458"/>
      <c r="CW120" s="1458"/>
      <c r="CX120" s="1663"/>
      <c r="CY120" s="1458"/>
      <c r="CZ120" s="1458"/>
      <c r="DA120" s="1458"/>
      <c r="DB120" s="1663"/>
      <c r="DC120" s="1328"/>
      <c r="DD120" s="1664"/>
      <c r="DE120" s="1669"/>
    </row>
    <row r="121" spans="1:109" ht="15.75" hidden="1" customHeight="1">
      <c r="A121" s="741" t="s">
        <v>1130</v>
      </c>
      <c r="B121" s="742">
        <v>115</v>
      </c>
      <c r="C121" s="758" t="s">
        <v>1590</v>
      </c>
      <c r="D121" s="742" t="s">
        <v>2606</v>
      </c>
      <c r="E121" s="742" t="s">
        <v>2231</v>
      </c>
      <c r="F121" s="754" t="s">
        <v>2607</v>
      </c>
      <c r="G121" s="759" t="s">
        <v>2608</v>
      </c>
      <c r="H121" s="760" t="s">
        <v>2609</v>
      </c>
      <c r="I121" s="761">
        <v>0.35</v>
      </c>
      <c r="J121" s="762">
        <v>0.35</v>
      </c>
      <c r="K121" s="762">
        <v>0.3</v>
      </c>
      <c r="L121" s="762"/>
      <c r="M121" s="762"/>
      <c r="N121" s="762"/>
      <c r="O121" s="762"/>
      <c r="P121" s="763"/>
      <c r="Q121" s="764">
        <f t="shared" si="1"/>
        <v>1</v>
      </c>
      <c r="R121" s="758" t="s">
        <v>1825</v>
      </c>
      <c r="S121" s="742"/>
      <c r="T121" s="765"/>
      <c r="U121" s="742" t="s">
        <v>2610</v>
      </c>
      <c r="V121" s="742" t="s">
        <v>1857</v>
      </c>
      <c r="W121" s="742" t="s">
        <v>2611</v>
      </c>
      <c r="X121" s="1279">
        <v>0</v>
      </c>
      <c r="Y121" s="790" t="s">
        <v>1828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2260</v>
      </c>
      <c r="BR121" s="769" t="s">
        <v>2260</v>
      </c>
      <c r="BS121" s="769" t="s">
        <v>2260</v>
      </c>
      <c r="BT121" s="769" t="s">
        <v>2260</v>
      </c>
      <c r="BU121" s="774" t="s">
        <v>2260</v>
      </c>
      <c r="BV121" s="777" t="s">
        <v>2260</v>
      </c>
      <c r="BW121" s="769" t="s">
        <v>2260</v>
      </c>
      <c r="BX121" s="769" t="s">
        <v>2260</v>
      </c>
      <c r="BY121" s="769" t="s">
        <v>2260</v>
      </c>
      <c r="BZ121" s="769" t="s">
        <v>2260</v>
      </c>
      <c r="CA121" s="777" t="s">
        <v>2260</v>
      </c>
      <c r="CB121" s="769" t="s">
        <v>2260</v>
      </c>
      <c r="CC121" s="769" t="s">
        <v>2260</v>
      </c>
      <c r="CD121" s="769" t="s">
        <v>2260</v>
      </c>
      <c r="CE121" s="774" t="s">
        <v>2260</v>
      </c>
      <c r="CF121" s="769" t="s">
        <v>2260</v>
      </c>
      <c r="CG121" s="769" t="s">
        <v>2260</v>
      </c>
      <c r="CH121" s="769" t="s">
        <v>2260</v>
      </c>
      <c r="CI121" s="769" t="s">
        <v>2260</v>
      </c>
      <c r="CJ121" s="774" t="s">
        <v>2260</v>
      </c>
      <c r="CK121" s="777" t="s">
        <v>2260</v>
      </c>
      <c r="CL121" s="769" t="s">
        <v>2260</v>
      </c>
      <c r="CM121" s="769" t="s">
        <v>2260</v>
      </c>
      <c r="CN121" s="769" t="s">
        <v>2260</v>
      </c>
      <c r="CO121" s="774" t="s">
        <v>2260</v>
      </c>
      <c r="CP121" s="777" t="s">
        <v>2260</v>
      </c>
      <c r="CQ121" s="769" t="s">
        <v>2260</v>
      </c>
      <c r="CR121" s="769" t="s">
        <v>2260</v>
      </c>
      <c r="CS121" s="769" t="s">
        <v>2260</v>
      </c>
      <c r="CT121" s="774" t="s">
        <v>2260</v>
      </c>
      <c r="CU121" s="1253" t="s">
        <v>2260</v>
      </c>
      <c r="CV121" s="1252" t="s">
        <v>2260</v>
      </c>
      <c r="CW121" s="1252" t="s">
        <v>2260</v>
      </c>
      <c r="CX121" s="1254" t="s">
        <v>2260</v>
      </c>
      <c r="CY121" s="1252" t="s">
        <v>2260</v>
      </c>
      <c r="CZ121" s="1252" t="s">
        <v>2260</v>
      </c>
      <c r="DA121" s="1252" t="s">
        <v>2260</v>
      </c>
      <c r="DB121" s="1254" t="s">
        <v>2260</v>
      </c>
      <c r="DC121" s="754"/>
      <c r="DD121" s="782">
        <v>1</v>
      </c>
      <c r="DE121" s="783"/>
    </row>
    <row r="122" spans="1:109" ht="15.75" hidden="1" customHeight="1">
      <c r="A122" s="741" t="s">
        <v>1130</v>
      </c>
      <c r="B122" s="742">
        <v>116</v>
      </c>
      <c r="C122" s="758" t="s">
        <v>1109</v>
      </c>
      <c r="D122" s="742" t="s">
        <v>2612</v>
      </c>
      <c r="E122" s="742" t="s">
        <v>2217</v>
      </c>
      <c r="F122" s="754" t="s">
        <v>2613</v>
      </c>
      <c r="G122" s="759" t="s">
        <v>784</v>
      </c>
      <c r="H122" s="760" t="s">
        <v>2614</v>
      </c>
      <c r="I122" s="761"/>
      <c r="J122" s="762"/>
      <c r="K122" s="762">
        <v>1</v>
      </c>
      <c r="L122" s="762"/>
      <c r="M122" s="762"/>
      <c r="N122" s="762"/>
      <c r="O122" s="762"/>
      <c r="P122" s="763"/>
      <c r="Q122" s="764">
        <f t="shared" si="1"/>
        <v>1</v>
      </c>
      <c r="R122" s="758" t="s">
        <v>1852</v>
      </c>
      <c r="S122" s="742" t="s">
        <v>1826</v>
      </c>
      <c r="T122" s="765" t="s">
        <v>1827</v>
      </c>
      <c r="U122" s="742" t="s">
        <v>2351</v>
      </c>
      <c r="V122" s="742" t="s">
        <v>1857</v>
      </c>
      <c r="W122" s="742" t="s">
        <v>2615</v>
      </c>
      <c r="X122" s="1279">
        <v>2</v>
      </c>
      <c r="Y122" s="790" t="s">
        <v>1838</v>
      </c>
      <c r="Z122" s="759" t="s">
        <v>784</v>
      </c>
      <c r="AA122" s="754"/>
      <c r="AB122" s="754"/>
      <c r="AC122" s="754"/>
      <c r="AD122" s="754"/>
      <c r="AE122" s="754"/>
      <c r="AF122" s="759"/>
      <c r="AG122" s="769"/>
      <c r="AH122" s="769"/>
      <c r="AI122" s="769"/>
      <c r="AJ122" s="769"/>
      <c r="AK122" s="769"/>
      <c r="AL122" s="769"/>
      <c r="AM122" s="769"/>
      <c r="AN122" s="769"/>
      <c r="AO122" s="769"/>
      <c r="AP122" s="769"/>
      <c r="AQ122" s="1369"/>
      <c r="AR122" s="1319"/>
      <c r="AS122" s="1319"/>
      <c r="AT122" s="1319"/>
      <c r="AU122" s="1320"/>
      <c r="AV122" s="777"/>
      <c r="AW122" s="769"/>
      <c r="AX122" s="769"/>
      <c r="AY122" s="769"/>
      <c r="AZ122" s="769"/>
      <c r="BA122" s="769"/>
      <c r="BB122" s="769"/>
      <c r="BC122" s="769"/>
      <c r="BD122" s="769"/>
      <c r="BE122" s="769"/>
      <c r="BF122" s="769"/>
      <c r="BG122" s="769"/>
      <c r="BH122" s="769"/>
      <c r="BI122" s="769"/>
      <c r="BJ122" s="769"/>
      <c r="BK122" s="774"/>
      <c r="BL122" s="1327"/>
      <c r="BM122" s="1328"/>
      <c r="BN122" s="1328"/>
      <c r="BO122" s="1328"/>
      <c r="BP122" s="1389"/>
      <c r="BQ122" s="1369"/>
      <c r="BR122" s="1319"/>
      <c r="BS122" s="1319"/>
      <c r="BT122" s="1319"/>
      <c r="BU122" s="1320"/>
      <c r="BV122" s="1370"/>
      <c r="BW122" s="1324"/>
      <c r="BX122" s="1324"/>
      <c r="BY122" s="1324"/>
      <c r="BZ122" s="1324"/>
      <c r="CA122" s="1369"/>
      <c r="CB122" s="1319"/>
      <c r="CC122" s="1319"/>
      <c r="CD122" s="1319"/>
      <c r="CE122" s="1320"/>
      <c r="CF122" s="1319"/>
      <c r="CG122" s="1319"/>
      <c r="CH122" s="1319"/>
      <c r="CI122" s="1319"/>
      <c r="CJ122" s="1320"/>
      <c r="CK122" s="1370"/>
      <c r="CL122" s="1324"/>
      <c r="CM122" s="1324"/>
      <c r="CN122" s="1324"/>
      <c r="CO122" s="1325"/>
      <c r="CP122" s="1369"/>
      <c r="CQ122" s="1319"/>
      <c r="CR122" s="1319"/>
      <c r="CS122" s="1319"/>
      <c r="CT122" s="1320"/>
      <c r="CU122" s="1467"/>
      <c r="CV122" s="1458"/>
      <c r="CW122" s="1458"/>
      <c r="CX122" s="1663"/>
      <c r="CY122" s="1458"/>
      <c r="CZ122" s="1458"/>
      <c r="DA122" s="1458"/>
      <c r="DB122" s="1663"/>
      <c r="DC122" s="1328"/>
      <c r="DD122" s="1664"/>
      <c r="DE122" s="1669"/>
    </row>
    <row r="123" spans="1:109" ht="15.75" hidden="1" customHeight="1">
      <c r="A123" s="741" t="s">
        <v>1130</v>
      </c>
      <c r="B123" s="742">
        <v>117</v>
      </c>
      <c r="C123" s="758" t="s">
        <v>1110</v>
      </c>
      <c r="D123" s="742" t="s">
        <v>2612</v>
      </c>
      <c r="E123" s="742" t="s">
        <v>2217</v>
      </c>
      <c r="F123" s="754" t="s">
        <v>2616</v>
      </c>
      <c r="G123" s="759" t="s">
        <v>788</v>
      </c>
      <c r="H123" s="760" t="s">
        <v>2617</v>
      </c>
      <c r="I123" s="761"/>
      <c r="J123" s="762"/>
      <c r="K123" s="762">
        <v>1</v>
      </c>
      <c r="L123" s="762"/>
      <c r="M123" s="762"/>
      <c r="N123" s="762"/>
      <c r="O123" s="762"/>
      <c r="P123" s="763"/>
      <c r="Q123" s="764">
        <f t="shared" si="1"/>
        <v>1</v>
      </c>
      <c r="R123" s="758" t="s">
        <v>1846</v>
      </c>
      <c r="S123" s="742" t="s">
        <v>1826</v>
      </c>
      <c r="T123" s="765" t="s">
        <v>1827</v>
      </c>
      <c r="U123" s="742" t="s">
        <v>788</v>
      </c>
      <c r="V123" s="742" t="s">
        <v>1857</v>
      </c>
      <c r="W123" s="742" t="s">
        <v>2618</v>
      </c>
      <c r="X123" s="1279">
        <v>2</v>
      </c>
      <c r="Y123" s="790" t="s">
        <v>1838</v>
      </c>
      <c r="Z123" s="759" t="s">
        <v>788</v>
      </c>
      <c r="AA123" s="754"/>
      <c r="AB123" s="754"/>
      <c r="AC123" s="754"/>
      <c r="AD123" s="754"/>
      <c r="AE123" s="754"/>
      <c r="AF123" s="759"/>
      <c r="AG123" s="769"/>
      <c r="AH123" s="769"/>
      <c r="AI123" s="769"/>
      <c r="AJ123" s="769"/>
      <c r="AK123" s="769"/>
      <c r="AL123" s="769"/>
      <c r="AM123" s="769"/>
      <c r="AN123" s="769"/>
      <c r="AO123" s="769"/>
      <c r="AP123" s="769"/>
      <c r="AQ123" s="1370"/>
      <c r="AR123" s="1324"/>
      <c r="AS123" s="1324"/>
      <c r="AT123" s="1324"/>
      <c r="AU123" s="1325"/>
      <c r="AV123" s="777"/>
      <c r="AW123" s="769"/>
      <c r="AX123" s="769"/>
      <c r="AY123" s="769"/>
      <c r="AZ123" s="769"/>
      <c r="BA123" s="769"/>
      <c r="BB123" s="769"/>
      <c r="BC123" s="769"/>
      <c r="BD123" s="769"/>
      <c r="BE123" s="769"/>
      <c r="BF123" s="769"/>
      <c r="BG123" s="769"/>
      <c r="BH123" s="769"/>
      <c r="BI123" s="769"/>
      <c r="BJ123" s="769"/>
      <c r="BK123" s="774"/>
      <c r="BL123" s="1327"/>
      <c r="BM123" s="1328"/>
      <c r="BN123" s="1328"/>
      <c r="BO123" s="1328"/>
      <c r="BP123" s="1389"/>
      <c r="BQ123" s="1369"/>
      <c r="BR123" s="1319"/>
      <c r="BS123" s="1319"/>
      <c r="BT123" s="1319"/>
      <c r="BU123" s="1320"/>
      <c r="BV123" s="1370"/>
      <c r="BW123" s="1324"/>
      <c r="BX123" s="1324"/>
      <c r="BY123" s="1324"/>
      <c r="BZ123" s="1324"/>
      <c r="CA123" s="1369"/>
      <c r="CB123" s="1319"/>
      <c r="CC123" s="1319"/>
      <c r="CD123" s="1319"/>
      <c r="CE123" s="1320"/>
      <c r="CF123" s="1319"/>
      <c r="CG123" s="1319"/>
      <c r="CH123" s="1319"/>
      <c r="CI123" s="1319"/>
      <c r="CJ123" s="1320"/>
      <c r="CK123" s="1369"/>
      <c r="CL123" s="1319"/>
      <c r="CM123" s="1319"/>
      <c r="CN123" s="1319"/>
      <c r="CO123" s="1320"/>
      <c r="CP123" s="1369"/>
      <c r="CQ123" s="1319"/>
      <c r="CR123" s="1319"/>
      <c r="CS123" s="1319"/>
      <c r="CT123" s="1320"/>
      <c r="CU123" s="1467"/>
      <c r="CV123" s="1458"/>
      <c r="CW123" s="1458"/>
      <c r="CX123" s="1663"/>
      <c r="CY123" s="1458"/>
      <c r="CZ123" s="1458"/>
      <c r="DA123" s="1458"/>
      <c r="DB123" s="1663"/>
      <c r="DC123" s="1328"/>
      <c r="DD123" s="1664"/>
      <c r="DE123" s="1669"/>
    </row>
    <row r="124" spans="1:109" ht="15.75" hidden="1" customHeight="1">
      <c r="A124" s="741" t="s">
        <v>1130</v>
      </c>
      <c r="B124" s="742">
        <v>118</v>
      </c>
      <c r="C124" s="758" t="s">
        <v>1518</v>
      </c>
      <c r="D124" s="742" t="s">
        <v>2612</v>
      </c>
      <c r="E124" s="742" t="s">
        <v>2223</v>
      </c>
      <c r="F124" s="754" t="s">
        <v>2619</v>
      </c>
      <c r="G124" s="759" t="s">
        <v>2620</v>
      </c>
      <c r="H124" s="760" t="s">
        <v>2621</v>
      </c>
      <c r="I124" s="761"/>
      <c r="J124" s="762"/>
      <c r="K124" s="762">
        <v>1</v>
      </c>
      <c r="L124" s="762"/>
      <c r="M124" s="762"/>
      <c r="N124" s="762"/>
      <c r="O124" s="762"/>
      <c r="P124" s="763"/>
      <c r="Q124" s="764">
        <f t="shared" si="1"/>
        <v>1</v>
      </c>
      <c r="R124" s="758" t="s">
        <v>1852</v>
      </c>
      <c r="S124" s="742" t="s">
        <v>1826</v>
      </c>
      <c r="T124" s="765" t="s">
        <v>1827</v>
      </c>
      <c r="U124" s="742" t="s">
        <v>2368</v>
      </c>
      <c r="V124" s="742" t="s">
        <v>1857</v>
      </c>
      <c r="W124" s="742" t="s">
        <v>2622</v>
      </c>
      <c r="X124" s="1279">
        <v>0</v>
      </c>
      <c r="Y124" s="790" t="s">
        <v>1838</v>
      </c>
      <c r="Z124" s="759" t="s">
        <v>2623</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210</v>
      </c>
      <c r="BM124" s="754" t="s">
        <v>210</v>
      </c>
      <c r="BN124" s="754" t="s">
        <v>210</v>
      </c>
      <c r="BO124" s="754" t="s">
        <v>210</v>
      </c>
      <c r="BP124" s="765" t="s">
        <v>210</v>
      </c>
      <c r="BQ124" s="777" t="s">
        <v>2260</v>
      </c>
      <c r="BR124" s="769" t="s">
        <v>2260</v>
      </c>
      <c r="BS124" s="769" t="s">
        <v>2260</v>
      </c>
      <c r="BT124" s="769" t="s">
        <v>2260</v>
      </c>
      <c r="BU124" s="774" t="s">
        <v>2260</v>
      </c>
      <c r="BV124" s="777" t="s">
        <v>2260</v>
      </c>
      <c r="BW124" s="769" t="s">
        <v>2260</v>
      </c>
      <c r="BX124" s="769" t="s">
        <v>2260</v>
      </c>
      <c r="BY124" s="769" t="s">
        <v>2260</v>
      </c>
      <c r="BZ124" s="769" t="s">
        <v>2260</v>
      </c>
      <c r="CA124" s="777" t="s">
        <v>2260</v>
      </c>
      <c r="CB124" s="769" t="s">
        <v>2260</v>
      </c>
      <c r="CC124" s="769" t="s">
        <v>2260</v>
      </c>
      <c r="CD124" s="769" t="s">
        <v>2260</v>
      </c>
      <c r="CE124" s="774" t="s">
        <v>2260</v>
      </c>
      <c r="CF124" s="769" t="s">
        <v>2260</v>
      </c>
      <c r="CG124" s="769" t="s">
        <v>2260</v>
      </c>
      <c r="CH124" s="769" t="s">
        <v>2260</v>
      </c>
      <c r="CI124" s="769" t="s">
        <v>2260</v>
      </c>
      <c r="CJ124" s="774" t="s">
        <v>2260</v>
      </c>
      <c r="CK124" s="775">
        <v>265</v>
      </c>
      <c r="CL124" s="776">
        <v>265</v>
      </c>
      <c r="CM124" s="776">
        <v>265</v>
      </c>
      <c r="CN124" s="776">
        <v>265</v>
      </c>
      <c r="CO124" s="789">
        <v>265</v>
      </c>
      <c r="CP124" s="777" t="s">
        <v>2260</v>
      </c>
      <c r="CQ124" s="769" t="s">
        <v>2260</v>
      </c>
      <c r="CR124" s="769" t="s">
        <v>2260</v>
      </c>
      <c r="CS124" s="769" t="s">
        <v>2260</v>
      </c>
      <c r="CT124" s="774" t="s">
        <v>2260</v>
      </c>
      <c r="CU124" s="1253">
        <v>-1.392E-3</v>
      </c>
      <c r="CV124" s="1252" t="s">
        <v>2260</v>
      </c>
      <c r="CW124" s="1252" t="s">
        <v>2260</v>
      </c>
      <c r="CX124" s="1254" t="s">
        <v>2260</v>
      </c>
      <c r="CY124" s="1252">
        <v>1.4E-5</v>
      </c>
      <c r="CZ124" s="1252" t="s">
        <v>2260</v>
      </c>
      <c r="DA124" s="1252" t="s">
        <v>2260</v>
      </c>
      <c r="DB124" s="1254" t="s">
        <v>2260</v>
      </c>
      <c r="DC124" s="754"/>
      <c r="DD124" s="782">
        <v>1</v>
      </c>
      <c r="DE124" s="783"/>
    </row>
    <row r="125" spans="1:109" ht="15.75" hidden="1" customHeight="1">
      <c r="A125" s="741" t="s">
        <v>1130</v>
      </c>
      <c r="B125" s="742">
        <v>119</v>
      </c>
      <c r="C125" s="758" t="s">
        <v>1115</v>
      </c>
      <c r="D125" s="742" t="s">
        <v>2612</v>
      </c>
      <c r="E125" s="742" t="s">
        <v>2231</v>
      </c>
      <c r="F125" s="754" t="s">
        <v>2624</v>
      </c>
      <c r="G125" s="759" t="s">
        <v>891</v>
      </c>
      <c r="H125" s="760" t="s">
        <v>2625</v>
      </c>
      <c r="I125" s="761"/>
      <c r="J125" s="762"/>
      <c r="K125" s="762">
        <v>1</v>
      </c>
      <c r="L125" s="762"/>
      <c r="M125" s="762"/>
      <c r="N125" s="762"/>
      <c r="O125" s="762"/>
      <c r="P125" s="763"/>
      <c r="Q125" s="764">
        <f t="shared" si="1"/>
        <v>1</v>
      </c>
      <c r="R125" s="758" t="s">
        <v>1825</v>
      </c>
      <c r="S125" s="742"/>
      <c r="T125" s="765"/>
      <c r="U125" s="742" t="s">
        <v>2234</v>
      </c>
      <c r="V125" s="742" t="s">
        <v>321</v>
      </c>
      <c r="W125" s="742" t="s">
        <v>2626</v>
      </c>
      <c r="X125" s="1280">
        <v>2</v>
      </c>
      <c r="Y125" s="790" t="s">
        <v>1828</v>
      </c>
      <c r="Z125" s="759" t="s">
        <v>891</v>
      </c>
      <c r="AA125" s="754"/>
      <c r="AB125" s="754"/>
      <c r="AC125" s="754"/>
      <c r="AD125" s="754"/>
      <c r="AE125" s="754"/>
      <c r="AF125" s="759"/>
      <c r="AG125" s="769"/>
      <c r="AH125" s="769"/>
      <c r="AI125" s="769"/>
      <c r="AJ125" s="769"/>
      <c r="AK125" s="769"/>
      <c r="AL125" s="769"/>
      <c r="AM125" s="769"/>
      <c r="AN125" s="769"/>
      <c r="AO125" s="769"/>
      <c r="AP125" s="769"/>
      <c r="AQ125" s="1369"/>
      <c r="AR125" s="1319"/>
      <c r="AS125" s="1319"/>
      <c r="AT125" s="1319"/>
      <c r="AU125" s="1320"/>
      <c r="AV125" s="777"/>
      <c r="AW125" s="769"/>
      <c r="AX125" s="769"/>
      <c r="AY125" s="769"/>
      <c r="AZ125" s="769"/>
      <c r="BA125" s="769"/>
      <c r="BB125" s="769"/>
      <c r="BC125" s="769"/>
      <c r="BD125" s="769"/>
      <c r="BE125" s="769"/>
      <c r="BF125" s="769"/>
      <c r="BG125" s="769"/>
      <c r="BH125" s="769"/>
      <c r="BI125" s="769"/>
      <c r="BJ125" s="769"/>
      <c r="BK125" s="774"/>
      <c r="BL125" s="1327"/>
      <c r="BM125" s="1328"/>
      <c r="BN125" s="1328"/>
      <c r="BO125" s="1328"/>
      <c r="BP125" s="1389"/>
      <c r="BQ125" s="1369"/>
      <c r="BR125" s="1319"/>
      <c r="BS125" s="1319"/>
      <c r="BT125" s="1319"/>
      <c r="BU125" s="1320"/>
      <c r="BV125" s="1369"/>
      <c r="BW125" s="1319"/>
      <c r="BX125" s="1319"/>
      <c r="BY125" s="1319"/>
      <c r="BZ125" s="1319"/>
      <c r="CA125" s="1369"/>
      <c r="CB125" s="1319"/>
      <c r="CC125" s="1319"/>
      <c r="CD125" s="1319"/>
      <c r="CE125" s="1320"/>
      <c r="CF125" s="1319"/>
      <c r="CG125" s="1319"/>
      <c r="CH125" s="1319"/>
      <c r="CI125" s="1319"/>
      <c r="CJ125" s="1320"/>
      <c r="CK125" s="1369"/>
      <c r="CL125" s="1319"/>
      <c r="CM125" s="1319"/>
      <c r="CN125" s="1319"/>
      <c r="CO125" s="1320"/>
      <c r="CP125" s="1369"/>
      <c r="CQ125" s="1319"/>
      <c r="CR125" s="1319"/>
      <c r="CS125" s="1319"/>
      <c r="CT125" s="1320"/>
      <c r="CU125" s="1467"/>
      <c r="CV125" s="1458"/>
      <c r="CW125" s="1458"/>
      <c r="CX125" s="1663"/>
      <c r="CY125" s="1458"/>
      <c r="CZ125" s="1458"/>
      <c r="DA125" s="1458"/>
      <c r="DB125" s="1663"/>
      <c r="DC125" s="1328"/>
      <c r="DD125" s="1664"/>
      <c r="DE125" s="1669"/>
    </row>
    <row r="126" spans="1:109" ht="15.75" hidden="1" customHeight="1">
      <c r="A126" s="741" t="s">
        <v>1130</v>
      </c>
      <c r="B126" s="742">
        <v>120</v>
      </c>
      <c r="C126" s="758" t="s">
        <v>1111</v>
      </c>
      <c r="D126" s="742" t="s">
        <v>2612</v>
      </c>
      <c r="E126" s="742" t="s">
        <v>2231</v>
      </c>
      <c r="F126" s="754" t="s">
        <v>2627</v>
      </c>
      <c r="G126" s="759" t="s">
        <v>795</v>
      </c>
      <c r="H126" s="760" t="s">
        <v>2628</v>
      </c>
      <c r="I126" s="761"/>
      <c r="J126" s="762"/>
      <c r="K126" s="762">
        <v>1</v>
      </c>
      <c r="L126" s="762"/>
      <c r="M126" s="762"/>
      <c r="N126" s="762"/>
      <c r="O126" s="762"/>
      <c r="P126" s="763"/>
      <c r="Q126" s="764">
        <f t="shared" si="1"/>
        <v>1</v>
      </c>
      <c r="R126" s="758" t="s">
        <v>1846</v>
      </c>
      <c r="S126" s="742" t="s">
        <v>1826</v>
      </c>
      <c r="T126" s="765" t="s">
        <v>1827</v>
      </c>
      <c r="U126" s="742" t="s">
        <v>2368</v>
      </c>
      <c r="V126" s="742" t="s">
        <v>1857</v>
      </c>
      <c r="W126" s="742" t="s">
        <v>2629</v>
      </c>
      <c r="X126" s="1279">
        <v>2</v>
      </c>
      <c r="Y126" s="767" t="s">
        <v>1838</v>
      </c>
      <c r="Z126" s="759" t="s">
        <v>795</v>
      </c>
      <c r="AA126" s="754"/>
      <c r="AB126" s="754"/>
      <c r="AC126" s="754"/>
      <c r="AD126" s="754"/>
      <c r="AE126" s="754"/>
      <c r="AF126" s="768"/>
      <c r="AG126" s="769"/>
      <c r="AH126" s="769"/>
      <c r="AI126" s="769"/>
      <c r="AJ126" s="769"/>
      <c r="AK126" s="769"/>
      <c r="AL126" s="769"/>
      <c r="AM126" s="769"/>
      <c r="AN126" s="769"/>
      <c r="AO126" s="769"/>
      <c r="AP126" s="769"/>
      <c r="AQ126" s="1369"/>
      <c r="AR126" s="1319"/>
      <c r="AS126" s="1319"/>
      <c r="AT126" s="1319"/>
      <c r="AU126" s="1320"/>
      <c r="AV126" s="777"/>
      <c r="AW126" s="769"/>
      <c r="AX126" s="769"/>
      <c r="AY126" s="769"/>
      <c r="AZ126" s="769"/>
      <c r="BA126" s="769"/>
      <c r="BB126" s="769"/>
      <c r="BC126" s="769"/>
      <c r="BD126" s="769"/>
      <c r="BE126" s="769"/>
      <c r="BF126" s="769"/>
      <c r="BG126" s="769"/>
      <c r="BH126" s="769"/>
      <c r="BI126" s="769"/>
      <c r="BJ126" s="769"/>
      <c r="BK126" s="774"/>
      <c r="BL126" s="1327"/>
      <c r="BM126" s="1328"/>
      <c r="BN126" s="1328"/>
      <c r="BO126" s="1328"/>
      <c r="BP126" s="1389"/>
      <c r="BQ126" s="1369"/>
      <c r="BR126" s="1319"/>
      <c r="BS126" s="1319"/>
      <c r="BT126" s="1319"/>
      <c r="BU126" s="1320"/>
      <c r="BV126" s="1369"/>
      <c r="BW126" s="1319"/>
      <c r="BX126" s="1319"/>
      <c r="BY126" s="1319"/>
      <c r="BZ126" s="1319"/>
      <c r="CA126" s="1369"/>
      <c r="CB126" s="1319"/>
      <c r="CC126" s="1319"/>
      <c r="CD126" s="1319"/>
      <c r="CE126" s="1320"/>
      <c r="CF126" s="1319"/>
      <c r="CG126" s="1319"/>
      <c r="CH126" s="1319"/>
      <c r="CI126" s="1319"/>
      <c r="CJ126" s="1320"/>
      <c r="CK126" s="1369"/>
      <c r="CL126" s="1319"/>
      <c r="CM126" s="1319"/>
      <c r="CN126" s="1319"/>
      <c r="CO126" s="1320"/>
      <c r="CP126" s="1369"/>
      <c r="CQ126" s="1319"/>
      <c r="CR126" s="1319"/>
      <c r="CS126" s="1319"/>
      <c r="CT126" s="1320"/>
      <c r="CU126" s="1467"/>
      <c r="CV126" s="1458"/>
      <c r="CW126" s="1458"/>
      <c r="CX126" s="1663"/>
      <c r="CY126" s="1458"/>
      <c r="CZ126" s="1458"/>
      <c r="DA126" s="1458"/>
      <c r="DB126" s="1663"/>
      <c r="DC126" s="1328"/>
      <c r="DD126" s="1664"/>
      <c r="DE126" s="1669"/>
    </row>
    <row r="127" spans="1:109" ht="15.75" hidden="1" customHeight="1">
      <c r="A127" s="741" t="s">
        <v>1130</v>
      </c>
      <c r="B127" s="742">
        <v>121</v>
      </c>
      <c r="C127" s="758" t="s">
        <v>1375</v>
      </c>
      <c r="D127" s="742" t="s">
        <v>2630</v>
      </c>
      <c r="E127" s="742" t="s">
        <v>2231</v>
      </c>
      <c r="F127" s="754" t="s">
        <v>2631</v>
      </c>
      <c r="G127" s="759" t="s">
        <v>2632</v>
      </c>
      <c r="H127" s="760" t="s">
        <v>2633</v>
      </c>
      <c r="I127" s="761"/>
      <c r="J127" s="762"/>
      <c r="K127" s="762"/>
      <c r="L127" s="762"/>
      <c r="M127" s="762">
        <v>1</v>
      </c>
      <c r="N127" s="762"/>
      <c r="O127" s="762"/>
      <c r="P127" s="763"/>
      <c r="Q127" s="764">
        <f t="shared" si="1"/>
        <v>1</v>
      </c>
      <c r="R127" s="758" t="s">
        <v>1852</v>
      </c>
      <c r="S127" s="742" t="s">
        <v>1826</v>
      </c>
      <c r="T127" s="765" t="s">
        <v>1827</v>
      </c>
      <c r="U127" s="742" t="s">
        <v>2396</v>
      </c>
      <c r="V127" s="742" t="s">
        <v>2397</v>
      </c>
      <c r="W127" s="742" t="s">
        <v>2634</v>
      </c>
      <c r="X127" s="1280">
        <v>2</v>
      </c>
      <c r="Y127" s="767" t="s">
        <v>1838</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210</v>
      </c>
      <c r="BM127" s="754" t="s">
        <v>210</v>
      </c>
      <c r="BN127" s="754" t="s">
        <v>210</v>
      </c>
      <c r="BO127" s="754" t="s">
        <v>210</v>
      </c>
      <c r="BP127" s="765" t="s">
        <v>210</v>
      </c>
      <c r="BQ127" s="773" t="s">
        <v>2260</v>
      </c>
      <c r="BR127" s="769" t="s">
        <v>2260</v>
      </c>
      <c r="BS127" s="769" t="s">
        <v>2260</v>
      </c>
      <c r="BT127" s="769" t="s">
        <v>2260</v>
      </c>
      <c r="BU127" s="774" t="s">
        <v>2260</v>
      </c>
      <c r="BV127" s="775">
        <v>5.94</v>
      </c>
      <c r="BW127" s="776">
        <v>5.94</v>
      </c>
      <c r="BX127" s="776">
        <v>5.94</v>
      </c>
      <c r="BY127" s="776">
        <v>5.94</v>
      </c>
      <c r="BZ127" s="776">
        <v>5.94</v>
      </c>
      <c r="CA127" s="777" t="s">
        <v>2260</v>
      </c>
      <c r="CB127" s="769" t="s">
        <v>2260</v>
      </c>
      <c r="CC127" s="769" t="s">
        <v>2260</v>
      </c>
      <c r="CD127" s="769" t="s">
        <v>2260</v>
      </c>
      <c r="CE127" s="774" t="s">
        <v>2260</v>
      </c>
      <c r="CF127" s="779" t="s">
        <v>2260</v>
      </c>
      <c r="CG127" s="779" t="s">
        <v>2260</v>
      </c>
      <c r="CH127" s="779" t="s">
        <v>2260</v>
      </c>
      <c r="CI127" s="779" t="s">
        <v>2260</v>
      </c>
      <c r="CJ127" s="780" t="s">
        <v>2260</v>
      </c>
      <c r="CK127" s="777">
        <v>5.44</v>
      </c>
      <c r="CL127" s="769">
        <v>5.08</v>
      </c>
      <c r="CM127" s="769">
        <v>4.5</v>
      </c>
      <c r="CN127" s="769">
        <v>3.78</v>
      </c>
      <c r="CO127" s="774">
        <v>3.06</v>
      </c>
      <c r="CP127" s="777" t="s">
        <v>2260</v>
      </c>
      <c r="CQ127" s="769" t="s">
        <v>2260</v>
      </c>
      <c r="CR127" s="769" t="s">
        <v>2260</v>
      </c>
      <c r="CS127" s="769" t="s">
        <v>2260</v>
      </c>
      <c r="CT127" s="774" t="s">
        <v>2260</v>
      </c>
      <c r="CU127" s="1253">
        <v>-7.8E-2</v>
      </c>
      <c r="CV127" s="1252" t="s">
        <v>2260</v>
      </c>
      <c r="CW127" s="1252" t="s">
        <v>2260</v>
      </c>
      <c r="CX127" s="1254" t="s">
        <v>2260</v>
      </c>
      <c r="CY127" s="1252">
        <v>7.8E-2</v>
      </c>
      <c r="CZ127" s="1252" t="s">
        <v>2260</v>
      </c>
      <c r="DA127" s="1252" t="s">
        <v>2260</v>
      </c>
      <c r="DB127" s="1254" t="s">
        <v>2260</v>
      </c>
      <c r="DC127" s="754" t="s">
        <v>173</v>
      </c>
      <c r="DD127" s="782">
        <v>1</v>
      </c>
      <c r="DE127" s="783"/>
    </row>
    <row r="128" spans="1:109" ht="15.75" hidden="1" customHeight="1">
      <c r="A128" s="741" t="s">
        <v>1130</v>
      </c>
      <c r="B128" s="742">
        <v>122</v>
      </c>
      <c r="C128" s="758" t="s">
        <v>1762</v>
      </c>
      <c r="D128" s="742" t="s">
        <v>2635</v>
      </c>
      <c r="E128" s="742" t="s">
        <v>2231</v>
      </c>
      <c r="F128" s="754" t="s">
        <v>2636</v>
      </c>
      <c r="G128" s="759" t="s">
        <v>2251</v>
      </c>
      <c r="H128" s="760" t="s">
        <v>2637</v>
      </c>
      <c r="I128" s="761"/>
      <c r="J128" s="762"/>
      <c r="K128" s="762"/>
      <c r="L128" s="762"/>
      <c r="M128" s="762">
        <v>1</v>
      </c>
      <c r="N128" s="762"/>
      <c r="O128" s="762"/>
      <c r="P128" s="763"/>
      <c r="Q128" s="764">
        <f t="shared" si="1"/>
        <v>1</v>
      </c>
      <c r="R128" s="758" t="s">
        <v>1852</v>
      </c>
      <c r="S128" s="742" t="s">
        <v>1826</v>
      </c>
      <c r="T128" s="765" t="s">
        <v>1827</v>
      </c>
      <c r="U128" s="742" t="s">
        <v>1888</v>
      </c>
      <c r="V128" s="742" t="s">
        <v>1897</v>
      </c>
      <c r="W128" s="742" t="s">
        <v>2638</v>
      </c>
      <c r="X128" s="1279">
        <v>2</v>
      </c>
      <c r="Y128" s="767" t="s">
        <v>1828</v>
      </c>
      <c r="Z128" s="759" t="s">
        <v>2251</v>
      </c>
      <c r="AA128" s="754"/>
      <c r="AB128" s="754"/>
      <c r="AC128" s="754"/>
      <c r="AD128" s="754"/>
      <c r="AE128" s="754"/>
      <c r="AF128" s="768"/>
      <c r="AG128" s="769"/>
      <c r="AH128" s="769"/>
      <c r="AI128" s="769"/>
      <c r="AJ128" s="769"/>
      <c r="AK128" s="769"/>
      <c r="AL128" s="769"/>
      <c r="AM128" s="769"/>
      <c r="AN128" s="769"/>
      <c r="AO128" s="769"/>
      <c r="AP128" s="769"/>
      <c r="AQ128" s="1370"/>
      <c r="AR128" s="1324"/>
      <c r="AS128" s="1324"/>
      <c r="AT128" s="1324"/>
      <c r="AU128" s="1325"/>
      <c r="AV128" s="775"/>
      <c r="AW128" s="776"/>
      <c r="AX128" s="776"/>
      <c r="AY128" s="776"/>
      <c r="AZ128" s="776"/>
      <c r="BA128" s="776"/>
      <c r="BB128" s="776"/>
      <c r="BC128" s="776"/>
      <c r="BD128" s="776"/>
      <c r="BE128" s="776"/>
      <c r="BF128" s="769"/>
      <c r="BG128" s="769"/>
      <c r="BH128" s="769"/>
      <c r="BI128" s="769"/>
      <c r="BJ128" s="769"/>
      <c r="BK128" s="774"/>
      <c r="BL128" s="1327"/>
      <c r="BM128" s="1328"/>
      <c r="BN128" s="1328"/>
      <c r="BO128" s="1328"/>
      <c r="BP128" s="1389"/>
      <c r="BQ128" s="1369"/>
      <c r="BR128" s="1319"/>
      <c r="BS128" s="1319"/>
      <c r="BT128" s="1319"/>
      <c r="BU128" s="1320"/>
      <c r="BV128" s="1369"/>
      <c r="BW128" s="1319"/>
      <c r="BX128" s="1319"/>
      <c r="BY128" s="1319"/>
      <c r="BZ128" s="1319"/>
      <c r="CA128" s="1369"/>
      <c r="CB128" s="1319"/>
      <c r="CC128" s="1319"/>
      <c r="CD128" s="1319"/>
      <c r="CE128" s="1320"/>
      <c r="CF128" s="1319"/>
      <c r="CG128" s="1319"/>
      <c r="CH128" s="1319"/>
      <c r="CI128" s="1319"/>
      <c r="CJ128" s="1320"/>
      <c r="CK128" s="1369"/>
      <c r="CL128" s="1319"/>
      <c r="CM128" s="1319"/>
      <c r="CN128" s="1319"/>
      <c r="CO128" s="1320"/>
      <c r="CP128" s="1369"/>
      <c r="CQ128" s="1319"/>
      <c r="CR128" s="1319"/>
      <c r="CS128" s="1319"/>
      <c r="CT128" s="1320"/>
      <c r="CU128" s="1467"/>
      <c r="CV128" s="1458"/>
      <c r="CW128" s="1458"/>
      <c r="CX128" s="1663"/>
      <c r="CY128" s="1458"/>
      <c r="CZ128" s="1458"/>
      <c r="DA128" s="1458"/>
      <c r="DB128" s="1663"/>
      <c r="DC128" s="1328"/>
      <c r="DD128" s="1664"/>
      <c r="DE128" s="1669"/>
    </row>
    <row r="129" spans="1:109" ht="15.75" hidden="1" customHeight="1">
      <c r="A129" s="741" t="s">
        <v>1130</v>
      </c>
      <c r="B129" s="742">
        <v>123</v>
      </c>
      <c r="C129" s="758" t="s">
        <v>1779</v>
      </c>
      <c r="D129" s="742" t="s">
        <v>2635</v>
      </c>
      <c r="E129" s="742" t="s">
        <v>2231</v>
      </c>
      <c r="F129" s="754" t="s">
        <v>2639</v>
      </c>
      <c r="G129" s="759" t="s">
        <v>2254</v>
      </c>
      <c r="H129" s="760" t="s">
        <v>2640</v>
      </c>
      <c r="I129" s="761"/>
      <c r="J129" s="762">
        <v>0.5</v>
      </c>
      <c r="K129" s="762">
        <v>0.5</v>
      </c>
      <c r="L129" s="762"/>
      <c r="M129" s="762"/>
      <c r="N129" s="762"/>
      <c r="O129" s="762"/>
      <c r="P129" s="763"/>
      <c r="Q129" s="764">
        <f t="shared" si="1"/>
        <v>1</v>
      </c>
      <c r="R129" s="758" t="s">
        <v>1852</v>
      </c>
      <c r="S129" s="742" t="s">
        <v>1826</v>
      </c>
      <c r="T129" s="765" t="s">
        <v>1827</v>
      </c>
      <c r="U129" s="742" t="s">
        <v>1891</v>
      </c>
      <c r="V129" s="742" t="s">
        <v>1897</v>
      </c>
      <c r="W129" s="742" t="s">
        <v>2641</v>
      </c>
      <c r="X129" s="1279">
        <v>2</v>
      </c>
      <c r="Y129" s="767" t="s">
        <v>1828</v>
      </c>
      <c r="Z129" s="759" t="s">
        <v>2254</v>
      </c>
      <c r="AA129" s="754"/>
      <c r="AB129" s="754"/>
      <c r="AC129" s="754"/>
      <c r="AD129" s="754"/>
      <c r="AE129" s="754"/>
      <c r="AF129" s="768"/>
      <c r="AG129" s="769"/>
      <c r="AH129" s="769"/>
      <c r="AI129" s="769"/>
      <c r="AJ129" s="769"/>
      <c r="AK129" s="769"/>
      <c r="AL129" s="769"/>
      <c r="AM129" s="817"/>
      <c r="AN129" s="817"/>
      <c r="AO129" s="817"/>
      <c r="AP129" s="817"/>
      <c r="AQ129" s="1681"/>
      <c r="AR129" s="1682"/>
      <c r="AS129" s="1682"/>
      <c r="AT129" s="1682"/>
      <c r="AU129" s="1683"/>
      <c r="AV129" s="818"/>
      <c r="AW129" s="817"/>
      <c r="AX129" s="817"/>
      <c r="AY129" s="817"/>
      <c r="AZ129" s="817"/>
      <c r="BA129" s="817"/>
      <c r="BB129" s="769"/>
      <c r="BC129" s="769"/>
      <c r="BD129" s="769"/>
      <c r="BE129" s="769"/>
      <c r="BF129" s="769"/>
      <c r="BG129" s="769"/>
      <c r="BH129" s="769"/>
      <c r="BI129" s="769"/>
      <c r="BJ129" s="769"/>
      <c r="BK129" s="774"/>
      <c r="BL129" s="1327"/>
      <c r="BM129" s="1328"/>
      <c r="BN129" s="1328"/>
      <c r="BO129" s="1328"/>
      <c r="BP129" s="1389"/>
      <c r="BQ129" s="1369"/>
      <c r="BR129" s="1319"/>
      <c r="BS129" s="1319"/>
      <c r="BT129" s="1319"/>
      <c r="BU129" s="1320"/>
      <c r="BV129" s="1681"/>
      <c r="BW129" s="1682"/>
      <c r="BX129" s="1682"/>
      <c r="BY129" s="1682"/>
      <c r="BZ129" s="1682"/>
      <c r="CA129" s="1369"/>
      <c r="CB129" s="1319"/>
      <c r="CC129" s="1319"/>
      <c r="CD129" s="1319"/>
      <c r="CE129" s="1320"/>
      <c r="CF129" s="1319"/>
      <c r="CG129" s="1319"/>
      <c r="CH129" s="1319"/>
      <c r="CI129" s="1319"/>
      <c r="CJ129" s="1319"/>
      <c r="CK129" s="1682"/>
      <c r="CL129" s="1682"/>
      <c r="CM129" s="1682"/>
      <c r="CN129" s="1682"/>
      <c r="CO129" s="1683"/>
      <c r="CP129" s="1369"/>
      <c r="CQ129" s="1319"/>
      <c r="CR129" s="1319"/>
      <c r="CS129" s="1319"/>
      <c r="CT129" s="1320"/>
      <c r="CU129" s="1467"/>
      <c r="CV129" s="1458"/>
      <c r="CW129" s="1458"/>
      <c r="CX129" s="1663"/>
      <c r="CY129" s="1458"/>
      <c r="CZ129" s="1458"/>
      <c r="DA129" s="1458"/>
      <c r="DB129" s="1663"/>
      <c r="DC129" s="1328"/>
      <c r="DD129" s="1664"/>
      <c r="DE129" s="1669"/>
    </row>
    <row r="130" spans="1:109" ht="15.75" hidden="1" customHeight="1">
      <c r="A130" s="741" t="s">
        <v>1130</v>
      </c>
      <c r="B130" s="742">
        <v>124</v>
      </c>
      <c r="C130" s="758" t="s">
        <v>1392</v>
      </c>
      <c r="D130" s="742" t="s">
        <v>2635</v>
      </c>
      <c r="E130" s="742" t="s">
        <v>2231</v>
      </c>
      <c r="F130" s="754" t="s">
        <v>2642</v>
      </c>
      <c r="G130" s="759" t="s">
        <v>2643</v>
      </c>
      <c r="H130" s="760" t="s">
        <v>2644</v>
      </c>
      <c r="I130" s="761"/>
      <c r="J130" s="762"/>
      <c r="K130" s="762"/>
      <c r="L130" s="762"/>
      <c r="M130" s="762"/>
      <c r="N130" s="762">
        <v>1</v>
      </c>
      <c r="O130" s="762"/>
      <c r="P130" s="763"/>
      <c r="Q130" s="764">
        <f t="shared" si="1"/>
        <v>1</v>
      </c>
      <c r="R130" s="758" t="s">
        <v>1852</v>
      </c>
      <c r="S130" s="742" t="s">
        <v>1826</v>
      </c>
      <c r="T130" s="765" t="s">
        <v>1827</v>
      </c>
      <c r="U130" s="742" t="s">
        <v>2264</v>
      </c>
      <c r="V130" s="742" t="s">
        <v>1897</v>
      </c>
      <c r="W130" s="742" t="s">
        <v>2645</v>
      </c>
      <c r="X130" s="1279">
        <v>1</v>
      </c>
      <c r="Y130" s="788" t="s">
        <v>1828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210</v>
      </c>
      <c r="BM130" s="754" t="s">
        <v>210</v>
      </c>
      <c r="BN130" s="754" t="s">
        <v>210</v>
      </c>
      <c r="BO130" s="754" t="s">
        <v>210</v>
      </c>
      <c r="BP130" s="765" t="s">
        <v>210</v>
      </c>
      <c r="BQ130" s="777" t="s">
        <v>2260</v>
      </c>
      <c r="BR130" s="769" t="s">
        <v>2260</v>
      </c>
      <c r="BS130" s="769" t="s">
        <v>2260</v>
      </c>
      <c r="BT130" s="769" t="s">
        <v>2260</v>
      </c>
      <c r="BU130" s="774" t="s">
        <v>2260</v>
      </c>
      <c r="BV130" s="786">
        <v>4</v>
      </c>
      <c r="BW130" s="785">
        <v>4</v>
      </c>
      <c r="BX130" s="785">
        <v>4</v>
      </c>
      <c r="BY130" s="785">
        <v>4</v>
      </c>
      <c r="BZ130" s="785">
        <v>4</v>
      </c>
      <c r="CA130" s="777" t="s">
        <v>2260</v>
      </c>
      <c r="CB130" s="769" t="s">
        <v>2260</v>
      </c>
      <c r="CC130" s="769" t="s">
        <v>2260</v>
      </c>
      <c r="CD130" s="769" t="s">
        <v>2260</v>
      </c>
      <c r="CE130" s="774" t="s">
        <v>2260</v>
      </c>
      <c r="CF130" s="769" t="s">
        <v>2260</v>
      </c>
      <c r="CG130" s="769" t="s">
        <v>2260</v>
      </c>
      <c r="CH130" s="769" t="s">
        <v>2260</v>
      </c>
      <c r="CI130" s="769" t="s">
        <v>2260</v>
      </c>
      <c r="CJ130" s="774" t="s">
        <v>2260</v>
      </c>
      <c r="CK130" s="786">
        <v>4.7</v>
      </c>
      <c r="CL130" s="785">
        <v>4.7</v>
      </c>
      <c r="CM130" s="785">
        <v>4.7</v>
      </c>
      <c r="CN130" s="785">
        <v>4.7</v>
      </c>
      <c r="CO130" s="787">
        <v>4.7</v>
      </c>
      <c r="CP130" s="777" t="s">
        <v>2260</v>
      </c>
      <c r="CQ130" s="769" t="s">
        <v>2260</v>
      </c>
      <c r="CR130" s="769" t="s">
        <v>2260</v>
      </c>
      <c r="CS130" s="769" t="s">
        <v>2260</v>
      </c>
      <c r="CT130" s="774" t="s">
        <v>2260</v>
      </c>
      <c r="CU130" s="1253">
        <v>-5.8999999999999997E-2</v>
      </c>
      <c r="CV130" s="1252" t="s">
        <v>2260</v>
      </c>
      <c r="CW130" s="1252" t="s">
        <v>2260</v>
      </c>
      <c r="CX130" s="1254" t="s">
        <v>2260</v>
      </c>
      <c r="CY130" s="1252">
        <v>5.8999999999999997E-2</v>
      </c>
      <c r="CZ130" s="1252" t="s">
        <v>2260</v>
      </c>
      <c r="DA130" s="1252" t="s">
        <v>2260</v>
      </c>
      <c r="DB130" s="1254" t="s">
        <v>2260</v>
      </c>
      <c r="DC130" s="754"/>
      <c r="DD130" s="782">
        <v>1</v>
      </c>
      <c r="DE130" s="783"/>
    </row>
    <row r="131" spans="1:109" ht="15.75" hidden="1" customHeight="1">
      <c r="A131" s="741" t="s">
        <v>1130</v>
      </c>
      <c r="B131" s="742">
        <v>125</v>
      </c>
      <c r="C131" s="758" t="s">
        <v>1607</v>
      </c>
      <c r="D131" s="742" t="s">
        <v>2635</v>
      </c>
      <c r="E131" s="742" t="s">
        <v>2231</v>
      </c>
      <c r="F131" s="754" t="s">
        <v>2646</v>
      </c>
      <c r="G131" s="759" t="s">
        <v>2647</v>
      </c>
      <c r="H131" s="760" t="s">
        <v>2648</v>
      </c>
      <c r="I131" s="761"/>
      <c r="J131" s="762"/>
      <c r="K131" s="762"/>
      <c r="L131" s="762"/>
      <c r="M131" s="762">
        <v>0.9</v>
      </c>
      <c r="N131" s="762">
        <v>0.1</v>
      </c>
      <c r="O131" s="762"/>
      <c r="P131" s="763"/>
      <c r="Q131" s="764">
        <f t="shared" si="1"/>
        <v>1</v>
      </c>
      <c r="R131" s="758" t="s">
        <v>1825</v>
      </c>
      <c r="S131" s="742"/>
      <c r="T131" s="765"/>
      <c r="U131" s="742" t="s">
        <v>2264</v>
      </c>
      <c r="V131" s="742" t="s">
        <v>321</v>
      </c>
      <c r="W131" s="742" t="s">
        <v>2649</v>
      </c>
      <c r="X131" s="1279">
        <v>1</v>
      </c>
      <c r="Y131" s="788" t="s">
        <v>1828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2260</v>
      </c>
      <c r="BR131" s="769" t="s">
        <v>2260</v>
      </c>
      <c r="BS131" s="769" t="s">
        <v>2260</v>
      </c>
      <c r="BT131" s="769" t="s">
        <v>2260</v>
      </c>
      <c r="BU131" s="774" t="s">
        <v>2260</v>
      </c>
      <c r="BV131" s="777" t="s">
        <v>2260</v>
      </c>
      <c r="BW131" s="769" t="s">
        <v>2260</v>
      </c>
      <c r="BX131" s="769" t="s">
        <v>2260</v>
      </c>
      <c r="BY131" s="769" t="s">
        <v>2260</v>
      </c>
      <c r="BZ131" s="769" t="s">
        <v>2260</v>
      </c>
      <c r="CA131" s="777" t="s">
        <v>2260</v>
      </c>
      <c r="CB131" s="769" t="s">
        <v>2260</v>
      </c>
      <c r="CC131" s="769" t="s">
        <v>2260</v>
      </c>
      <c r="CD131" s="769" t="s">
        <v>2260</v>
      </c>
      <c r="CE131" s="774" t="s">
        <v>2260</v>
      </c>
      <c r="CF131" s="769" t="s">
        <v>2260</v>
      </c>
      <c r="CG131" s="769" t="s">
        <v>2260</v>
      </c>
      <c r="CH131" s="769" t="s">
        <v>2260</v>
      </c>
      <c r="CI131" s="769" t="s">
        <v>2260</v>
      </c>
      <c r="CJ131" s="774" t="s">
        <v>2260</v>
      </c>
      <c r="CK131" s="777" t="s">
        <v>2260</v>
      </c>
      <c r="CL131" s="769" t="s">
        <v>2260</v>
      </c>
      <c r="CM131" s="769" t="s">
        <v>2260</v>
      </c>
      <c r="CN131" s="769" t="s">
        <v>2260</v>
      </c>
      <c r="CO131" s="774" t="s">
        <v>2260</v>
      </c>
      <c r="CP131" s="777" t="s">
        <v>2260</v>
      </c>
      <c r="CQ131" s="769" t="s">
        <v>2260</v>
      </c>
      <c r="CR131" s="769" t="s">
        <v>2260</v>
      </c>
      <c r="CS131" s="769" t="s">
        <v>2260</v>
      </c>
      <c r="CT131" s="774" t="s">
        <v>2260</v>
      </c>
      <c r="CU131" s="1253" t="s">
        <v>2260</v>
      </c>
      <c r="CV131" s="1252" t="s">
        <v>2260</v>
      </c>
      <c r="CW131" s="1252" t="s">
        <v>2260</v>
      </c>
      <c r="CX131" s="1254" t="s">
        <v>2260</v>
      </c>
      <c r="CY131" s="1252" t="s">
        <v>2260</v>
      </c>
      <c r="CZ131" s="1252" t="s">
        <v>2260</v>
      </c>
      <c r="DA131" s="1252" t="s">
        <v>2260</v>
      </c>
      <c r="DB131" s="1254" t="s">
        <v>2260</v>
      </c>
      <c r="DC131" s="754"/>
      <c r="DD131" s="782">
        <v>1</v>
      </c>
      <c r="DE131" s="783"/>
    </row>
    <row r="132" spans="1:109" ht="15.75" hidden="1" customHeight="1">
      <c r="A132" s="741" t="s">
        <v>1130</v>
      </c>
      <c r="B132" s="742">
        <v>126</v>
      </c>
      <c r="C132" s="758" t="s">
        <v>1141</v>
      </c>
      <c r="D132" s="742" t="s">
        <v>2650</v>
      </c>
      <c r="E132" s="742" t="s">
        <v>2231</v>
      </c>
      <c r="F132" s="754" t="s">
        <v>2651</v>
      </c>
      <c r="G132" s="759" t="s">
        <v>755</v>
      </c>
      <c r="H132" s="760" t="s">
        <v>2652</v>
      </c>
      <c r="I132" s="761"/>
      <c r="J132" s="762"/>
      <c r="K132" s="762"/>
      <c r="L132" s="762"/>
      <c r="M132" s="762">
        <v>1</v>
      </c>
      <c r="N132" s="762"/>
      <c r="O132" s="762"/>
      <c r="P132" s="763"/>
      <c r="Q132" s="764">
        <f t="shared" si="1"/>
        <v>1</v>
      </c>
      <c r="R132" s="758" t="s">
        <v>1825</v>
      </c>
      <c r="S132" s="742"/>
      <c r="T132" s="765"/>
      <c r="U132" s="742" t="s">
        <v>2329</v>
      </c>
      <c r="V132" s="742" t="s">
        <v>321</v>
      </c>
      <c r="W132" s="742" t="s">
        <v>2653</v>
      </c>
      <c r="X132" s="1279">
        <v>1</v>
      </c>
      <c r="Y132" s="788" t="s">
        <v>1828</v>
      </c>
      <c r="Z132" s="759" t="s">
        <v>755</v>
      </c>
      <c r="AA132" s="754"/>
      <c r="AB132" s="754"/>
      <c r="AC132" s="754"/>
      <c r="AD132" s="754"/>
      <c r="AE132" s="754"/>
      <c r="AF132" s="768"/>
      <c r="AG132" s="769"/>
      <c r="AH132" s="769"/>
      <c r="AI132" s="769"/>
      <c r="AJ132" s="769"/>
      <c r="AK132" s="769"/>
      <c r="AL132" s="769"/>
      <c r="AM132" s="769"/>
      <c r="AN132" s="769"/>
      <c r="AO132" s="769"/>
      <c r="AP132" s="769"/>
      <c r="AQ132" s="1369"/>
      <c r="AR132" s="1319"/>
      <c r="AS132" s="1319"/>
      <c r="AT132" s="1319"/>
      <c r="AU132" s="1320"/>
      <c r="AV132" s="777"/>
      <c r="AW132" s="769"/>
      <c r="AX132" s="769"/>
      <c r="AY132" s="769"/>
      <c r="AZ132" s="769"/>
      <c r="BA132" s="769"/>
      <c r="BB132" s="769"/>
      <c r="BC132" s="769"/>
      <c r="BD132" s="769"/>
      <c r="BE132" s="769"/>
      <c r="BF132" s="769"/>
      <c r="BG132" s="769"/>
      <c r="BH132" s="769"/>
      <c r="BI132" s="769"/>
      <c r="BJ132" s="769"/>
      <c r="BK132" s="774"/>
      <c r="BL132" s="1327"/>
      <c r="BM132" s="1328"/>
      <c r="BN132" s="1328"/>
      <c r="BO132" s="1328"/>
      <c r="BP132" s="1389"/>
      <c r="BQ132" s="1369"/>
      <c r="BR132" s="1319"/>
      <c r="BS132" s="1319"/>
      <c r="BT132" s="1319"/>
      <c r="BU132" s="1320"/>
      <c r="BV132" s="1369"/>
      <c r="BW132" s="1319"/>
      <c r="BX132" s="1319"/>
      <c r="BY132" s="1319"/>
      <c r="BZ132" s="1319"/>
      <c r="CA132" s="1369"/>
      <c r="CB132" s="1319"/>
      <c r="CC132" s="1319"/>
      <c r="CD132" s="1319"/>
      <c r="CE132" s="1320"/>
      <c r="CF132" s="1319"/>
      <c r="CG132" s="1319"/>
      <c r="CH132" s="1319"/>
      <c r="CI132" s="1319"/>
      <c r="CJ132" s="1320"/>
      <c r="CK132" s="1369"/>
      <c r="CL132" s="1319"/>
      <c r="CM132" s="1319"/>
      <c r="CN132" s="1319"/>
      <c r="CO132" s="1320"/>
      <c r="CP132" s="1369"/>
      <c r="CQ132" s="1319"/>
      <c r="CR132" s="1319"/>
      <c r="CS132" s="1319"/>
      <c r="CT132" s="1320"/>
      <c r="CU132" s="1467"/>
      <c r="CV132" s="1458"/>
      <c r="CW132" s="1458"/>
      <c r="CX132" s="1663"/>
      <c r="CY132" s="1458"/>
      <c r="CZ132" s="1458"/>
      <c r="DA132" s="1458"/>
      <c r="DB132" s="1663"/>
      <c r="DC132" s="1328"/>
      <c r="DD132" s="1664"/>
      <c r="DE132" s="1669"/>
    </row>
    <row r="133" spans="1:109" ht="15.75" hidden="1" customHeight="1">
      <c r="A133" s="741" t="s">
        <v>1130</v>
      </c>
      <c r="B133" s="742">
        <v>127</v>
      </c>
      <c r="C133" s="758" t="s">
        <v>1624</v>
      </c>
      <c r="D133" s="742" t="s">
        <v>2650</v>
      </c>
      <c r="E133" s="742" t="s">
        <v>2231</v>
      </c>
      <c r="F133" s="754" t="s">
        <v>2654</v>
      </c>
      <c r="G133" s="759" t="s">
        <v>2655</v>
      </c>
      <c r="H133" s="760" t="s">
        <v>2656</v>
      </c>
      <c r="I133" s="761"/>
      <c r="J133" s="762"/>
      <c r="K133" s="762"/>
      <c r="L133" s="762"/>
      <c r="M133" s="762">
        <v>1</v>
      </c>
      <c r="N133" s="762"/>
      <c r="O133" s="762"/>
      <c r="P133" s="763"/>
      <c r="Q133" s="764">
        <f t="shared" si="1"/>
        <v>1</v>
      </c>
      <c r="R133" s="758" t="s">
        <v>1825</v>
      </c>
      <c r="S133" s="742"/>
      <c r="T133" s="765"/>
      <c r="U133" s="742" t="s">
        <v>2329</v>
      </c>
      <c r="V133" s="742" t="s">
        <v>321</v>
      </c>
      <c r="W133" s="742" t="s">
        <v>2657</v>
      </c>
      <c r="X133" s="1279">
        <v>0</v>
      </c>
      <c r="Y133" s="790" t="s">
        <v>1828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2260</v>
      </c>
      <c r="BR133" s="769" t="s">
        <v>2260</v>
      </c>
      <c r="BS133" s="769" t="s">
        <v>2260</v>
      </c>
      <c r="BT133" s="769" t="s">
        <v>2260</v>
      </c>
      <c r="BU133" s="774" t="s">
        <v>2260</v>
      </c>
      <c r="BV133" s="777" t="s">
        <v>2260</v>
      </c>
      <c r="BW133" s="769" t="s">
        <v>2260</v>
      </c>
      <c r="BX133" s="769" t="s">
        <v>2260</v>
      </c>
      <c r="BY133" s="769" t="s">
        <v>2260</v>
      </c>
      <c r="BZ133" s="769" t="s">
        <v>2260</v>
      </c>
      <c r="CA133" s="777" t="s">
        <v>2260</v>
      </c>
      <c r="CB133" s="769" t="s">
        <v>2260</v>
      </c>
      <c r="CC133" s="769" t="s">
        <v>2260</v>
      </c>
      <c r="CD133" s="769" t="s">
        <v>2260</v>
      </c>
      <c r="CE133" s="774" t="s">
        <v>2260</v>
      </c>
      <c r="CF133" s="769" t="s">
        <v>2260</v>
      </c>
      <c r="CG133" s="769" t="s">
        <v>2260</v>
      </c>
      <c r="CH133" s="769" t="s">
        <v>2260</v>
      </c>
      <c r="CI133" s="769" t="s">
        <v>2260</v>
      </c>
      <c r="CJ133" s="774" t="s">
        <v>2260</v>
      </c>
      <c r="CK133" s="777" t="s">
        <v>2260</v>
      </c>
      <c r="CL133" s="769" t="s">
        <v>2260</v>
      </c>
      <c r="CM133" s="769" t="s">
        <v>2260</v>
      </c>
      <c r="CN133" s="769" t="s">
        <v>2260</v>
      </c>
      <c r="CO133" s="774" t="s">
        <v>2260</v>
      </c>
      <c r="CP133" s="777" t="s">
        <v>2260</v>
      </c>
      <c r="CQ133" s="769" t="s">
        <v>2260</v>
      </c>
      <c r="CR133" s="769" t="s">
        <v>2260</v>
      </c>
      <c r="CS133" s="769" t="s">
        <v>2260</v>
      </c>
      <c r="CT133" s="774" t="s">
        <v>2260</v>
      </c>
      <c r="CU133" s="1253" t="s">
        <v>2260</v>
      </c>
      <c r="CV133" s="1252" t="s">
        <v>2260</v>
      </c>
      <c r="CW133" s="1252" t="s">
        <v>2260</v>
      </c>
      <c r="CX133" s="1254" t="s">
        <v>2260</v>
      </c>
      <c r="CY133" s="1252" t="s">
        <v>2260</v>
      </c>
      <c r="CZ133" s="1252" t="s">
        <v>2260</v>
      </c>
      <c r="DA133" s="1252" t="s">
        <v>2260</v>
      </c>
      <c r="DB133" s="1254" t="s">
        <v>2260</v>
      </c>
      <c r="DC133" s="754"/>
      <c r="DD133" s="782">
        <v>1</v>
      </c>
      <c r="DE133" s="783"/>
    </row>
    <row r="134" spans="1:109" ht="15.75" hidden="1" customHeight="1">
      <c r="A134" s="741" t="s">
        <v>1130</v>
      </c>
      <c r="B134" s="742">
        <v>128</v>
      </c>
      <c r="C134" s="758" t="s">
        <v>1641</v>
      </c>
      <c r="D134" s="742" t="s">
        <v>2650</v>
      </c>
      <c r="E134" s="742" t="s">
        <v>2231</v>
      </c>
      <c r="F134" s="754" t="s">
        <v>2658</v>
      </c>
      <c r="G134" s="759" t="s">
        <v>2659</v>
      </c>
      <c r="H134" s="760" t="s">
        <v>2660</v>
      </c>
      <c r="I134" s="761"/>
      <c r="J134" s="762"/>
      <c r="K134" s="762"/>
      <c r="L134" s="762"/>
      <c r="M134" s="762">
        <v>1</v>
      </c>
      <c r="N134" s="762"/>
      <c r="O134" s="762"/>
      <c r="P134" s="763"/>
      <c r="Q134" s="764">
        <f t="shared" si="1"/>
        <v>1</v>
      </c>
      <c r="R134" s="758" t="s">
        <v>1825</v>
      </c>
      <c r="S134" s="742"/>
      <c r="T134" s="765"/>
      <c r="U134" s="742" t="s">
        <v>2329</v>
      </c>
      <c r="V134" s="742" t="s">
        <v>321</v>
      </c>
      <c r="W134" s="742" t="s">
        <v>2661</v>
      </c>
      <c r="X134" s="1279">
        <v>1</v>
      </c>
      <c r="Y134" s="788" t="s">
        <v>1828</v>
      </c>
      <c r="Z134" s="759"/>
      <c r="AA134" s="754"/>
      <c r="AB134" s="754"/>
      <c r="AC134" s="754"/>
      <c r="AD134" s="754"/>
      <c r="AE134" s="754"/>
      <c r="AF134" s="768"/>
      <c r="AG134" s="769"/>
      <c r="AH134" s="769"/>
      <c r="AI134" s="769"/>
      <c r="AJ134" s="769"/>
      <c r="AK134" s="769"/>
      <c r="AL134" s="769"/>
      <c r="AM134" s="769"/>
      <c r="AN134" s="769"/>
      <c r="AO134" s="769"/>
      <c r="AP134" s="769"/>
      <c r="AQ134" s="777" t="s">
        <v>2260</v>
      </c>
      <c r="AR134" s="769" t="s">
        <v>2260</v>
      </c>
      <c r="AS134" s="769" t="s">
        <v>2260</v>
      </c>
      <c r="AT134" s="769" t="s">
        <v>2260</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2260</v>
      </c>
      <c r="BR134" s="769" t="s">
        <v>2260</v>
      </c>
      <c r="BS134" s="769" t="s">
        <v>2260</v>
      </c>
      <c r="BT134" s="769" t="s">
        <v>2260</v>
      </c>
      <c r="BU134" s="774" t="s">
        <v>2260</v>
      </c>
      <c r="BV134" s="777" t="s">
        <v>2260</v>
      </c>
      <c r="BW134" s="769" t="s">
        <v>2260</v>
      </c>
      <c r="BX134" s="769" t="s">
        <v>2260</v>
      </c>
      <c r="BY134" s="769" t="s">
        <v>2260</v>
      </c>
      <c r="BZ134" s="769" t="s">
        <v>2260</v>
      </c>
      <c r="CA134" s="777" t="s">
        <v>2260</v>
      </c>
      <c r="CB134" s="769" t="s">
        <v>2260</v>
      </c>
      <c r="CC134" s="769" t="s">
        <v>2260</v>
      </c>
      <c r="CD134" s="769" t="s">
        <v>2260</v>
      </c>
      <c r="CE134" s="774" t="s">
        <v>2260</v>
      </c>
      <c r="CF134" s="769" t="s">
        <v>2260</v>
      </c>
      <c r="CG134" s="769" t="s">
        <v>2260</v>
      </c>
      <c r="CH134" s="769" t="s">
        <v>2260</v>
      </c>
      <c r="CI134" s="769" t="s">
        <v>2260</v>
      </c>
      <c r="CJ134" s="774" t="s">
        <v>2260</v>
      </c>
      <c r="CK134" s="777" t="s">
        <v>2260</v>
      </c>
      <c r="CL134" s="769" t="s">
        <v>2260</v>
      </c>
      <c r="CM134" s="769" t="s">
        <v>2260</v>
      </c>
      <c r="CN134" s="769" t="s">
        <v>2260</v>
      </c>
      <c r="CO134" s="774" t="s">
        <v>2260</v>
      </c>
      <c r="CP134" s="777" t="s">
        <v>2260</v>
      </c>
      <c r="CQ134" s="769" t="s">
        <v>2260</v>
      </c>
      <c r="CR134" s="769" t="s">
        <v>2260</v>
      </c>
      <c r="CS134" s="769" t="s">
        <v>2260</v>
      </c>
      <c r="CT134" s="774" t="s">
        <v>2260</v>
      </c>
      <c r="CU134" s="1253" t="s">
        <v>2260</v>
      </c>
      <c r="CV134" s="1252" t="s">
        <v>2260</v>
      </c>
      <c r="CW134" s="1252" t="s">
        <v>2260</v>
      </c>
      <c r="CX134" s="1254" t="s">
        <v>2260</v>
      </c>
      <c r="CY134" s="1252" t="s">
        <v>2260</v>
      </c>
      <c r="CZ134" s="1252" t="s">
        <v>2260</v>
      </c>
      <c r="DA134" s="1252" t="s">
        <v>2260</v>
      </c>
      <c r="DB134" s="1254" t="s">
        <v>2260</v>
      </c>
      <c r="DC134" s="754"/>
      <c r="DD134" s="782">
        <v>1</v>
      </c>
      <c r="DE134" s="783"/>
    </row>
    <row r="135" spans="1:109" ht="15.75" hidden="1" customHeight="1">
      <c r="A135" s="741" t="s">
        <v>1130</v>
      </c>
      <c r="B135" s="742">
        <v>129</v>
      </c>
      <c r="C135" s="758" t="s">
        <v>1657</v>
      </c>
      <c r="D135" s="742"/>
      <c r="E135" s="742"/>
      <c r="F135" s="754" t="s">
        <v>2662</v>
      </c>
      <c r="G135" s="759" t="s">
        <v>2663</v>
      </c>
      <c r="H135" s="760"/>
      <c r="I135" s="761"/>
      <c r="J135" s="762"/>
      <c r="K135" s="762"/>
      <c r="L135" s="762"/>
      <c r="M135" s="762"/>
      <c r="N135" s="762"/>
      <c r="O135" s="762"/>
      <c r="P135" s="763"/>
      <c r="Q135" s="764">
        <f t="shared" si="1"/>
        <v>0</v>
      </c>
      <c r="R135" s="758" t="s">
        <v>1825</v>
      </c>
      <c r="S135" s="742"/>
      <c r="T135" s="765"/>
      <c r="U135" s="742"/>
      <c r="V135" s="742" t="s">
        <v>321</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2260</v>
      </c>
      <c r="BR135" s="769" t="s">
        <v>2260</v>
      </c>
      <c r="BS135" s="769" t="s">
        <v>2260</v>
      </c>
      <c r="BT135" s="769" t="s">
        <v>2260</v>
      </c>
      <c r="BU135" s="774" t="s">
        <v>2260</v>
      </c>
      <c r="BV135" s="777" t="s">
        <v>2260</v>
      </c>
      <c r="BW135" s="769" t="s">
        <v>2260</v>
      </c>
      <c r="BX135" s="769" t="s">
        <v>2260</v>
      </c>
      <c r="BY135" s="769" t="s">
        <v>2260</v>
      </c>
      <c r="BZ135" s="769" t="s">
        <v>2260</v>
      </c>
      <c r="CA135" s="777" t="s">
        <v>2260</v>
      </c>
      <c r="CB135" s="769" t="s">
        <v>2260</v>
      </c>
      <c r="CC135" s="769" t="s">
        <v>2260</v>
      </c>
      <c r="CD135" s="769" t="s">
        <v>2260</v>
      </c>
      <c r="CE135" s="774" t="s">
        <v>2260</v>
      </c>
      <c r="CF135" s="769" t="s">
        <v>2260</v>
      </c>
      <c r="CG135" s="769" t="s">
        <v>2260</v>
      </c>
      <c r="CH135" s="769" t="s">
        <v>2260</v>
      </c>
      <c r="CI135" s="769" t="s">
        <v>2260</v>
      </c>
      <c r="CJ135" s="774" t="s">
        <v>2260</v>
      </c>
      <c r="CK135" s="777" t="s">
        <v>2260</v>
      </c>
      <c r="CL135" s="769" t="s">
        <v>2260</v>
      </c>
      <c r="CM135" s="769" t="s">
        <v>2260</v>
      </c>
      <c r="CN135" s="769" t="s">
        <v>2260</v>
      </c>
      <c r="CO135" s="774" t="s">
        <v>2260</v>
      </c>
      <c r="CP135" s="777" t="s">
        <v>2260</v>
      </c>
      <c r="CQ135" s="769" t="s">
        <v>2260</v>
      </c>
      <c r="CR135" s="769" t="s">
        <v>2260</v>
      </c>
      <c r="CS135" s="769" t="s">
        <v>2260</v>
      </c>
      <c r="CT135" s="774" t="s">
        <v>2260</v>
      </c>
      <c r="CU135" s="1253" t="s">
        <v>2260</v>
      </c>
      <c r="CV135" s="1252" t="s">
        <v>2260</v>
      </c>
      <c r="CW135" s="1252" t="s">
        <v>2260</v>
      </c>
      <c r="CX135" s="1254" t="s">
        <v>2260</v>
      </c>
      <c r="CY135" s="1252" t="s">
        <v>2260</v>
      </c>
      <c r="CZ135" s="1252" t="s">
        <v>2260</v>
      </c>
      <c r="DA135" s="1252" t="s">
        <v>2260</v>
      </c>
      <c r="DB135" s="1254" t="s">
        <v>2260</v>
      </c>
      <c r="DC135" s="754"/>
      <c r="DD135" s="782"/>
      <c r="DE135" s="783"/>
    </row>
    <row r="136" spans="1:109" ht="15.75" hidden="1" customHeight="1">
      <c r="A136" s="741" t="s">
        <v>1130</v>
      </c>
      <c r="B136" s="742">
        <v>130</v>
      </c>
      <c r="C136" s="758" t="s">
        <v>1671</v>
      </c>
      <c r="D136" s="742"/>
      <c r="E136" s="742"/>
      <c r="F136" s="754" t="s">
        <v>2331</v>
      </c>
      <c r="G136" s="759" t="s">
        <v>2332</v>
      </c>
      <c r="H136" s="760"/>
      <c r="I136" s="761"/>
      <c r="J136" s="762"/>
      <c r="K136" s="762"/>
      <c r="L136" s="762"/>
      <c r="M136" s="762"/>
      <c r="N136" s="762"/>
      <c r="O136" s="762"/>
      <c r="P136" s="763"/>
      <c r="Q136" s="764">
        <f t="shared" si="1"/>
        <v>0</v>
      </c>
      <c r="R136" s="758" t="s">
        <v>1825</v>
      </c>
      <c r="S136" s="742"/>
      <c r="T136" s="765"/>
      <c r="U136" s="742"/>
      <c r="V136" s="742" t="s">
        <v>1890</v>
      </c>
      <c r="W136" s="742" t="s">
        <v>2333</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2334</v>
      </c>
      <c r="AR136" s="769" t="s">
        <v>2334</v>
      </c>
      <c r="AS136" s="769" t="s">
        <v>2334</v>
      </c>
      <c r="AT136" s="769" t="s">
        <v>2334</v>
      </c>
      <c r="AU136" s="774" t="s">
        <v>2334</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2260</v>
      </c>
      <c r="BR136" s="769" t="s">
        <v>2260</v>
      </c>
      <c r="BS136" s="769" t="s">
        <v>2260</v>
      </c>
      <c r="BT136" s="769" t="s">
        <v>2260</v>
      </c>
      <c r="BU136" s="774" t="s">
        <v>2260</v>
      </c>
      <c r="BV136" s="777" t="s">
        <v>2260</v>
      </c>
      <c r="BW136" s="769" t="s">
        <v>2260</v>
      </c>
      <c r="BX136" s="769" t="s">
        <v>2260</v>
      </c>
      <c r="BY136" s="769" t="s">
        <v>2260</v>
      </c>
      <c r="BZ136" s="769" t="s">
        <v>2260</v>
      </c>
      <c r="CA136" s="777" t="s">
        <v>2260</v>
      </c>
      <c r="CB136" s="769" t="s">
        <v>2260</v>
      </c>
      <c r="CC136" s="769" t="s">
        <v>2260</v>
      </c>
      <c r="CD136" s="769" t="s">
        <v>2260</v>
      </c>
      <c r="CE136" s="774" t="s">
        <v>2260</v>
      </c>
      <c r="CF136" s="769" t="s">
        <v>2260</v>
      </c>
      <c r="CG136" s="769" t="s">
        <v>2260</v>
      </c>
      <c r="CH136" s="769" t="s">
        <v>2260</v>
      </c>
      <c r="CI136" s="769" t="s">
        <v>2260</v>
      </c>
      <c r="CJ136" s="774" t="s">
        <v>2260</v>
      </c>
      <c r="CK136" s="777" t="s">
        <v>2260</v>
      </c>
      <c r="CL136" s="769" t="s">
        <v>2260</v>
      </c>
      <c r="CM136" s="769" t="s">
        <v>2260</v>
      </c>
      <c r="CN136" s="769" t="s">
        <v>2260</v>
      </c>
      <c r="CO136" s="774" t="s">
        <v>2260</v>
      </c>
      <c r="CP136" s="777" t="s">
        <v>2260</v>
      </c>
      <c r="CQ136" s="769" t="s">
        <v>2260</v>
      </c>
      <c r="CR136" s="769" t="s">
        <v>2260</v>
      </c>
      <c r="CS136" s="769" t="s">
        <v>2260</v>
      </c>
      <c r="CT136" s="774" t="s">
        <v>2260</v>
      </c>
      <c r="CU136" s="1253" t="s">
        <v>2260</v>
      </c>
      <c r="CV136" s="1252" t="s">
        <v>2260</v>
      </c>
      <c r="CW136" s="1252" t="s">
        <v>2260</v>
      </c>
      <c r="CX136" s="1254" t="s">
        <v>2260</v>
      </c>
      <c r="CY136" s="1252" t="s">
        <v>2260</v>
      </c>
      <c r="CZ136" s="1252" t="s">
        <v>2260</v>
      </c>
      <c r="DA136" s="1252" t="s">
        <v>2260</v>
      </c>
      <c r="DB136" s="1254" t="s">
        <v>2260</v>
      </c>
      <c r="DC136" s="754"/>
      <c r="DD136" s="782"/>
      <c r="DE136" s="783"/>
    </row>
    <row r="137" spans="1:109" ht="15.75" hidden="1" customHeight="1">
      <c r="A137" s="741" t="s">
        <v>1130</v>
      </c>
      <c r="B137" s="742">
        <v>131</v>
      </c>
      <c r="C137" s="758" t="s">
        <v>1409</v>
      </c>
      <c r="D137" s="742"/>
      <c r="E137" s="742"/>
      <c r="F137" s="754" t="s">
        <v>2664</v>
      </c>
      <c r="G137" s="759" t="s">
        <v>2665</v>
      </c>
      <c r="H137" s="760"/>
      <c r="I137" s="761">
        <v>1</v>
      </c>
      <c r="J137" s="762"/>
      <c r="K137" s="762"/>
      <c r="L137" s="762"/>
      <c r="M137" s="762"/>
      <c r="N137" s="762"/>
      <c r="O137" s="762"/>
      <c r="P137" s="763"/>
      <c r="Q137" s="764">
        <f t="shared" ref="Q137:Q200" si="2">SUM(I137:P137)</f>
        <v>1</v>
      </c>
      <c r="R137" s="758" t="s">
        <v>1846</v>
      </c>
      <c r="S137" s="742" t="s">
        <v>1826</v>
      </c>
      <c r="T137" s="765" t="s">
        <v>1827</v>
      </c>
      <c r="U137" s="742"/>
      <c r="V137" s="742" t="s">
        <v>321</v>
      </c>
      <c r="W137" s="742" t="s">
        <v>2666</v>
      </c>
      <c r="X137" s="1279">
        <v>1</v>
      </c>
      <c r="Y137" s="788" t="s">
        <v>1828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210</v>
      </c>
      <c r="BQ137" s="777" t="s">
        <v>2260</v>
      </c>
      <c r="BR137" s="769" t="s">
        <v>2260</v>
      </c>
      <c r="BS137" s="769" t="s">
        <v>2260</v>
      </c>
      <c r="BT137" s="769" t="s">
        <v>2260</v>
      </c>
      <c r="BU137" s="774" t="s">
        <v>2260</v>
      </c>
      <c r="BV137" s="777" t="s">
        <v>2260</v>
      </c>
      <c r="BW137" s="769" t="s">
        <v>2260</v>
      </c>
      <c r="BX137" s="769" t="s">
        <v>2260</v>
      </c>
      <c r="BY137" s="769" t="s">
        <v>2260</v>
      </c>
      <c r="BZ137" s="769" t="s">
        <v>2260</v>
      </c>
      <c r="CA137" s="777" t="s">
        <v>2260</v>
      </c>
      <c r="CB137" s="769" t="s">
        <v>2260</v>
      </c>
      <c r="CC137" s="769" t="s">
        <v>2260</v>
      </c>
      <c r="CD137" s="769" t="s">
        <v>2260</v>
      </c>
      <c r="CE137" s="774" t="s">
        <v>2260</v>
      </c>
      <c r="CF137" s="769" t="s">
        <v>2260</v>
      </c>
      <c r="CG137" s="769" t="s">
        <v>2260</v>
      </c>
      <c r="CH137" s="769" t="s">
        <v>2260</v>
      </c>
      <c r="CI137" s="769" t="s">
        <v>2260</v>
      </c>
      <c r="CJ137" s="774" t="s">
        <v>2260</v>
      </c>
      <c r="CK137" s="777" t="s">
        <v>2260</v>
      </c>
      <c r="CL137" s="769" t="s">
        <v>2260</v>
      </c>
      <c r="CM137" s="769" t="s">
        <v>2260</v>
      </c>
      <c r="CN137" s="769" t="s">
        <v>2260</v>
      </c>
      <c r="CO137" s="774" t="s">
        <v>2260</v>
      </c>
      <c r="CP137" s="777" t="s">
        <v>2260</v>
      </c>
      <c r="CQ137" s="769" t="s">
        <v>2260</v>
      </c>
      <c r="CR137" s="769" t="s">
        <v>2260</v>
      </c>
      <c r="CS137" s="769" t="s">
        <v>2260</v>
      </c>
      <c r="CT137" s="774" t="s">
        <v>2260</v>
      </c>
      <c r="CU137" s="1253">
        <v>-3.2000000000000002E-3</v>
      </c>
      <c r="CV137" s="1252" t="s">
        <v>2260</v>
      </c>
      <c r="CW137" s="1252" t="s">
        <v>2260</v>
      </c>
      <c r="CX137" s="1254" t="s">
        <v>2260</v>
      </c>
      <c r="CY137" s="1252" t="s">
        <v>2260</v>
      </c>
      <c r="CZ137" s="1252" t="s">
        <v>2260</v>
      </c>
      <c r="DA137" s="1252" t="s">
        <v>2260</v>
      </c>
      <c r="DB137" s="1254" t="s">
        <v>2260</v>
      </c>
      <c r="DC137" s="754"/>
      <c r="DD137" s="782"/>
      <c r="DE137" s="783"/>
    </row>
    <row r="138" spans="1:109" ht="15.75" hidden="1" customHeight="1">
      <c r="A138" s="741" t="s">
        <v>1143</v>
      </c>
      <c r="B138" s="742">
        <v>132</v>
      </c>
      <c r="C138" s="758" t="s">
        <v>1763</v>
      </c>
      <c r="D138" s="742" t="s">
        <v>2667</v>
      </c>
      <c r="E138" s="742" t="s">
        <v>2231</v>
      </c>
      <c r="F138" s="754" t="s">
        <v>2668</v>
      </c>
      <c r="G138" s="759" t="s">
        <v>2251</v>
      </c>
      <c r="H138" s="760" t="s">
        <v>2669</v>
      </c>
      <c r="I138" s="761"/>
      <c r="J138" s="762"/>
      <c r="K138" s="762"/>
      <c r="L138" s="762"/>
      <c r="M138" s="762">
        <v>1</v>
      </c>
      <c r="N138" s="762"/>
      <c r="O138" s="762"/>
      <c r="P138" s="763"/>
      <c r="Q138" s="764">
        <f t="shared" si="2"/>
        <v>1</v>
      </c>
      <c r="R138" s="758" t="s">
        <v>1852</v>
      </c>
      <c r="S138" s="742" t="s">
        <v>1826</v>
      </c>
      <c r="T138" s="765" t="s">
        <v>1827</v>
      </c>
      <c r="U138" s="742" t="s">
        <v>1888</v>
      </c>
      <c r="V138" s="742" t="s">
        <v>1897</v>
      </c>
      <c r="W138" s="742" t="s">
        <v>2337</v>
      </c>
      <c r="X138" s="1243">
        <v>2</v>
      </c>
      <c r="Y138" s="795" t="s">
        <v>1828</v>
      </c>
      <c r="Z138" s="759" t="s">
        <v>2251</v>
      </c>
      <c r="AA138" s="754"/>
      <c r="AB138" s="754"/>
      <c r="AC138" s="754"/>
      <c r="AD138" s="754"/>
      <c r="AE138" s="754"/>
      <c r="AF138" s="768"/>
      <c r="AG138" s="769"/>
      <c r="AH138" s="769"/>
      <c r="AI138" s="769"/>
      <c r="AJ138" s="769"/>
      <c r="AK138" s="769"/>
      <c r="AL138" s="769"/>
      <c r="AM138" s="769"/>
      <c r="AN138" s="776"/>
      <c r="AO138" s="776"/>
      <c r="AP138" s="776"/>
      <c r="AQ138" s="1369"/>
      <c r="AR138" s="1319"/>
      <c r="AS138" s="1319"/>
      <c r="AT138" s="1319"/>
      <c r="AU138" s="1320"/>
      <c r="AV138" s="777"/>
      <c r="AW138" s="769"/>
      <c r="AX138" s="769"/>
      <c r="AY138" s="769"/>
      <c r="AZ138" s="776"/>
      <c r="BA138" s="769"/>
      <c r="BB138" s="769"/>
      <c r="BC138" s="769"/>
      <c r="BD138" s="769"/>
      <c r="BE138" s="776"/>
      <c r="BF138" s="769"/>
      <c r="BG138" s="769"/>
      <c r="BH138" s="769"/>
      <c r="BI138" s="769"/>
      <c r="BJ138" s="769"/>
      <c r="BK138" s="774"/>
      <c r="BL138" s="1327"/>
      <c r="BM138" s="1328"/>
      <c r="BN138" s="1328"/>
      <c r="BO138" s="1328"/>
      <c r="BP138" s="1389"/>
      <c r="BQ138" s="1369"/>
      <c r="BR138" s="1319"/>
      <c r="BS138" s="1319"/>
      <c r="BT138" s="1319"/>
      <c r="BU138" s="1320"/>
      <c r="BV138" s="1369"/>
      <c r="BW138" s="1319"/>
      <c r="BX138" s="1319"/>
      <c r="BY138" s="1319"/>
      <c r="BZ138" s="1319"/>
      <c r="CA138" s="1369"/>
      <c r="CB138" s="1319"/>
      <c r="CC138" s="1319"/>
      <c r="CD138" s="1319"/>
      <c r="CE138" s="1320"/>
      <c r="CF138" s="1319"/>
      <c r="CG138" s="1319"/>
      <c r="CH138" s="1319"/>
      <c r="CI138" s="1319"/>
      <c r="CJ138" s="1320"/>
      <c r="CK138" s="1369"/>
      <c r="CL138" s="1319"/>
      <c r="CM138" s="1319"/>
      <c r="CN138" s="1319"/>
      <c r="CO138" s="1320"/>
      <c r="CP138" s="1369"/>
      <c r="CQ138" s="1319"/>
      <c r="CR138" s="1319"/>
      <c r="CS138" s="1319"/>
      <c r="CT138" s="1320"/>
      <c r="CU138" s="1467"/>
      <c r="CV138" s="1458"/>
      <c r="CW138" s="1458"/>
      <c r="CX138" s="1663"/>
      <c r="CY138" s="1458"/>
      <c r="CZ138" s="1458"/>
      <c r="DA138" s="1458"/>
      <c r="DB138" s="1663"/>
      <c r="DC138" s="1328"/>
      <c r="DD138" s="1664"/>
      <c r="DE138" s="1669"/>
    </row>
    <row r="139" spans="1:109" ht="15.75" hidden="1" customHeight="1">
      <c r="A139" s="741" t="s">
        <v>1143</v>
      </c>
      <c r="B139" s="742">
        <v>133</v>
      </c>
      <c r="C139" s="758" t="s">
        <v>1780</v>
      </c>
      <c r="D139" s="742" t="s">
        <v>2667</v>
      </c>
      <c r="E139" s="742" t="s">
        <v>2231</v>
      </c>
      <c r="F139" s="754" t="s">
        <v>2670</v>
      </c>
      <c r="G139" s="759" t="s">
        <v>2254</v>
      </c>
      <c r="H139" s="760" t="s">
        <v>2669</v>
      </c>
      <c r="I139" s="761"/>
      <c r="J139" s="762">
        <v>0.63500000000000001</v>
      </c>
      <c r="K139" s="762">
        <v>0.36499999999999999</v>
      </c>
      <c r="L139" s="762"/>
      <c r="M139" s="762"/>
      <c r="N139" s="762"/>
      <c r="O139" s="762"/>
      <c r="P139" s="763"/>
      <c r="Q139" s="764">
        <f t="shared" si="2"/>
        <v>1</v>
      </c>
      <c r="R139" s="758" t="s">
        <v>1852</v>
      </c>
      <c r="S139" s="742" t="s">
        <v>1826</v>
      </c>
      <c r="T139" s="765" t="s">
        <v>1827</v>
      </c>
      <c r="U139" s="742" t="s">
        <v>1891</v>
      </c>
      <c r="V139" s="742" t="s">
        <v>1897</v>
      </c>
      <c r="W139" s="742" t="s">
        <v>470</v>
      </c>
      <c r="X139" s="1243">
        <v>2</v>
      </c>
      <c r="Y139" s="790" t="s">
        <v>1828</v>
      </c>
      <c r="Z139" s="759" t="s">
        <v>2254</v>
      </c>
      <c r="AA139" s="754"/>
      <c r="AB139" s="754"/>
      <c r="AC139" s="754"/>
      <c r="AD139" s="754"/>
      <c r="AE139" s="754"/>
      <c r="AF139" s="768"/>
      <c r="AG139" s="769"/>
      <c r="AH139" s="769"/>
      <c r="AI139" s="769"/>
      <c r="AJ139" s="769"/>
      <c r="AK139" s="769"/>
      <c r="AL139" s="769"/>
      <c r="AM139" s="769"/>
      <c r="AN139" s="769"/>
      <c r="AO139" s="769"/>
      <c r="AP139" s="769"/>
      <c r="AQ139" s="1369"/>
      <c r="AR139" s="1319"/>
      <c r="AS139" s="1319"/>
      <c r="AT139" s="1319"/>
      <c r="AU139" s="1320"/>
      <c r="AV139" s="777"/>
      <c r="AW139" s="769"/>
      <c r="AX139" s="769"/>
      <c r="AY139" s="769"/>
      <c r="AZ139" s="769"/>
      <c r="BA139" s="819"/>
      <c r="BB139" s="819"/>
      <c r="BC139" s="819"/>
      <c r="BD139" s="819"/>
      <c r="BE139" s="819"/>
      <c r="BF139" s="769"/>
      <c r="BG139" s="769"/>
      <c r="BH139" s="769"/>
      <c r="BI139" s="769"/>
      <c r="BJ139" s="769"/>
      <c r="BK139" s="774"/>
      <c r="BL139" s="1327"/>
      <c r="BM139" s="1328"/>
      <c r="BN139" s="1328"/>
      <c r="BO139" s="1328"/>
      <c r="BP139" s="1389"/>
      <c r="BQ139" s="1369"/>
      <c r="BR139" s="1319"/>
      <c r="BS139" s="1319"/>
      <c r="BT139" s="1319"/>
      <c r="BU139" s="1320"/>
      <c r="BV139" s="1369"/>
      <c r="BW139" s="1319"/>
      <c r="BX139" s="1319"/>
      <c r="BY139" s="1319"/>
      <c r="BZ139" s="1319"/>
      <c r="CA139" s="1369"/>
      <c r="CB139" s="1319"/>
      <c r="CC139" s="1319"/>
      <c r="CD139" s="1319"/>
      <c r="CE139" s="1320"/>
      <c r="CF139" s="1319"/>
      <c r="CG139" s="1319"/>
      <c r="CH139" s="1319"/>
      <c r="CI139" s="1319"/>
      <c r="CJ139" s="1320"/>
      <c r="CK139" s="1369"/>
      <c r="CL139" s="1319"/>
      <c r="CM139" s="1319"/>
      <c r="CN139" s="1319"/>
      <c r="CO139" s="1320"/>
      <c r="CP139" s="1369"/>
      <c r="CQ139" s="1319"/>
      <c r="CR139" s="1319"/>
      <c r="CS139" s="1319"/>
      <c r="CT139" s="1320"/>
      <c r="CU139" s="1467"/>
      <c r="CV139" s="1458"/>
      <c r="CW139" s="1458"/>
      <c r="CX139" s="1663"/>
      <c r="CY139" s="1458"/>
      <c r="CZ139" s="1458"/>
      <c r="DA139" s="1458"/>
      <c r="DB139" s="1663"/>
      <c r="DC139" s="1328"/>
      <c r="DD139" s="1664"/>
      <c r="DE139" s="1669"/>
    </row>
    <row r="140" spans="1:109" ht="15.75" hidden="1" customHeight="1">
      <c r="A140" s="741" t="s">
        <v>1143</v>
      </c>
      <c r="B140" s="742">
        <v>134</v>
      </c>
      <c r="C140" s="758" t="s">
        <v>1144</v>
      </c>
      <c r="D140" s="742" t="s">
        <v>2671</v>
      </c>
      <c r="E140" s="742" t="s">
        <v>2231</v>
      </c>
      <c r="F140" s="754" t="s">
        <v>2672</v>
      </c>
      <c r="G140" s="759" t="s">
        <v>172</v>
      </c>
      <c r="H140" s="760" t="s">
        <v>2673</v>
      </c>
      <c r="I140" s="761"/>
      <c r="J140" s="762">
        <v>1</v>
      </c>
      <c r="K140" s="762"/>
      <c r="L140" s="762"/>
      <c r="M140" s="762"/>
      <c r="N140" s="762"/>
      <c r="O140" s="762"/>
      <c r="P140" s="763"/>
      <c r="Q140" s="764">
        <f t="shared" si="2"/>
        <v>1</v>
      </c>
      <c r="R140" s="758" t="s">
        <v>1846</v>
      </c>
      <c r="S140" s="742" t="s">
        <v>1826</v>
      </c>
      <c r="T140" s="765" t="s">
        <v>1827</v>
      </c>
      <c r="U140" s="742" t="s">
        <v>2247</v>
      </c>
      <c r="V140" s="742" t="s">
        <v>1857</v>
      </c>
      <c r="W140" s="742" t="s">
        <v>2674</v>
      </c>
      <c r="X140" s="798">
        <v>2</v>
      </c>
      <c r="Y140" s="795" t="s">
        <v>1838</v>
      </c>
      <c r="Z140" s="759" t="s">
        <v>172</v>
      </c>
      <c r="AA140" s="754"/>
      <c r="AB140" s="754"/>
      <c r="AC140" s="754"/>
      <c r="AD140" s="754"/>
      <c r="AE140" s="754"/>
      <c r="AF140" s="768"/>
      <c r="AG140" s="769"/>
      <c r="AH140" s="769"/>
      <c r="AI140" s="769"/>
      <c r="AJ140" s="769"/>
      <c r="AK140" s="769"/>
      <c r="AL140" s="769"/>
      <c r="AM140" s="769"/>
      <c r="AN140" s="769"/>
      <c r="AO140" s="769"/>
      <c r="AP140" s="769"/>
      <c r="AQ140" s="1369"/>
      <c r="AR140" s="1319"/>
      <c r="AS140" s="1319"/>
      <c r="AT140" s="1319"/>
      <c r="AU140" s="1320"/>
      <c r="AV140" s="777"/>
      <c r="AW140" s="769"/>
      <c r="AX140" s="769"/>
      <c r="AY140" s="769"/>
      <c r="AZ140" s="769"/>
      <c r="BA140" s="769"/>
      <c r="BB140" s="769"/>
      <c r="BC140" s="769"/>
      <c r="BD140" s="769"/>
      <c r="BE140" s="769"/>
      <c r="BF140" s="769"/>
      <c r="BG140" s="769"/>
      <c r="BH140" s="769"/>
      <c r="BI140" s="769"/>
      <c r="BJ140" s="769"/>
      <c r="BK140" s="774"/>
      <c r="BL140" s="1327"/>
      <c r="BM140" s="1328"/>
      <c r="BN140" s="1328"/>
      <c r="BO140" s="1328"/>
      <c r="BP140" s="1389"/>
      <c r="BQ140" s="1369"/>
      <c r="BR140" s="1319"/>
      <c r="BS140" s="1319"/>
      <c r="BT140" s="1319"/>
      <c r="BU140" s="1320"/>
      <c r="BV140" s="1369"/>
      <c r="BW140" s="1319"/>
      <c r="BX140" s="1319"/>
      <c r="BY140" s="1319"/>
      <c r="BZ140" s="1319"/>
      <c r="CA140" s="1369"/>
      <c r="CB140" s="1319"/>
      <c r="CC140" s="1319"/>
      <c r="CD140" s="1319"/>
      <c r="CE140" s="1320"/>
      <c r="CF140" s="1319"/>
      <c r="CG140" s="1319"/>
      <c r="CH140" s="1319"/>
      <c r="CI140" s="1319"/>
      <c r="CJ140" s="1320"/>
      <c r="CK140" s="1369"/>
      <c r="CL140" s="1319"/>
      <c r="CM140" s="1319"/>
      <c r="CN140" s="1319"/>
      <c r="CO140" s="1320"/>
      <c r="CP140" s="1369"/>
      <c r="CQ140" s="1319"/>
      <c r="CR140" s="1319"/>
      <c r="CS140" s="1319"/>
      <c r="CT140" s="1320"/>
      <c r="CU140" s="1467"/>
      <c r="CV140" s="1458"/>
      <c r="CW140" s="1458"/>
      <c r="CX140" s="1663"/>
      <c r="CY140" s="1458"/>
      <c r="CZ140" s="1458"/>
      <c r="DA140" s="1458"/>
      <c r="DB140" s="1663"/>
      <c r="DC140" s="1328"/>
      <c r="DD140" s="1664"/>
      <c r="DE140" s="1669"/>
    </row>
    <row r="141" spans="1:109" ht="15.75" hidden="1" customHeight="1">
      <c r="A141" s="741" t="s">
        <v>1143</v>
      </c>
      <c r="B141" s="742">
        <v>135</v>
      </c>
      <c r="C141" s="758" t="s">
        <v>1145</v>
      </c>
      <c r="D141" s="742" t="s">
        <v>2675</v>
      </c>
      <c r="E141" s="742" t="s">
        <v>2217</v>
      </c>
      <c r="F141" s="754" t="s">
        <v>2676</v>
      </c>
      <c r="G141" s="759" t="s">
        <v>179</v>
      </c>
      <c r="H141" s="760" t="s">
        <v>2221</v>
      </c>
      <c r="I141" s="761"/>
      <c r="J141" s="762">
        <v>1</v>
      </c>
      <c r="K141" s="762"/>
      <c r="L141" s="762"/>
      <c r="M141" s="762"/>
      <c r="N141" s="762"/>
      <c r="O141" s="762"/>
      <c r="P141" s="763"/>
      <c r="Q141" s="764">
        <f t="shared" si="2"/>
        <v>1</v>
      </c>
      <c r="R141" s="758" t="s">
        <v>1852</v>
      </c>
      <c r="S141" s="742" t="s">
        <v>1826</v>
      </c>
      <c r="T141" s="765" t="s">
        <v>1827</v>
      </c>
      <c r="U141" s="742" t="s">
        <v>2220</v>
      </c>
      <c r="V141" s="742" t="s">
        <v>1851</v>
      </c>
      <c r="W141" s="742" t="s">
        <v>2677</v>
      </c>
      <c r="X141" s="769">
        <v>0</v>
      </c>
      <c r="Y141" s="790" t="s">
        <v>1838</v>
      </c>
      <c r="Z141" s="759" t="s">
        <v>179</v>
      </c>
      <c r="AA141" s="754"/>
      <c r="AB141" s="754"/>
      <c r="AC141" s="754"/>
      <c r="AD141" s="754"/>
      <c r="AE141" s="754"/>
      <c r="AF141" s="768"/>
      <c r="AG141" s="769"/>
      <c r="AH141" s="769"/>
      <c r="AI141" s="769"/>
      <c r="AJ141" s="769"/>
      <c r="AK141" s="769"/>
      <c r="AL141" s="769"/>
      <c r="AM141" s="814"/>
      <c r="AN141" s="814"/>
      <c r="AO141" s="814"/>
      <c r="AP141" s="814"/>
      <c r="AQ141" s="1321"/>
      <c r="AR141" s="1322"/>
      <c r="AS141" s="1322"/>
      <c r="AT141" s="1322"/>
      <c r="AU141" s="1323"/>
      <c r="AV141" s="775"/>
      <c r="AW141" s="769"/>
      <c r="AX141" s="769"/>
      <c r="AY141" s="769"/>
      <c r="AZ141" s="769"/>
      <c r="BA141" s="776"/>
      <c r="BB141" s="769"/>
      <c r="BC141" s="769"/>
      <c r="BD141" s="769"/>
      <c r="BE141" s="769"/>
      <c r="BF141" s="769"/>
      <c r="BG141" s="769"/>
      <c r="BH141" s="769"/>
      <c r="BI141" s="769"/>
      <c r="BJ141" s="769"/>
      <c r="BK141" s="774"/>
      <c r="BL141" s="1327"/>
      <c r="BM141" s="1328"/>
      <c r="BN141" s="1328"/>
      <c r="BO141" s="1328"/>
      <c r="BP141" s="1389"/>
      <c r="BQ141" s="1321"/>
      <c r="BR141" s="1322"/>
      <c r="BS141" s="1322"/>
      <c r="BT141" s="1322"/>
      <c r="BU141" s="1323"/>
      <c r="BV141" s="1321"/>
      <c r="BW141" s="1322"/>
      <c r="BX141" s="1322"/>
      <c r="BY141" s="1322"/>
      <c r="BZ141" s="1322"/>
      <c r="CA141" s="1369"/>
      <c r="CB141" s="1319"/>
      <c r="CC141" s="1319"/>
      <c r="CD141" s="1319"/>
      <c r="CE141" s="1320"/>
      <c r="CF141" s="1319"/>
      <c r="CG141" s="1319"/>
      <c r="CH141" s="1319"/>
      <c r="CI141" s="1319"/>
      <c r="CJ141" s="1319"/>
      <c r="CK141" s="1321"/>
      <c r="CL141" s="1322"/>
      <c r="CM141" s="1322"/>
      <c r="CN141" s="1322"/>
      <c r="CO141" s="1323"/>
      <c r="CP141" s="1321"/>
      <c r="CQ141" s="1322"/>
      <c r="CR141" s="1322"/>
      <c r="CS141" s="1322"/>
      <c r="CT141" s="1323"/>
      <c r="CU141" s="1467"/>
      <c r="CV141" s="1458"/>
      <c r="CW141" s="1458"/>
      <c r="CX141" s="1663"/>
      <c r="CY141" s="1458"/>
      <c r="CZ141" s="1458"/>
      <c r="DA141" s="1458"/>
      <c r="DB141" s="1663"/>
      <c r="DC141" s="1328"/>
      <c r="DD141" s="1664"/>
      <c r="DE141" s="1669"/>
    </row>
    <row r="142" spans="1:109" ht="15.75" hidden="1" customHeight="1">
      <c r="A142" s="741" t="s">
        <v>1143</v>
      </c>
      <c r="B142" s="742">
        <v>136</v>
      </c>
      <c r="C142" s="758" t="s">
        <v>1146</v>
      </c>
      <c r="D142" s="742" t="s">
        <v>2675</v>
      </c>
      <c r="E142" s="742" t="s">
        <v>2217</v>
      </c>
      <c r="F142" s="754" t="s">
        <v>2678</v>
      </c>
      <c r="G142" s="759" t="s">
        <v>2679</v>
      </c>
      <c r="H142" s="760" t="s">
        <v>2680</v>
      </c>
      <c r="I142" s="761"/>
      <c r="J142" s="762">
        <v>1</v>
      </c>
      <c r="K142" s="762"/>
      <c r="L142" s="762"/>
      <c r="M142" s="762"/>
      <c r="N142" s="762"/>
      <c r="O142" s="762"/>
      <c r="P142" s="763"/>
      <c r="Q142" s="764">
        <f t="shared" si="2"/>
        <v>1</v>
      </c>
      <c r="R142" s="758" t="s">
        <v>1852</v>
      </c>
      <c r="S142" s="742" t="s">
        <v>1826</v>
      </c>
      <c r="T142" s="765" t="s">
        <v>1827</v>
      </c>
      <c r="U142" s="742" t="s">
        <v>705</v>
      </c>
      <c r="V142" s="742" t="s">
        <v>1857</v>
      </c>
      <c r="W142" s="742" t="s">
        <v>2681</v>
      </c>
      <c r="X142" s="798">
        <v>1</v>
      </c>
      <c r="Y142" s="788" t="s">
        <v>1838</v>
      </c>
      <c r="Z142" s="759" t="s">
        <v>705</v>
      </c>
      <c r="AA142" s="754"/>
      <c r="AB142" s="754"/>
      <c r="AC142" s="754"/>
      <c r="AD142" s="754"/>
      <c r="AE142" s="754"/>
      <c r="AF142" s="768"/>
      <c r="AG142" s="769"/>
      <c r="AH142" s="769"/>
      <c r="AI142" s="769"/>
      <c r="AJ142" s="769"/>
      <c r="AK142" s="769"/>
      <c r="AL142" s="769"/>
      <c r="AM142" s="769"/>
      <c r="AN142" s="769"/>
      <c r="AO142" s="785"/>
      <c r="AP142" s="785"/>
      <c r="AQ142" s="1369"/>
      <c r="AR142" s="1324"/>
      <c r="AS142" s="1324"/>
      <c r="AT142" s="1324"/>
      <c r="AU142" s="1325"/>
      <c r="AV142" s="777"/>
      <c r="AW142" s="769"/>
      <c r="AX142" s="769"/>
      <c r="AY142" s="769"/>
      <c r="AZ142" s="785"/>
      <c r="BA142" s="785"/>
      <c r="BB142" s="785"/>
      <c r="BC142" s="785"/>
      <c r="BD142" s="785"/>
      <c r="BE142" s="785"/>
      <c r="BF142" s="769"/>
      <c r="BG142" s="769"/>
      <c r="BH142" s="769"/>
      <c r="BI142" s="769"/>
      <c r="BJ142" s="769"/>
      <c r="BK142" s="774"/>
      <c r="BL142" s="1327"/>
      <c r="BM142" s="1328"/>
      <c r="BN142" s="1328"/>
      <c r="BO142" s="1328"/>
      <c r="BP142" s="1389"/>
      <c r="BQ142" s="1460"/>
      <c r="BR142" s="1665"/>
      <c r="BS142" s="1665"/>
      <c r="BT142" s="1665"/>
      <c r="BU142" s="1466"/>
      <c r="BV142" s="1460"/>
      <c r="BW142" s="1665"/>
      <c r="BX142" s="1665"/>
      <c r="BY142" s="1665"/>
      <c r="BZ142" s="1466"/>
      <c r="CA142" s="1369"/>
      <c r="CB142" s="1319"/>
      <c r="CC142" s="1319"/>
      <c r="CD142" s="1319"/>
      <c r="CE142" s="1320"/>
      <c r="CF142" s="1319"/>
      <c r="CG142" s="1319"/>
      <c r="CH142" s="1319"/>
      <c r="CI142" s="1319"/>
      <c r="CJ142" s="1320"/>
      <c r="CK142" s="1370"/>
      <c r="CL142" s="1324"/>
      <c r="CM142" s="1324"/>
      <c r="CN142" s="1324"/>
      <c r="CO142" s="1325"/>
      <c r="CP142" s="1370"/>
      <c r="CQ142" s="1324"/>
      <c r="CR142" s="1324"/>
      <c r="CS142" s="1324"/>
      <c r="CT142" s="1325"/>
      <c r="CU142" s="1467"/>
      <c r="CV142" s="1458"/>
      <c r="CW142" s="1458"/>
      <c r="CX142" s="1663"/>
      <c r="CY142" s="1458"/>
      <c r="CZ142" s="1458"/>
      <c r="DA142" s="1458"/>
      <c r="DB142" s="1663"/>
      <c r="DC142" s="1328"/>
      <c r="DD142" s="1664"/>
      <c r="DE142" s="1669"/>
    </row>
    <row r="143" spans="1:109" ht="15.75" hidden="1" customHeight="1">
      <c r="A143" s="741" t="s">
        <v>1143</v>
      </c>
      <c r="B143" s="742">
        <v>137</v>
      </c>
      <c r="C143" s="758" t="s">
        <v>1160</v>
      </c>
      <c r="D143" s="742" t="s">
        <v>2675</v>
      </c>
      <c r="E143" s="742" t="s">
        <v>2217</v>
      </c>
      <c r="F143" s="754" t="s">
        <v>2682</v>
      </c>
      <c r="G143" s="759" t="s">
        <v>2683</v>
      </c>
      <c r="H143" s="760" t="s">
        <v>2680</v>
      </c>
      <c r="I143" s="761"/>
      <c r="J143" s="762">
        <v>1</v>
      </c>
      <c r="K143" s="762"/>
      <c r="L143" s="762"/>
      <c r="M143" s="762"/>
      <c r="N143" s="762"/>
      <c r="O143" s="762"/>
      <c r="P143" s="763"/>
      <c r="Q143" s="764">
        <f t="shared" si="2"/>
        <v>1</v>
      </c>
      <c r="R143" s="758" t="s">
        <v>1852</v>
      </c>
      <c r="S143" s="742" t="s">
        <v>1826</v>
      </c>
      <c r="T143" s="765" t="s">
        <v>1827</v>
      </c>
      <c r="U143" s="742" t="s">
        <v>705</v>
      </c>
      <c r="V143" s="742" t="s">
        <v>1857</v>
      </c>
      <c r="W143" s="742" t="s">
        <v>2681</v>
      </c>
      <c r="X143" s="798">
        <v>1</v>
      </c>
      <c r="Y143" s="788" t="s">
        <v>1838</v>
      </c>
      <c r="Z143" s="759" t="s">
        <v>705</v>
      </c>
      <c r="AA143" s="754"/>
      <c r="AB143" s="754"/>
      <c r="AC143" s="754"/>
      <c r="AD143" s="754"/>
      <c r="AE143" s="754"/>
      <c r="AF143" s="768"/>
      <c r="AG143" s="769"/>
      <c r="AH143" s="769"/>
      <c r="AI143" s="769"/>
      <c r="AJ143" s="769"/>
      <c r="AK143" s="769"/>
      <c r="AL143" s="769"/>
      <c r="AM143" s="811"/>
      <c r="AN143" s="811"/>
      <c r="AO143" s="811"/>
      <c r="AP143" s="811"/>
      <c r="AQ143" s="1370"/>
      <c r="AR143" s="1324"/>
      <c r="AS143" s="1324"/>
      <c r="AT143" s="1324"/>
      <c r="AU143" s="1325"/>
      <c r="AV143" s="812"/>
      <c r="AW143" s="811"/>
      <c r="AX143" s="811"/>
      <c r="AY143" s="811"/>
      <c r="AZ143" s="811"/>
      <c r="BA143" s="811"/>
      <c r="BB143" s="811"/>
      <c r="BC143" s="811"/>
      <c r="BD143" s="811"/>
      <c r="BE143" s="811"/>
      <c r="BF143" s="811"/>
      <c r="BG143" s="811"/>
      <c r="BH143" s="811"/>
      <c r="BI143" s="811"/>
      <c r="BJ143" s="811"/>
      <c r="BK143" s="813"/>
      <c r="BL143" s="1327"/>
      <c r="BM143" s="1328"/>
      <c r="BN143" s="1328"/>
      <c r="BO143" s="1328"/>
      <c r="BP143" s="1389"/>
      <c r="BQ143" s="1369"/>
      <c r="BR143" s="1319"/>
      <c r="BS143" s="1319"/>
      <c r="BT143" s="1319"/>
      <c r="BU143" s="1320"/>
      <c r="BV143" s="1460"/>
      <c r="BW143" s="1665"/>
      <c r="BX143" s="1665"/>
      <c r="BY143" s="1665"/>
      <c r="BZ143" s="1466"/>
      <c r="CA143" s="1369"/>
      <c r="CB143" s="1319"/>
      <c r="CC143" s="1319"/>
      <c r="CD143" s="1319"/>
      <c r="CE143" s="1320"/>
      <c r="CF143" s="1319"/>
      <c r="CG143" s="1319"/>
      <c r="CH143" s="1319"/>
      <c r="CI143" s="1319"/>
      <c r="CJ143" s="1320"/>
      <c r="CK143" s="1370"/>
      <c r="CL143" s="1324"/>
      <c r="CM143" s="1324"/>
      <c r="CN143" s="1324"/>
      <c r="CO143" s="1324"/>
      <c r="CP143" s="1370"/>
      <c r="CQ143" s="1324"/>
      <c r="CR143" s="1324"/>
      <c r="CS143" s="1324"/>
      <c r="CT143" s="1325"/>
      <c r="CU143" s="1467"/>
      <c r="CV143" s="1458"/>
      <c r="CW143" s="1458"/>
      <c r="CX143" s="1663"/>
      <c r="CY143" s="1458"/>
      <c r="CZ143" s="1458"/>
      <c r="DA143" s="1458"/>
      <c r="DB143" s="1663"/>
      <c r="DC143" s="1328"/>
      <c r="DD143" s="1664"/>
      <c r="DE143" s="1669"/>
    </row>
    <row r="144" spans="1:109" ht="15.75" hidden="1" customHeight="1">
      <c r="A144" s="741" t="s">
        <v>1143</v>
      </c>
      <c r="B144" s="742">
        <v>138</v>
      </c>
      <c r="C144" s="758" t="s">
        <v>1147</v>
      </c>
      <c r="D144" s="742" t="s">
        <v>2675</v>
      </c>
      <c r="E144" s="742" t="s">
        <v>2231</v>
      </c>
      <c r="F144" s="754" t="s">
        <v>2684</v>
      </c>
      <c r="G144" s="759" t="s">
        <v>1084</v>
      </c>
      <c r="H144" s="760" t="s">
        <v>2685</v>
      </c>
      <c r="I144" s="761"/>
      <c r="J144" s="762">
        <v>1</v>
      </c>
      <c r="K144" s="762"/>
      <c r="L144" s="762"/>
      <c r="M144" s="762"/>
      <c r="N144" s="762"/>
      <c r="O144" s="762"/>
      <c r="P144" s="763"/>
      <c r="Q144" s="764">
        <f t="shared" si="2"/>
        <v>1</v>
      </c>
      <c r="R144" s="758" t="s">
        <v>1852</v>
      </c>
      <c r="S144" s="742" t="s">
        <v>1826</v>
      </c>
      <c r="T144" s="1389" t="s">
        <v>1837</v>
      </c>
      <c r="U144" s="742" t="s">
        <v>2348</v>
      </c>
      <c r="V144" s="742" t="s">
        <v>1857</v>
      </c>
      <c r="W144" s="742" t="s">
        <v>2686</v>
      </c>
      <c r="X144" s="798">
        <v>1</v>
      </c>
      <c r="Y144" s="788" t="s">
        <v>1838</v>
      </c>
      <c r="Z144" s="759" t="s">
        <v>1084</v>
      </c>
      <c r="AA144" s="754"/>
      <c r="AB144" s="754"/>
      <c r="AC144" s="754"/>
      <c r="AD144" s="754"/>
      <c r="AE144" s="754"/>
      <c r="AF144" s="768"/>
      <c r="AG144" s="769"/>
      <c r="AH144" s="769"/>
      <c r="AI144" s="769"/>
      <c r="AJ144" s="769"/>
      <c r="AK144" s="769"/>
      <c r="AL144" s="769"/>
      <c r="AM144" s="769"/>
      <c r="AN144" s="769"/>
      <c r="AO144" s="785"/>
      <c r="AP144" s="769"/>
      <c r="AQ144" s="1369"/>
      <c r="AR144" s="1319"/>
      <c r="AS144" s="1319"/>
      <c r="AT144" s="1319"/>
      <c r="AU144" s="1320"/>
      <c r="AV144" s="786"/>
      <c r="AW144" s="785"/>
      <c r="AX144" s="785"/>
      <c r="AY144" s="785"/>
      <c r="AZ144" s="785"/>
      <c r="BA144" s="785"/>
      <c r="BB144" s="785"/>
      <c r="BC144" s="785"/>
      <c r="BD144" s="785"/>
      <c r="BE144" s="785"/>
      <c r="BF144" s="769"/>
      <c r="BG144" s="769"/>
      <c r="BH144" s="769"/>
      <c r="BI144" s="769"/>
      <c r="BJ144" s="769"/>
      <c r="BK144" s="774"/>
      <c r="BL144" s="1327"/>
      <c r="BM144" s="1328"/>
      <c r="BN144" s="1328"/>
      <c r="BO144" s="1328"/>
      <c r="BP144" s="1389"/>
      <c r="BQ144" s="1369"/>
      <c r="BR144" s="1319"/>
      <c r="BS144" s="1319"/>
      <c r="BT144" s="1319"/>
      <c r="BU144" s="1320"/>
      <c r="BV144" s="1369"/>
      <c r="BW144" s="1319"/>
      <c r="BX144" s="1319"/>
      <c r="BY144" s="1319"/>
      <c r="BZ144" s="1319"/>
      <c r="CA144" s="1369"/>
      <c r="CB144" s="1319"/>
      <c r="CC144" s="1319"/>
      <c r="CD144" s="1319"/>
      <c r="CE144" s="1320"/>
      <c r="CF144" s="1319"/>
      <c r="CG144" s="1319"/>
      <c r="CH144" s="1319"/>
      <c r="CI144" s="1319"/>
      <c r="CJ144" s="1320"/>
      <c r="CK144" s="1369"/>
      <c r="CL144" s="1319"/>
      <c r="CM144" s="1319"/>
      <c r="CN144" s="1319"/>
      <c r="CO144" s="1320"/>
      <c r="CP144" s="1369"/>
      <c r="CQ144" s="1319"/>
      <c r="CR144" s="1319"/>
      <c r="CS144" s="1319"/>
      <c r="CT144" s="1320"/>
      <c r="CU144" s="1467"/>
      <c r="CV144" s="1458"/>
      <c r="CW144" s="1458"/>
      <c r="CX144" s="1663"/>
      <c r="CY144" s="1458"/>
      <c r="CZ144" s="1458"/>
      <c r="DA144" s="1458"/>
      <c r="DB144" s="1663"/>
      <c r="DC144" s="1328"/>
      <c r="DD144" s="1664"/>
      <c r="DE144" s="1669"/>
    </row>
    <row r="145" spans="1:109" ht="15.75" hidden="1" customHeight="1">
      <c r="A145" s="741" t="s">
        <v>1143</v>
      </c>
      <c r="B145" s="742">
        <v>139</v>
      </c>
      <c r="C145" s="758" t="s">
        <v>1123</v>
      </c>
      <c r="D145" s="742" t="s">
        <v>2687</v>
      </c>
      <c r="E145" s="742" t="s">
        <v>2217</v>
      </c>
      <c r="F145" s="754" t="s">
        <v>2688</v>
      </c>
      <c r="G145" s="759" t="s">
        <v>784</v>
      </c>
      <c r="H145" s="760" t="s">
        <v>2689</v>
      </c>
      <c r="I145" s="761"/>
      <c r="J145" s="762"/>
      <c r="K145" s="762">
        <v>1</v>
      </c>
      <c r="L145" s="762"/>
      <c r="M145" s="762"/>
      <c r="N145" s="762"/>
      <c r="O145" s="762"/>
      <c r="P145" s="763"/>
      <c r="Q145" s="764">
        <f t="shared" si="2"/>
        <v>1</v>
      </c>
      <c r="R145" s="758" t="s">
        <v>1852</v>
      </c>
      <c r="S145" s="742" t="s">
        <v>1826</v>
      </c>
      <c r="T145" s="765" t="s">
        <v>1827</v>
      </c>
      <c r="U145" s="742" t="s">
        <v>2351</v>
      </c>
      <c r="V145" s="742" t="s">
        <v>1857</v>
      </c>
      <c r="W145" s="742" t="s">
        <v>2690</v>
      </c>
      <c r="X145" s="798">
        <v>2</v>
      </c>
      <c r="Y145" s="788" t="s">
        <v>1838</v>
      </c>
      <c r="Z145" s="759" t="s">
        <v>784</v>
      </c>
      <c r="AA145" s="754"/>
      <c r="AB145" s="754"/>
      <c r="AC145" s="754"/>
      <c r="AD145" s="754"/>
      <c r="AE145" s="754"/>
      <c r="AF145" s="768"/>
      <c r="AG145" s="769"/>
      <c r="AH145" s="769"/>
      <c r="AI145" s="769"/>
      <c r="AJ145" s="769"/>
      <c r="AK145" s="769"/>
      <c r="AL145" s="769"/>
      <c r="AM145" s="769"/>
      <c r="AN145" s="776"/>
      <c r="AO145" s="776"/>
      <c r="AP145" s="776"/>
      <c r="AQ145" s="1369"/>
      <c r="AR145" s="1324"/>
      <c r="AS145" s="1319"/>
      <c r="AT145" s="1324"/>
      <c r="AU145" s="1325"/>
      <c r="AV145" s="775"/>
      <c r="AW145" s="776"/>
      <c r="AX145" s="776"/>
      <c r="AY145" s="776"/>
      <c r="AZ145" s="776"/>
      <c r="BA145" s="769"/>
      <c r="BB145" s="769"/>
      <c r="BC145" s="769"/>
      <c r="BD145" s="769"/>
      <c r="BE145" s="776"/>
      <c r="BF145" s="769"/>
      <c r="BG145" s="769"/>
      <c r="BH145" s="769"/>
      <c r="BI145" s="769"/>
      <c r="BJ145" s="769"/>
      <c r="BK145" s="774"/>
      <c r="BL145" s="1327"/>
      <c r="BM145" s="1328"/>
      <c r="BN145" s="1328"/>
      <c r="BO145" s="1328"/>
      <c r="BP145" s="1389"/>
      <c r="BQ145" s="1369"/>
      <c r="BR145" s="1319"/>
      <c r="BS145" s="1319"/>
      <c r="BT145" s="1319"/>
      <c r="BU145" s="1320"/>
      <c r="BV145" s="1370"/>
      <c r="BW145" s="1324"/>
      <c r="BX145" s="1324"/>
      <c r="BY145" s="1324"/>
      <c r="BZ145" s="1324"/>
      <c r="CA145" s="1369"/>
      <c r="CB145" s="1319"/>
      <c r="CC145" s="1319"/>
      <c r="CD145" s="1319"/>
      <c r="CE145" s="1320"/>
      <c r="CF145" s="1319"/>
      <c r="CG145" s="1319"/>
      <c r="CH145" s="1319"/>
      <c r="CI145" s="1319"/>
      <c r="CJ145" s="1320"/>
      <c r="CK145" s="1369"/>
      <c r="CL145" s="1319"/>
      <c r="CM145" s="1319"/>
      <c r="CN145" s="1319"/>
      <c r="CO145" s="1320"/>
      <c r="CP145" s="1369"/>
      <c r="CQ145" s="1319"/>
      <c r="CR145" s="1319"/>
      <c r="CS145" s="1319"/>
      <c r="CT145" s="1320"/>
      <c r="CU145" s="1467"/>
      <c r="CV145" s="1458"/>
      <c r="CW145" s="1458"/>
      <c r="CX145" s="1663"/>
      <c r="CY145" s="1458"/>
      <c r="CZ145" s="1458"/>
      <c r="DA145" s="1458"/>
      <c r="DB145" s="1663"/>
      <c r="DC145" s="1328"/>
      <c r="DD145" s="1664"/>
      <c r="DE145" s="1669"/>
    </row>
    <row r="146" spans="1:109" ht="15.75" hidden="1" customHeight="1">
      <c r="A146" s="741" t="s">
        <v>1143</v>
      </c>
      <c r="B146" s="742">
        <v>140</v>
      </c>
      <c r="C146" s="758" t="s">
        <v>1124</v>
      </c>
      <c r="D146" s="742" t="s">
        <v>2691</v>
      </c>
      <c r="E146" s="742" t="s">
        <v>2217</v>
      </c>
      <c r="F146" s="754" t="s">
        <v>2692</v>
      </c>
      <c r="G146" s="759" t="s">
        <v>788</v>
      </c>
      <c r="H146" s="760" t="s">
        <v>2693</v>
      </c>
      <c r="I146" s="761"/>
      <c r="J146" s="762"/>
      <c r="K146" s="762">
        <v>1</v>
      </c>
      <c r="L146" s="762"/>
      <c r="M146" s="762"/>
      <c r="N146" s="762"/>
      <c r="O146" s="762"/>
      <c r="P146" s="763"/>
      <c r="Q146" s="764">
        <f t="shared" si="2"/>
        <v>1</v>
      </c>
      <c r="R146" s="758" t="s">
        <v>1852</v>
      </c>
      <c r="S146" s="742" t="s">
        <v>1826</v>
      </c>
      <c r="T146" s="765" t="s">
        <v>1827</v>
      </c>
      <c r="U146" s="742" t="s">
        <v>788</v>
      </c>
      <c r="V146" s="742" t="s">
        <v>1857</v>
      </c>
      <c r="W146" s="742" t="s">
        <v>2694</v>
      </c>
      <c r="X146" s="798">
        <v>2</v>
      </c>
      <c r="Y146" s="790" t="s">
        <v>1838</v>
      </c>
      <c r="Z146" s="759" t="s">
        <v>788</v>
      </c>
      <c r="AA146" s="754"/>
      <c r="AB146" s="754"/>
      <c r="AC146" s="754"/>
      <c r="AD146" s="754"/>
      <c r="AE146" s="754"/>
      <c r="AF146" s="768"/>
      <c r="AG146" s="769"/>
      <c r="AH146" s="769"/>
      <c r="AI146" s="769"/>
      <c r="AJ146" s="769"/>
      <c r="AK146" s="769"/>
      <c r="AL146" s="769"/>
      <c r="AM146" s="785"/>
      <c r="AN146" s="785"/>
      <c r="AO146" s="785"/>
      <c r="AP146" s="785"/>
      <c r="AQ146" s="1370"/>
      <c r="AR146" s="1324"/>
      <c r="AS146" s="1324"/>
      <c r="AT146" s="1324"/>
      <c r="AU146" s="1325"/>
      <c r="AV146" s="786"/>
      <c r="AW146" s="785"/>
      <c r="AX146" s="785"/>
      <c r="AY146" s="785"/>
      <c r="AZ146" s="785"/>
      <c r="BA146" s="785"/>
      <c r="BB146" s="785"/>
      <c r="BC146" s="785"/>
      <c r="BD146" s="785"/>
      <c r="BE146" s="785"/>
      <c r="BF146" s="769"/>
      <c r="BG146" s="769"/>
      <c r="BH146" s="769"/>
      <c r="BI146" s="769"/>
      <c r="BJ146" s="769"/>
      <c r="BK146" s="774"/>
      <c r="BL146" s="1327"/>
      <c r="BM146" s="1328"/>
      <c r="BN146" s="1328"/>
      <c r="BO146" s="1328"/>
      <c r="BP146" s="1389"/>
      <c r="BQ146" s="1370"/>
      <c r="BR146" s="1324"/>
      <c r="BS146" s="1324"/>
      <c r="BT146" s="1324"/>
      <c r="BU146" s="1325"/>
      <c r="BV146" s="1370"/>
      <c r="BW146" s="1324"/>
      <c r="BX146" s="1324"/>
      <c r="BY146" s="1324"/>
      <c r="BZ146" s="1324"/>
      <c r="CA146" s="1369"/>
      <c r="CB146" s="1319"/>
      <c r="CC146" s="1319"/>
      <c r="CD146" s="1319"/>
      <c r="CE146" s="1320"/>
      <c r="CF146" s="1319"/>
      <c r="CG146" s="1319"/>
      <c r="CH146" s="1319"/>
      <c r="CI146" s="1319"/>
      <c r="CJ146" s="1320"/>
      <c r="CK146" s="1370"/>
      <c r="CL146" s="1324"/>
      <c r="CM146" s="1324"/>
      <c r="CN146" s="1324"/>
      <c r="CO146" s="1325"/>
      <c r="CP146" s="1370"/>
      <c r="CQ146" s="1324"/>
      <c r="CR146" s="1324"/>
      <c r="CS146" s="1324"/>
      <c r="CT146" s="1325"/>
      <c r="CU146" s="1467"/>
      <c r="CV146" s="1458"/>
      <c r="CW146" s="1458"/>
      <c r="CX146" s="1663"/>
      <c r="CY146" s="1458"/>
      <c r="CZ146" s="1458"/>
      <c r="DA146" s="1458"/>
      <c r="DB146" s="1663"/>
      <c r="DC146" s="1328"/>
      <c r="DD146" s="1664"/>
      <c r="DE146" s="1669"/>
    </row>
    <row r="147" spans="1:109" ht="15.75" hidden="1" customHeight="1">
      <c r="A147" s="741" t="s">
        <v>1143</v>
      </c>
      <c r="B147" s="742">
        <v>141</v>
      </c>
      <c r="C147" s="758" t="s">
        <v>1154</v>
      </c>
      <c r="D147" s="742" t="s">
        <v>2695</v>
      </c>
      <c r="E147" s="742" t="s">
        <v>2231</v>
      </c>
      <c r="F147" s="754" t="s">
        <v>2696</v>
      </c>
      <c r="G147" s="759" t="s">
        <v>567</v>
      </c>
      <c r="H147" s="760" t="s">
        <v>2697</v>
      </c>
      <c r="I147" s="761">
        <v>1</v>
      </c>
      <c r="J147" s="762"/>
      <c r="K147" s="762"/>
      <c r="L147" s="762"/>
      <c r="M147" s="762"/>
      <c r="N147" s="762"/>
      <c r="O147" s="762"/>
      <c r="P147" s="763"/>
      <c r="Q147" s="764">
        <f t="shared" si="2"/>
        <v>1</v>
      </c>
      <c r="R147" s="758" t="s">
        <v>1825</v>
      </c>
      <c r="S147" s="742" t="s">
        <v>2260</v>
      </c>
      <c r="T147" s="765" t="s">
        <v>2260</v>
      </c>
      <c r="U147" s="742" t="s">
        <v>2698</v>
      </c>
      <c r="V147" s="742" t="s">
        <v>321</v>
      </c>
      <c r="W147" s="742" t="s">
        <v>2699</v>
      </c>
      <c r="X147" s="1277">
        <v>1</v>
      </c>
      <c r="Y147" s="790" t="s">
        <v>1838</v>
      </c>
      <c r="Z147" s="759" t="s">
        <v>567</v>
      </c>
      <c r="AA147" s="754"/>
      <c r="AB147" s="754"/>
      <c r="AC147" s="754"/>
      <c r="AD147" s="754"/>
      <c r="AE147" s="754"/>
      <c r="AF147" s="768"/>
      <c r="AG147" s="785"/>
      <c r="AH147" s="785"/>
      <c r="AI147" s="785"/>
      <c r="AJ147" s="785"/>
      <c r="AK147" s="785"/>
      <c r="AL147" s="785"/>
      <c r="AM147" s="785"/>
      <c r="AN147" s="785"/>
      <c r="AO147" s="785"/>
      <c r="AP147" s="785"/>
      <c r="AQ147" s="1460"/>
      <c r="AR147" s="1665"/>
      <c r="AS147" s="1665"/>
      <c r="AT147" s="1665"/>
      <c r="AU147" s="1466"/>
      <c r="AV147" s="786"/>
      <c r="AW147" s="785"/>
      <c r="AX147" s="785"/>
      <c r="AY147" s="785"/>
      <c r="AZ147" s="785"/>
      <c r="BA147" s="785"/>
      <c r="BB147" s="785"/>
      <c r="BC147" s="785"/>
      <c r="BD147" s="785"/>
      <c r="BE147" s="785"/>
      <c r="BF147" s="785"/>
      <c r="BG147" s="785"/>
      <c r="BH147" s="785"/>
      <c r="BI147" s="785"/>
      <c r="BJ147" s="785"/>
      <c r="BK147" s="787"/>
      <c r="BL147" s="1327"/>
      <c r="BM147" s="1328"/>
      <c r="BN147" s="1328"/>
      <c r="BO147" s="1328"/>
      <c r="BP147" s="1389"/>
      <c r="BQ147" s="1369"/>
      <c r="BR147" s="1319"/>
      <c r="BS147" s="1319"/>
      <c r="BT147" s="1319"/>
      <c r="BU147" s="1320"/>
      <c r="BV147" s="1369"/>
      <c r="BW147" s="1319"/>
      <c r="BX147" s="1319"/>
      <c r="BY147" s="1319"/>
      <c r="BZ147" s="1319"/>
      <c r="CA147" s="1369"/>
      <c r="CB147" s="1319"/>
      <c r="CC147" s="1319"/>
      <c r="CD147" s="1319"/>
      <c r="CE147" s="1320"/>
      <c r="CF147" s="1319"/>
      <c r="CG147" s="1319"/>
      <c r="CH147" s="1319"/>
      <c r="CI147" s="1319"/>
      <c r="CJ147" s="1320"/>
      <c r="CK147" s="1369"/>
      <c r="CL147" s="1319"/>
      <c r="CM147" s="1319"/>
      <c r="CN147" s="1319"/>
      <c r="CO147" s="1320"/>
      <c r="CP147" s="1369"/>
      <c r="CQ147" s="1319"/>
      <c r="CR147" s="1319"/>
      <c r="CS147" s="1319"/>
      <c r="CT147" s="1320"/>
      <c r="CU147" s="1467"/>
      <c r="CV147" s="1458"/>
      <c r="CW147" s="1458"/>
      <c r="CX147" s="1663"/>
      <c r="CY147" s="1458"/>
      <c r="CZ147" s="1458"/>
      <c r="DA147" s="1458"/>
      <c r="DB147" s="1663"/>
      <c r="DC147" s="1328"/>
      <c r="DD147" s="1664"/>
      <c r="DE147" s="1669"/>
    </row>
    <row r="148" spans="1:109" ht="15.75" hidden="1" customHeight="1">
      <c r="A148" s="741" t="s">
        <v>1143</v>
      </c>
      <c r="B148" s="742">
        <v>142</v>
      </c>
      <c r="C148" s="758" t="s">
        <v>1129</v>
      </c>
      <c r="D148" s="742" t="s">
        <v>2695</v>
      </c>
      <c r="E148" s="742" t="s">
        <v>2231</v>
      </c>
      <c r="F148" s="754" t="s">
        <v>2700</v>
      </c>
      <c r="G148" s="759" t="s">
        <v>891</v>
      </c>
      <c r="H148" s="760" t="s">
        <v>2701</v>
      </c>
      <c r="I148" s="761"/>
      <c r="J148" s="762"/>
      <c r="K148" s="762">
        <v>1</v>
      </c>
      <c r="L148" s="762"/>
      <c r="M148" s="762"/>
      <c r="N148" s="762"/>
      <c r="O148" s="762"/>
      <c r="P148" s="763"/>
      <c r="Q148" s="764">
        <f t="shared" si="2"/>
        <v>1</v>
      </c>
      <c r="R148" s="758" t="s">
        <v>1825</v>
      </c>
      <c r="S148" s="742" t="s">
        <v>2260</v>
      </c>
      <c r="T148" s="765" t="s">
        <v>2260</v>
      </c>
      <c r="U148" s="742" t="s">
        <v>2351</v>
      </c>
      <c r="V148" s="742" t="s">
        <v>321</v>
      </c>
      <c r="W148" s="742" t="s">
        <v>2702</v>
      </c>
      <c r="X148" s="1278">
        <v>2</v>
      </c>
      <c r="Y148" s="790" t="s">
        <v>1838</v>
      </c>
      <c r="Z148" s="759" t="s">
        <v>891</v>
      </c>
      <c r="AA148" s="754"/>
      <c r="AB148" s="754"/>
      <c r="AC148" s="754"/>
      <c r="AD148" s="754"/>
      <c r="AE148" s="754"/>
      <c r="AF148" s="768"/>
      <c r="AG148" s="769"/>
      <c r="AH148" s="769"/>
      <c r="AI148" s="769"/>
      <c r="AJ148" s="769"/>
      <c r="AK148" s="769"/>
      <c r="AL148" s="769"/>
      <c r="AM148" s="769"/>
      <c r="AN148" s="769"/>
      <c r="AO148" s="769"/>
      <c r="AP148" s="769"/>
      <c r="AQ148" s="1369"/>
      <c r="AR148" s="1319"/>
      <c r="AS148" s="1319"/>
      <c r="AT148" s="1319"/>
      <c r="AU148" s="1320"/>
      <c r="AV148" s="777"/>
      <c r="AW148" s="769"/>
      <c r="AX148" s="769"/>
      <c r="AY148" s="769"/>
      <c r="AZ148" s="776"/>
      <c r="BA148" s="776"/>
      <c r="BB148" s="776"/>
      <c r="BC148" s="776"/>
      <c r="BD148" s="776"/>
      <c r="BE148" s="776"/>
      <c r="BF148" s="769"/>
      <c r="BG148" s="769"/>
      <c r="BH148" s="769"/>
      <c r="BI148" s="769"/>
      <c r="BJ148" s="769"/>
      <c r="BK148" s="774"/>
      <c r="BL148" s="1327"/>
      <c r="BM148" s="1328"/>
      <c r="BN148" s="1328"/>
      <c r="BO148" s="1328"/>
      <c r="BP148" s="1389"/>
      <c r="BQ148" s="1369"/>
      <c r="BR148" s="1319"/>
      <c r="BS148" s="1319"/>
      <c r="BT148" s="1319"/>
      <c r="BU148" s="1320"/>
      <c r="BV148" s="1369"/>
      <c r="BW148" s="1319"/>
      <c r="BX148" s="1319"/>
      <c r="BY148" s="1319"/>
      <c r="BZ148" s="1319"/>
      <c r="CA148" s="1369"/>
      <c r="CB148" s="1319"/>
      <c r="CC148" s="1319"/>
      <c r="CD148" s="1319"/>
      <c r="CE148" s="1320"/>
      <c r="CF148" s="1319"/>
      <c r="CG148" s="1319"/>
      <c r="CH148" s="1319"/>
      <c r="CI148" s="1319"/>
      <c r="CJ148" s="1320"/>
      <c r="CK148" s="1369"/>
      <c r="CL148" s="1319"/>
      <c r="CM148" s="1319"/>
      <c r="CN148" s="1319"/>
      <c r="CO148" s="1320"/>
      <c r="CP148" s="1369"/>
      <c r="CQ148" s="1319"/>
      <c r="CR148" s="1319"/>
      <c r="CS148" s="1319"/>
      <c r="CT148" s="1320"/>
      <c r="CU148" s="1467"/>
      <c r="CV148" s="1458"/>
      <c r="CW148" s="1458"/>
      <c r="CX148" s="1663"/>
      <c r="CY148" s="1458"/>
      <c r="CZ148" s="1458"/>
      <c r="DA148" s="1458"/>
      <c r="DB148" s="1663"/>
      <c r="DC148" s="1328"/>
      <c r="DD148" s="1664"/>
      <c r="DE148" s="1669"/>
    </row>
    <row r="149" spans="1:109" ht="15.75" hidden="1" customHeight="1">
      <c r="A149" s="741" t="s">
        <v>1143</v>
      </c>
      <c r="B149" s="742">
        <v>143</v>
      </c>
      <c r="C149" s="758" t="s">
        <v>1148</v>
      </c>
      <c r="D149" s="742" t="s">
        <v>2675</v>
      </c>
      <c r="E149" s="742" t="s">
        <v>2217</v>
      </c>
      <c r="F149" s="754" t="s">
        <v>2703</v>
      </c>
      <c r="G149" s="759" t="s">
        <v>203</v>
      </c>
      <c r="H149" s="760" t="s">
        <v>2704</v>
      </c>
      <c r="I149" s="761"/>
      <c r="J149" s="762">
        <v>1</v>
      </c>
      <c r="K149" s="762"/>
      <c r="L149" s="762"/>
      <c r="M149" s="762"/>
      <c r="N149" s="762"/>
      <c r="O149" s="762"/>
      <c r="P149" s="763"/>
      <c r="Q149" s="764">
        <f t="shared" si="2"/>
        <v>1</v>
      </c>
      <c r="R149" s="758" t="s">
        <v>1852</v>
      </c>
      <c r="S149" s="742" t="s">
        <v>1826</v>
      </c>
      <c r="T149" s="765" t="s">
        <v>1827</v>
      </c>
      <c r="U149" s="742" t="s">
        <v>2242</v>
      </c>
      <c r="V149" s="742" t="s">
        <v>1857</v>
      </c>
      <c r="W149" s="742" t="s">
        <v>2705</v>
      </c>
      <c r="X149" s="1243">
        <v>1</v>
      </c>
      <c r="Y149" s="790" t="s">
        <v>1838</v>
      </c>
      <c r="Z149" s="759" t="s">
        <v>203</v>
      </c>
      <c r="AA149" s="754"/>
      <c r="AB149" s="754"/>
      <c r="AC149" s="754"/>
      <c r="AD149" s="754"/>
      <c r="AE149" s="754"/>
      <c r="AF149" s="768"/>
      <c r="AG149" s="769"/>
      <c r="AH149" s="769"/>
      <c r="AI149" s="769"/>
      <c r="AJ149" s="769"/>
      <c r="AK149" s="769"/>
      <c r="AL149" s="769"/>
      <c r="AM149" s="769"/>
      <c r="AN149" s="769"/>
      <c r="AO149" s="769"/>
      <c r="AP149" s="769"/>
      <c r="AQ149" s="1370"/>
      <c r="AR149" s="1324"/>
      <c r="AS149" s="1324"/>
      <c r="AT149" s="1324"/>
      <c r="AU149" s="1325"/>
      <c r="AV149" s="786"/>
      <c r="AW149" s="785"/>
      <c r="AX149" s="785"/>
      <c r="AY149" s="785"/>
      <c r="AZ149" s="785"/>
      <c r="BA149" s="785"/>
      <c r="BB149" s="785"/>
      <c r="BC149" s="785"/>
      <c r="BD149" s="785"/>
      <c r="BE149" s="785"/>
      <c r="BF149" s="769"/>
      <c r="BG149" s="769"/>
      <c r="BH149" s="769"/>
      <c r="BI149" s="769"/>
      <c r="BJ149" s="769"/>
      <c r="BK149" s="774"/>
      <c r="BL149" s="1327"/>
      <c r="BM149" s="1328"/>
      <c r="BN149" s="1328"/>
      <c r="BO149" s="1328"/>
      <c r="BP149" s="1389"/>
      <c r="BQ149" s="1369"/>
      <c r="BR149" s="1319"/>
      <c r="BS149" s="1319"/>
      <c r="BT149" s="1319"/>
      <c r="BU149" s="1320"/>
      <c r="BV149" s="1370"/>
      <c r="BW149" s="1324"/>
      <c r="BX149" s="1324"/>
      <c r="BY149" s="1324"/>
      <c r="BZ149" s="1324"/>
      <c r="CA149" s="1460"/>
      <c r="CB149" s="1665"/>
      <c r="CC149" s="1665"/>
      <c r="CD149" s="1665"/>
      <c r="CE149" s="1466"/>
      <c r="CF149" s="1319"/>
      <c r="CG149" s="1319"/>
      <c r="CH149" s="1319"/>
      <c r="CI149" s="1319"/>
      <c r="CJ149" s="1320"/>
      <c r="CK149" s="1369"/>
      <c r="CL149" s="1319"/>
      <c r="CM149" s="1319"/>
      <c r="CN149" s="1319"/>
      <c r="CO149" s="1320"/>
      <c r="CP149" s="1369"/>
      <c r="CQ149" s="1319"/>
      <c r="CR149" s="1319"/>
      <c r="CS149" s="1319"/>
      <c r="CT149" s="1320"/>
      <c r="CU149" s="1467"/>
      <c r="CV149" s="1458"/>
      <c r="CW149" s="1458"/>
      <c r="CX149" s="1663"/>
      <c r="CY149" s="1458"/>
      <c r="CZ149" s="1458"/>
      <c r="DA149" s="1458"/>
      <c r="DB149" s="1663"/>
      <c r="DC149" s="1328"/>
      <c r="DD149" s="1664"/>
      <c r="DE149" s="1669"/>
    </row>
    <row r="150" spans="1:109" ht="15.75" hidden="1" customHeight="1">
      <c r="A150" s="741" t="s">
        <v>1143</v>
      </c>
      <c r="B150" s="742">
        <v>144</v>
      </c>
      <c r="C150" s="758" t="s">
        <v>1149</v>
      </c>
      <c r="D150" s="742" t="s">
        <v>2675</v>
      </c>
      <c r="E150" s="742" t="s">
        <v>2231</v>
      </c>
      <c r="F150" s="754" t="s">
        <v>2706</v>
      </c>
      <c r="G150" s="759" t="s">
        <v>209</v>
      </c>
      <c r="H150" s="760" t="s">
        <v>2707</v>
      </c>
      <c r="I150" s="761"/>
      <c r="J150" s="762">
        <v>1</v>
      </c>
      <c r="K150" s="762"/>
      <c r="L150" s="762"/>
      <c r="M150" s="762"/>
      <c r="N150" s="762"/>
      <c r="O150" s="762"/>
      <c r="P150" s="763"/>
      <c r="Q150" s="764">
        <f t="shared" si="2"/>
        <v>1</v>
      </c>
      <c r="R150" s="758" t="s">
        <v>1846</v>
      </c>
      <c r="S150" s="742" t="s">
        <v>1826</v>
      </c>
      <c r="T150" s="765" t="s">
        <v>1827</v>
      </c>
      <c r="U150" s="742" t="s">
        <v>2238</v>
      </c>
      <c r="V150" s="742" t="s">
        <v>321</v>
      </c>
      <c r="W150" s="742" t="s">
        <v>2708</v>
      </c>
      <c r="X150" s="798">
        <v>2</v>
      </c>
      <c r="Y150" s="790" t="s">
        <v>1838</v>
      </c>
      <c r="Z150" s="759" t="s">
        <v>209</v>
      </c>
      <c r="AA150" s="754"/>
      <c r="AB150" s="754"/>
      <c r="AC150" s="754"/>
      <c r="AD150" s="754"/>
      <c r="AE150" s="754"/>
      <c r="AF150" s="768"/>
      <c r="AG150" s="769"/>
      <c r="AH150" s="769"/>
      <c r="AI150" s="769"/>
      <c r="AJ150" s="769"/>
      <c r="AK150" s="769"/>
      <c r="AL150" s="769"/>
      <c r="AM150" s="769"/>
      <c r="AN150" s="769"/>
      <c r="AO150" s="769"/>
      <c r="AP150" s="776"/>
      <c r="AQ150" s="1370"/>
      <c r="AR150" s="1324"/>
      <c r="AS150" s="1324"/>
      <c r="AT150" s="1324"/>
      <c r="AU150" s="1325"/>
      <c r="AV150" s="777"/>
      <c r="AW150" s="769"/>
      <c r="AX150" s="769"/>
      <c r="AY150" s="769"/>
      <c r="AZ150" s="776"/>
      <c r="BA150" s="776"/>
      <c r="BB150" s="776"/>
      <c r="BC150" s="776"/>
      <c r="BD150" s="776"/>
      <c r="BE150" s="776"/>
      <c r="BF150" s="769"/>
      <c r="BG150" s="769"/>
      <c r="BH150" s="769"/>
      <c r="BI150" s="769"/>
      <c r="BJ150" s="769"/>
      <c r="BK150" s="774"/>
      <c r="BL150" s="1327"/>
      <c r="BM150" s="1328"/>
      <c r="BN150" s="1328"/>
      <c r="BO150" s="1328"/>
      <c r="BP150" s="1389"/>
      <c r="BQ150" s="1369"/>
      <c r="BR150" s="1319"/>
      <c r="BS150" s="1319"/>
      <c r="BT150" s="1319"/>
      <c r="BU150" s="1320"/>
      <c r="BV150" s="1369"/>
      <c r="BW150" s="1319"/>
      <c r="BX150" s="1319"/>
      <c r="BY150" s="1319"/>
      <c r="BZ150" s="1319"/>
      <c r="CA150" s="1370"/>
      <c r="CB150" s="1324"/>
      <c r="CC150" s="1324"/>
      <c r="CD150" s="1324"/>
      <c r="CE150" s="1325"/>
      <c r="CF150" s="1319"/>
      <c r="CG150" s="1319"/>
      <c r="CH150" s="1319"/>
      <c r="CI150" s="1319"/>
      <c r="CJ150" s="1319"/>
      <c r="CK150" s="1369"/>
      <c r="CL150" s="1319"/>
      <c r="CM150" s="1319"/>
      <c r="CN150" s="1319"/>
      <c r="CO150" s="1320"/>
      <c r="CP150" s="1369"/>
      <c r="CQ150" s="1319"/>
      <c r="CR150" s="1319"/>
      <c r="CS150" s="1319"/>
      <c r="CT150" s="1320"/>
      <c r="CU150" s="1467"/>
      <c r="CV150" s="1458"/>
      <c r="CW150" s="1458"/>
      <c r="CX150" s="1663"/>
      <c r="CY150" s="1458"/>
      <c r="CZ150" s="1458"/>
      <c r="DA150" s="1458"/>
      <c r="DB150" s="1663"/>
      <c r="DC150" s="1328"/>
      <c r="DD150" s="1664"/>
      <c r="DE150" s="1669"/>
    </row>
    <row r="151" spans="1:109" ht="15.75" hidden="1" customHeight="1">
      <c r="A151" s="741" t="s">
        <v>1143</v>
      </c>
      <c r="B151" s="742">
        <v>145</v>
      </c>
      <c r="C151" s="758" t="s">
        <v>1125</v>
      </c>
      <c r="D151" s="742" t="s">
        <v>2687</v>
      </c>
      <c r="E151" s="742" t="s">
        <v>2217</v>
      </c>
      <c r="F151" s="754" t="s">
        <v>2709</v>
      </c>
      <c r="G151" s="759" t="s">
        <v>795</v>
      </c>
      <c r="H151" s="760" t="s">
        <v>2710</v>
      </c>
      <c r="I151" s="761"/>
      <c r="J151" s="762"/>
      <c r="K151" s="762">
        <v>1</v>
      </c>
      <c r="L151" s="762"/>
      <c r="M151" s="762"/>
      <c r="N151" s="762"/>
      <c r="O151" s="762"/>
      <c r="P151" s="763"/>
      <c r="Q151" s="764">
        <f t="shared" si="2"/>
        <v>1</v>
      </c>
      <c r="R151" s="758" t="s">
        <v>1846</v>
      </c>
      <c r="S151" s="742" t="s">
        <v>1826</v>
      </c>
      <c r="T151" s="765" t="s">
        <v>1827</v>
      </c>
      <c r="U151" s="742" t="s">
        <v>2242</v>
      </c>
      <c r="V151" s="742" t="s">
        <v>1857</v>
      </c>
      <c r="W151" s="742" t="s">
        <v>2711</v>
      </c>
      <c r="X151" s="798">
        <v>2</v>
      </c>
      <c r="Y151" s="790" t="s">
        <v>1838</v>
      </c>
      <c r="Z151" s="759" t="s">
        <v>795</v>
      </c>
      <c r="AA151" s="754"/>
      <c r="AB151" s="754"/>
      <c r="AC151" s="754"/>
      <c r="AD151" s="754"/>
      <c r="AE151" s="754"/>
      <c r="AF151" s="768"/>
      <c r="AG151" s="769"/>
      <c r="AH151" s="769"/>
      <c r="AI151" s="769"/>
      <c r="AJ151" s="769"/>
      <c r="AK151" s="769"/>
      <c r="AL151" s="769"/>
      <c r="AM151" s="769"/>
      <c r="AN151" s="769"/>
      <c r="AO151" s="769"/>
      <c r="AP151" s="769"/>
      <c r="AQ151" s="1369"/>
      <c r="AR151" s="1319"/>
      <c r="AS151" s="1319"/>
      <c r="AT151" s="1319"/>
      <c r="AU151" s="1320"/>
      <c r="AV151" s="777"/>
      <c r="AW151" s="769"/>
      <c r="AX151" s="769"/>
      <c r="AY151" s="769"/>
      <c r="AZ151" s="769"/>
      <c r="BA151" s="769"/>
      <c r="BB151" s="769"/>
      <c r="BC151" s="769"/>
      <c r="BD151" s="769"/>
      <c r="BE151" s="769"/>
      <c r="BF151" s="769"/>
      <c r="BG151" s="769"/>
      <c r="BH151" s="769"/>
      <c r="BI151" s="769"/>
      <c r="BJ151" s="769"/>
      <c r="BK151" s="774"/>
      <c r="BL151" s="1327"/>
      <c r="BM151" s="1328"/>
      <c r="BN151" s="1328"/>
      <c r="BO151" s="1328"/>
      <c r="BP151" s="1389"/>
      <c r="BQ151" s="1369"/>
      <c r="BR151" s="1319"/>
      <c r="BS151" s="1319"/>
      <c r="BT151" s="1319"/>
      <c r="BU151" s="1320"/>
      <c r="BV151" s="1369"/>
      <c r="BW151" s="1319"/>
      <c r="BX151" s="1319"/>
      <c r="BY151" s="1319"/>
      <c r="BZ151" s="1319"/>
      <c r="CA151" s="1369"/>
      <c r="CB151" s="1319"/>
      <c r="CC151" s="1319"/>
      <c r="CD151" s="1319"/>
      <c r="CE151" s="1320"/>
      <c r="CF151" s="1319"/>
      <c r="CG151" s="1319"/>
      <c r="CH151" s="1319"/>
      <c r="CI151" s="1319"/>
      <c r="CJ151" s="1320"/>
      <c r="CK151" s="1369"/>
      <c r="CL151" s="1319"/>
      <c r="CM151" s="1319"/>
      <c r="CN151" s="1319"/>
      <c r="CO151" s="1320"/>
      <c r="CP151" s="1369"/>
      <c r="CQ151" s="1319"/>
      <c r="CR151" s="1319"/>
      <c r="CS151" s="1319"/>
      <c r="CT151" s="1320"/>
      <c r="CU151" s="1467"/>
      <c r="CV151" s="1458"/>
      <c r="CW151" s="1458"/>
      <c r="CX151" s="1663"/>
      <c r="CY151" s="1458"/>
      <c r="CZ151" s="1458"/>
      <c r="DA151" s="1458"/>
      <c r="DB151" s="1663"/>
      <c r="DC151" s="1328"/>
      <c r="DD151" s="1664"/>
      <c r="DE151" s="1669"/>
    </row>
    <row r="152" spans="1:109" ht="15.75" hidden="1" customHeight="1">
      <c r="A152" s="741" t="s">
        <v>1143</v>
      </c>
      <c r="B152" s="742">
        <v>146</v>
      </c>
      <c r="C152" s="758" t="s">
        <v>1126</v>
      </c>
      <c r="D152" s="742" t="s">
        <v>2691</v>
      </c>
      <c r="E152" s="742" t="s">
        <v>2217</v>
      </c>
      <c r="F152" s="754" t="s">
        <v>2712</v>
      </c>
      <c r="G152" s="759" t="s">
        <v>1085</v>
      </c>
      <c r="H152" s="760" t="s">
        <v>2713</v>
      </c>
      <c r="I152" s="761"/>
      <c r="J152" s="762">
        <v>0.16</v>
      </c>
      <c r="K152" s="762">
        <v>0.84</v>
      </c>
      <c r="L152" s="762"/>
      <c r="M152" s="762"/>
      <c r="N152" s="762"/>
      <c r="O152" s="762"/>
      <c r="P152" s="763"/>
      <c r="Q152" s="764">
        <f t="shared" si="2"/>
        <v>1</v>
      </c>
      <c r="R152" s="758" t="s">
        <v>1846</v>
      </c>
      <c r="S152" s="742" t="s">
        <v>1826</v>
      </c>
      <c r="T152" s="765" t="s">
        <v>1827</v>
      </c>
      <c r="U152" s="742" t="s">
        <v>2714</v>
      </c>
      <c r="V152" s="742" t="s">
        <v>321</v>
      </c>
      <c r="W152" s="742" t="s">
        <v>2715</v>
      </c>
      <c r="X152" s="1243">
        <v>2</v>
      </c>
      <c r="Y152" s="790" t="s">
        <v>1828</v>
      </c>
      <c r="Z152" s="759" t="s">
        <v>1085</v>
      </c>
      <c r="AA152" s="754"/>
      <c r="AB152" s="754"/>
      <c r="AC152" s="754"/>
      <c r="AD152" s="754"/>
      <c r="AE152" s="754"/>
      <c r="AF152" s="768"/>
      <c r="AG152" s="769"/>
      <c r="AH152" s="769"/>
      <c r="AI152" s="769"/>
      <c r="AJ152" s="769"/>
      <c r="AK152" s="769"/>
      <c r="AL152" s="769"/>
      <c r="AM152" s="769"/>
      <c r="AN152" s="769"/>
      <c r="AO152" s="769"/>
      <c r="AP152" s="769"/>
      <c r="AQ152" s="1369"/>
      <c r="AR152" s="1319"/>
      <c r="AS152" s="1319"/>
      <c r="AT152" s="1319"/>
      <c r="AU152" s="1320"/>
      <c r="AV152" s="777"/>
      <c r="AW152" s="769"/>
      <c r="AX152" s="769"/>
      <c r="AY152" s="769"/>
      <c r="AZ152" s="769"/>
      <c r="BA152" s="769"/>
      <c r="BB152" s="769"/>
      <c r="BC152" s="769"/>
      <c r="BD152" s="769"/>
      <c r="BE152" s="769"/>
      <c r="BF152" s="769"/>
      <c r="BG152" s="769"/>
      <c r="BH152" s="769"/>
      <c r="BI152" s="769"/>
      <c r="BJ152" s="769"/>
      <c r="BK152" s="774"/>
      <c r="BL152" s="1327"/>
      <c r="BM152" s="1328"/>
      <c r="BN152" s="1328"/>
      <c r="BO152" s="1328"/>
      <c r="BP152" s="1389"/>
      <c r="BQ152" s="1369"/>
      <c r="BR152" s="1319"/>
      <c r="BS152" s="1319"/>
      <c r="BT152" s="1319"/>
      <c r="BU152" s="1320"/>
      <c r="BV152" s="1369"/>
      <c r="BW152" s="1319"/>
      <c r="BX152" s="1319"/>
      <c r="BY152" s="1319"/>
      <c r="BZ152" s="1319"/>
      <c r="CA152" s="1369"/>
      <c r="CB152" s="1319"/>
      <c r="CC152" s="1319"/>
      <c r="CD152" s="1319"/>
      <c r="CE152" s="1320"/>
      <c r="CF152" s="1319"/>
      <c r="CG152" s="1319"/>
      <c r="CH152" s="1319"/>
      <c r="CI152" s="1319"/>
      <c r="CJ152" s="1320"/>
      <c r="CK152" s="1369"/>
      <c r="CL152" s="1319"/>
      <c r="CM152" s="1319"/>
      <c r="CN152" s="1319"/>
      <c r="CO152" s="1320"/>
      <c r="CP152" s="1369"/>
      <c r="CQ152" s="1319"/>
      <c r="CR152" s="1319"/>
      <c r="CS152" s="1319"/>
      <c r="CT152" s="1320"/>
      <c r="CU152" s="1467"/>
      <c r="CV152" s="1458"/>
      <c r="CW152" s="1458"/>
      <c r="CX152" s="1663"/>
      <c r="CY152" s="1458"/>
      <c r="CZ152" s="1458"/>
      <c r="DA152" s="1458"/>
      <c r="DB152" s="1663"/>
      <c r="DC152" s="1328"/>
      <c r="DD152" s="1664"/>
      <c r="DE152" s="1669"/>
    </row>
    <row r="153" spans="1:109" ht="15.75" hidden="1" customHeight="1">
      <c r="A153" s="741" t="s">
        <v>1143</v>
      </c>
      <c r="B153" s="742">
        <v>147</v>
      </c>
      <c r="C153" s="758" t="s">
        <v>1591</v>
      </c>
      <c r="D153" s="742" t="s">
        <v>2716</v>
      </c>
      <c r="E153" s="742" t="s">
        <v>2231</v>
      </c>
      <c r="F153" s="754" t="s">
        <v>2717</v>
      </c>
      <c r="G153" s="759" t="s">
        <v>2718</v>
      </c>
      <c r="H153" s="760" t="s">
        <v>2719</v>
      </c>
      <c r="I153" s="761"/>
      <c r="J153" s="762"/>
      <c r="K153" s="762"/>
      <c r="L153" s="762"/>
      <c r="M153" s="762">
        <v>1</v>
      </c>
      <c r="N153" s="762"/>
      <c r="O153" s="762"/>
      <c r="P153" s="763"/>
      <c r="Q153" s="764">
        <f t="shared" si="2"/>
        <v>1</v>
      </c>
      <c r="R153" s="758" t="s">
        <v>1825</v>
      </c>
      <c r="S153" s="742" t="s">
        <v>2260</v>
      </c>
      <c r="T153" s="765" t="s">
        <v>2260</v>
      </c>
      <c r="U153" s="742" t="s">
        <v>2396</v>
      </c>
      <c r="V153" s="742" t="s">
        <v>1857</v>
      </c>
      <c r="W153" s="742" t="s">
        <v>2720</v>
      </c>
      <c r="X153" s="1278">
        <v>1</v>
      </c>
      <c r="Y153" s="790" t="s">
        <v>1828</v>
      </c>
      <c r="Z153" s="759" t="s">
        <v>2260</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2260</v>
      </c>
      <c r="BR153" s="769" t="s">
        <v>2260</v>
      </c>
      <c r="BS153" s="769" t="s">
        <v>2260</v>
      </c>
      <c r="BT153" s="769" t="s">
        <v>2260</v>
      </c>
      <c r="BU153" s="774" t="s">
        <v>2260</v>
      </c>
      <c r="BV153" s="777" t="s">
        <v>2260</v>
      </c>
      <c r="BW153" s="769" t="s">
        <v>2260</v>
      </c>
      <c r="BX153" s="769" t="s">
        <v>2260</v>
      </c>
      <c r="BY153" s="769" t="s">
        <v>2260</v>
      </c>
      <c r="BZ153" s="769" t="s">
        <v>2260</v>
      </c>
      <c r="CA153" s="777" t="s">
        <v>2260</v>
      </c>
      <c r="CB153" s="769" t="s">
        <v>2260</v>
      </c>
      <c r="CC153" s="769" t="s">
        <v>2260</v>
      </c>
      <c r="CD153" s="769" t="s">
        <v>2260</v>
      </c>
      <c r="CE153" s="774" t="s">
        <v>2260</v>
      </c>
      <c r="CF153" s="769" t="s">
        <v>2260</v>
      </c>
      <c r="CG153" s="769" t="s">
        <v>2260</v>
      </c>
      <c r="CH153" s="769" t="s">
        <v>2260</v>
      </c>
      <c r="CI153" s="769" t="s">
        <v>2260</v>
      </c>
      <c r="CJ153" s="774" t="s">
        <v>2260</v>
      </c>
      <c r="CK153" s="777" t="s">
        <v>2260</v>
      </c>
      <c r="CL153" s="769" t="s">
        <v>2260</v>
      </c>
      <c r="CM153" s="769" t="s">
        <v>2260</v>
      </c>
      <c r="CN153" s="769" t="s">
        <v>2260</v>
      </c>
      <c r="CO153" s="774" t="s">
        <v>2260</v>
      </c>
      <c r="CP153" s="777" t="s">
        <v>2260</v>
      </c>
      <c r="CQ153" s="769" t="s">
        <v>2260</v>
      </c>
      <c r="CR153" s="769" t="s">
        <v>2260</v>
      </c>
      <c r="CS153" s="769" t="s">
        <v>2260</v>
      </c>
      <c r="CT153" s="774" t="s">
        <v>2260</v>
      </c>
      <c r="CU153" s="1253" t="s">
        <v>2260</v>
      </c>
      <c r="CV153" s="1252" t="s">
        <v>2260</v>
      </c>
      <c r="CW153" s="1252" t="s">
        <v>2260</v>
      </c>
      <c r="CX153" s="1254" t="s">
        <v>2260</v>
      </c>
      <c r="CY153" s="1252" t="s">
        <v>2260</v>
      </c>
      <c r="CZ153" s="1252" t="s">
        <v>2260</v>
      </c>
      <c r="DA153" s="1252" t="s">
        <v>2260</v>
      </c>
      <c r="DB153" s="1254" t="s">
        <v>2260</v>
      </c>
      <c r="DC153" s="754"/>
      <c r="DD153" s="782">
        <v>1</v>
      </c>
      <c r="DE153" s="783"/>
    </row>
    <row r="154" spans="1:109" ht="15.75" hidden="1" customHeight="1">
      <c r="A154" s="741" t="s">
        <v>1143</v>
      </c>
      <c r="B154" s="742">
        <v>148</v>
      </c>
      <c r="C154" s="758" t="s">
        <v>1608</v>
      </c>
      <c r="D154" s="742" t="s">
        <v>2716</v>
      </c>
      <c r="E154" s="742" t="s">
        <v>2231</v>
      </c>
      <c r="F154" s="754" t="s">
        <v>2721</v>
      </c>
      <c r="G154" s="759" t="s">
        <v>2722</v>
      </c>
      <c r="H154" s="760" t="s">
        <v>2723</v>
      </c>
      <c r="I154" s="761"/>
      <c r="J154" s="762"/>
      <c r="K154" s="762"/>
      <c r="L154" s="762"/>
      <c r="M154" s="762">
        <v>1</v>
      </c>
      <c r="N154" s="762"/>
      <c r="O154" s="762"/>
      <c r="P154" s="763"/>
      <c r="Q154" s="764">
        <f t="shared" si="2"/>
        <v>1</v>
      </c>
      <c r="R154" s="758" t="s">
        <v>1825</v>
      </c>
      <c r="S154" s="742" t="s">
        <v>2260</v>
      </c>
      <c r="T154" s="765" t="s">
        <v>2260</v>
      </c>
      <c r="U154" s="742" t="s">
        <v>2610</v>
      </c>
      <c r="V154" s="742" t="s">
        <v>321</v>
      </c>
      <c r="W154" s="742" t="s">
        <v>2724</v>
      </c>
      <c r="X154" s="1278">
        <v>1</v>
      </c>
      <c r="Y154" s="790" t="s">
        <v>1828</v>
      </c>
      <c r="Z154" s="759" t="s">
        <v>2260</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2260</v>
      </c>
      <c r="BR154" s="769" t="s">
        <v>2260</v>
      </c>
      <c r="BS154" s="769" t="s">
        <v>2260</v>
      </c>
      <c r="BT154" s="769" t="s">
        <v>2260</v>
      </c>
      <c r="BU154" s="774" t="s">
        <v>2260</v>
      </c>
      <c r="BV154" s="777" t="s">
        <v>2260</v>
      </c>
      <c r="BW154" s="769" t="s">
        <v>2260</v>
      </c>
      <c r="BX154" s="769" t="s">
        <v>2260</v>
      </c>
      <c r="BY154" s="769" t="s">
        <v>2260</v>
      </c>
      <c r="BZ154" s="769" t="s">
        <v>2260</v>
      </c>
      <c r="CA154" s="777" t="s">
        <v>2260</v>
      </c>
      <c r="CB154" s="769" t="s">
        <v>2260</v>
      </c>
      <c r="CC154" s="769" t="s">
        <v>2260</v>
      </c>
      <c r="CD154" s="769" t="s">
        <v>2260</v>
      </c>
      <c r="CE154" s="774" t="s">
        <v>2260</v>
      </c>
      <c r="CF154" s="769" t="s">
        <v>2260</v>
      </c>
      <c r="CG154" s="769" t="s">
        <v>2260</v>
      </c>
      <c r="CH154" s="769" t="s">
        <v>2260</v>
      </c>
      <c r="CI154" s="769" t="s">
        <v>2260</v>
      </c>
      <c r="CJ154" s="774" t="s">
        <v>2260</v>
      </c>
      <c r="CK154" s="777" t="s">
        <v>2260</v>
      </c>
      <c r="CL154" s="769" t="s">
        <v>2260</v>
      </c>
      <c r="CM154" s="769" t="s">
        <v>2260</v>
      </c>
      <c r="CN154" s="769" t="s">
        <v>2260</v>
      </c>
      <c r="CO154" s="774" t="s">
        <v>2260</v>
      </c>
      <c r="CP154" s="777" t="s">
        <v>2260</v>
      </c>
      <c r="CQ154" s="769" t="s">
        <v>2260</v>
      </c>
      <c r="CR154" s="769" t="s">
        <v>2260</v>
      </c>
      <c r="CS154" s="769" t="s">
        <v>2260</v>
      </c>
      <c r="CT154" s="774" t="s">
        <v>2260</v>
      </c>
      <c r="CU154" s="1253" t="s">
        <v>2260</v>
      </c>
      <c r="CV154" s="1252" t="s">
        <v>2260</v>
      </c>
      <c r="CW154" s="1252" t="s">
        <v>2260</v>
      </c>
      <c r="CX154" s="1254" t="s">
        <v>2260</v>
      </c>
      <c r="CY154" s="1252" t="s">
        <v>2260</v>
      </c>
      <c r="CZ154" s="1252" t="s">
        <v>2260</v>
      </c>
      <c r="DA154" s="1252" t="s">
        <v>2260</v>
      </c>
      <c r="DB154" s="1254" t="s">
        <v>2260</v>
      </c>
      <c r="DC154" s="754"/>
      <c r="DD154" s="782">
        <v>1</v>
      </c>
      <c r="DE154" s="783"/>
    </row>
    <row r="155" spans="1:109" ht="15.75" hidden="1" customHeight="1">
      <c r="A155" s="741" t="s">
        <v>1143</v>
      </c>
      <c r="B155" s="742">
        <v>149</v>
      </c>
      <c r="C155" s="758" t="s">
        <v>1625</v>
      </c>
      <c r="D155" s="742" t="s">
        <v>2725</v>
      </c>
      <c r="E155" s="742" t="s">
        <v>2231</v>
      </c>
      <c r="F155" s="754" t="s">
        <v>2726</v>
      </c>
      <c r="G155" s="759" t="s">
        <v>2727</v>
      </c>
      <c r="H155" s="760" t="s">
        <v>2728</v>
      </c>
      <c r="I155" s="761"/>
      <c r="J155" s="762"/>
      <c r="K155" s="762"/>
      <c r="L155" s="762"/>
      <c r="M155" s="762">
        <v>1</v>
      </c>
      <c r="N155" s="762"/>
      <c r="O155" s="762"/>
      <c r="P155" s="763"/>
      <c r="Q155" s="764">
        <f t="shared" si="2"/>
        <v>1</v>
      </c>
      <c r="R155" s="758" t="s">
        <v>1825</v>
      </c>
      <c r="S155" s="742" t="s">
        <v>2260</v>
      </c>
      <c r="T155" s="765" t="s">
        <v>2260</v>
      </c>
      <c r="U155" s="742" t="s">
        <v>2264</v>
      </c>
      <c r="V155" s="742" t="s">
        <v>1857</v>
      </c>
      <c r="W155" s="742" t="s">
        <v>2729</v>
      </c>
      <c r="X155" s="1278">
        <v>2</v>
      </c>
      <c r="Y155" s="790" t="s">
        <v>1838</v>
      </c>
      <c r="Z155" s="759" t="s">
        <v>2260</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2260</v>
      </c>
      <c r="BR155" s="769" t="s">
        <v>2260</v>
      </c>
      <c r="BS155" s="769" t="s">
        <v>2260</v>
      </c>
      <c r="BT155" s="769" t="s">
        <v>2260</v>
      </c>
      <c r="BU155" s="774" t="s">
        <v>2260</v>
      </c>
      <c r="BV155" s="777" t="s">
        <v>2260</v>
      </c>
      <c r="BW155" s="769" t="s">
        <v>2260</v>
      </c>
      <c r="BX155" s="769" t="s">
        <v>2260</v>
      </c>
      <c r="BY155" s="769" t="s">
        <v>2260</v>
      </c>
      <c r="BZ155" s="769" t="s">
        <v>2260</v>
      </c>
      <c r="CA155" s="777" t="s">
        <v>2260</v>
      </c>
      <c r="CB155" s="769" t="s">
        <v>2260</v>
      </c>
      <c r="CC155" s="769" t="s">
        <v>2260</v>
      </c>
      <c r="CD155" s="769" t="s">
        <v>2260</v>
      </c>
      <c r="CE155" s="774" t="s">
        <v>2260</v>
      </c>
      <c r="CF155" s="769" t="s">
        <v>2260</v>
      </c>
      <c r="CG155" s="769" t="s">
        <v>2260</v>
      </c>
      <c r="CH155" s="769" t="s">
        <v>2260</v>
      </c>
      <c r="CI155" s="769" t="s">
        <v>2260</v>
      </c>
      <c r="CJ155" s="774" t="s">
        <v>2260</v>
      </c>
      <c r="CK155" s="777" t="s">
        <v>2260</v>
      </c>
      <c r="CL155" s="769" t="s">
        <v>2260</v>
      </c>
      <c r="CM155" s="769" t="s">
        <v>2260</v>
      </c>
      <c r="CN155" s="769" t="s">
        <v>2260</v>
      </c>
      <c r="CO155" s="774" t="s">
        <v>2260</v>
      </c>
      <c r="CP155" s="777" t="s">
        <v>2260</v>
      </c>
      <c r="CQ155" s="769" t="s">
        <v>2260</v>
      </c>
      <c r="CR155" s="769" t="s">
        <v>2260</v>
      </c>
      <c r="CS155" s="769" t="s">
        <v>2260</v>
      </c>
      <c r="CT155" s="774" t="s">
        <v>2260</v>
      </c>
      <c r="CU155" s="1253" t="s">
        <v>2260</v>
      </c>
      <c r="CV155" s="1252" t="s">
        <v>2260</v>
      </c>
      <c r="CW155" s="1252" t="s">
        <v>2260</v>
      </c>
      <c r="CX155" s="1254" t="s">
        <v>2260</v>
      </c>
      <c r="CY155" s="1252" t="s">
        <v>2260</v>
      </c>
      <c r="CZ155" s="1252" t="s">
        <v>2260</v>
      </c>
      <c r="DA155" s="1252" t="s">
        <v>2260</v>
      </c>
      <c r="DB155" s="1254" t="s">
        <v>2260</v>
      </c>
      <c r="DC155" s="754"/>
      <c r="DD155" s="782">
        <v>1</v>
      </c>
      <c r="DE155" s="783"/>
    </row>
    <row r="156" spans="1:109" ht="15.75" hidden="1" customHeight="1">
      <c r="A156" s="741" t="s">
        <v>1143</v>
      </c>
      <c r="B156" s="742">
        <v>150</v>
      </c>
      <c r="C156" s="758" t="s">
        <v>1308</v>
      </c>
      <c r="D156" s="742" t="s">
        <v>2675</v>
      </c>
      <c r="E156" s="742" t="s">
        <v>2231</v>
      </c>
      <c r="F156" s="754" t="s">
        <v>2730</v>
      </c>
      <c r="G156" s="759" t="s">
        <v>2731</v>
      </c>
      <c r="H156" s="760" t="s">
        <v>2732</v>
      </c>
      <c r="I156" s="761"/>
      <c r="J156" s="762">
        <v>1</v>
      </c>
      <c r="K156" s="762"/>
      <c r="L156" s="762"/>
      <c r="M156" s="762"/>
      <c r="N156" s="762"/>
      <c r="O156" s="762"/>
      <c r="P156" s="763"/>
      <c r="Q156" s="764">
        <f t="shared" si="2"/>
        <v>1</v>
      </c>
      <c r="R156" s="758" t="s">
        <v>1852</v>
      </c>
      <c r="S156" s="742" t="s">
        <v>1826</v>
      </c>
      <c r="T156" s="765" t="s">
        <v>1827</v>
      </c>
      <c r="U156" s="742" t="s">
        <v>2482</v>
      </c>
      <c r="V156" s="742" t="s">
        <v>1857</v>
      </c>
      <c r="W156" s="742" t="s">
        <v>2733</v>
      </c>
      <c r="X156" s="798">
        <v>1</v>
      </c>
      <c r="Y156" s="788" t="s">
        <v>1838</v>
      </c>
      <c r="Z156" s="759" t="s">
        <v>2260</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210</v>
      </c>
      <c r="BM156" s="754" t="s">
        <v>210</v>
      </c>
      <c r="BN156" s="754" t="s">
        <v>210</v>
      </c>
      <c r="BO156" s="754" t="s">
        <v>210</v>
      </c>
      <c r="BP156" s="765" t="s">
        <v>210</v>
      </c>
      <c r="BQ156" s="777" t="s">
        <v>2260</v>
      </c>
      <c r="BR156" s="769" t="s">
        <v>2260</v>
      </c>
      <c r="BS156" s="769" t="s">
        <v>2260</v>
      </c>
      <c r="BT156" s="769" t="s">
        <v>2260</v>
      </c>
      <c r="BU156" s="774" t="s">
        <v>2260</v>
      </c>
      <c r="BV156" s="777" t="s">
        <v>2260</v>
      </c>
      <c r="BW156" s="769" t="s">
        <v>2260</v>
      </c>
      <c r="BX156" s="769" t="s">
        <v>2260</v>
      </c>
      <c r="BY156" s="769" t="s">
        <v>2260</v>
      </c>
      <c r="BZ156" s="769" t="s">
        <v>2260</v>
      </c>
      <c r="CA156" s="777" t="s">
        <v>2260</v>
      </c>
      <c r="CB156" s="769" t="s">
        <v>2260</v>
      </c>
      <c r="CC156" s="769" t="s">
        <v>2260</v>
      </c>
      <c r="CD156" s="769" t="s">
        <v>2260</v>
      </c>
      <c r="CE156" s="774" t="s">
        <v>2260</v>
      </c>
      <c r="CF156" s="769" t="s">
        <v>2260</v>
      </c>
      <c r="CG156" s="769" t="s">
        <v>2260</v>
      </c>
      <c r="CH156" s="769" t="s">
        <v>2260</v>
      </c>
      <c r="CI156" s="769" t="s">
        <v>2260</v>
      </c>
      <c r="CJ156" s="774" t="s">
        <v>2260</v>
      </c>
      <c r="CK156" s="777" t="s">
        <v>2260</v>
      </c>
      <c r="CL156" s="769" t="s">
        <v>2260</v>
      </c>
      <c r="CM156" s="769" t="s">
        <v>2260</v>
      </c>
      <c r="CN156" s="769" t="s">
        <v>2260</v>
      </c>
      <c r="CO156" s="774" t="s">
        <v>2260</v>
      </c>
      <c r="CP156" s="777" t="s">
        <v>2260</v>
      </c>
      <c r="CQ156" s="769" t="s">
        <v>2260</v>
      </c>
      <c r="CR156" s="769" t="s">
        <v>2260</v>
      </c>
      <c r="CS156" s="769" t="s">
        <v>2260</v>
      </c>
      <c r="CT156" s="774" t="s">
        <v>2260</v>
      </c>
      <c r="CU156" s="1253">
        <v>-0.42799999999999999</v>
      </c>
      <c r="CV156" s="1252" t="s">
        <v>2260</v>
      </c>
      <c r="CW156" s="1252" t="s">
        <v>2260</v>
      </c>
      <c r="CX156" s="1254" t="s">
        <v>2260</v>
      </c>
      <c r="CY156" s="1252">
        <v>0.26100000000000001</v>
      </c>
      <c r="CZ156" s="1252" t="s">
        <v>2260</v>
      </c>
      <c r="DA156" s="1252" t="s">
        <v>2260</v>
      </c>
      <c r="DB156" s="1254" t="s">
        <v>2260</v>
      </c>
      <c r="DC156" s="754"/>
      <c r="DD156" s="782">
        <v>1</v>
      </c>
      <c r="DE156" s="783"/>
    </row>
    <row r="157" spans="1:109" ht="15.75" hidden="1" customHeight="1">
      <c r="A157" s="741" t="s">
        <v>1143</v>
      </c>
      <c r="B157" s="742">
        <v>151</v>
      </c>
      <c r="C157" s="758" t="s">
        <v>1642</v>
      </c>
      <c r="D157" s="742" t="s">
        <v>2734</v>
      </c>
      <c r="E157" s="742" t="s">
        <v>2231</v>
      </c>
      <c r="F157" s="754" t="s">
        <v>2735</v>
      </c>
      <c r="G157" s="759" t="s">
        <v>2736</v>
      </c>
      <c r="H157" s="760" t="s">
        <v>2737</v>
      </c>
      <c r="I157" s="761"/>
      <c r="J157" s="762"/>
      <c r="K157" s="762"/>
      <c r="L157" s="762"/>
      <c r="M157" s="762">
        <v>1</v>
      </c>
      <c r="N157" s="762"/>
      <c r="O157" s="762"/>
      <c r="P157" s="763"/>
      <c r="Q157" s="764">
        <f t="shared" si="2"/>
        <v>1</v>
      </c>
      <c r="R157" s="758" t="s">
        <v>1825</v>
      </c>
      <c r="S157" s="742" t="s">
        <v>2260</v>
      </c>
      <c r="T157" s="765" t="s">
        <v>2260</v>
      </c>
      <c r="U157" s="742" t="s">
        <v>2396</v>
      </c>
      <c r="V157" s="742" t="s">
        <v>1857</v>
      </c>
      <c r="W157" s="742" t="s">
        <v>2738</v>
      </c>
      <c r="X157" s="798">
        <v>1</v>
      </c>
      <c r="Y157" s="788" t="s">
        <v>1828</v>
      </c>
      <c r="Z157" s="759" t="s">
        <v>2260</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2260</v>
      </c>
      <c r="BR157" s="769" t="s">
        <v>2260</v>
      </c>
      <c r="BS157" s="769" t="s">
        <v>2260</v>
      </c>
      <c r="BT157" s="769" t="s">
        <v>2260</v>
      </c>
      <c r="BU157" s="774" t="s">
        <v>2260</v>
      </c>
      <c r="BV157" s="777" t="s">
        <v>2260</v>
      </c>
      <c r="BW157" s="769" t="s">
        <v>2260</v>
      </c>
      <c r="BX157" s="769" t="s">
        <v>2260</v>
      </c>
      <c r="BY157" s="769" t="s">
        <v>2260</v>
      </c>
      <c r="BZ157" s="769" t="s">
        <v>2260</v>
      </c>
      <c r="CA157" s="777" t="s">
        <v>2260</v>
      </c>
      <c r="CB157" s="769" t="s">
        <v>2260</v>
      </c>
      <c r="CC157" s="769" t="s">
        <v>2260</v>
      </c>
      <c r="CD157" s="769" t="s">
        <v>2260</v>
      </c>
      <c r="CE157" s="774" t="s">
        <v>2260</v>
      </c>
      <c r="CF157" s="769" t="s">
        <v>2260</v>
      </c>
      <c r="CG157" s="769" t="s">
        <v>2260</v>
      </c>
      <c r="CH157" s="769" t="s">
        <v>2260</v>
      </c>
      <c r="CI157" s="769" t="s">
        <v>2260</v>
      </c>
      <c r="CJ157" s="774" t="s">
        <v>2260</v>
      </c>
      <c r="CK157" s="777" t="s">
        <v>2260</v>
      </c>
      <c r="CL157" s="769" t="s">
        <v>2260</v>
      </c>
      <c r="CM157" s="769" t="s">
        <v>2260</v>
      </c>
      <c r="CN157" s="769" t="s">
        <v>2260</v>
      </c>
      <c r="CO157" s="774" t="s">
        <v>2260</v>
      </c>
      <c r="CP157" s="777" t="s">
        <v>2260</v>
      </c>
      <c r="CQ157" s="769" t="s">
        <v>2260</v>
      </c>
      <c r="CR157" s="769" t="s">
        <v>2260</v>
      </c>
      <c r="CS157" s="769" t="s">
        <v>2260</v>
      </c>
      <c r="CT157" s="774" t="s">
        <v>2260</v>
      </c>
      <c r="CU157" s="1253" t="s">
        <v>2260</v>
      </c>
      <c r="CV157" s="1252" t="s">
        <v>2260</v>
      </c>
      <c r="CW157" s="1252" t="s">
        <v>2260</v>
      </c>
      <c r="CX157" s="1254" t="s">
        <v>2260</v>
      </c>
      <c r="CY157" s="1252" t="s">
        <v>2260</v>
      </c>
      <c r="CZ157" s="1252" t="s">
        <v>2260</v>
      </c>
      <c r="DA157" s="1252" t="s">
        <v>2260</v>
      </c>
      <c r="DB157" s="1254" t="s">
        <v>2260</v>
      </c>
      <c r="DC157" s="754"/>
      <c r="DD157" s="782">
        <v>1</v>
      </c>
      <c r="DE157" s="783"/>
    </row>
    <row r="158" spans="1:109" ht="15.75" hidden="1" customHeight="1">
      <c r="A158" s="741" t="s">
        <v>1143</v>
      </c>
      <c r="B158" s="742">
        <v>152</v>
      </c>
      <c r="C158" s="758" t="s">
        <v>1658</v>
      </c>
      <c r="D158" s="742" t="s">
        <v>2716</v>
      </c>
      <c r="E158" s="742" t="s">
        <v>2231</v>
      </c>
      <c r="F158" s="754" t="s">
        <v>2739</v>
      </c>
      <c r="G158" s="759" t="s">
        <v>2740</v>
      </c>
      <c r="H158" s="760" t="s">
        <v>2741</v>
      </c>
      <c r="I158" s="761"/>
      <c r="J158" s="762"/>
      <c r="K158" s="762"/>
      <c r="L158" s="762"/>
      <c r="M158" s="762">
        <v>1</v>
      </c>
      <c r="N158" s="762"/>
      <c r="O158" s="762"/>
      <c r="P158" s="763"/>
      <c r="Q158" s="764">
        <f t="shared" si="2"/>
        <v>1</v>
      </c>
      <c r="R158" s="758" t="s">
        <v>1825</v>
      </c>
      <c r="S158" s="742" t="s">
        <v>2260</v>
      </c>
      <c r="T158" s="765" t="s">
        <v>2260</v>
      </c>
      <c r="U158" s="742" t="s">
        <v>2396</v>
      </c>
      <c r="V158" s="742" t="s">
        <v>321</v>
      </c>
      <c r="W158" s="742" t="s">
        <v>2742</v>
      </c>
      <c r="X158" s="798">
        <v>2</v>
      </c>
      <c r="Y158" s="795" t="s">
        <v>1838</v>
      </c>
      <c r="Z158" s="759" t="s">
        <v>2260</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2260</v>
      </c>
      <c r="BR158" s="769" t="s">
        <v>2260</v>
      </c>
      <c r="BS158" s="769" t="s">
        <v>2260</v>
      </c>
      <c r="BT158" s="769" t="s">
        <v>2260</v>
      </c>
      <c r="BU158" s="774" t="s">
        <v>2260</v>
      </c>
      <c r="BV158" s="777" t="s">
        <v>2260</v>
      </c>
      <c r="BW158" s="769" t="s">
        <v>2260</v>
      </c>
      <c r="BX158" s="769" t="s">
        <v>2260</v>
      </c>
      <c r="BY158" s="769" t="s">
        <v>2260</v>
      </c>
      <c r="BZ158" s="769" t="s">
        <v>2260</v>
      </c>
      <c r="CA158" s="777" t="s">
        <v>2260</v>
      </c>
      <c r="CB158" s="769" t="s">
        <v>2260</v>
      </c>
      <c r="CC158" s="769" t="s">
        <v>2260</v>
      </c>
      <c r="CD158" s="769" t="s">
        <v>2260</v>
      </c>
      <c r="CE158" s="774" t="s">
        <v>2260</v>
      </c>
      <c r="CF158" s="769" t="s">
        <v>2260</v>
      </c>
      <c r="CG158" s="769" t="s">
        <v>2260</v>
      </c>
      <c r="CH158" s="769" t="s">
        <v>2260</v>
      </c>
      <c r="CI158" s="769" t="s">
        <v>2260</v>
      </c>
      <c r="CJ158" s="774" t="s">
        <v>2260</v>
      </c>
      <c r="CK158" s="777" t="s">
        <v>2260</v>
      </c>
      <c r="CL158" s="769" t="s">
        <v>2260</v>
      </c>
      <c r="CM158" s="769" t="s">
        <v>2260</v>
      </c>
      <c r="CN158" s="769" t="s">
        <v>2260</v>
      </c>
      <c r="CO158" s="774" t="s">
        <v>2260</v>
      </c>
      <c r="CP158" s="777" t="s">
        <v>2260</v>
      </c>
      <c r="CQ158" s="769" t="s">
        <v>2260</v>
      </c>
      <c r="CR158" s="769" t="s">
        <v>2260</v>
      </c>
      <c r="CS158" s="769" t="s">
        <v>2260</v>
      </c>
      <c r="CT158" s="774" t="s">
        <v>2260</v>
      </c>
      <c r="CU158" s="1253" t="s">
        <v>2260</v>
      </c>
      <c r="CV158" s="1252" t="s">
        <v>2260</v>
      </c>
      <c r="CW158" s="1252" t="s">
        <v>2260</v>
      </c>
      <c r="CX158" s="1254" t="s">
        <v>2260</v>
      </c>
      <c r="CY158" s="1252" t="s">
        <v>2260</v>
      </c>
      <c r="CZ158" s="1252" t="s">
        <v>2260</v>
      </c>
      <c r="DA158" s="1252" t="s">
        <v>2260</v>
      </c>
      <c r="DB158" s="1254" t="s">
        <v>2260</v>
      </c>
      <c r="DC158" s="754"/>
      <c r="DD158" s="782">
        <v>1</v>
      </c>
      <c r="DE158" s="783"/>
    </row>
    <row r="159" spans="1:109" ht="15.75" hidden="1" customHeight="1">
      <c r="A159" s="741" t="s">
        <v>1143</v>
      </c>
      <c r="B159" s="742">
        <v>153</v>
      </c>
      <c r="C159" s="758" t="s">
        <v>1672</v>
      </c>
      <c r="D159" s="742" t="s">
        <v>2743</v>
      </c>
      <c r="E159" s="742" t="s">
        <v>2231</v>
      </c>
      <c r="F159" s="754" t="s">
        <v>2744</v>
      </c>
      <c r="G159" s="759" t="s">
        <v>2745</v>
      </c>
      <c r="H159" s="760" t="s">
        <v>2746</v>
      </c>
      <c r="I159" s="761"/>
      <c r="J159" s="762">
        <v>0.56999999999999995</v>
      </c>
      <c r="K159" s="762">
        <v>0.43</v>
      </c>
      <c r="L159" s="762"/>
      <c r="M159" s="762"/>
      <c r="N159" s="762"/>
      <c r="O159" s="762"/>
      <c r="P159" s="763"/>
      <c r="Q159" s="764">
        <f t="shared" si="2"/>
        <v>1</v>
      </c>
      <c r="R159" s="758" t="s">
        <v>1825</v>
      </c>
      <c r="S159" s="742" t="s">
        <v>2260</v>
      </c>
      <c r="T159" s="765" t="s">
        <v>2260</v>
      </c>
      <c r="U159" s="742" t="s">
        <v>2396</v>
      </c>
      <c r="V159" s="742" t="s">
        <v>321</v>
      </c>
      <c r="W159" s="742" t="s">
        <v>2747</v>
      </c>
      <c r="X159" s="798">
        <v>1</v>
      </c>
      <c r="Y159" s="790" t="s">
        <v>1828</v>
      </c>
      <c r="Z159" s="759" t="s">
        <v>2260</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2260</v>
      </c>
      <c r="BR159" s="769" t="s">
        <v>2260</v>
      </c>
      <c r="BS159" s="769" t="s">
        <v>2260</v>
      </c>
      <c r="BT159" s="769" t="s">
        <v>2260</v>
      </c>
      <c r="BU159" s="774" t="s">
        <v>2260</v>
      </c>
      <c r="BV159" s="777" t="s">
        <v>2260</v>
      </c>
      <c r="BW159" s="769" t="s">
        <v>2260</v>
      </c>
      <c r="BX159" s="769" t="s">
        <v>2260</v>
      </c>
      <c r="BY159" s="769" t="s">
        <v>2260</v>
      </c>
      <c r="BZ159" s="769" t="s">
        <v>2260</v>
      </c>
      <c r="CA159" s="777" t="s">
        <v>2260</v>
      </c>
      <c r="CB159" s="769" t="s">
        <v>2260</v>
      </c>
      <c r="CC159" s="769" t="s">
        <v>2260</v>
      </c>
      <c r="CD159" s="769" t="s">
        <v>2260</v>
      </c>
      <c r="CE159" s="774" t="s">
        <v>2260</v>
      </c>
      <c r="CF159" s="769" t="s">
        <v>2260</v>
      </c>
      <c r="CG159" s="769" t="s">
        <v>2260</v>
      </c>
      <c r="CH159" s="769" t="s">
        <v>2260</v>
      </c>
      <c r="CI159" s="769" t="s">
        <v>2260</v>
      </c>
      <c r="CJ159" s="774" t="s">
        <v>2260</v>
      </c>
      <c r="CK159" s="777" t="s">
        <v>2260</v>
      </c>
      <c r="CL159" s="769" t="s">
        <v>2260</v>
      </c>
      <c r="CM159" s="769" t="s">
        <v>2260</v>
      </c>
      <c r="CN159" s="769" t="s">
        <v>2260</v>
      </c>
      <c r="CO159" s="774" t="s">
        <v>2260</v>
      </c>
      <c r="CP159" s="777" t="s">
        <v>2260</v>
      </c>
      <c r="CQ159" s="769" t="s">
        <v>2260</v>
      </c>
      <c r="CR159" s="769" t="s">
        <v>2260</v>
      </c>
      <c r="CS159" s="769" t="s">
        <v>2260</v>
      </c>
      <c r="CT159" s="774" t="s">
        <v>2260</v>
      </c>
      <c r="CU159" s="1253" t="s">
        <v>2260</v>
      </c>
      <c r="CV159" s="1252" t="s">
        <v>2260</v>
      </c>
      <c r="CW159" s="1252" t="s">
        <v>2260</v>
      </c>
      <c r="CX159" s="1254" t="s">
        <v>2260</v>
      </c>
      <c r="CY159" s="1252" t="s">
        <v>2260</v>
      </c>
      <c r="CZ159" s="1252" t="s">
        <v>2260</v>
      </c>
      <c r="DA159" s="1252" t="s">
        <v>2260</v>
      </c>
      <c r="DB159" s="1254" t="s">
        <v>2260</v>
      </c>
      <c r="DC159" s="754"/>
      <c r="DD159" s="782">
        <v>1</v>
      </c>
      <c r="DE159" s="783"/>
    </row>
    <row r="160" spans="1:109" ht="15.75" hidden="1" customHeight="1">
      <c r="A160" s="741" t="s">
        <v>1143</v>
      </c>
      <c r="B160" s="742">
        <v>154</v>
      </c>
      <c r="C160" s="758" t="s">
        <v>1325</v>
      </c>
      <c r="D160" s="742" t="s">
        <v>2716</v>
      </c>
      <c r="E160" s="742" t="s">
        <v>2231</v>
      </c>
      <c r="F160" s="754" t="s">
        <v>2748</v>
      </c>
      <c r="G160" s="759" t="s">
        <v>2749</v>
      </c>
      <c r="H160" s="760" t="s">
        <v>2750</v>
      </c>
      <c r="I160" s="761"/>
      <c r="J160" s="762"/>
      <c r="K160" s="762"/>
      <c r="L160" s="762"/>
      <c r="M160" s="762">
        <v>1</v>
      </c>
      <c r="N160" s="762"/>
      <c r="O160" s="762"/>
      <c r="P160" s="763"/>
      <c r="Q160" s="764">
        <f t="shared" si="2"/>
        <v>1</v>
      </c>
      <c r="R160" s="758" t="s">
        <v>1852</v>
      </c>
      <c r="S160" s="742" t="s">
        <v>1826</v>
      </c>
      <c r="T160" s="765" t="s">
        <v>1827</v>
      </c>
      <c r="U160" s="742" t="s">
        <v>2396</v>
      </c>
      <c r="V160" s="742" t="s">
        <v>321</v>
      </c>
      <c r="W160" s="742" t="s">
        <v>2751</v>
      </c>
      <c r="X160" s="798">
        <v>2</v>
      </c>
      <c r="Y160" s="790" t="s">
        <v>1838</v>
      </c>
      <c r="Z160" s="759" t="s">
        <v>2260</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210</v>
      </c>
      <c r="BM160" s="754" t="s">
        <v>210</v>
      </c>
      <c r="BN160" s="754" t="s">
        <v>210</v>
      </c>
      <c r="BO160" s="754" t="s">
        <v>210</v>
      </c>
      <c r="BP160" s="765" t="s">
        <v>210</v>
      </c>
      <c r="BQ160" s="777" t="s">
        <v>2260</v>
      </c>
      <c r="BR160" s="769" t="s">
        <v>2260</v>
      </c>
      <c r="BS160" s="769" t="s">
        <v>2260</v>
      </c>
      <c r="BT160" s="769" t="s">
        <v>2260</v>
      </c>
      <c r="BU160" s="774" t="s">
        <v>2260</v>
      </c>
      <c r="BV160" s="775">
        <v>4.9400000000000004</v>
      </c>
      <c r="BW160" s="776">
        <v>4.9400000000000004</v>
      </c>
      <c r="BX160" s="776">
        <v>4.9400000000000004</v>
      </c>
      <c r="BY160" s="776">
        <v>4.9400000000000004</v>
      </c>
      <c r="BZ160" s="776">
        <v>4.9400000000000004</v>
      </c>
      <c r="CA160" s="777" t="s">
        <v>2260</v>
      </c>
      <c r="CB160" s="769" t="s">
        <v>2260</v>
      </c>
      <c r="CC160" s="769" t="s">
        <v>2260</v>
      </c>
      <c r="CD160" s="769" t="s">
        <v>2260</v>
      </c>
      <c r="CE160" s="774" t="s">
        <v>2260</v>
      </c>
      <c r="CF160" s="779" t="s">
        <v>2260</v>
      </c>
      <c r="CG160" s="779" t="s">
        <v>2260</v>
      </c>
      <c r="CH160" s="779" t="s">
        <v>2260</v>
      </c>
      <c r="CI160" s="779" t="s">
        <v>2260</v>
      </c>
      <c r="CJ160" s="780" t="s">
        <v>2260</v>
      </c>
      <c r="CK160" s="777">
        <v>3.9</v>
      </c>
      <c r="CL160" s="769">
        <v>3.85</v>
      </c>
      <c r="CM160" s="769">
        <v>3.8</v>
      </c>
      <c r="CN160" s="769">
        <v>3.75</v>
      </c>
      <c r="CO160" s="774">
        <v>3.71</v>
      </c>
      <c r="CP160" s="777" t="s">
        <v>2260</v>
      </c>
      <c r="CQ160" s="769" t="s">
        <v>2260</v>
      </c>
      <c r="CR160" s="769" t="s">
        <v>2260</v>
      </c>
      <c r="CS160" s="769" t="s">
        <v>2260</v>
      </c>
      <c r="CT160" s="774" t="s">
        <v>2260</v>
      </c>
      <c r="CU160" s="1253">
        <v>-2.665</v>
      </c>
      <c r="CV160" s="1252" t="s">
        <v>2260</v>
      </c>
      <c r="CW160" s="1252" t="s">
        <v>2260</v>
      </c>
      <c r="CX160" s="1254" t="s">
        <v>2260</v>
      </c>
      <c r="CY160" s="1252">
        <v>2.665</v>
      </c>
      <c r="CZ160" s="1252" t="s">
        <v>2260</v>
      </c>
      <c r="DA160" s="1252" t="s">
        <v>2260</v>
      </c>
      <c r="DB160" s="1254" t="s">
        <v>2260</v>
      </c>
      <c r="DC160" s="754"/>
      <c r="DD160" s="782">
        <v>1</v>
      </c>
      <c r="DE160" s="783"/>
    </row>
    <row r="161" spans="1:109" ht="15.75" hidden="1" customHeight="1">
      <c r="A161" s="741" t="s">
        <v>1143</v>
      </c>
      <c r="B161" s="742">
        <v>155</v>
      </c>
      <c r="C161" s="758" t="s">
        <v>1342</v>
      </c>
      <c r="D161" s="742" t="s">
        <v>2695</v>
      </c>
      <c r="E161" s="742" t="s">
        <v>2231</v>
      </c>
      <c r="F161" s="754" t="s">
        <v>2752</v>
      </c>
      <c r="G161" s="759" t="s">
        <v>2753</v>
      </c>
      <c r="H161" s="760" t="s">
        <v>2754</v>
      </c>
      <c r="I161" s="761"/>
      <c r="J161" s="762">
        <v>1</v>
      </c>
      <c r="K161" s="762"/>
      <c r="L161" s="762"/>
      <c r="M161" s="762"/>
      <c r="N161" s="762"/>
      <c r="O161" s="762"/>
      <c r="P161" s="763"/>
      <c r="Q161" s="764">
        <f t="shared" si="2"/>
        <v>1</v>
      </c>
      <c r="R161" s="758" t="s">
        <v>1852</v>
      </c>
      <c r="S161" s="742" t="s">
        <v>1826</v>
      </c>
      <c r="T161" s="765" t="s">
        <v>1827</v>
      </c>
      <c r="U161" s="742" t="s">
        <v>2220</v>
      </c>
      <c r="V161" s="742" t="s">
        <v>1857</v>
      </c>
      <c r="W161" s="742" t="s">
        <v>2755</v>
      </c>
      <c r="X161" s="798">
        <v>0</v>
      </c>
      <c r="Y161" s="790" t="s">
        <v>1838</v>
      </c>
      <c r="Z161" s="759" t="s">
        <v>2260</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210</v>
      </c>
      <c r="BM161" s="754" t="s">
        <v>210</v>
      </c>
      <c r="BN161" s="754" t="s">
        <v>210</v>
      </c>
      <c r="BO161" s="754" t="s">
        <v>210</v>
      </c>
      <c r="BP161" s="765" t="s">
        <v>210</v>
      </c>
      <c r="BQ161" s="777" t="s">
        <v>2260</v>
      </c>
      <c r="BR161" s="769" t="s">
        <v>2260</v>
      </c>
      <c r="BS161" s="769" t="s">
        <v>2260</v>
      </c>
      <c r="BT161" s="769" t="s">
        <v>2260</v>
      </c>
      <c r="BU161" s="774" t="s">
        <v>2260</v>
      </c>
      <c r="BV161" s="777" t="s">
        <v>2260</v>
      </c>
      <c r="BW161" s="769" t="s">
        <v>2260</v>
      </c>
      <c r="BX161" s="769" t="s">
        <v>2260</v>
      </c>
      <c r="BY161" s="769" t="s">
        <v>2260</v>
      </c>
      <c r="BZ161" s="769" t="s">
        <v>2260</v>
      </c>
      <c r="CA161" s="777" t="s">
        <v>2260</v>
      </c>
      <c r="CB161" s="769" t="s">
        <v>2260</v>
      </c>
      <c r="CC161" s="769" t="s">
        <v>2260</v>
      </c>
      <c r="CD161" s="769" t="s">
        <v>2260</v>
      </c>
      <c r="CE161" s="774" t="s">
        <v>2260</v>
      </c>
      <c r="CF161" s="769" t="s">
        <v>2260</v>
      </c>
      <c r="CG161" s="769" t="s">
        <v>2260</v>
      </c>
      <c r="CH161" s="769" t="s">
        <v>2260</v>
      </c>
      <c r="CI161" s="769" t="s">
        <v>2260</v>
      </c>
      <c r="CJ161" s="774" t="s">
        <v>2260</v>
      </c>
      <c r="CK161" s="777" t="s">
        <v>2260</v>
      </c>
      <c r="CL161" s="769" t="s">
        <v>2260</v>
      </c>
      <c r="CM161" s="769" t="s">
        <v>2260</v>
      </c>
      <c r="CN161" s="769" t="s">
        <v>2260</v>
      </c>
      <c r="CO161" s="774" t="s">
        <v>2260</v>
      </c>
      <c r="CP161" s="777" t="s">
        <v>2260</v>
      </c>
      <c r="CQ161" s="769" t="s">
        <v>2260</v>
      </c>
      <c r="CR161" s="769" t="s">
        <v>2260</v>
      </c>
      <c r="CS161" s="769" t="s">
        <v>2260</v>
      </c>
      <c r="CT161" s="774" t="s">
        <v>2260</v>
      </c>
      <c r="CU161" s="1253">
        <v>-3.31E-3</v>
      </c>
      <c r="CV161" s="1252" t="s">
        <v>2260</v>
      </c>
      <c r="CW161" s="1252" t="s">
        <v>2260</v>
      </c>
      <c r="CX161" s="1254" t="s">
        <v>2260</v>
      </c>
      <c r="CY161" s="1252">
        <v>3.31E-3</v>
      </c>
      <c r="CZ161" s="1252" t="s">
        <v>2260</v>
      </c>
      <c r="DA161" s="1252" t="s">
        <v>2260</v>
      </c>
      <c r="DB161" s="1254" t="s">
        <v>2260</v>
      </c>
      <c r="DC161" s="754"/>
      <c r="DD161" s="782">
        <v>1</v>
      </c>
      <c r="DE161" s="783"/>
    </row>
    <row r="162" spans="1:109" ht="15.75" hidden="1" customHeight="1">
      <c r="A162" s="741" t="s">
        <v>1143</v>
      </c>
      <c r="B162" s="742">
        <v>156</v>
      </c>
      <c r="C162" s="758" t="s">
        <v>1359</v>
      </c>
      <c r="D162" s="742" t="s">
        <v>2671</v>
      </c>
      <c r="E162" s="742" t="s">
        <v>2223</v>
      </c>
      <c r="F162" s="754" t="s">
        <v>2756</v>
      </c>
      <c r="G162" s="759" t="s">
        <v>2757</v>
      </c>
      <c r="H162" s="760" t="s">
        <v>2758</v>
      </c>
      <c r="I162" s="761"/>
      <c r="J162" s="762">
        <v>1</v>
      </c>
      <c r="K162" s="762"/>
      <c r="L162" s="762"/>
      <c r="M162" s="762"/>
      <c r="N162" s="762"/>
      <c r="O162" s="762"/>
      <c r="P162" s="763"/>
      <c r="Q162" s="764">
        <f t="shared" si="2"/>
        <v>1</v>
      </c>
      <c r="R162" s="758" t="s">
        <v>1852</v>
      </c>
      <c r="S162" s="742" t="s">
        <v>1826</v>
      </c>
      <c r="T162" s="765" t="s">
        <v>1827</v>
      </c>
      <c r="U162" s="742" t="s">
        <v>2421</v>
      </c>
      <c r="V162" s="742" t="s">
        <v>1857</v>
      </c>
      <c r="W162" s="742" t="s">
        <v>2759</v>
      </c>
      <c r="X162" s="798">
        <v>2</v>
      </c>
      <c r="Y162" s="790" t="s">
        <v>1838</v>
      </c>
      <c r="Z162" s="759" t="s">
        <v>2309</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210</v>
      </c>
      <c r="BM162" s="754" t="s">
        <v>210</v>
      </c>
      <c r="BN162" s="754" t="s">
        <v>210</v>
      </c>
      <c r="BO162" s="754" t="s">
        <v>210</v>
      </c>
      <c r="BP162" s="765" t="s">
        <v>210</v>
      </c>
      <c r="BQ162" s="777" t="s">
        <v>2260</v>
      </c>
      <c r="BR162" s="769" t="s">
        <v>2260</v>
      </c>
      <c r="BS162" s="769" t="s">
        <v>2260</v>
      </c>
      <c r="BT162" s="769" t="s">
        <v>2260</v>
      </c>
      <c r="BU162" s="774" t="s">
        <v>2260</v>
      </c>
      <c r="BV162" s="777" t="s">
        <v>2260</v>
      </c>
      <c r="BW162" s="769" t="s">
        <v>2260</v>
      </c>
      <c r="BX162" s="769" t="s">
        <v>2260</v>
      </c>
      <c r="BY162" s="769" t="s">
        <v>2260</v>
      </c>
      <c r="BZ162" s="769" t="s">
        <v>2260</v>
      </c>
      <c r="CA162" s="777" t="s">
        <v>2260</v>
      </c>
      <c r="CB162" s="769" t="s">
        <v>2260</v>
      </c>
      <c r="CC162" s="769" t="s">
        <v>2260</v>
      </c>
      <c r="CD162" s="769" t="s">
        <v>2260</v>
      </c>
      <c r="CE162" s="774" t="s">
        <v>2260</v>
      </c>
      <c r="CF162" s="769" t="s">
        <v>2260</v>
      </c>
      <c r="CG162" s="769" t="s">
        <v>2260</v>
      </c>
      <c r="CH162" s="769" t="s">
        <v>2260</v>
      </c>
      <c r="CI162" s="769" t="s">
        <v>2260</v>
      </c>
      <c r="CJ162" s="774" t="s">
        <v>2260</v>
      </c>
      <c r="CK162" s="777" t="s">
        <v>2260</v>
      </c>
      <c r="CL162" s="769" t="s">
        <v>2260</v>
      </c>
      <c r="CM162" s="769" t="s">
        <v>2260</v>
      </c>
      <c r="CN162" s="769" t="s">
        <v>2260</v>
      </c>
      <c r="CO162" s="774" t="s">
        <v>2260</v>
      </c>
      <c r="CP162" s="777" t="s">
        <v>2260</v>
      </c>
      <c r="CQ162" s="769" t="s">
        <v>2260</v>
      </c>
      <c r="CR162" s="769" t="s">
        <v>2260</v>
      </c>
      <c r="CS162" s="769" t="s">
        <v>2260</v>
      </c>
      <c r="CT162" s="774" t="s">
        <v>2260</v>
      </c>
      <c r="CU162" s="1253">
        <v>-1.054</v>
      </c>
      <c r="CV162" s="1252" t="s">
        <v>2260</v>
      </c>
      <c r="CW162" s="1252" t="s">
        <v>2260</v>
      </c>
      <c r="CX162" s="1254" t="s">
        <v>2260</v>
      </c>
      <c r="CY162" s="1252">
        <v>0.878</v>
      </c>
      <c r="CZ162" s="1252" t="s">
        <v>2260</v>
      </c>
      <c r="DA162" s="1252" t="s">
        <v>2260</v>
      </c>
      <c r="DB162" s="1254" t="s">
        <v>2260</v>
      </c>
      <c r="DC162" s="754"/>
      <c r="DD162" s="782">
        <v>1</v>
      </c>
      <c r="DE162" s="783"/>
    </row>
    <row r="163" spans="1:109" ht="15.75" hidden="1" customHeight="1">
      <c r="A163" s="741" t="s">
        <v>1143</v>
      </c>
      <c r="B163" s="742">
        <v>157</v>
      </c>
      <c r="C163" s="758" t="s">
        <v>1376</v>
      </c>
      <c r="D163" s="742" t="s">
        <v>2671</v>
      </c>
      <c r="E163" s="742" t="s">
        <v>2223</v>
      </c>
      <c r="F163" s="754" t="s">
        <v>2760</v>
      </c>
      <c r="G163" s="759" t="s">
        <v>2761</v>
      </c>
      <c r="H163" s="760" t="s">
        <v>2762</v>
      </c>
      <c r="I163" s="761"/>
      <c r="J163" s="762">
        <v>1</v>
      </c>
      <c r="K163" s="762"/>
      <c r="L163" s="762"/>
      <c r="M163" s="762"/>
      <c r="N163" s="762"/>
      <c r="O163" s="762"/>
      <c r="P163" s="763"/>
      <c r="Q163" s="764">
        <f t="shared" si="2"/>
        <v>1</v>
      </c>
      <c r="R163" s="758" t="s">
        <v>1852</v>
      </c>
      <c r="S163" s="742" t="s">
        <v>1826</v>
      </c>
      <c r="T163" s="765" t="s">
        <v>1827</v>
      </c>
      <c r="U163" s="742" t="s">
        <v>2421</v>
      </c>
      <c r="V163" s="742" t="s">
        <v>1857</v>
      </c>
      <c r="W163" s="742" t="s">
        <v>2763</v>
      </c>
      <c r="X163" s="798">
        <v>2</v>
      </c>
      <c r="Y163" s="790" t="s">
        <v>1838</v>
      </c>
      <c r="Z163" s="759" t="s">
        <v>2309</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210</v>
      </c>
      <c r="BM163" s="754" t="s">
        <v>210</v>
      </c>
      <c r="BN163" s="754" t="s">
        <v>210</v>
      </c>
      <c r="BO163" s="754" t="s">
        <v>210</v>
      </c>
      <c r="BP163" s="765" t="s">
        <v>210</v>
      </c>
      <c r="BQ163" s="777" t="s">
        <v>2260</v>
      </c>
      <c r="BR163" s="769" t="s">
        <v>2260</v>
      </c>
      <c r="BS163" s="769" t="s">
        <v>2260</v>
      </c>
      <c r="BT163" s="769" t="s">
        <v>2260</v>
      </c>
      <c r="BU163" s="774" t="s">
        <v>2260</v>
      </c>
      <c r="BV163" s="777" t="s">
        <v>2260</v>
      </c>
      <c r="BW163" s="769" t="s">
        <v>2260</v>
      </c>
      <c r="BX163" s="769" t="s">
        <v>2260</v>
      </c>
      <c r="BY163" s="769" t="s">
        <v>2260</v>
      </c>
      <c r="BZ163" s="769" t="s">
        <v>2260</v>
      </c>
      <c r="CA163" s="777" t="s">
        <v>2260</v>
      </c>
      <c r="CB163" s="769" t="s">
        <v>2260</v>
      </c>
      <c r="CC163" s="769" t="s">
        <v>2260</v>
      </c>
      <c r="CD163" s="769" t="s">
        <v>2260</v>
      </c>
      <c r="CE163" s="774" t="s">
        <v>2260</v>
      </c>
      <c r="CF163" s="769" t="s">
        <v>2260</v>
      </c>
      <c r="CG163" s="769" t="s">
        <v>2260</v>
      </c>
      <c r="CH163" s="769" t="s">
        <v>2260</v>
      </c>
      <c r="CI163" s="769" t="s">
        <v>2260</v>
      </c>
      <c r="CJ163" s="774" t="s">
        <v>2260</v>
      </c>
      <c r="CK163" s="777" t="s">
        <v>2260</v>
      </c>
      <c r="CL163" s="769" t="s">
        <v>2260</v>
      </c>
      <c r="CM163" s="769" t="s">
        <v>2260</v>
      </c>
      <c r="CN163" s="769" t="s">
        <v>2260</v>
      </c>
      <c r="CO163" s="774" t="s">
        <v>2260</v>
      </c>
      <c r="CP163" s="777" t="s">
        <v>2260</v>
      </c>
      <c r="CQ163" s="769" t="s">
        <v>2260</v>
      </c>
      <c r="CR163" s="769" t="s">
        <v>2260</v>
      </c>
      <c r="CS163" s="769" t="s">
        <v>2260</v>
      </c>
      <c r="CT163" s="774" t="s">
        <v>2260</v>
      </c>
      <c r="CU163" s="1253">
        <v>-1.054</v>
      </c>
      <c r="CV163" s="1252" t="s">
        <v>2260</v>
      </c>
      <c r="CW163" s="1252" t="s">
        <v>2260</v>
      </c>
      <c r="CX163" s="1254" t="s">
        <v>2260</v>
      </c>
      <c r="CY163" s="1252">
        <v>0.878</v>
      </c>
      <c r="CZ163" s="1252" t="s">
        <v>2260</v>
      </c>
      <c r="DA163" s="1252" t="s">
        <v>2260</v>
      </c>
      <c r="DB163" s="1254" t="s">
        <v>2260</v>
      </c>
      <c r="DC163" s="754"/>
      <c r="DD163" s="782">
        <v>1</v>
      </c>
      <c r="DE163" s="783"/>
    </row>
    <row r="164" spans="1:109" ht="15.75" hidden="1" customHeight="1">
      <c r="A164" s="741" t="s">
        <v>1143</v>
      </c>
      <c r="B164" s="742">
        <v>158</v>
      </c>
      <c r="C164" s="758" t="s">
        <v>1393</v>
      </c>
      <c r="D164" s="742" t="s">
        <v>2671</v>
      </c>
      <c r="E164" s="742" t="s">
        <v>2231</v>
      </c>
      <c r="F164" s="754" t="s">
        <v>2764</v>
      </c>
      <c r="G164" s="759" t="s">
        <v>2765</v>
      </c>
      <c r="H164" s="760" t="s">
        <v>2766</v>
      </c>
      <c r="I164" s="761"/>
      <c r="J164" s="762">
        <v>1</v>
      </c>
      <c r="K164" s="762"/>
      <c r="L164" s="762"/>
      <c r="M164" s="762"/>
      <c r="N164" s="762"/>
      <c r="O164" s="762"/>
      <c r="P164" s="763"/>
      <c r="Q164" s="764">
        <f t="shared" si="2"/>
        <v>1</v>
      </c>
      <c r="R164" s="758" t="s">
        <v>1846</v>
      </c>
      <c r="S164" s="742" t="s">
        <v>1826</v>
      </c>
      <c r="T164" s="765" t="s">
        <v>1827</v>
      </c>
      <c r="U164" s="742" t="s">
        <v>2234</v>
      </c>
      <c r="V164" s="742" t="s">
        <v>1857</v>
      </c>
      <c r="W164" s="742" t="s">
        <v>2767</v>
      </c>
      <c r="X164" s="798">
        <v>3</v>
      </c>
      <c r="Y164" s="790" t="s">
        <v>1838</v>
      </c>
      <c r="Z164" s="759" t="s">
        <v>2260</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210</v>
      </c>
      <c r="BM164" s="823" t="s">
        <v>210</v>
      </c>
      <c r="BN164" s="823" t="s">
        <v>210</v>
      </c>
      <c r="BO164" s="823" t="s">
        <v>210</v>
      </c>
      <c r="BP164" s="824" t="s">
        <v>210</v>
      </c>
      <c r="BQ164" s="777" t="s">
        <v>2260</v>
      </c>
      <c r="BR164" s="769" t="s">
        <v>2260</v>
      </c>
      <c r="BS164" s="769" t="s">
        <v>2260</v>
      </c>
      <c r="BT164" s="769" t="s">
        <v>2260</v>
      </c>
      <c r="BU164" s="774" t="s">
        <v>2260</v>
      </c>
      <c r="BV164" s="777">
        <v>300</v>
      </c>
      <c r="BW164" s="769">
        <v>260</v>
      </c>
      <c r="BX164" s="769">
        <v>220</v>
      </c>
      <c r="BY164" s="769">
        <v>180</v>
      </c>
      <c r="BZ164" s="769">
        <v>150</v>
      </c>
      <c r="CA164" s="777" t="s">
        <v>2260</v>
      </c>
      <c r="CB164" s="769" t="s">
        <v>2260</v>
      </c>
      <c r="CC164" s="769" t="s">
        <v>2260</v>
      </c>
      <c r="CD164" s="769" t="s">
        <v>2260</v>
      </c>
      <c r="CE164" s="774" t="s">
        <v>2260</v>
      </c>
      <c r="CF164" s="769" t="s">
        <v>2260</v>
      </c>
      <c r="CG164" s="769" t="s">
        <v>2260</v>
      </c>
      <c r="CH164" s="769" t="s">
        <v>2260</v>
      </c>
      <c r="CI164" s="769" t="s">
        <v>2260</v>
      </c>
      <c r="CJ164" s="774" t="s">
        <v>2260</v>
      </c>
      <c r="CK164" s="777" t="s">
        <v>2260</v>
      </c>
      <c r="CL164" s="769" t="s">
        <v>2260</v>
      </c>
      <c r="CM164" s="769" t="s">
        <v>2260</v>
      </c>
      <c r="CN164" s="769" t="s">
        <v>2260</v>
      </c>
      <c r="CO164" s="774" t="s">
        <v>2260</v>
      </c>
      <c r="CP164" s="777" t="s">
        <v>2260</v>
      </c>
      <c r="CQ164" s="769" t="s">
        <v>2260</v>
      </c>
      <c r="CR164" s="769" t="s">
        <v>2260</v>
      </c>
      <c r="CS164" s="769" t="s">
        <v>2260</v>
      </c>
      <c r="CT164" s="774" t="s">
        <v>2260</v>
      </c>
      <c r="CU164" s="1253">
        <v>-2E-3</v>
      </c>
      <c r="CV164" s="1252" t="s">
        <v>2260</v>
      </c>
      <c r="CW164" s="1252" t="s">
        <v>2260</v>
      </c>
      <c r="CX164" s="1254" t="s">
        <v>2260</v>
      </c>
      <c r="CY164" s="1252" t="s">
        <v>2260</v>
      </c>
      <c r="CZ164" s="1252" t="s">
        <v>2260</v>
      </c>
      <c r="DA164" s="1252" t="s">
        <v>2260</v>
      </c>
      <c r="DB164" s="1254" t="s">
        <v>2260</v>
      </c>
      <c r="DC164" s="754"/>
      <c r="DD164" s="782">
        <v>1</v>
      </c>
      <c r="DE164" s="783"/>
    </row>
    <row r="165" spans="1:109" ht="15.75" hidden="1" customHeight="1">
      <c r="A165" s="741" t="s">
        <v>1143</v>
      </c>
      <c r="B165" s="742">
        <v>159</v>
      </c>
      <c r="C165" s="758" t="s">
        <v>1410</v>
      </c>
      <c r="D165" s="742" t="s">
        <v>2675</v>
      </c>
      <c r="E165" s="742" t="s">
        <v>2231</v>
      </c>
      <c r="F165" s="754" t="s">
        <v>2768</v>
      </c>
      <c r="G165" s="759" t="s">
        <v>2769</v>
      </c>
      <c r="H165" s="760" t="s">
        <v>2770</v>
      </c>
      <c r="I165" s="761"/>
      <c r="J165" s="762">
        <v>1</v>
      </c>
      <c r="K165" s="762"/>
      <c r="L165" s="762"/>
      <c r="M165" s="762"/>
      <c r="N165" s="762"/>
      <c r="O165" s="762"/>
      <c r="P165" s="763"/>
      <c r="Q165" s="764">
        <f t="shared" si="2"/>
        <v>1</v>
      </c>
      <c r="R165" s="758" t="s">
        <v>1852</v>
      </c>
      <c r="S165" s="742" t="s">
        <v>1826</v>
      </c>
      <c r="T165" s="765" t="s">
        <v>1827</v>
      </c>
      <c r="U165" s="742" t="s">
        <v>2220</v>
      </c>
      <c r="V165" s="742" t="s">
        <v>2397</v>
      </c>
      <c r="W165" s="742" t="s">
        <v>2771</v>
      </c>
      <c r="X165" s="798">
        <v>1</v>
      </c>
      <c r="Y165" s="790" t="s">
        <v>1838</v>
      </c>
      <c r="Z165" s="759" t="s">
        <v>2260</v>
      </c>
      <c r="AA165" s="754"/>
      <c r="AB165" s="754"/>
      <c r="AC165" s="754"/>
      <c r="AD165" s="754"/>
      <c r="AE165" s="754"/>
      <c r="AF165" s="768"/>
      <c r="AG165" s="769"/>
      <c r="AH165" s="769"/>
      <c r="AI165" s="769"/>
      <c r="AJ165" s="769"/>
      <c r="AK165" s="769"/>
      <c r="AL165" s="769"/>
      <c r="AM165" s="769"/>
      <c r="AN165" s="769"/>
      <c r="AO165" s="769"/>
      <c r="AP165" s="769"/>
      <c r="AQ165" s="777" t="s">
        <v>2260</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210</v>
      </c>
      <c r="BN165" s="754" t="s">
        <v>210</v>
      </c>
      <c r="BO165" s="754" t="s">
        <v>210</v>
      </c>
      <c r="BP165" s="765" t="s">
        <v>210</v>
      </c>
      <c r="BQ165" s="777" t="s">
        <v>2260</v>
      </c>
      <c r="BR165" s="769" t="s">
        <v>2260</v>
      </c>
      <c r="BS165" s="769" t="s">
        <v>2260</v>
      </c>
      <c r="BT165" s="769" t="s">
        <v>2260</v>
      </c>
      <c r="BU165" s="774" t="s">
        <v>2260</v>
      </c>
      <c r="BV165" s="777" t="s">
        <v>2260</v>
      </c>
      <c r="BW165" s="769" t="s">
        <v>2260</v>
      </c>
      <c r="BX165" s="769" t="s">
        <v>2260</v>
      </c>
      <c r="BY165" s="769" t="s">
        <v>2260</v>
      </c>
      <c r="BZ165" s="769" t="s">
        <v>2260</v>
      </c>
      <c r="CA165" s="777" t="s">
        <v>2260</v>
      </c>
      <c r="CB165" s="769" t="s">
        <v>2260</v>
      </c>
      <c r="CC165" s="769" t="s">
        <v>2260</v>
      </c>
      <c r="CD165" s="769" t="s">
        <v>2260</v>
      </c>
      <c r="CE165" s="774" t="s">
        <v>2260</v>
      </c>
      <c r="CF165" s="769" t="s">
        <v>2260</v>
      </c>
      <c r="CG165" s="769" t="s">
        <v>2260</v>
      </c>
      <c r="CH165" s="769" t="s">
        <v>2260</v>
      </c>
      <c r="CI165" s="769" t="s">
        <v>2260</v>
      </c>
      <c r="CJ165" s="774" t="s">
        <v>2260</v>
      </c>
      <c r="CK165" s="777" t="s">
        <v>2260</v>
      </c>
      <c r="CL165" s="769" t="s">
        <v>2260</v>
      </c>
      <c r="CM165" s="769" t="s">
        <v>2260</v>
      </c>
      <c r="CN165" s="769" t="s">
        <v>2260</v>
      </c>
      <c r="CO165" s="774" t="s">
        <v>2260</v>
      </c>
      <c r="CP165" s="777" t="s">
        <v>2260</v>
      </c>
      <c r="CQ165" s="769" t="s">
        <v>2260</v>
      </c>
      <c r="CR165" s="769" t="s">
        <v>2260</v>
      </c>
      <c r="CS165" s="769" t="s">
        <v>2260</v>
      </c>
      <c r="CT165" s="774" t="s">
        <v>2260</v>
      </c>
      <c r="CU165" s="1253">
        <v>-1.119</v>
      </c>
      <c r="CV165" s="1252" t="s">
        <v>2260</v>
      </c>
      <c r="CW165" s="1252" t="s">
        <v>2260</v>
      </c>
      <c r="CX165" s="1254" t="s">
        <v>2260</v>
      </c>
      <c r="CY165" s="1252">
        <v>0.77100000000000002</v>
      </c>
      <c r="CZ165" s="1252" t="s">
        <v>2260</v>
      </c>
      <c r="DA165" s="1252" t="s">
        <v>2260</v>
      </c>
      <c r="DB165" s="1254" t="s">
        <v>2260</v>
      </c>
      <c r="DC165" s="754"/>
      <c r="DD165" s="782">
        <v>1</v>
      </c>
      <c r="DE165" s="783"/>
    </row>
    <row r="166" spans="1:109" ht="15.75" hidden="1" customHeight="1">
      <c r="A166" s="741" t="s">
        <v>1143</v>
      </c>
      <c r="B166" s="742">
        <v>160</v>
      </c>
      <c r="C166" s="758" t="s">
        <v>1497</v>
      </c>
      <c r="D166" s="742" t="s">
        <v>2687</v>
      </c>
      <c r="E166" s="742" t="s">
        <v>2231</v>
      </c>
      <c r="F166" s="754" t="s">
        <v>2772</v>
      </c>
      <c r="G166" s="759" t="s">
        <v>2623</v>
      </c>
      <c r="H166" s="760" t="s">
        <v>2773</v>
      </c>
      <c r="I166" s="761"/>
      <c r="J166" s="762"/>
      <c r="K166" s="762">
        <v>1</v>
      </c>
      <c r="L166" s="762"/>
      <c r="M166" s="762"/>
      <c r="N166" s="762"/>
      <c r="O166" s="762"/>
      <c r="P166" s="763"/>
      <c r="Q166" s="764">
        <f t="shared" si="2"/>
        <v>1</v>
      </c>
      <c r="R166" s="758" t="s">
        <v>1852</v>
      </c>
      <c r="S166" s="742" t="s">
        <v>1826</v>
      </c>
      <c r="T166" s="765" t="s">
        <v>1827</v>
      </c>
      <c r="U166" s="742" t="s">
        <v>2242</v>
      </c>
      <c r="V166" s="742" t="s">
        <v>1857</v>
      </c>
      <c r="W166" s="742" t="s">
        <v>2774</v>
      </c>
      <c r="X166" s="1243">
        <v>0</v>
      </c>
      <c r="Y166" s="790" t="s">
        <v>1838</v>
      </c>
      <c r="Z166" s="759" t="s">
        <v>2623</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210</v>
      </c>
      <c r="BM166" s="754" t="s">
        <v>210</v>
      </c>
      <c r="BN166" s="754" t="s">
        <v>210</v>
      </c>
      <c r="BO166" s="754" t="s">
        <v>210</v>
      </c>
      <c r="BP166" s="765" t="s">
        <v>210</v>
      </c>
      <c r="BQ166" s="777" t="s">
        <v>2260</v>
      </c>
      <c r="BR166" s="769" t="s">
        <v>2260</v>
      </c>
      <c r="BS166" s="769" t="s">
        <v>2260</v>
      </c>
      <c r="BT166" s="769" t="s">
        <v>2260</v>
      </c>
      <c r="BU166" s="774" t="s">
        <v>2260</v>
      </c>
      <c r="BV166" s="777" t="s">
        <v>2260</v>
      </c>
      <c r="BW166" s="769" t="s">
        <v>2260</v>
      </c>
      <c r="BX166" s="769" t="s">
        <v>2260</v>
      </c>
      <c r="BY166" s="769" t="s">
        <v>2260</v>
      </c>
      <c r="BZ166" s="769" t="s">
        <v>2260</v>
      </c>
      <c r="CA166" s="777" t="s">
        <v>2260</v>
      </c>
      <c r="CB166" s="769" t="s">
        <v>2260</v>
      </c>
      <c r="CC166" s="769" t="s">
        <v>2260</v>
      </c>
      <c r="CD166" s="769" t="s">
        <v>2260</v>
      </c>
      <c r="CE166" s="774" t="s">
        <v>2260</v>
      </c>
      <c r="CF166" s="769" t="s">
        <v>2260</v>
      </c>
      <c r="CG166" s="769" t="s">
        <v>2260</v>
      </c>
      <c r="CH166" s="769" t="s">
        <v>2260</v>
      </c>
      <c r="CI166" s="769" t="s">
        <v>2260</v>
      </c>
      <c r="CJ166" s="774" t="s">
        <v>2260</v>
      </c>
      <c r="CK166" s="777" t="s">
        <v>2260</v>
      </c>
      <c r="CL166" s="769" t="s">
        <v>2260</v>
      </c>
      <c r="CM166" s="769" t="s">
        <v>2260</v>
      </c>
      <c r="CN166" s="769" t="s">
        <v>2260</v>
      </c>
      <c r="CO166" s="774" t="s">
        <v>2260</v>
      </c>
      <c r="CP166" s="777" t="s">
        <v>2260</v>
      </c>
      <c r="CQ166" s="769" t="s">
        <v>2260</v>
      </c>
      <c r="CR166" s="769" t="s">
        <v>2260</v>
      </c>
      <c r="CS166" s="769" t="s">
        <v>2260</v>
      </c>
      <c r="CT166" s="774" t="s">
        <v>2260</v>
      </c>
      <c r="CU166" s="1253">
        <v>-1.4430000000000001E-3</v>
      </c>
      <c r="CV166" s="1252" t="s">
        <v>2260</v>
      </c>
      <c r="CW166" s="1252" t="s">
        <v>2260</v>
      </c>
      <c r="CX166" s="1254" t="s">
        <v>2260</v>
      </c>
      <c r="CY166" s="1252">
        <v>7.7999999999999999E-4</v>
      </c>
      <c r="CZ166" s="1252" t="s">
        <v>2260</v>
      </c>
      <c r="DA166" s="1252" t="s">
        <v>2260</v>
      </c>
      <c r="DB166" s="1254" t="s">
        <v>2260</v>
      </c>
      <c r="DC166" s="754"/>
      <c r="DD166" s="782">
        <v>1</v>
      </c>
      <c r="DE166" s="783"/>
    </row>
    <row r="167" spans="1:109" ht="15.75" hidden="1" customHeight="1">
      <c r="A167" s="741" t="s">
        <v>1143</v>
      </c>
      <c r="B167" s="742">
        <v>161</v>
      </c>
      <c r="C167" s="758" t="s">
        <v>1508</v>
      </c>
      <c r="D167" s="742" t="s">
        <v>2687</v>
      </c>
      <c r="E167" s="742" t="s">
        <v>2217</v>
      </c>
      <c r="F167" s="754" t="s">
        <v>2775</v>
      </c>
      <c r="G167" s="759" t="s">
        <v>2381</v>
      </c>
      <c r="H167" s="760" t="s">
        <v>2776</v>
      </c>
      <c r="I167" s="761"/>
      <c r="J167" s="762"/>
      <c r="K167" s="762">
        <v>1</v>
      </c>
      <c r="L167" s="762"/>
      <c r="M167" s="762"/>
      <c r="N167" s="762"/>
      <c r="O167" s="762"/>
      <c r="P167" s="763"/>
      <c r="Q167" s="764">
        <f t="shared" si="2"/>
        <v>1</v>
      </c>
      <c r="R167" s="758" t="s">
        <v>1852</v>
      </c>
      <c r="S167" s="742" t="s">
        <v>1826</v>
      </c>
      <c r="T167" s="765" t="s">
        <v>1827</v>
      </c>
      <c r="U167" s="742" t="s">
        <v>2351</v>
      </c>
      <c r="V167" s="742" t="s">
        <v>1857</v>
      </c>
      <c r="W167" s="742" t="s">
        <v>2777</v>
      </c>
      <c r="X167" s="1243">
        <v>0</v>
      </c>
      <c r="Y167" s="790" t="s">
        <v>1838</v>
      </c>
      <c r="Z167" s="759" t="s">
        <v>2381</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210</v>
      </c>
      <c r="BM167" s="754" t="s">
        <v>210</v>
      </c>
      <c r="BN167" s="754" t="s">
        <v>210</v>
      </c>
      <c r="BO167" s="754" t="s">
        <v>210</v>
      </c>
      <c r="BP167" s="765" t="s">
        <v>210</v>
      </c>
      <c r="BQ167" s="777" t="s">
        <v>2260</v>
      </c>
      <c r="BR167" s="769" t="s">
        <v>2260</v>
      </c>
      <c r="BS167" s="769" t="s">
        <v>2260</v>
      </c>
      <c r="BT167" s="769" t="s">
        <v>2260</v>
      </c>
      <c r="BU167" s="774" t="s">
        <v>2260</v>
      </c>
      <c r="BV167" s="777">
        <v>5058</v>
      </c>
      <c r="BW167" s="769">
        <v>5058</v>
      </c>
      <c r="BX167" s="769">
        <v>5058</v>
      </c>
      <c r="BY167" s="769">
        <v>5058</v>
      </c>
      <c r="BZ167" s="769">
        <v>5058</v>
      </c>
      <c r="CA167" s="777" t="s">
        <v>2260</v>
      </c>
      <c r="CB167" s="769" t="s">
        <v>2260</v>
      </c>
      <c r="CC167" s="769" t="s">
        <v>2260</v>
      </c>
      <c r="CD167" s="769" t="s">
        <v>2260</v>
      </c>
      <c r="CE167" s="774" t="s">
        <v>2260</v>
      </c>
      <c r="CF167" s="769" t="s">
        <v>2260</v>
      </c>
      <c r="CG167" s="769" t="s">
        <v>2260</v>
      </c>
      <c r="CH167" s="769" t="s">
        <v>2260</v>
      </c>
      <c r="CI167" s="769" t="s">
        <v>2260</v>
      </c>
      <c r="CJ167" s="774" t="s">
        <v>2260</v>
      </c>
      <c r="CK167" s="777">
        <v>3000</v>
      </c>
      <c r="CL167" s="769">
        <v>2800</v>
      </c>
      <c r="CM167" s="769">
        <v>2659</v>
      </c>
      <c r="CN167" s="769">
        <v>2487</v>
      </c>
      <c r="CO167" s="774">
        <v>2315</v>
      </c>
      <c r="CP167" s="777" t="s">
        <v>2260</v>
      </c>
      <c r="CQ167" s="769" t="s">
        <v>2260</v>
      </c>
      <c r="CR167" s="769" t="s">
        <v>2260</v>
      </c>
      <c r="CS167" s="769" t="s">
        <v>2260</v>
      </c>
      <c r="CT167" s="774" t="s">
        <v>2260</v>
      </c>
      <c r="CU167" s="1253">
        <v>-6.2700000000000004E-3</v>
      </c>
      <c r="CV167" s="1252" t="s">
        <v>2260</v>
      </c>
      <c r="CW167" s="1252" t="s">
        <v>2260</v>
      </c>
      <c r="CX167" s="1254" t="s">
        <v>2260</v>
      </c>
      <c r="CY167" s="1252">
        <v>4.3099999999999996E-3</v>
      </c>
      <c r="CZ167" s="1252" t="s">
        <v>2260</v>
      </c>
      <c r="DA167" s="1252" t="s">
        <v>2260</v>
      </c>
      <c r="DB167" s="1254" t="s">
        <v>2260</v>
      </c>
      <c r="DC167" s="754"/>
      <c r="DD167" s="782">
        <v>1</v>
      </c>
      <c r="DE167" s="783"/>
    </row>
    <row r="168" spans="1:109" ht="15.75" hidden="1" customHeight="1">
      <c r="A168" s="741" t="s">
        <v>1143</v>
      </c>
      <c r="B168" s="742">
        <v>162</v>
      </c>
      <c r="C168" s="758" t="s">
        <v>1519</v>
      </c>
      <c r="D168" s="742" t="s">
        <v>2687</v>
      </c>
      <c r="E168" s="742" t="s">
        <v>2217</v>
      </c>
      <c r="F168" s="754" t="s">
        <v>2778</v>
      </c>
      <c r="G168" s="759" t="s">
        <v>2779</v>
      </c>
      <c r="H168" s="760" t="s">
        <v>2780</v>
      </c>
      <c r="I168" s="761"/>
      <c r="J168" s="762"/>
      <c r="K168" s="762">
        <v>1</v>
      </c>
      <c r="L168" s="762"/>
      <c r="M168" s="762"/>
      <c r="N168" s="762"/>
      <c r="O168" s="762"/>
      <c r="P168" s="763"/>
      <c r="Q168" s="764">
        <f t="shared" si="2"/>
        <v>1</v>
      </c>
      <c r="R168" s="758" t="s">
        <v>1852</v>
      </c>
      <c r="S168" s="742" t="s">
        <v>1826</v>
      </c>
      <c r="T168" s="765" t="s">
        <v>1827</v>
      </c>
      <c r="U168" s="742" t="s">
        <v>2351</v>
      </c>
      <c r="V168" s="742" t="s">
        <v>1857</v>
      </c>
      <c r="W168" s="742" t="s">
        <v>2781</v>
      </c>
      <c r="X168" s="1243">
        <v>0</v>
      </c>
      <c r="Y168" s="790" t="s">
        <v>1838</v>
      </c>
      <c r="Z168" s="759" t="s">
        <v>2260</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210</v>
      </c>
      <c r="BM168" s="754" t="s">
        <v>210</v>
      </c>
      <c r="BN168" s="754" t="s">
        <v>210</v>
      </c>
      <c r="BO168" s="754" t="s">
        <v>210</v>
      </c>
      <c r="BP168" s="765" t="s">
        <v>210</v>
      </c>
      <c r="BQ168" s="777" t="s">
        <v>2260</v>
      </c>
      <c r="BR168" s="769" t="s">
        <v>2260</v>
      </c>
      <c r="BS168" s="769" t="s">
        <v>2260</v>
      </c>
      <c r="BT168" s="769" t="s">
        <v>2260</v>
      </c>
      <c r="BU168" s="774" t="s">
        <v>2260</v>
      </c>
      <c r="BV168" s="777" t="s">
        <v>2260</v>
      </c>
      <c r="BW168" s="769" t="s">
        <v>2260</v>
      </c>
      <c r="BX168" s="769" t="s">
        <v>2260</v>
      </c>
      <c r="BY168" s="769" t="s">
        <v>2260</v>
      </c>
      <c r="BZ168" s="769" t="s">
        <v>2260</v>
      </c>
      <c r="CA168" s="777" t="s">
        <v>2260</v>
      </c>
      <c r="CB168" s="769" t="s">
        <v>2260</v>
      </c>
      <c r="CC168" s="769" t="s">
        <v>2260</v>
      </c>
      <c r="CD168" s="769" t="s">
        <v>2260</v>
      </c>
      <c r="CE168" s="774" t="s">
        <v>2260</v>
      </c>
      <c r="CF168" s="769" t="s">
        <v>2260</v>
      </c>
      <c r="CG168" s="769" t="s">
        <v>2260</v>
      </c>
      <c r="CH168" s="769" t="s">
        <v>2260</v>
      </c>
      <c r="CI168" s="769" t="s">
        <v>2260</v>
      </c>
      <c r="CJ168" s="774" t="s">
        <v>2260</v>
      </c>
      <c r="CK168" s="777" t="s">
        <v>2260</v>
      </c>
      <c r="CL168" s="769" t="s">
        <v>2260</v>
      </c>
      <c r="CM168" s="769" t="s">
        <v>2260</v>
      </c>
      <c r="CN168" s="769" t="s">
        <v>2260</v>
      </c>
      <c r="CO168" s="774" t="s">
        <v>2260</v>
      </c>
      <c r="CP168" s="777" t="s">
        <v>2260</v>
      </c>
      <c r="CQ168" s="769" t="s">
        <v>2260</v>
      </c>
      <c r="CR168" s="769" t="s">
        <v>2260</v>
      </c>
      <c r="CS168" s="769" t="s">
        <v>2260</v>
      </c>
      <c r="CT168" s="774" t="s">
        <v>2260</v>
      </c>
      <c r="CU168" s="1253">
        <v>-5.5100000000000003E-2</v>
      </c>
      <c r="CV168" s="1252" t="s">
        <v>2260</v>
      </c>
      <c r="CW168" s="1252" t="s">
        <v>2260</v>
      </c>
      <c r="CX168" s="1254" t="s">
        <v>2260</v>
      </c>
      <c r="CY168" s="1252">
        <v>5.5100000000000003E-2</v>
      </c>
      <c r="CZ168" s="1252" t="s">
        <v>2260</v>
      </c>
      <c r="DA168" s="1252" t="s">
        <v>2260</v>
      </c>
      <c r="DB168" s="1254" t="s">
        <v>2260</v>
      </c>
      <c r="DC168" s="754"/>
      <c r="DD168" s="782">
        <v>1</v>
      </c>
      <c r="DE168" s="783"/>
    </row>
    <row r="169" spans="1:109" ht="15.75" hidden="1" customHeight="1">
      <c r="A169" s="741" t="s">
        <v>1143</v>
      </c>
      <c r="B169" s="742">
        <v>163</v>
      </c>
      <c r="C169" s="758" t="s">
        <v>1426</v>
      </c>
      <c r="D169" s="742" t="s">
        <v>2691</v>
      </c>
      <c r="E169" s="742" t="s">
        <v>2231</v>
      </c>
      <c r="F169" s="754" t="s">
        <v>2782</v>
      </c>
      <c r="G169" s="759" t="s">
        <v>2783</v>
      </c>
      <c r="H169" s="760" t="s">
        <v>2784</v>
      </c>
      <c r="I169" s="761">
        <v>1</v>
      </c>
      <c r="J169" s="762"/>
      <c r="K169" s="762"/>
      <c r="L169" s="762"/>
      <c r="M169" s="762"/>
      <c r="N169" s="762"/>
      <c r="O169" s="762"/>
      <c r="P169" s="763"/>
      <c r="Q169" s="764">
        <f t="shared" si="2"/>
        <v>1</v>
      </c>
      <c r="R169" s="758" t="s">
        <v>1852</v>
      </c>
      <c r="S169" s="742" t="s">
        <v>1826</v>
      </c>
      <c r="T169" s="765" t="s">
        <v>1827</v>
      </c>
      <c r="U169" s="742" t="s">
        <v>2290</v>
      </c>
      <c r="V169" s="742" t="s">
        <v>1857</v>
      </c>
      <c r="W169" s="742" t="s">
        <v>2542</v>
      </c>
      <c r="X169" s="1243">
        <v>0</v>
      </c>
      <c r="Y169" s="788" t="s">
        <v>1838</v>
      </c>
      <c r="Z169" s="759" t="s">
        <v>2260</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210</v>
      </c>
      <c r="BM169" s="754" t="s">
        <v>210</v>
      </c>
      <c r="BN169" s="754" t="s">
        <v>210</v>
      </c>
      <c r="BO169" s="754" t="s">
        <v>210</v>
      </c>
      <c r="BP169" s="765" t="s">
        <v>210</v>
      </c>
      <c r="BQ169" s="777" t="s">
        <v>2260</v>
      </c>
      <c r="BR169" s="769" t="s">
        <v>2260</v>
      </c>
      <c r="BS169" s="769" t="s">
        <v>2260</v>
      </c>
      <c r="BT169" s="769" t="s">
        <v>2260</v>
      </c>
      <c r="BU169" s="774" t="s">
        <v>2260</v>
      </c>
      <c r="BV169" s="777">
        <v>36</v>
      </c>
      <c r="BW169" s="769">
        <v>36</v>
      </c>
      <c r="BX169" s="769">
        <v>36</v>
      </c>
      <c r="BY169" s="769">
        <v>36</v>
      </c>
      <c r="BZ169" s="769">
        <v>36</v>
      </c>
      <c r="CA169" s="777" t="s">
        <v>2260</v>
      </c>
      <c r="CB169" s="769" t="s">
        <v>2260</v>
      </c>
      <c r="CC169" s="769" t="s">
        <v>2260</v>
      </c>
      <c r="CD169" s="769" t="s">
        <v>2260</v>
      </c>
      <c r="CE169" s="774" t="s">
        <v>2260</v>
      </c>
      <c r="CF169" s="769" t="s">
        <v>2260</v>
      </c>
      <c r="CG169" s="769" t="s">
        <v>2260</v>
      </c>
      <c r="CH169" s="769" t="s">
        <v>2260</v>
      </c>
      <c r="CI169" s="769" t="s">
        <v>2260</v>
      </c>
      <c r="CJ169" s="774" t="s">
        <v>2260</v>
      </c>
      <c r="CK169" s="777" t="s">
        <v>2260</v>
      </c>
      <c r="CL169" s="769" t="s">
        <v>2260</v>
      </c>
      <c r="CM169" s="769" t="s">
        <v>2260</v>
      </c>
      <c r="CN169" s="769" t="s">
        <v>2260</v>
      </c>
      <c r="CO169" s="774" t="s">
        <v>2260</v>
      </c>
      <c r="CP169" s="777" t="s">
        <v>2260</v>
      </c>
      <c r="CQ169" s="769" t="s">
        <v>2260</v>
      </c>
      <c r="CR169" s="769" t="s">
        <v>2260</v>
      </c>
      <c r="CS169" s="769" t="s">
        <v>2260</v>
      </c>
      <c r="CT169" s="774" t="s">
        <v>2260</v>
      </c>
      <c r="CU169" s="1253">
        <v>-3.4999999999999997E-5</v>
      </c>
      <c r="CV169" s="1252" t="s">
        <v>2260</v>
      </c>
      <c r="CW169" s="1252" t="s">
        <v>2260</v>
      </c>
      <c r="CX169" s="1254" t="s">
        <v>2260</v>
      </c>
      <c r="CY169" s="1252">
        <v>4.1999999999999998E-5</v>
      </c>
      <c r="CZ169" s="1252" t="s">
        <v>2260</v>
      </c>
      <c r="DA169" s="1252" t="s">
        <v>2260</v>
      </c>
      <c r="DB169" s="1254" t="s">
        <v>2260</v>
      </c>
      <c r="DC169" s="754"/>
      <c r="DD169" s="782">
        <v>1</v>
      </c>
      <c r="DE169" s="783"/>
    </row>
    <row r="170" spans="1:109" ht="15.75" hidden="1" customHeight="1">
      <c r="A170" s="741" t="s">
        <v>1143</v>
      </c>
      <c r="B170" s="742">
        <v>164</v>
      </c>
      <c r="C170" s="758" t="s">
        <v>1529</v>
      </c>
      <c r="D170" s="742" t="s">
        <v>2691</v>
      </c>
      <c r="E170" s="742" t="s">
        <v>2217</v>
      </c>
      <c r="F170" s="754" t="s">
        <v>2785</v>
      </c>
      <c r="G170" s="759" t="s">
        <v>2786</v>
      </c>
      <c r="H170" s="760" t="s">
        <v>2787</v>
      </c>
      <c r="I170" s="761"/>
      <c r="J170" s="762"/>
      <c r="K170" s="762">
        <v>1</v>
      </c>
      <c r="L170" s="762"/>
      <c r="M170" s="762"/>
      <c r="N170" s="762"/>
      <c r="O170" s="762"/>
      <c r="P170" s="763"/>
      <c r="Q170" s="764">
        <f t="shared" si="2"/>
        <v>1</v>
      </c>
      <c r="R170" s="758" t="s">
        <v>1852</v>
      </c>
      <c r="S170" s="742" t="s">
        <v>1826</v>
      </c>
      <c r="T170" s="765" t="s">
        <v>1827</v>
      </c>
      <c r="U170" s="742" t="s">
        <v>2387</v>
      </c>
      <c r="V170" s="742" t="s">
        <v>321</v>
      </c>
      <c r="W170" s="742" t="s">
        <v>2788</v>
      </c>
      <c r="X170" s="1243">
        <v>2</v>
      </c>
      <c r="Y170" s="767" t="s">
        <v>1828</v>
      </c>
      <c r="Z170" s="759" t="s">
        <v>2260</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210</v>
      </c>
      <c r="BM170" s="754" t="s">
        <v>210</v>
      </c>
      <c r="BN170" s="754" t="s">
        <v>210</v>
      </c>
      <c r="BO170" s="754" t="s">
        <v>210</v>
      </c>
      <c r="BP170" s="765" t="s">
        <v>210</v>
      </c>
      <c r="BQ170" s="777" t="s">
        <v>2260</v>
      </c>
      <c r="BR170" s="769" t="s">
        <v>2260</v>
      </c>
      <c r="BS170" s="769" t="s">
        <v>2260</v>
      </c>
      <c r="BT170" s="769" t="s">
        <v>2260</v>
      </c>
      <c r="BU170" s="774" t="s">
        <v>2260</v>
      </c>
      <c r="BV170" s="777" t="s">
        <v>2260</v>
      </c>
      <c r="BW170" s="769" t="s">
        <v>2260</v>
      </c>
      <c r="BX170" s="769" t="s">
        <v>2260</v>
      </c>
      <c r="BY170" s="769" t="s">
        <v>2260</v>
      </c>
      <c r="BZ170" s="769" t="s">
        <v>2260</v>
      </c>
      <c r="CA170" s="777" t="s">
        <v>2260</v>
      </c>
      <c r="CB170" s="769" t="s">
        <v>2260</v>
      </c>
      <c r="CC170" s="769" t="s">
        <v>2260</v>
      </c>
      <c r="CD170" s="769" t="s">
        <v>2260</v>
      </c>
      <c r="CE170" s="774" t="s">
        <v>2260</v>
      </c>
      <c r="CF170" s="769" t="s">
        <v>2260</v>
      </c>
      <c r="CG170" s="769" t="s">
        <v>2260</v>
      </c>
      <c r="CH170" s="769" t="s">
        <v>2260</v>
      </c>
      <c r="CI170" s="769" t="s">
        <v>2260</v>
      </c>
      <c r="CJ170" s="774" t="s">
        <v>2260</v>
      </c>
      <c r="CK170" s="777" t="s">
        <v>2260</v>
      </c>
      <c r="CL170" s="769" t="s">
        <v>2260</v>
      </c>
      <c r="CM170" s="769" t="s">
        <v>2260</v>
      </c>
      <c r="CN170" s="769" t="s">
        <v>2260</v>
      </c>
      <c r="CO170" s="774" t="s">
        <v>2260</v>
      </c>
      <c r="CP170" s="777" t="s">
        <v>2260</v>
      </c>
      <c r="CQ170" s="769" t="s">
        <v>2260</v>
      </c>
      <c r="CR170" s="769" t="s">
        <v>2260</v>
      </c>
      <c r="CS170" s="769" t="s">
        <v>2260</v>
      </c>
      <c r="CT170" s="774" t="s">
        <v>2260</v>
      </c>
      <c r="CU170" s="1253">
        <v>-0.249</v>
      </c>
      <c r="CV170" s="1252" t="s">
        <v>2260</v>
      </c>
      <c r="CW170" s="1252" t="s">
        <v>2260</v>
      </c>
      <c r="CX170" s="1254" t="s">
        <v>2260</v>
      </c>
      <c r="CY170" s="1252">
        <v>0.249</v>
      </c>
      <c r="CZ170" s="1252" t="s">
        <v>2260</v>
      </c>
      <c r="DA170" s="1252" t="s">
        <v>2260</v>
      </c>
      <c r="DB170" s="1254" t="s">
        <v>2260</v>
      </c>
      <c r="DC170" s="754"/>
      <c r="DD170" s="782">
        <v>1</v>
      </c>
      <c r="DE170" s="783"/>
    </row>
    <row r="171" spans="1:109" ht="15.75" hidden="1" customHeight="1">
      <c r="A171" s="741" t="s">
        <v>1143</v>
      </c>
      <c r="B171" s="742">
        <v>165</v>
      </c>
      <c r="C171" s="758" t="s">
        <v>1442</v>
      </c>
      <c r="D171" s="742" t="s">
        <v>2789</v>
      </c>
      <c r="E171" s="742" t="s">
        <v>2231</v>
      </c>
      <c r="F171" s="754" t="s">
        <v>2790</v>
      </c>
      <c r="G171" s="759" t="s">
        <v>2791</v>
      </c>
      <c r="H171" s="760" t="s">
        <v>2792</v>
      </c>
      <c r="I171" s="761">
        <v>0.122</v>
      </c>
      <c r="J171" s="762">
        <v>0.501</v>
      </c>
      <c r="K171" s="762">
        <v>0.377</v>
      </c>
      <c r="L171" s="762"/>
      <c r="M171" s="762"/>
      <c r="N171" s="762"/>
      <c r="O171" s="762"/>
      <c r="P171" s="763"/>
      <c r="Q171" s="764">
        <f t="shared" si="2"/>
        <v>1</v>
      </c>
      <c r="R171" s="758" t="s">
        <v>1852</v>
      </c>
      <c r="S171" s="742" t="s">
        <v>1826</v>
      </c>
      <c r="T171" s="765" t="s">
        <v>1827</v>
      </c>
      <c r="U171" s="742" t="s">
        <v>2387</v>
      </c>
      <c r="V171" s="742" t="s">
        <v>1857</v>
      </c>
      <c r="W171" s="742" t="s">
        <v>2793</v>
      </c>
      <c r="X171" s="798">
        <v>1</v>
      </c>
      <c r="Y171" s="767" t="s">
        <v>1828</v>
      </c>
      <c r="Z171" s="759" t="s">
        <v>2260</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210</v>
      </c>
      <c r="BM171" s="754" t="s">
        <v>210</v>
      </c>
      <c r="BN171" s="754" t="s">
        <v>210</v>
      </c>
      <c r="BO171" s="754" t="s">
        <v>210</v>
      </c>
      <c r="BP171" s="765" t="s">
        <v>210</v>
      </c>
      <c r="BQ171" s="773" t="s">
        <v>2260</v>
      </c>
      <c r="BR171" s="769" t="s">
        <v>2260</v>
      </c>
      <c r="BS171" s="769" t="s">
        <v>2260</v>
      </c>
      <c r="BT171" s="769" t="s">
        <v>2260</v>
      </c>
      <c r="BU171" s="774" t="s">
        <v>2260</v>
      </c>
      <c r="BV171" s="777" t="s">
        <v>2260</v>
      </c>
      <c r="BW171" s="769" t="s">
        <v>2260</v>
      </c>
      <c r="BX171" s="769" t="s">
        <v>2260</v>
      </c>
      <c r="BY171" s="769" t="s">
        <v>2260</v>
      </c>
      <c r="BZ171" s="769" t="s">
        <v>2260</v>
      </c>
      <c r="CA171" s="777" t="s">
        <v>2260</v>
      </c>
      <c r="CB171" s="769" t="s">
        <v>2260</v>
      </c>
      <c r="CC171" s="769" t="s">
        <v>2260</v>
      </c>
      <c r="CD171" s="769" t="s">
        <v>2260</v>
      </c>
      <c r="CE171" s="774" t="s">
        <v>2260</v>
      </c>
      <c r="CF171" s="769" t="s">
        <v>2260</v>
      </c>
      <c r="CG171" s="769" t="s">
        <v>2260</v>
      </c>
      <c r="CH171" s="769" t="s">
        <v>2260</v>
      </c>
      <c r="CI171" s="769" t="s">
        <v>2260</v>
      </c>
      <c r="CJ171" s="774" t="s">
        <v>2260</v>
      </c>
      <c r="CK171" s="777" t="s">
        <v>2260</v>
      </c>
      <c r="CL171" s="769" t="s">
        <v>2260</v>
      </c>
      <c r="CM171" s="769" t="s">
        <v>2260</v>
      </c>
      <c r="CN171" s="769" t="s">
        <v>2260</v>
      </c>
      <c r="CO171" s="774" t="s">
        <v>2260</v>
      </c>
      <c r="CP171" s="777" t="s">
        <v>2260</v>
      </c>
      <c r="CQ171" s="769" t="s">
        <v>2260</v>
      </c>
      <c r="CR171" s="769" t="s">
        <v>2260</v>
      </c>
      <c r="CS171" s="769" t="s">
        <v>2260</v>
      </c>
      <c r="CT171" s="774" t="s">
        <v>2260</v>
      </c>
      <c r="CU171" s="1253">
        <v>-1.189E-2</v>
      </c>
      <c r="CV171" s="1252" t="s">
        <v>2260</v>
      </c>
      <c r="CW171" s="1252" t="s">
        <v>2260</v>
      </c>
      <c r="CX171" s="1254" t="s">
        <v>2260</v>
      </c>
      <c r="CY171" s="1252">
        <v>7.6800000000000002E-3</v>
      </c>
      <c r="CZ171" s="1252" t="s">
        <v>2260</v>
      </c>
      <c r="DA171" s="1252" t="s">
        <v>2260</v>
      </c>
      <c r="DB171" s="1254" t="s">
        <v>2260</v>
      </c>
      <c r="DC171" s="754" t="s">
        <v>173</v>
      </c>
      <c r="DD171" s="782">
        <v>1</v>
      </c>
      <c r="DE171" s="783"/>
    </row>
    <row r="172" spans="1:109" ht="15.75" hidden="1" customHeight="1">
      <c r="A172" s="741" t="s">
        <v>1143</v>
      </c>
      <c r="B172" s="742">
        <v>166</v>
      </c>
      <c r="C172" s="758" t="s">
        <v>1456</v>
      </c>
      <c r="D172" s="742" t="s">
        <v>2789</v>
      </c>
      <c r="E172" s="742" t="s">
        <v>2217</v>
      </c>
      <c r="F172" s="754" t="s">
        <v>2794</v>
      </c>
      <c r="G172" s="759" t="s">
        <v>2795</v>
      </c>
      <c r="H172" s="760" t="s">
        <v>2796</v>
      </c>
      <c r="I172" s="761">
        <v>0.11</v>
      </c>
      <c r="J172" s="762">
        <v>0.44900000000000001</v>
      </c>
      <c r="K172" s="762">
        <v>0.33800000000000002</v>
      </c>
      <c r="L172" s="762">
        <v>2.9000000000000001E-2</v>
      </c>
      <c r="M172" s="762">
        <v>7.3999999999999996E-2</v>
      </c>
      <c r="N172" s="762"/>
      <c r="O172" s="762"/>
      <c r="P172" s="763"/>
      <c r="Q172" s="764">
        <f t="shared" si="2"/>
        <v>1</v>
      </c>
      <c r="R172" s="758" t="s">
        <v>1852</v>
      </c>
      <c r="S172" s="742" t="s">
        <v>1826</v>
      </c>
      <c r="T172" s="765" t="s">
        <v>1827</v>
      </c>
      <c r="U172" s="742" t="s">
        <v>2408</v>
      </c>
      <c r="V172" s="742" t="s">
        <v>2797</v>
      </c>
      <c r="W172" s="742" t="s">
        <v>2798</v>
      </c>
      <c r="X172" s="1243">
        <v>0</v>
      </c>
      <c r="Y172" s="767" t="s">
        <v>1828</v>
      </c>
      <c r="Z172" s="759" t="s">
        <v>2260</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210</v>
      </c>
      <c r="BM172" s="754" t="s">
        <v>210</v>
      </c>
      <c r="BN172" s="754" t="s">
        <v>210</v>
      </c>
      <c r="BO172" s="754" t="s">
        <v>210</v>
      </c>
      <c r="BP172" s="765" t="s">
        <v>210</v>
      </c>
      <c r="BQ172" s="777" t="s">
        <v>2260</v>
      </c>
      <c r="BR172" s="769" t="s">
        <v>2260</v>
      </c>
      <c r="BS172" s="769" t="s">
        <v>2260</v>
      </c>
      <c r="BT172" s="769" t="s">
        <v>2260</v>
      </c>
      <c r="BU172" s="774" t="s">
        <v>2260</v>
      </c>
      <c r="BV172" s="777" t="s">
        <v>2260</v>
      </c>
      <c r="BW172" s="769" t="s">
        <v>2260</v>
      </c>
      <c r="BX172" s="769" t="s">
        <v>2260</v>
      </c>
      <c r="BY172" s="769" t="s">
        <v>2260</v>
      </c>
      <c r="BZ172" s="769" t="s">
        <v>2260</v>
      </c>
      <c r="CA172" s="777" t="s">
        <v>2260</v>
      </c>
      <c r="CB172" s="769" t="s">
        <v>2260</v>
      </c>
      <c r="CC172" s="769" t="s">
        <v>2260</v>
      </c>
      <c r="CD172" s="769" t="s">
        <v>2260</v>
      </c>
      <c r="CE172" s="774" t="s">
        <v>2260</v>
      </c>
      <c r="CF172" s="769" t="s">
        <v>2260</v>
      </c>
      <c r="CG172" s="769" t="s">
        <v>2260</v>
      </c>
      <c r="CH172" s="769" t="s">
        <v>2260</v>
      </c>
      <c r="CI172" s="769" t="s">
        <v>2260</v>
      </c>
      <c r="CJ172" s="774" t="s">
        <v>2260</v>
      </c>
      <c r="CK172" s="777" t="s">
        <v>2260</v>
      </c>
      <c r="CL172" s="769" t="s">
        <v>2260</v>
      </c>
      <c r="CM172" s="769" t="s">
        <v>2260</v>
      </c>
      <c r="CN172" s="769" t="s">
        <v>2260</v>
      </c>
      <c r="CO172" s="774" t="s">
        <v>2260</v>
      </c>
      <c r="CP172" s="777" t="s">
        <v>2260</v>
      </c>
      <c r="CQ172" s="769" t="s">
        <v>2260</v>
      </c>
      <c r="CR172" s="769" t="s">
        <v>2260</v>
      </c>
      <c r="CS172" s="769" t="s">
        <v>2260</v>
      </c>
      <c r="CT172" s="774" t="s">
        <v>2260</v>
      </c>
      <c r="CU172" s="1253">
        <v>-1.8699999999999999E-4</v>
      </c>
      <c r="CV172" s="1252" t="s">
        <v>2260</v>
      </c>
      <c r="CW172" s="1252" t="s">
        <v>2260</v>
      </c>
      <c r="CX172" s="1254" t="s">
        <v>2260</v>
      </c>
      <c r="CY172" s="1252">
        <v>1.8699999999999999E-4</v>
      </c>
      <c r="CZ172" s="1252" t="s">
        <v>2260</v>
      </c>
      <c r="DA172" s="1252" t="s">
        <v>2260</v>
      </c>
      <c r="DB172" s="1254" t="s">
        <v>2260</v>
      </c>
      <c r="DC172" s="754" t="s">
        <v>173</v>
      </c>
      <c r="DD172" s="782">
        <v>1</v>
      </c>
      <c r="DE172" s="783"/>
    </row>
    <row r="173" spans="1:109" ht="15.75" hidden="1" customHeight="1">
      <c r="A173" s="741" t="s">
        <v>1143</v>
      </c>
      <c r="B173" s="742">
        <v>167</v>
      </c>
      <c r="C173" s="758" t="s">
        <v>1685</v>
      </c>
      <c r="D173" s="742" t="s">
        <v>2789</v>
      </c>
      <c r="E173" s="742" t="s">
        <v>2231</v>
      </c>
      <c r="F173" s="754" t="s">
        <v>2799</v>
      </c>
      <c r="G173" s="759" t="s">
        <v>2800</v>
      </c>
      <c r="H173" s="760" t="s">
        <v>2801</v>
      </c>
      <c r="I173" s="761"/>
      <c r="J173" s="762"/>
      <c r="K173" s="762"/>
      <c r="L173" s="762">
        <v>1</v>
      </c>
      <c r="M173" s="762"/>
      <c r="N173" s="762"/>
      <c r="O173" s="762"/>
      <c r="P173" s="763"/>
      <c r="Q173" s="764">
        <f t="shared" si="2"/>
        <v>1</v>
      </c>
      <c r="R173" s="758" t="s">
        <v>1825</v>
      </c>
      <c r="S173" s="742" t="s">
        <v>2260</v>
      </c>
      <c r="T173" s="765" t="s">
        <v>2260</v>
      </c>
      <c r="U173" s="742" t="s">
        <v>815</v>
      </c>
      <c r="V173" s="742" t="s">
        <v>321</v>
      </c>
      <c r="W173" s="742" t="s">
        <v>2802</v>
      </c>
      <c r="X173" s="1278">
        <v>1</v>
      </c>
      <c r="Y173" s="767" t="s">
        <v>1828</v>
      </c>
      <c r="Z173" s="759" t="s">
        <v>2260</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2260</v>
      </c>
      <c r="BR173" s="769" t="s">
        <v>2260</v>
      </c>
      <c r="BS173" s="769" t="s">
        <v>2260</v>
      </c>
      <c r="BT173" s="769" t="s">
        <v>2260</v>
      </c>
      <c r="BU173" s="774" t="s">
        <v>2260</v>
      </c>
      <c r="BV173" s="777" t="s">
        <v>2260</v>
      </c>
      <c r="BW173" s="769" t="s">
        <v>2260</v>
      </c>
      <c r="BX173" s="769" t="s">
        <v>2260</v>
      </c>
      <c r="BY173" s="769" t="s">
        <v>2260</v>
      </c>
      <c r="BZ173" s="769" t="s">
        <v>2260</v>
      </c>
      <c r="CA173" s="777" t="s">
        <v>2260</v>
      </c>
      <c r="CB173" s="769" t="s">
        <v>2260</v>
      </c>
      <c r="CC173" s="769" t="s">
        <v>2260</v>
      </c>
      <c r="CD173" s="769" t="s">
        <v>2260</v>
      </c>
      <c r="CE173" s="774" t="s">
        <v>2260</v>
      </c>
      <c r="CF173" s="769" t="s">
        <v>2260</v>
      </c>
      <c r="CG173" s="769" t="s">
        <v>2260</v>
      </c>
      <c r="CH173" s="769" t="s">
        <v>2260</v>
      </c>
      <c r="CI173" s="769" t="s">
        <v>2260</v>
      </c>
      <c r="CJ173" s="769" t="s">
        <v>2260</v>
      </c>
      <c r="CK173" s="777" t="s">
        <v>2260</v>
      </c>
      <c r="CL173" s="769" t="s">
        <v>2260</v>
      </c>
      <c r="CM173" s="769" t="s">
        <v>2260</v>
      </c>
      <c r="CN173" s="769" t="s">
        <v>2260</v>
      </c>
      <c r="CO173" s="774" t="s">
        <v>2260</v>
      </c>
      <c r="CP173" s="777" t="s">
        <v>2260</v>
      </c>
      <c r="CQ173" s="769" t="s">
        <v>2260</v>
      </c>
      <c r="CR173" s="769" t="s">
        <v>2260</v>
      </c>
      <c r="CS173" s="769" t="s">
        <v>2260</v>
      </c>
      <c r="CT173" s="774" t="s">
        <v>2260</v>
      </c>
      <c r="CU173" s="1253" t="s">
        <v>2260</v>
      </c>
      <c r="CV173" s="1252" t="s">
        <v>2260</v>
      </c>
      <c r="CW173" s="1252" t="s">
        <v>2260</v>
      </c>
      <c r="CX173" s="1254" t="s">
        <v>2260</v>
      </c>
      <c r="CY173" s="1252" t="s">
        <v>2260</v>
      </c>
      <c r="CZ173" s="1252" t="s">
        <v>2260</v>
      </c>
      <c r="DA173" s="1252" t="s">
        <v>2260</v>
      </c>
      <c r="DB173" s="1254" t="s">
        <v>2260</v>
      </c>
      <c r="DC173" s="754"/>
      <c r="DD173" s="782">
        <v>1</v>
      </c>
      <c r="DE173" s="783"/>
    </row>
    <row r="174" spans="1:109" ht="15.75" hidden="1" customHeight="1">
      <c r="A174" s="741" t="s">
        <v>1143</v>
      </c>
      <c r="B174" s="742">
        <v>168</v>
      </c>
      <c r="C174" s="758" t="s">
        <v>1697</v>
      </c>
      <c r="D174" s="742" t="s">
        <v>2716</v>
      </c>
      <c r="E174" s="742" t="s">
        <v>2231</v>
      </c>
      <c r="F174" s="754" t="s">
        <v>2803</v>
      </c>
      <c r="G174" s="759" t="s">
        <v>2804</v>
      </c>
      <c r="H174" s="760" t="s">
        <v>2805</v>
      </c>
      <c r="I174" s="761"/>
      <c r="J174" s="762"/>
      <c r="K174" s="762"/>
      <c r="L174" s="762"/>
      <c r="M174" s="762">
        <v>1</v>
      </c>
      <c r="N174" s="762"/>
      <c r="O174" s="762"/>
      <c r="P174" s="763"/>
      <c r="Q174" s="764">
        <f t="shared" si="2"/>
        <v>1</v>
      </c>
      <c r="R174" s="758" t="s">
        <v>1825</v>
      </c>
      <c r="S174" s="742" t="s">
        <v>2260</v>
      </c>
      <c r="T174" s="765" t="s">
        <v>2260</v>
      </c>
      <c r="U174" s="742" t="s">
        <v>2396</v>
      </c>
      <c r="V174" s="742" t="s">
        <v>1857</v>
      </c>
      <c r="W174" s="742" t="s">
        <v>2720</v>
      </c>
      <c r="X174" s="798">
        <v>1</v>
      </c>
      <c r="Y174" s="788" t="s">
        <v>1828</v>
      </c>
      <c r="Z174" s="759" t="s">
        <v>2260</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2260</v>
      </c>
      <c r="BR174" s="769" t="s">
        <v>2260</v>
      </c>
      <c r="BS174" s="769" t="s">
        <v>2260</v>
      </c>
      <c r="BT174" s="769" t="s">
        <v>2260</v>
      </c>
      <c r="BU174" s="774" t="s">
        <v>2260</v>
      </c>
      <c r="BV174" s="777" t="s">
        <v>2260</v>
      </c>
      <c r="BW174" s="769" t="s">
        <v>2260</v>
      </c>
      <c r="BX174" s="769" t="s">
        <v>2260</v>
      </c>
      <c r="BY174" s="769" t="s">
        <v>2260</v>
      </c>
      <c r="BZ174" s="769" t="s">
        <v>2260</v>
      </c>
      <c r="CA174" s="777" t="s">
        <v>2260</v>
      </c>
      <c r="CB174" s="769" t="s">
        <v>2260</v>
      </c>
      <c r="CC174" s="769" t="s">
        <v>2260</v>
      </c>
      <c r="CD174" s="769" t="s">
        <v>2260</v>
      </c>
      <c r="CE174" s="774" t="s">
        <v>2260</v>
      </c>
      <c r="CF174" s="769" t="s">
        <v>2260</v>
      </c>
      <c r="CG174" s="769" t="s">
        <v>2260</v>
      </c>
      <c r="CH174" s="769" t="s">
        <v>2260</v>
      </c>
      <c r="CI174" s="769" t="s">
        <v>2260</v>
      </c>
      <c r="CJ174" s="774" t="s">
        <v>2260</v>
      </c>
      <c r="CK174" s="777" t="s">
        <v>2260</v>
      </c>
      <c r="CL174" s="769" t="s">
        <v>2260</v>
      </c>
      <c r="CM174" s="769" t="s">
        <v>2260</v>
      </c>
      <c r="CN174" s="769" t="s">
        <v>2260</v>
      </c>
      <c r="CO174" s="774" t="s">
        <v>2260</v>
      </c>
      <c r="CP174" s="777" t="s">
        <v>2260</v>
      </c>
      <c r="CQ174" s="769" t="s">
        <v>2260</v>
      </c>
      <c r="CR174" s="769" t="s">
        <v>2260</v>
      </c>
      <c r="CS174" s="769" t="s">
        <v>2260</v>
      </c>
      <c r="CT174" s="774" t="s">
        <v>2260</v>
      </c>
      <c r="CU174" s="1253" t="s">
        <v>2260</v>
      </c>
      <c r="CV174" s="1252" t="s">
        <v>2260</v>
      </c>
      <c r="CW174" s="1252" t="s">
        <v>2260</v>
      </c>
      <c r="CX174" s="1254" t="s">
        <v>2260</v>
      </c>
      <c r="CY174" s="1252" t="s">
        <v>2260</v>
      </c>
      <c r="CZ174" s="1252" t="s">
        <v>2260</v>
      </c>
      <c r="DA174" s="1252" t="s">
        <v>2260</v>
      </c>
      <c r="DB174" s="1254" t="s">
        <v>2260</v>
      </c>
      <c r="DC174" s="754"/>
      <c r="DD174" s="782"/>
      <c r="DE174" s="783"/>
    </row>
    <row r="175" spans="1:109" ht="15.75" hidden="1" customHeight="1">
      <c r="A175" s="741" t="s">
        <v>1143</v>
      </c>
      <c r="B175" s="742">
        <v>169</v>
      </c>
      <c r="C175" s="758" t="s">
        <v>1707</v>
      </c>
      <c r="D175" s="742" t="s">
        <v>2716</v>
      </c>
      <c r="E175" s="742" t="s">
        <v>2231</v>
      </c>
      <c r="F175" s="754" t="s">
        <v>2806</v>
      </c>
      <c r="G175" s="759" t="s">
        <v>2807</v>
      </c>
      <c r="H175" s="760" t="s">
        <v>2808</v>
      </c>
      <c r="I175" s="761"/>
      <c r="J175" s="762"/>
      <c r="K175" s="762"/>
      <c r="L175" s="762"/>
      <c r="M175" s="762">
        <v>1</v>
      </c>
      <c r="N175" s="762"/>
      <c r="O175" s="762"/>
      <c r="P175" s="763"/>
      <c r="Q175" s="764">
        <f t="shared" si="2"/>
        <v>1</v>
      </c>
      <c r="R175" s="758" t="s">
        <v>1825</v>
      </c>
      <c r="S175" s="742" t="s">
        <v>2260</v>
      </c>
      <c r="T175" s="765" t="s">
        <v>2260</v>
      </c>
      <c r="U175" s="742" t="s">
        <v>2610</v>
      </c>
      <c r="V175" s="742" t="s">
        <v>321</v>
      </c>
      <c r="W175" s="742" t="s">
        <v>2809</v>
      </c>
      <c r="X175" s="798">
        <v>1</v>
      </c>
      <c r="Y175" s="788" t="s">
        <v>1828</v>
      </c>
      <c r="Z175" s="759" t="s">
        <v>2260</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2260</v>
      </c>
      <c r="BR175" s="769" t="s">
        <v>2260</v>
      </c>
      <c r="BS175" s="769" t="s">
        <v>2260</v>
      </c>
      <c r="BT175" s="769" t="s">
        <v>2260</v>
      </c>
      <c r="BU175" s="774" t="s">
        <v>2260</v>
      </c>
      <c r="BV175" s="777" t="s">
        <v>2260</v>
      </c>
      <c r="BW175" s="769" t="s">
        <v>2260</v>
      </c>
      <c r="BX175" s="769" t="s">
        <v>2260</v>
      </c>
      <c r="BY175" s="769" t="s">
        <v>2260</v>
      </c>
      <c r="BZ175" s="769" t="s">
        <v>2260</v>
      </c>
      <c r="CA175" s="777" t="s">
        <v>2260</v>
      </c>
      <c r="CB175" s="769" t="s">
        <v>2260</v>
      </c>
      <c r="CC175" s="769" t="s">
        <v>2260</v>
      </c>
      <c r="CD175" s="769" t="s">
        <v>2260</v>
      </c>
      <c r="CE175" s="774" t="s">
        <v>2260</v>
      </c>
      <c r="CF175" s="769" t="s">
        <v>2260</v>
      </c>
      <c r="CG175" s="769" t="s">
        <v>2260</v>
      </c>
      <c r="CH175" s="769" t="s">
        <v>2260</v>
      </c>
      <c r="CI175" s="769" t="s">
        <v>2260</v>
      </c>
      <c r="CJ175" s="774" t="s">
        <v>2260</v>
      </c>
      <c r="CK175" s="777" t="s">
        <v>2260</v>
      </c>
      <c r="CL175" s="769" t="s">
        <v>2260</v>
      </c>
      <c r="CM175" s="769" t="s">
        <v>2260</v>
      </c>
      <c r="CN175" s="769" t="s">
        <v>2260</v>
      </c>
      <c r="CO175" s="774" t="s">
        <v>2260</v>
      </c>
      <c r="CP175" s="777" t="s">
        <v>2260</v>
      </c>
      <c r="CQ175" s="769" t="s">
        <v>2260</v>
      </c>
      <c r="CR175" s="769" t="s">
        <v>2260</v>
      </c>
      <c r="CS175" s="769" t="s">
        <v>2260</v>
      </c>
      <c r="CT175" s="774" t="s">
        <v>2260</v>
      </c>
      <c r="CU175" s="1253" t="s">
        <v>2260</v>
      </c>
      <c r="CV175" s="1252" t="s">
        <v>2260</v>
      </c>
      <c r="CW175" s="1252" t="s">
        <v>2260</v>
      </c>
      <c r="CX175" s="1254" t="s">
        <v>2260</v>
      </c>
      <c r="CY175" s="1252" t="s">
        <v>2260</v>
      </c>
      <c r="CZ175" s="1252" t="s">
        <v>2260</v>
      </c>
      <c r="DA175" s="1252" t="s">
        <v>2260</v>
      </c>
      <c r="DB175" s="1254" t="s">
        <v>2260</v>
      </c>
      <c r="DC175" s="754"/>
      <c r="DD175" s="782">
        <v>1</v>
      </c>
      <c r="DE175" s="783"/>
    </row>
    <row r="176" spans="1:109" ht="15.75" hidden="1" customHeight="1">
      <c r="A176" s="741" t="s">
        <v>1143</v>
      </c>
      <c r="B176" s="742">
        <v>170</v>
      </c>
      <c r="C176" s="758" t="s">
        <v>1155</v>
      </c>
      <c r="D176" s="742" t="s">
        <v>2716</v>
      </c>
      <c r="E176" s="742" t="s">
        <v>2231</v>
      </c>
      <c r="F176" s="754" t="s">
        <v>2810</v>
      </c>
      <c r="G176" s="759" t="s">
        <v>755</v>
      </c>
      <c r="H176" s="760" t="s">
        <v>2811</v>
      </c>
      <c r="I176" s="761"/>
      <c r="J176" s="762"/>
      <c r="K176" s="762"/>
      <c r="L176" s="762"/>
      <c r="M176" s="762">
        <v>1</v>
      </c>
      <c r="N176" s="762"/>
      <c r="O176" s="762"/>
      <c r="P176" s="763"/>
      <c r="Q176" s="764">
        <f t="shared" si="2"/>
        <v>1</v>
      </c>
      <c r="R176" s="758" t="s">
        <v>1825</v>
      </c>
      <c r="S176" s="742" t="s">
        <v>2260</v>
      </c>
      <c r="T176" s="765" t="s">
        <v>2260</v>
      </c>
      <c r="U176" s="742" t="s">
        <v>2329</v>
      </c>
      <c r="V176" s="742" t="s">
        <v>321</v>
      </c>
      <c r="W176" s="742" t="s">
        <v>2812</v>
      </c>
      <c r="X176" s="798">
        <v>1</v>
      </c>
      <c r="Y176" s="788" t="s">
        <v>1828</v>
      </c>
      <c r="Z176" s="759" t="s">
        <v>755</v>
      </c>
      <c r="AA176" s="754"/>
      <c r="AB176" s="754"/>
      <c r="AC176" s="754"/>
      <c r="AD176" s="754"/>
      <c r="AE176" s="754"/>
      <c r="AF176" s="768"/>
      <c r="AG176" s="769"/>
      <c r="AH176" s="769"/>
      <c r="AI176" s="769"/>
      <c r="AJ176" s="769"/>
      <c r="AK176" s="769"/>
      <c r="AL176" s="769"/>
      <c r="AM176" s="769"/>
      <c r="AN176" s="769"/>
      <c r="AO176" s="769"/>
      <c r="AP176" s="769"/>
      <c r="AQ176" s="1369"/>
      <c r="AR176" s="1665"/>
      <c r="AS176" s="1665"/>
      <c r="AT176" s="1665"/>
      <c r="AU176" s="1466"/>
      <c r="AV176" s="777"/>
      <c r="AW176" s="769"/>
      <c r="AX176" s="769"/>
      <c r="AY176" s="769"/>
      <c r="AZ176" s="769"/>
      <c r="BA176" s="769"/>
      <c r="BB176" s="769"/>
      <c r="BC176" s="769"/>
      <c r="BD176" s="769"/>
      <c r="BE176" s="769"/>
      <c r="BF176" s="769"/>
      <c r="BG176" s="769"/>
      <c r="BH176" s="769"/>
      <c r="BI176" s="769"/>
      <c r="BJ176" s="769"/>
      <c r="BK176" s="774"/>
      <c r="BL176" s="1327"/>
      <c r="BM176" s="1328"/>
      <c r="BN176" s="1328"/>
      <c r="BO176" s="1328"/>
      <c r="BP176" s="1389"/>
      <c r="BQ176" s="1369"/>
      <c r="BR176" s="1319"/>
      <c r="BS176" s="1319"/>
      <c r="BT176" s="1319"/>
      <c r="BU176" s="1320"/>
      <c r="BV176" s="1369"/>
      <c r="BW176" s="1319"/>
      <c r="BX176" s="1319"/>
      <c r="BY176" s="1319"/>
      <c r="BZ176" s="1319"/>
      <c r="CA176" s="1369"/>
      <c r="CB176" s="1319"/>
      <c r="CC176" s="1319"/>
      <c r="CD176" s="1319"/>
      <c r="CE176" s="1320"/>
      <c r="CF176" s="1319"/>
      <c r="CG176" s="1319"/>
      <c r="CH176" s="1319"/>
      <c r="CI176" s="1319"/>
      <c r="CJ176" s="1320"/>
      <c r="CK176" s="1369"/>
      <c r="CL176" s="1319"/>
      <c r="CM176" s="1319"/>
      <c r="CN176" s="1319"/>
      <c r="CO176" s="1320"/>
      <c r="CP176" s="1369"/>
      <c r="CQ176" s="1319"/>
      <c r="CR176" s="1319"/>
      <c r="CS176" s="1319"/>
      <c r="CT176" s="1320"/>
      <c r="CU176" s="1467"/>
      <c r="CV176" s="1458"/>
      <c r="CW176" s="1458"/>
      <c r="CX176" s="1663"/>
      <c r="CY176" s="1458"/>
      <c r="CZ176" s="1458"/>
      <c r="DA176" s="1458"/>
      <c r="DB176" s="1663"/>
      <c r="DC176" s="1328"/>
      <c r="DD176" s="1664"/>
      <c r="DE176" s="1669"/>
    </row>
    <row r="177" spans="1:109" ht="15.75" hidden="1" customHeight="1">
      <c r="A177" s="741" t="s">
        <v>1143</v>
      </c>
      <c r="B177" s="742">
        <v>171</v>
      </c>
      <c r="C177" s="758" t="s">
        <v>1716</v>
      </c>
      <c r="D177" s="742" t="s">
        <v>2716</v>
      </c>
      <c r="E177" s="742" t="s">
        <v>2231</v>
      </c>
      <c r="F177" s="754" t="s">
        <v>2813</v>
      </c>
      <c r="G177" s="759" t="s">
        <v>2814</v>
      </c>
      <c r="H177" s="760" t="s">
        <v>2815</v>
      </c>
      <c r="I177" s="761"/>
      <c r="J177" s="762"/>
      <c r="K177" s="762"/>
      <c r="L177" s="762"/>
      <c r="M177" s="762">
        <v>1</v>
      </c>
      <c r="N177" s="762"/>
      <c r="O177" s="762"/>
      <c r="P177" s="763"/>
      <c r="Q177" s="764">
        <f t="shared" si="2"/>
        <v>1</v>
      </c>
      <c r="R177" s="758" t="s">
        <v>1825</v>
      </c>
      <c r="S177" s="742" t="s">
        <v>2260</v>
      </c>
      <c r="T177" s="765" t="s">
        <v>2260</v>
      </c>
      <c r="U177" s="742" t="s">
        <v>2610</v>
      </c>
      <c r="V177" s="742" t="s">
        <v>1890</v>
      </c>
      <c r="W177" s="742" t="s">
        <v>2816</v>
      </c>
      <c r="X177" s="798">
        <v>0</v>
      </c>
      <c r="Y177" s="788" t="s">
        <v>2260</v>
      </c>
      <c r="Z177" s="759" t="s">
        <v>2260</v>
      </c>
      <c r="AA177" s="754"/>
      <c r="AB177" s="754"/>
      <c r="AC177" s="754"/>
      <c r="AD177" s="754"/>
      <c r="AE177" s="754"/>
      <c r="AF177" s="768"/>
      <c r="AG177" s="769"/>
      <c r="AH177" s="769"/>
      <c r="AI177" s="769"/>
      <c r="AJ177" s="769"/>
      <c r="AK177" s="769"/>
      <c r="AL177" s="769"/>
      <c r="AM177" s="769"/>
      <c r="AN177" s="769"/>
      <c r="AO177" s="769"/>
      <c r="AP177" s="769"/>
      <c r="AQ177" s="777" t="s">
        <v>605</v>
      </c>
      <c r="AR177" s="769" t="s">
        <v>605</v>
      </c>
      <c r="AS177" s="769" t="s">
        <v>605</v>
      </c>
      <c r="AT177" s="769" t="s">
        <v>605</v>
      </c>
      <c r="AU177" s="774" t="s">
        <v>605</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2260</v>
      </c>
      <c r="BR177" s="769" t="s">
        <v>2260</v>
      </c>
      <c r="BS177" s="769" t="s">
        <v>2260</v>
      </c>
      <c r="BT177" s="769" t="s">
        <v>2260</v>
      </c>
      <c r="BU177" s="774" t="s">
        <v>2260</v>
      </c>
      <c r="BV177" s="777" t="s">
        <v>2260</v>
      </c>
      <c r="BW177" s="769" t="s">
        <v>2260</v>
      </c>
      <c r="BX177" s="769" t="s">
        <v>2260</v>
      </c>
      <c r="BY177" s="769" t="s">
        <v>2260</v>
      </c>
      <c r="BZ177" s="769" t="s">
        <v>2260</v>
      </c>
      <c r="CA177" s="777" t="s">
        <v>2260</v>
      </c>
      <c r="CB177" s="769" t="s">
        <v>2260</v>
      </c>
      <c r="CC177" s="769" t="s">
        <v>2260</v>
      </c>
      <c r="CD177" s="769" t="s">
        <v>2260</v>
      </c>
      <c r="CE177" s="774" t="s">
        <v>2260</v>
      </c>
      <c r="CF177" s="769" t="s">
        <v>2260</v>
      </c>
      <c r="CG177" s="769" t="s">
        <v>2260</v>
      </c>
      <c r="CH177" s="769" t="s">
        <v>2260</v>
      </c>
      <c r="CI177" s="769" t="s">
        <v>2260</v>
      </c>
      <c r="CJ177" s="774" t="s">
        <v>2260</v>
      </c>
      <c r="CK177" s="777" t="s">
        <v>2260</v>
      </c>
      <c r="CL177" s="769" t="s">
        <v>2260</v>
      </c>
      <c r="CM177" s="769" t="s">
        <v>2260</v>
      </c>
      <c r="CN177" s="769" t="s">
        <v>2260</v>
      </c>
      <c r="CO177" s="774" t="s">
        <v>2260</v>
      </c>
      <c r="CP177" s="777" t="s">
        <v>2260</v>
      </c>
      <c r="CQ177" s="769" t="s">
        <v>2260</v>
      </c>
      <c r="CR177" s="769" t="s">
        <v>2260</v>
      </c>
      <c r="CS177" s="769" t="s">
        <v>2260</v>
      </c>
      <c r="CT177" s="774" t="s">
        <v>2260</v>
      </c>
      <c r="CU177" s="1253" t="s">
        <v>2260</v>
      </c>
      <c r="CV177" s="1252" t="s">
        <v>2260</v>
      </c>
      <c r="CW177" s="1252" t="s">
        <v>2260</v>
      </c>
      <c r="CX177" s="1254" t="s">
        <v>2260</v>
      </c>
      <c r="CY177" s="1252" t="s">
        <v>2260</v>
      </c>
      <c r="CZ177" s="1252" t="s">
        <v>2260</v>
      </c>
      <c r="DA177" s="1252" t="s">
        <v>2260</v>
      </c>
      <c r="DB177" s="1254" t="s">
        <v>2260</v>
      </c>
      <c r="DC177" s="754"/>
      <c r="DD177" s="782">
        <v>1</v>
      </c>
      <c r="DE177" s="783"/>
    </row>
    <row r="178" spans="1:109" ht="15.75" hidden="1" customHeight="1">
      <c r="A178" s="741" t="s">
        <v>1143</v>
      </c>
      <c r="B178" s="742">
        <v>172</v>
      </c>
      <c r="C178" s="758" t="s">
        <v>1466</v>
      </c>
      <c r="D178" s="742" t="s">
        <v>2695</v>
      </c>
      <c r="E178" s="742" t="s">
        <v>2231</v>
      </c>
      <c r="F178" s="754" t="s">
        <v>2817</v>
      </c>
      <c r="G178" s="759" t="s">
        <v>2818</v>
      </c>
      <c r="H178" s="760" t="s">
        <v>2819</v>
      </c>
      <c r="I178" s="761"/>
      <c r="J178" s="762">
        <v>1</v>
      </c>
      <c r="K178" s="762"/>
      <c r="L178" s="762"/>
      <c r="M178" s="762"/>
      <c r="N178" s="762"/>
      <c r="O178" s="762"/>
      <c r="P178" s="763"/>
      <c r="Q178" s="764">
        <f t="shared" si="2"/>
        <v>1</v>
      </c>
      <c r="R178" s="758" t="s">
        <v>1846</v>
      </c>
      <c r="S178" s="742" t="s">
        <v>1826</v>
      </c>
      <c r="T178" s="765" t="s">
        <v>1837</v>
      </c>
      <c r="U178" s="742" t="s">
        <v>2234</v>
      </c>
      <c r="V178" s="742" t="s">
        <v>321</v>
      </c>
      <c r="W178" s="742" t="s">
        <v>2820</v>
      </c>
      <c r="X178" s="798">
        <v>1</v>
      </c>
      <c r="Y178" s="791" t="s">
        <v>1828</v>
      </c>
      <c r="Z178" s="759" t="s">
        <v>2260</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210</v>
      </c>
      <c r="BQ178" s="777" t="s">
        <v>2260</v>
      </c>
      <c r="BR178" s="769" t="s">
        <v>2260</v>
      </c>
      <c r="BS178" s="769" t="s">
        <v>2260</v>
      </c>
      <c r="BT178" s="769" t="s">
        <v>2260</v>
      </c>
      <c r="BU178" s="774" t="s">
        <v>2260</v>
      </c>
      <c r="BV178" s="777" t="s">
        <v>2260</v>
      </c>
      <c r="BW178" s="769" t="s">
        <v>2260</v>
      </c>
      <c r="BX178" s="769" t="s">
        <v>2260</v>
      </c>
      <c r="BY178" s="769" t="s">
        <v>2260</v>
      </c>
      <c r="BZ178" s="769" t="s">
        <v>2260</v>
      </c>
      <c r="CA178" s="777" t="s">
        <v>2260</v>
      </c>
      <c r="CB178" s="769" t="s">
        <v>2260</v>
      </c>
      <c r="CC178" s="769" t="s">
        <v>2260</v>
      </c>
      <c r="CD178" s="769" t="s">
        <v>2260</v>
      </c>
      <c r="CE178" s="774" t="s">
        <v>2260</v>
      </c>
      <c r="CF178" s="769" t="s">
        <v>2260</v>
      </c>
      <c r="CG178" s="769" t="s">
        <v>2260</v>
      </c>
      <c r="CH178" s="769" t="s">
        <v>2260</v>
      </c>
      <c r="CI178" s="769" t="s">
        <v>2260</v>
      </c>
      <c r="CJ178" s="774" t="s">
        <v>2260</v>
      </c>
      <c r="CK178" s="777" t="s">
        <v>2260</v>
      </c>
      <c r="CL178" s="769" t="s">
        <v>2260</v>
      </c>
      <c r="CM178" s="769" t="s">
        <v>2260</v>
      </c>
      <c r="CN178" s="769" t="s">
        <v>2260</v>
      </c>
      <c r="CO178" s="774" t="s">
        <v>2260</v>
      </c>
      <c r="CP178" s="777" t="s">
        <v>2260</v>
      </c>
      <c r="CQ178" s="769" t="s">
        <v>2260</v>
      </c>
      <c r="CR178" s="769" t="s">
        <v>2260</v>
      </c>
      <c r="CS178" s="769" t="s">
        <v>2260</v>
      </c>
      <c r="CT178" s="774" t="s">
        <v>2260</v>
      </c>
      <c r="CU178" s="1257">
        <v>-0.36899999999999999</v>
      </c>
      <c r="CV178" s="1252" t="s">
        <v>2260</v>
      </c>
      <c r="CW178" s="1252" t="s">
        <v>2260</v>
      </c>
      <c r="CX178" s="1254" t="s">
        <v>2260</v>
      </c>
      <c r="CY178" s="1252" t="s">
        <v>2260</v>
      </c>
      <c r="CZ178" s="1252" t="s">
        <v>2260</v>
      </c>
      <c r="DA178" s="1252" t="s">
        <v>2260</v>
      </c>
      <c r="DB178" s="1254" t="s">
        <v>2260</v>
      </c>
      <c r="DC178" s="754" t="s">
        <v>173</v>
      </c>
      <c r="DD178" s="782">
        <v>1</v>
      </c>
      <c r="DE178" s="783"/>
    </row>
    <row r="179" spans="1:109" ht="15.75" hidden="1" customHeight="1">
      <c r="A179" s="741" t="s">
        <v>1143</v>
      </c>
      <c r="B179" s="742">
        <v>173</v>
      </c>
      <c r="C179" s="758" t="s">
        <v>1474</v>
      </c>
      <c r="D179" s="742" t="s">
        <v>2671</v>
      </c>
      <c r="E179" s="742" t="s">
        <v>2231</v>
      </c>
      <c r="F179" s="754" t="s">
        <v>2821</v>
      </c>
      <c r="G179" s="759" t="s">
        <v>2822</v>
      </c>
      <c r="H179" s="760" t="s">
        <v>2823</v>
      </c>
      <c r="I179" s="761"/>
      <c r="J179" s="762">
        <v>1</v>
      </c>
      <c r="K179" s="762"/>
      <c r="L179" s="762"/>
      <c r="M179" s="762"/>
      <c r="N179" s="762"/>
      <c r="O179" s="762"/>
      <c r="P179" s="763"/>
      <c r="Q179" s="764">
        <f t="shared" si="2"/>
        <v>1</v>
      </c>
      <c r="R179" s="758" t="s">
        <v>1846</v>
      </c>
      <c r="S179" s="742" t="s">
        <v>1826</v>
      </c>
      <c r="T179" s="765" t="s">
        <v>1837</v>
      </c>
      <c r="U179" s="742" t="s">
        <v>2247</v>
      </c>
      <c r="V179" s="742" t="s">
        <v>321</v>
      </c>
      <c r="W179" s="742" t="s">
        <v>2820</v>
      </c>
      <c r="X179" s="798">
        <v>1</v>
      </c>
      <c r="Y179" s="791" t="s">
        <v>1828</v>
      </c>
      <c r="Z179" s="759" t="s">
        <v>2260</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210</v>
      </c>
      <c r="BQ179" s="777" t="s">
        <v>2260</v>
      </c>
      <c r="BR179" s="769" t="s">
        <v>2260</v>
      </c>
      <c r="BS179" s="769" t="s">
        <v>2260</v>
      </c>
      <c r="BT179" s="769" t="s">
        <v>2260</v>
      </c>
      <c r="BU179" s="774" t="s">
        <v>2260</v>
      </c>
      <c r="BV179" s="777" t="s">
        <v>2260</v>
      </c>
      <c r="BW179" s="769" t="s">
        <v>2260</v>
      </c>
      <c r="BX179" s="769" t="s">
        <v>2260</v>
      </c>
      <c r="BY179" s="769" t="s">
        <v>2260</v>
      </c>
      <c r="BZ179" s="769" t="s">
        <v>2260</v>
      </c>
      <c r="CA179" s="777" t="s">
        <v>2260</v>
      </c>
      <c r="CB179" s="769" t="s">
        <v>2260</v>
      </c>
      <c r="CC179" s="769" t="s">
        <v>2260</v>
      </c>
      <c r="CD179" s="769" t="s">
        <v>2260</v>
      </c>
      <c r="CE179" s="774" t="s">
        <v>2260</v>
      </c>
      <c r="CF179" s="769" t="s">
        <v>2260</v>
      </c>
      <c r="CG179" s="769" t="s">
        <v>2260</v>
      </c>
      <c r="CH179" s="769" t="s">
        <v>2260</v>
      </c>
      <c r="CI179" s="769" t="s">
        <v>2260</v>
      </c>
      <c r="CJ179" s="774" t="s">
        <v>2260</v>
      </c>
      <c r="CK179" s="777" t="s">
        <v>2260</v>
      </c>
      <c r="CL179" s="769" t="s">
        <v>2260</v>
      </c>
      <c r="CM179" s="769" t="s">
        <v>2260</v>
      </c>
      <c r="CN179" s="769" t="s">
        <v>2260</v>
      </c>
      <c r="CO179" s="774" t="s">
        <v>2260</v>
      </c>
      <c r="CP179" s="777" t="s">
        <v>2260</v>
      </c>
      <c r="CQ179" s="769" t="s">
        <v>2260</v>
      </c>
      <c r="CR179" s="769" t="s">
        <v>2260</v>
      </c>
      <c r="CS179" s="769" t="s">
        <v>2260</v>
      </c>
      <c r="CT179" s="774" t="s">
        <v>2260</v>
      </c>
      <c r="CU179" s="1257">
        <v>-4.6199999999999998E-2</v>
      </c>
      <c r="CV179" s="1252" t="s">
        <v>2260</v>
      </c>
      <c r="CW179" s="1252" t="s">
        <v>2260</v>
      </c>
      <c r="CX179" s="1254" t="s">
        <v>2260</v>
      </c>
      <c r="CY179" s="1252" t="s">
        <v>2260</v>
      </c>
      <c r="CZ179" s="1252" t="s">
        <v>2260</v>
      </c>
      <c r="DA179" s="1252" t="s">
        <v>2260</v>
      </c>
      <c r="DB179" s="1254" t="s">
        <v>2260</v>
      </c>
      <c r="DC179" s="754" t="s">
        <v>173</v>
      </c>
      <c r="DD179" s="782">
        <v>1</v>
      </c>
      <c r="DE179" s="783"/>
    </row>
    <row r="180" spans="1:109" ht="15.75" hidden="1" customHeight="1">
      <c r="A180" s="741" t="s">
        <v>1143</v>
      </c>
      <c r="B180" s="742">
        <v>174</v>
      </c>
      <c r="C180" s="758" t="s">
        <v>1480</v>
      </c>
      <c r="D180" s="742" t="s">
        <v>2716</v>
      </c>
      <c r="E180" s="742" t="s">
        <v>2231</v>
      </c>
      <c r="F180" s="754" t="s">
        <v>2824</v>
      </c>
      <c r="G180" s="759" t="s">
        <v>2825</v>
      </c>
      <c r="H180" s="760" t="s">
        <v>2826</v>
      </c>
      <c r="I180" s="761"/>
      <c r="J180" s="762">
        <v>1</v>
      </c>
      <c r="K180" s="762"/>
      <c r="L180" s="762"/>
      <c r="M180" s="762"/>
      <c r="N180" s="762"/>
      <c r="O180" s="762"/>
      <c r="P180" s="763"/>
      <c r="Q180" s="764">
        <f t="shared" si="2"/>
        <v>1</v>
      </c>
      <c r="R180" s="758" t="s">
        <v>1846</v>
      </c>
      <c r="S180" s="742" t="s">
        <v>1826</v>
      </c>
      <c r="T180" s="765" t="s">
        <v>1837</v>
      </c>
      <c r="U180" s="742" t="s">
        <v>2827</v>
      </c>
      <c r="V180" s="742" t="s">
        <v>321</v>
      </c>
      <c r="W180" s="742" t="s">
        <v>2820</v>
      </c>
      <c r="X180" s="798">
        <v>1</v>
      </c>
      <c r="Y180" s="791" t="s">
        <v>1828</v>
      </c>
      <c r="Z180" s="759" t="s">
        <v>2260</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210</v>
      </c>
      <c r="BQ180" s="777" t="s">
        <v>2260</v>
      </c>
      <c r="BR180" s="769" t="s">
        <v>2260</v>
      </c>
      <c r="BS180" s="769" t="s">
        <v>2260</v>
      </c>
      <c r="BT180" s="769" t="s">
        <v>2260</v>
      </c>
      <c r="BU180" s="774" t="s">
        <v>2260</v>
      </c>
      <c r="BV180" s="777" t="s">
        <v>2260</v>
      </c>
      <c r="BW180" s="769" t="s">
        <v>2260</v>
      </c>
      <c r="BX180" s="769" t="s">
        <v>2260</v>
      </c>
      <c r="BY180" s="769" t="s">
        <v>2260</v>
      </c>
      <c r="BZ180" s="769" t="s">
        <v>2260</v>
      </c>
      <c r="CA180" s="777" t="s">
        <v>2260</v>
      </c>
      <c r="CB180" s="769" t="s">
        <v>2260</v>
      </c>
      <c r="CC180" s="769" t="s">
        <v>2260</v>
      </c>
      <c r="CD180" s="769" t="s">
        <v>2260</v>
      </c>
      <c r="CE180" s="774" t="s">
        <v>2260</v>
      </c>
      <c r="CF180" s="769" t="s">
        <v>2260</v>
      </c>
      <c r="CG180" s="769" t="s">
        <v>2260</v>
      </c>
      <c r="CH180" s="769" t="s">
        <v>2260</v>
      </c>
      <c r="CI180" s="769" t="s">
        <v>2260</v>
      </c>
      <c r="CJ180" s="774" t="s">
        <v>2260</v>
      </c>
      <c r="CK180" s="777" t="s">
        <v>2260</v>
      </c>
      <c r="CL180" s="769" t="s">
        <v>2260</v>
      </c>
      <c r="CM180" s="769" t="s">
        <v>2260</v>
      </c>
      <c r="CN180" s="769" t="s">
        <v>2260</v>
      </c>
      <c r="CO180" s="774" t="s">
        <v>2260</v>
      </c>
      <c r="CP180" s="777" t="s">
        <v>2260</v>
      </c>
      <c r="CQ180" s="769" t="s">
        <v>2260</v>
      </c>
      <c r="CR180" s="769" t="s">
        <v>2260</v>
      </c>
      <c r="CS180" s="769" t="s">
        <v>2260</v>
      </c>
      <c r="CT180" s="774" t="s">
        <v>2260</v>
      </c>
      <c r="CU180" s="1257">
        <v>-0.19400000000000001</v>
      </c>
      <c r="CV180" s="1252" t="s">
        <v>2260</v>
      </c>
      <c r="CW180" s="1252" t="s">
        <v>2260</v>
      </c>
      <c r="CX180" s="1254" t="s">
        <v>2260</v>
      </c>
      <c r="CY180" s="1252" t="s">
        <v>2260</v>
      </c>
      <c r="CZ180" s="1252" t="s">
        <v>2260</v>
      </c>
      <c r="DA180" s="1252" t="s">
        <v>2260</v>
      </c>
      <c r="DB180" s="1254" t="s">
        <v>2260</v>
      </c>
      <c r="DC180" s="754" t="s">
        <v>173</v>
      </c>
      <c r="DD180" s="782">
        <v>1</v>
      </c>
      <c r="DE180" s="783"/>
    </row>
    <row r="181" spans="1:109" ht="15.75" hidden="1" customHeight="1">
      <c r="A181" s="741" t="s">
        <v>1143</v>
      </c>
      <c r="B181" s="742">
        <v>175</v>
      </c>
      <c r="C181" s="758" t="s">
        <v>1539</v>
      </c>
      <c r="D181" s="742" t="s">
        <v>2695</v>
      </c>
      <c r="E181" s="742" t="s">
        <v>2231</v>
      </c>
      <c r="F181" s="754" t="s">
        <v>2828</v>
      </c>
      <c r="G181" s="759" t="s">
        <v>2081</v>
      </c>
      <c r="H181" s="760" t="s">
        <v>2829</v>
      </c>
      <c r="I181" s="761"/>
      <c r="J181" s="762"/>
      <c r="K181" s="762">
        <v>1</v>
      </c>
      <c r="L181" s="762"/>
      <c r="M181" s="762"/>
      <c r="N181" s="762"/>
      <c r="O181" s="762"/>
      <c r="P181" s="763"/>
      <c r="Q181" s="764">
        <f t="shared" si="2"/>
        <v>1</v>
      </c>
      <c r="R181" s="758" t="s">
        <v>1846</v>
      </c>
      <c r="S181" s="742" t="s">
        <v>1826</v>
      </c>
      <c r="T181" s="765" t="s">
        <v>1837</v>
      </c>
      <c r="U181" s="742" t="s">
        <v>2234</v>
      </c>
      <c r="V181" s="1461" t="s">
        <v>1857</v>
      </c>
      <c r="W181" s="742" t="s">
        <v>2830</v>
      </c>
      <c r="X181" s="798">
        <v>0</v>
      </c>
      <c r="Y181" s="1827" t="s">
        <v>1828</v>
      </c>
      <c r="Z181" s="759" t="s">
        <v>2260</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28" t="s">
        <v>210</v>
      </c>
      <c r="BM181" s="1829" t="s">
        <v>210</v>
      </c>
      <c r="BN181" s="1829" t="s">
        <v>210</v>
      </c>
      <c r="BO181" s="1829" t="s">
        <v>210</v>
      </c>
      <c r="BP181" s="765" t="s">
        <v>210</v>
      </c>
      <c r="BQ181" s="777" t="s">
        <v>2260</v>
      </c>
      <c r="BR181" s="769" t="s">
        <v>2260</v>
      </c>
      <c r="BS181" s="769" t="s">
        <v>2260</v>
      </c>
      <c r="BT181" s="769" t="s">
        <v>2260</v>
      </c>
      <c r="BU181" s="774" t="s">
        <v>2260</v>
      </c>
      <c r="BV181" s="777" t="s">
        <v>2260</v>
      </c>
      <c r="BW181" s="769" t="s">
        <v>2260</v>
      </c>
      <c r="BX181" s="769" t="s">
        <v>2260</v>
      </c>
      <c r="BY181" s="769" t="s">
        <v>2260</v>
      </c>
      <c r="BZ181" s="769" t="s">
        <v>2260</v>
      </c>
      <c r="CA181" s="777" t="s">
        <v>2260</v>
      </c>
      <c r="CB181" s="769" t="s">
        <v>2260</v>
      </c>
      <c r="CC181" s="769" t="s">
        <v>2260</v>
      </c>
      <c r="CD181" s="769" t="s">
        <v>2260</v>
      </c>
      <c r="CE181" s="774" t="s">
        <v>2260</v>
      </c>
      <c r="CF181" s="769" t="s">
        <v>2260</v>
      </c>
      <c r="CG181" s="769" t="s">
        <v>2260</v>
      </c>
      <c r="CH181" s="769" t="s">
        <v>2260</v>
      </c>
      <c r="CI181" s="769" t="s">
        <v>2260</v>
      </c>
      <c r="CJ181" s="774" t="s">
        <v>2260</v>
      </c>
      <c r="CK181" s="777" t="s">
        <v>2260</v>
      </c>
      <c r="CL181" s="769" t="s">
        <v>2260</v>
      </c>
      <c r="CM181" s="769" t="s">
        <v>2260</v>
      </c>
      <c r="CN181" s="769" t="s">
        <v>2260</v>
      </c>
      <c r="CO181" s="774" t="s">
        <v>2260</v>
      </c>
      <c r="CP181" s="777" t="s">
        <v>2260</v>
      </c>
      <c r="CQ181" s="769" t="s">
        <v>2260</v>
      </c>
      <c r="CR181" s="769" t="s">
        <v>2260</v>
      </c>
      <c r="CS181" s="769" t="s">
        <v>2260</v>
      </c>
      <c r="CT181" s="774" t="s">
        <v>2260</v>
      </c>
      <c r="CU181" s="1257">
        <v>-0.127</v>
      </c>
      <c r="CV181" s="1252" t="s">
        <v>2260</v>
      </c>
      <c r="CW181" s="1252" t="s">
        <v>2260</v>
      </c>
      <c r="CX181" s="1254" t="s">
        <v>2260</v>
      </c>
      <c r="CY181" s="1252" t="s">
        <v>2260</v>
      </c>
      <c r="CZ181" s="1252" t="s">
        <v>2260</v>
      </c>
      <c r="DA181" s="1252" t="s">
        <v>2260</v>
      </c>
      <c r="DB181" s="1254" t="s">
        <v>2260</v>
      </c>
      <c r="DC181" s="754" t="s">
        <v>173</v>
      </c>
      <c r="DD181" s="782">
        <v>1</v>
      </c>
      <c r="DE181" s="783"/>
    </row>
    <row r="182" spans="1:109" ht="15.75" hidden="1" customHeight="1">
      <c r="A182" s="741" t="s">
        <v>1143</v>
      </c>
      <c r="B182" s="742">
        <v>176</v>
      </c>
      <c r="C182" s="758" t="s">
        <v>1486</v>
      </c>
      <c r="D182" s="742" t="s">
        <v>2695</v>
      </c>
      <c r="E182" s="742" t="s">
        <v>2231</v>
      </c>
      <c r="F182" s="754" t="s">
        <v>2831</v>
      </c>
      <c r="G182" s="759" t="s">
        <v>2832</v>
      </c>
      <c r="H182" s="760" t="s">
        <v>2833</v>
      </c>
      <c r="I182" s="761"/>
      <c r="J182" s="762">
        <v>0.70399999999999996</v>
      </c>
      <c r="K182" s="762">
        <v>0.29599999999999999</v>
      </c>
      <c r="L182" s="762"/>
      <c r="M182" s="762"/>
      <c r="N182" s="762"/>
      <c r="O182" s="762"/>
      <c r="P182" s="763"/>
      <c r="Q182" s="764">
        <f t="shared" si="2"/>
        <v>1</v>
      </c>
      <c r="R182" s="758" t="s">
        <v>1846</v>
      </c>
      <c r="S182" s="742" t="s">
        <v>1826</v>
      </c>
      <c r="T182" s="765" t="s">
        <v>1827</v>
      </c>
      <c r="U182" s="742" t="s">
        <v>2234</v>
      </c>
      <c r="V182" s="742" t="s">
        <v>321</v>
      </c>
      <c r="W182" s="742" t="s">
        <v>2820</v>
      </c>
      <c r="X182" s="798">
        <v>1</v>
      </c>
      <c r="Y182" s="791" t="s">
        <v>1828</v>
      </c>
      <c r="Z182" s="759" t="s">
        <v>2260</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210</v>
      </c>
      <c r="BQ182" s="777" t="s">
        <v>2260</v>
      </c>
      <c r="BR182" s="769" t="s">
        <v>2260</v>
      </c>
      <c r="BS182" s="769" t="s">
        <v>2260</v>
      </c>
      <c r="BT182" s="769" t="s">
        <v>2260</v>
      </c>
      <c r="BU182" s="774" t="s">
        <v>2260</v>
      </c>
      <c r="BV182" s="777" t="s">
        <v>2260</v>
      </c>
      <c r="BW182" s="769" t="s">
        <v>2260</v>
      </c>
      <c r="BX182" s="769" t="s">
        <v>2260</v>
      </c>
      <c r="BY182" s="769" t="s">
        <v>2260</v>
      </c>
      <c r="BZ182" s="769" t="s">
        <v>2260</v>
      </c>
      <c r="CA182" s="777" t="s">
        <v>2260</v>
      </c>
      <c r="CB182" s="769" t="s">
        <v>2260</v>
      </c>
      <c r="CC182" s="769" t="s">
        <v>2260</v>
      </c>
      <c r="CD182" s="769" t="s">
        <v>2260</v>
      </c>
      <c r="CE182" s="774" t="s">
        <v>2260</v>
      </c>
      <c r="CF182" s="769" t="s">
        <v>2260</v>
      </c>
      <c r="CG182" s="769" t="s">
        <v>2260</v>
      </c>
      <c r="CH182" s="769" t="s">
        <v>2260</v>
      </c>
      <c r="CI182" s="769" t="s">
        <v>2260</v>
      </c>
      <c r="CJ182" s="769" t="s">
        <v>2260</v>
      </c>
      <c r="CK182" s="777" t="s">
        <v>2260</v>
      </c>
      <c r="CL182" s="769" t="s">
        <v>2260</v>
      </c>
      <c r="CM182" s="769" t="s">
        <v>2260</v>
      </c>
      <c r="CN182" s="769" t="s">
        <v>2260</v>
      </c>
      <c r="CO182" s="774" t="s">
        <v>2260</v>
      </c>
      <c r="CP182" s="777" t="s">
        <v>2260</v>
      </c>
      <c r="CQ182" s="769" t="s">
        <v>2260</v>
      </c>
      <c r="CR182" s="769" t="s">
        <v>2260</v>
      </c>
      <c r="CS182" s="769" t="s">
        <v>2260</v>
      </c>
      <c r="CT182" s="774" t="s">
        <v>2260</v>
      </c>
      <c r="CU182" s="1257">
        <v>-7.3000000000000001E-3</v>
      </c>
      <c r="CV182" s="1458"/>
      <c r="CW182" s="1252" t="s">
        <v>2260</v>
      </c>
      <c r="CX182" s="1254" t="s">
        <v>2260</v>
      </c>
      <c r="CY182" s="1252" t="s">
        <v>2260</v>
      </c>
      <c r="CZ182" s="1252" t="s">
        <v>2260</v>
      </c>
      <c r="DA182" s="1252" t="s">
        <v>2260</v>
      </c>
      <c r="DB182" s="1254" t="s">
        <v>2260</v>
      </c>
      <c r="DC182" s="754" t="s">
        <v>173</v>
      </c>
      <c r="DD182" s="782">
        <v>1</v>
      </c>
      <c r="DE182" s="783"/>
    </row>
    <row r="183" spans="1:109" ht="15.75" hidden="1" customHeight="1">
      <c r="A183" s="741" t="s">
        <v>1143</v>
      </c>
      <c r="B183" s="742">
        <v>177</v>
      </c>
      <c r="C183" s="758" t="s">
        <v>1724</v>
      </c>
      <c r="D183" s="742" t="s">
        <v>2716</v>
      </c>
      <c r="E183" s="742" t="s">
        <v>2223</v>
      </c>
      <c r="F183" s="754" t="s">
        <v>2834</v>
      </c>
      <c r="G183" s="759" t="s">
        <v>2835</v>
      </c>
      <c r="H183" s="760" t="s">
        <v>2836</v>
      </c>
      <c r="I183" s="761"/>
      <c r="J183" s="762"/>
      <c r="K183" s="762"/>
      <c r="L183" s="762"/>
      <c r="M183" s="762">
        <v>1</v>
      </c>
      <c r="N183" s="762"/>
      <c r="O183" s="762"/>
      <c r="P183" s="763"/>
      <c r="Q183" s="764">
        <f t="shared" si="2"/>
        <v>1</v>
      </c>
      <c r="R183" s="758" t="s">
        <v>1825</v>
      </c>
      <c r="S183" s="742" t="s">
        <v>2260</v>
      </c>
      <c r="T183" s="765" t="s">
        <v>2260</v>
      </c>
      <c r="U183" s="742" t="s">
        <v>2329</v>
      </c>
      <c r="V183" s="742" t="s">
        <v>1857</v>
      </c>
      <c r="W183" s="742" t="s">
        <v>2836</v>
      </c>
      <c r="X183" s="1278">
        <v>1</v>
      </c>
      <c r="Y183" s="788" t="s">
        <v>1828</v>
      </c>
      <c r="Z183" s="759" t="s">
        <v>2260</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2260</v>
      </c>
      <c r="BR183" s="769" t="s">
        <v>2260</v>
      </c>
      <c r="BS183" s="769" t="s">
        <v>2260</v>
      </c>
      <c r="BT183" s="769" t="s">
        <v>2260</v>
      </c>
      <c r="BU183" s="774" t="s">
        <v>2260</v>
      </c>
      <c r="BV183" s="777" t="s">
        <v>2260</v>
      </c>
      <c r="BW183" s="769" t="s">
        <v>2260</v>
      </c>
      <c r="BX183" s="769" t="s">
        <v>2260</v>
      </c>
      <c r="BY183" s="769" t="s">
        <v>2260</v>
      </c>
      <c r="BZ183" s="769" t="s">
        <v>2260</v>
      </c>
      <c r="CA183" s="777" t="s">
        <v>2260</v>
      </c>
      <c r="CB183" s="769" t="s">
        <v>2260</v>
      </c>
      <c r="CC183" s="769" t="s">
        <v>2260</v>
      </c>
      <c r="CD183" s="769" t="s">
        <v>2260</v>
      </c>
      <c r="CE183" s="774" t="s">
        <v>2260</v>
      </c>
      <c r="CF183" s="769" t="s">
        <v>2260</v>
      </c>
      <c r="CG183" s="769" t="s">
        <v>2260</v>
      </c>
      <c r="CH183" s="769" t="s">
        <v>2260</v>
      </c>
      <c r="CI183" s="769" t="s">
        <v>2260</v>
      </c>
      <c r="CJ183" s="774" t="s">
        <v>2260</v>
      </c>
      <c r="CK183" s="777" t="s">
        <v>2260</v>
      </c>
      <c r="CL183" s="769" t="s">
        <v>2260</v>
      </c>
      <c r="CM183" s="769" t="s">
        <v>2260</v>
      </c>
      <c r="CN183" s="769" t="s">
        <v>2260</v>
      </c>
      <c r="CO183" s="774" t="s">
        <v>2260</v>
      </c>
      <c r="CP183" s="777" t="s">
        <v>2260</v>
      </c>
      <c r="CQ183" s="769" t="s">
        <v>2260</v>
      </c>
      <c r="CR183" s="769" t="s">
        <v>2260</v>
      </c>
      <c r="CS183" s="769" t="s">
        <v>2260</v>
      </c>
      <c r="CT183" s="774" t="s">
        <v>2260</v>
      </c>
      <c r="CU183" s="1253" t="s">
        <v>2260</v>
      </c>
      <c r="CV183" s="1252" t="s">
        <v>2260</v>
      </c>
      <c r="CW183" s="1252" t="s">
        <v>2260</v>
      </c>
      <c r="CX183" s="1254" t="s">
        <v>2260</v>
      </c>
      <c r="CY183" s="1252" t="s">
        <v>2260</v>
      </c>
      <c r="CZ183" s="1252" t="s">
        <v>2260</v>
      </c>
      <c r="DA183" s="1252" t="s">
        <v>2260</v>
      </c>
      <c r="DB183" s="1254" t="s">
        <v>2260</v>
      </c>
      <c r="DC183" s="754"/>
      <c r="DD183" s="782">
        <v>1</v>
      </c>
      <c r="DE183" s="783"/>
    </row>
    <row r="184" spans="1:109" ht="15.75" hidden="1" customHeight="1">
      <c r="A184" s="741" t="s">
        <v>1143</v>
      </c>
      <c r="B184" s="742">
        <v>178</v>
      </c>
      <c r="C184" s="758" t="s">
        <v>1731</v>
      </c>
      <c r="D184" s="742"/>
      <c r="E184" s="742"/>
      <c r="F184" s="754" t="s">
        <v>2331</v>
      </c>
      <c r="G184" s="759" t="s">
        <v>2332</v>
      </c>
      <c r="H184" s="760"/>
      <c r="I184" s="761"/>
      <c r="J184" s="762"/>
      <c r="K184" s="762"/>
      <c r="L184" s="762"/>
      <c r="M184" s="762"/>
      <c r="N184" s="762"/>
      <c r="O184" s="762"/>
      <c r="P184" s="763"/>
      <c r="Q184" s="764">
        <f t="shared" si="2"/>
        <v>0</v>
      </c>
      <c r="R184" s="758" t="s">
        <v>1825</v>
      </c>
      <c r="S184" s="742"/>
      <c r="T184" s="765"/>
      <c r="U184" s="742"/>
      <c r="V184" s="742" t="s">
        <v>1890</v>
      </c>
      <c r="W184" s="742" t="s">
        <v>2333</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2334</v>
      </c>
      <c r="AR184" s="769" t="s">
        <v>2334</v>
      </c>
      <c r="AS184" s="769" t="s">
        <v>2334</v>
      </c>
      <c r="AT184" s="769" t="s">
        <v>2334</v>
      </c>
      <c r="AU184" s="774" t="s">
        <v>2334</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2260</v>
      </c>
      <c r="BR184" s="769" t="s">
        <v>2260</v>
      </c>
      <c r="BS184" s="769" t="s">
        <v>2260</v>
      </c>
      <c r="BT184" s="769" t="s">
        <v>2260</v>
      </c>
      <c r="BU184" s="774" t="s">
        <v>2260</v>
      </c>
      <c r="BV184" s="777" t="s">
        <v>2260</v>
      </c>
      <c r="BW184" s="769" t="s">
        <v>2260</v>
      </c>
      <c r="BX184" s="769" t="s">
        <v>2260</v>
      </c>
      <c r="BY184" s="769" t="s">
        <v>2260</v>
      </c>
      <c r="BZ184" s="769" t="s">
        <v>2260</v>
      </c>
      <c r="CA184" s="777" t="s">
        <v>2260</v>
      </c>
      <c r="CB184" s="769" t="s">
        <v>2260</v>
      </c>
      <c r="CC184" s="769" t="s">
        <v>2260</v>
      </c>
      <c r="CD184" s="769" t="s">
        <v>2260</v>
      </c>
      <c r="CE184" s="774" t="s">
        <v>2260</v>
      </c>
      <c r="CF184" s="769" t="s">
        <v>2260</v>
      </c>
      <c r="CG184" s="769" t="s">
        <v>2260</v>
      </c>
      <c r="CH184" s="769" t="s">
        <v>2260</v>
      </c>
      <c r="CI184" s="769" t="s">
        <v>2260</v>
      </c>
      <c r="CJ184" s="774" t="s">
        <v>2260</v>
      </c>
      <c r="CK184" s="777" t="s">
        <v>2260</v>
      </c>
      <c r="CL184" s="769" t="s">
        <v>2260</v>
      </c>
      <c r="CM184" s="769" t="s">
        <v>2260</v>
      </c>
      <c r="CN184" s="769" t="s">
        <v>2260</v>
      </c>
      <c r="CO184" s="774" t="s">
        <v>2260</v>
      </c>
      <c r="CP184" s="777" t="s">
        <v>2260</v>
      </c>
      <c r="CQ184" s="769" t="s">
        <v>2260</v>
      </c>
      <c r="CR184" s="769" t="s">
        <v>2260</v>
      </c>
      <c r="CS184" s="769" t="s">
        <v>2260</v>
      </c>
      <c r="CT184" s="774" t="s">
        <v>2260</v>
      </c>
      <c r="CU184" s="1253" t="s">
        <v>2260</v>
      </c>
      <c r="CV184" s="1252" t="s">
        <v>2260</v>
      </c>
      <c r="CW184" s="1252" t="s">
        <v>2260</v>
      </c>
      <c r="CX184" s="1254" t="s">
        <v>2260</v>
      </c>
      <c r="CY184" s="1252" t="s">
        <v>2260</v>
      </c>
      <c r="CZ184" s="1252" t="s">
        <v>2260</v>
      </c>
      <c r="DA184" s="1252" t="s">
        <v>2260</v>
      </c>
      <c r="DB184" s="1254" t="s">
        <v>2260</v>
      </c>
      <c r="DC184" s="754"/>
      <c r="DD184" s="782"/>
      <c r="DE184" s="783"/>
    </row>
    <row r="185" spans="1:109" ht="15.75" hidden="1" customHeight="1">
      <c r="A185" s="741" t="s">
        <v>1143</v>
      </c>
      <c r="B185" s="742">
        <v>179</v>
      </c>
      <c r="C185" s="758" t="s">
        <v>1548</v>
      </c>
      <c r="D185" s="742"/>
      <c r="E185" s="742"/>
      <c r="F185" s="754" t="s">
        <v>2837</v>
      </c>
      <c r="G185" s="759" t="s">
        <v>2416</v>
      </c>
      <c r="H185" s="760"/>
      <c r="I185" s="761">
        <v>0.14499999999999999</v>
      </c>
      <c r="J185" s="762"/>
      <c r="K185" s="762">
        <v>0.85499999999999998</v>
      </c>
      <c r="L185" s="762"/>
      <c r="M185" s="762"/>
      <c r="N185" s="762"/>
      <c r="O185" s="762"/>
      <c r="P185" s="763"/>
      <c r="Q185" s="764">
        <f t="shared" si="2"/>
        <v>1</v>
      </c>
      <c r="R185" s="758" t="s">
        <v>1846</v>
      </c>
      <c r="S185" s="742" t="s">
        <v>1826</v>
      </c>
      <c r="T185" s="765" t="s">
        <v>1827</v>
      </c>
      <c r="U185" s="742"/>
      <c r="V185" s="1217" t="s">
        <v>1857</v>
      </c>
      <c r="W185" s="742" t="s">
        <v>2838</v>
      </c>
      <c r="X185" s="798">
        <v>0</v>
      </c>
      <c r="Y185" s="788" t="s">
        <v>1828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27"/>
      <c r="BM185" s="1328"/>
      <c r="BN185" s="1328"/>
      <c r="BO185" s="1328"/>
      <c r="BP185" s="765" t="s">
        <v>210</v>
      </c>
      <c r="BQ185" s="777" t="s">
        <v>2260</v>
      </c>
      <c r="BR185" s="769" t="s">
        <v>2260</v>
      </c>
      <c r="BS185" s="769" t="s">
        <v>2260</v>
      </c>
      <c r="BT185" s="769" t="s">
        <v>2260</v>
      </c>
      <c r="BU185" s="774" t="s">
        <v>2260</v>
      </c>
      <c r="BV185" s="777" t="s">
        <v>2260</v>
      </c>
      <c r="BW185" s="769" t="s">
        <v>2260</v>
      </c>
      <c r="BX185" s="769" t="s">
        <v>2260</v>
      </c>
      <c r="BY185" s="769" t="s">
        <v>2260</v>
      </c>
      <c r="BZ185" s="769" t="s">
        <v>2260</v>
      </c>
      <c r="CA185" s="777" t="s">
        <v>2260</v>
      </c>
      <c r="CB185" s="769" t="s">
        <v>2260</v>
      </c>
      <c r="CC185" s="769" t="s">
        <v>2260</v>
      </c>
      <c r="CD185" s="769" t="s">
        <v>2260</v>
      </c>
      <c r="CE185" s="774" t="s">
        <v>2260</v>
      </c>
      <c r="CF185" s="769" t="s">
        <v>2260</v>
      </c>
      <c r="CG185" s="769" t="s">
        <v>2260</v>
      </c>
      <c r="CH185" s="769" t="s">
        <v>2260</v>
      </c>
      <c r="CI185" s="769" t="s">
        <v>2260</v>
      </c>
      <c r="CJ185" s="774" t="s">
        <v>2260</v>
      </c>
      <c r="CK185" s="777" t="s">
        <v>2260</v>
      </c>
      <c r="CL185" s="769" t="s">
        <v>2260</v>
      </c>
      <c r="CM185" s="769" t="s">
        <v>2260</v>
      </c>
      <c r="CN185" s="769" t="s">
        <v>2260</v>
      </c>
      <c r="CO185" s="774" t="s">
        <v>2260</v>
      </c>
      <c r="CP185" s="777" t="s">
        <v>2260</v>
      </c>
      <c r="CQ185" s="769" t="s">
        <v>2260</v>
      </c>
      <c r="CR185" s="769" t="s">
        <v>2260</v>
      </c>
      <c r="CS185" s="769" t="s">
        <v>2260</v>
      </c>
      <c r="CT185" s="774" t="s">
        <v>2260</v>
      </c>
      <c r="CU185" s="1257">
        <v>-1.83E-2</v>
      </c>
      <c r="CV185" s="1252" t="s">
        <v>2260</v>
      </c>
      <c r="CW185" s="1252" t="s">
        <v>2260</v>
      </c>
      <c r="CX185" s="1254" t="s">
        <v>2260</v>
      </c>
      <c r="CY185" s="1252" t="s">
        <v>2260</v>
      </c>
      <c r="CZ185" s="1252" t="s">
        <v>2260</v>
      </c>
      <c r="DA185" s="1252" t="s">
        <v>2260</v>
      </c>
      <c r="DB185" s="1254" t="s">
        <v>2260</v>
      </c>
      <c r="DC185" s="754"/>
      <c r="DD185" s="782"/>
      <c r="DE185" s="783"/>
    </row>
    <row r="186" spans="1:109" ht="15.75" hidden="1" customHeight="1">
      <c r="A186" s="741" t="s">
        <v>1143</v>
      </c>
      <c r="B186" s="742">
        <v>180</v>
      </c>
      <c r="C186" s="758" t="s">
        <v>1738</v>
      </c>
      <c r="D186" s="742"/>
      <c r="E186" s="742"/>
      <c r="F186" s="754" t="s">
        <v>2839</v>
      </c>
      <c r="G186" s="759" t="s">
        <v>2840</v>
      </c>
      <c r="H186" s="760"/>
      <c r="I186" s="761"/>
      <c r="J186" s="762"/>
      <c r="K186" s="762"/>
      <c r="L186" s="762"/>
      <c r="M186" s="762"/>
      <c r="N186" s="762"/>
      <c r="O186" s="762"/>
      <c r="P186" s="763"/>
      <c r="Q186" s="764">
        <f t="shared" si="2"/>
        <v>0</v>
      </c>
      <c r="R186" s="758" t="s">
        <v>1825</v>
      </c>
      <c r="S186" s="742"/>
      <c r="T186" s="765"/>
      <c r="U186" s="742"/>
      <c r="V186" s="742" t="s">
        <v>321</v>
      </c>
      <c r="W186" s="742" t="s">
        <v>2841</v>
      </c>
      <c r="X186" s="1278">
        <v>0</v>
      </c>
      <c r="Y186" s="788" t="s">
        <v>1828</v>
      </c>
      <c r="Z186" s="759"/>
      <c r="AA186" s="754"/>
      <c r="AB186" s="754"/>
      <c r="AC186" s="754"/>
      <c r="AD186" s="754"/>
      <c r="AE186" s="754"/>
      <c r="AF186" s="768"/>
      <c r="AG186" s="769"/>
      <c r="AH186" s="769"/>
      <c r="AI186" s="769"/>
      <c r="AJ186" s="769"/>
      <c r="AK186" s="769"/>
      <c r="AL186" s="769"/>
      <c r="AM186" s="769"/>
      <c r="AN186" s="769"/>
      <c r="AO186" s="769"/>
      <c r="AP186" s="769"/>
      <c r="AQ186" s="777" t="s">
        <v>2260</v>
      </c>
      <c r="AR186" s="769" t="s">
        <v>2260</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2260</v>
      </c>
      <c r="BR186" s="769" t="s">
        <v>2260</v>
      </c>
      <c r="BS186" s="769" t="s">
        <v>2260</v>
      </c>
      <c r="BT186" s="769" t="s">
        <v>2260</v>
      </c>
      <c r="BU186" s="774" t="s">
        <v>2260</v>
      </c>
      <c r="BV186" s="777" t="s">
        <v>2260</v>
      </c>
      <c r="BW186" s="769" t="s">
        <v>2260</v>
      </c>
      <c r="BX186" s="769" t="s">
        <v>2260</v>
      </c>
      <c r="BY186" s="769" t="s">
        <v>2260</v>
      </c>
      <c r="BZ186" s="769" t="s">
        <v>2260</v>
      </c>
      <c r="CA186" s="777" t="s">
        <v>2260</v>
      </c>
      <c r="CB186" s="769" t="s">
        <v>2260</v>
      </c>
      <c r="CC186" s="769" t="s">
        <v>2260</v>
      </c>
      <c r="CD186" s="769" t="s">
        <v>2260</v>
      </c>
      <c r="CE186" s="774" t="s">
        <v>2260</v>
      </c>
      <c r="CF186" s="769" t="s">
        <v>2260</v>
      </c>
      <c r="CG186" s="769" t="s">
        <v>2260</v>
      </c>
      <c r="CH186" s="769" t="s">
        <v>2260</v>
      </c>
      <c r="CI186" s="769" t="s">
        <v>2260</v>
      </c>
      <c r="CJ186" s="774" t="s">
        <v>2260</v>
      </c>
      <c r="CK186" s="777" t="s">
        <v>2260</v>
      </c>
      <c r="CL186" s="769" t="s">
        <v>2260</v>
      </c>
      <c r="CM186" s="769" t="s">
        <v>2260</v>
      </c>
      <c r="CN186" s="769" t="s">
        <v>2260</v>
      </c>
      <c r="CO186" s="774" t="s">
        <v>2260</v>
      </c>
      <c r="CP186" s="777" t="s">
        <v>2260</v>
      </c>
      <c r="CQ186" s="769" t="s">
        <v>2260</v>
      </c>
      <c r="CR186" s="769" t="s">
        <v>2260</v>
      </c>
      <c r="CS186" s="769" t="s">
        <v>2260</v>
      </c>
      <c r="CT186" s="774" t="s">
        <v>2260</v>
      </c>
      <c r="CU186" s="1253" t="s">
        <v>2260</v>
      </c>
      <c r="CV186" s="1252" t="s">
        <v>2260</v>
      </c>
      <c r="CW186" s="1252" t="s">
        <v>2260</v>
      </c>
      <c r="CX186" s="1254" t="s">
        <v>2260</v>
      </c>
      <c r="CY186" s="1252" t="s">
        <v>2260</v>
      </c>
      <c r="CZ186" s="1252" t="s">
        <v>2260</v>
      </c>
      <c r="DA186" s="1252" t="s">
        <v>2260</v>
      </c>
      <c r="DB186" s="1254" t="s">
        <v>2260</v>
      </c>
      <c r="DC186" s="754"/>
      <c r="DD186" s="782"/>
      <c r="DE186" s="783"/>
    </row>
    <row r="187" spans="1:109" ht="15.75" hidden="1" customHeight="1">
      <c r="A187" s="1192" t="s">
        <v>1143</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2260</v>
      </c>
      <c r="AR187" s="1179" t="s">
        <v>2260</v>
      </c>
      <c r="AS187" s="1179" t="s">
        <v>2260</v>
      </c>
      <c r="AT187" s="1179" t="s">
        <v>2260</v>
      </c>
      <c r="AU187" s="1180" t="s">
        <v>2260</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2260</v>
      </c>
      <c r="BR187" s="1179" t="s">
        <v>2260</v>
      </c>
      <c r="BS187" s="1179" t="s">
        <v>2260</v>
      </c>
      <c r="BT187" s="1179" t="s">
        <v>2260</v>
      </c>
      <c r="BU187" s="1180" t="s">
        <v>2260</v>
      </c>
      <c r="BV187" s="1178" t="s">
        <v>2260</v>
      </c>
      <c r="BW187" s="1179" t="s">
        <v>2260</v>
      </c>
      <c r="BX187" s="1179" t="s">
        <v>2260</v>
      </c>
      <c r="BY187" s="1179" t="s">
        <v>2260</v>
      </c>
      <c r="BZ187" s="1179" t="s">
        <v>2260</v>
      </c>
      <c r="CA187" s="1178" t="s">
        <v>2260</v>
      </c>
      <c r="CB187" s="1179" t="s">
        <v>2260</v>
      </c>
      <c r="CC187" s="1179" t="s">
        <v>2260</v>
      </c>
      <c r="CD187" s="1179" t="s">
        <v>2260</v>
      </c>
      <c r="CE187" s="1180" t="s">
        <v>2260</v>
      </c>
      <c r="CF187" s="1179" t="s">
        <v>2260</v>
      </c>
      <c r="CG187" s="1179" t="s">
        <v>2260</v>
      </c>
      <c r="CH187" s="1179" t="s">
        <v>2260</v>
      </c>
      <c r="CI187" s="1179" t="s">
        <v>2260</v>
      </c>
      <c r="CJ187" s="1180" t="s">
        <v>2260</v>
      </c>
      <c r="CK187" s="1178" t="s">
        <v>2260</v>
      </c>
      <c r="CL187" s="1179" t="s">
        <v>2260</v>
      </c>
      <c r="CM187" s="1179" t="s">
        <v>2260</v>
      </c>
      <c r="CN187" s="1179" t="s">
        <v>2260</v>
      </c>
      <c r="CO187" s="1180" t="s">
        <v>2260</v>
      </c>
      <c r="CP187" s="1178" t="s">
        <v>2260</v>
      </c>
      <c r="CQ187" s="1179" t="s">
        <v>2260</v>
      </c>
      <c r="CR187" s="1179" t="s">
        <v>2260</v>
      </c>
      <c r="CS187" s="1179" t="s">
        <v>2260</v>
      </c>
      <c r="CT187" s="1180" t="s">
        <v>2260</v>
      </c>
      <c r="CU187" s="1257" t="s">
        <v>2260</v>
      </c>
      <c r="CV187" s="1255" t="s">
        <v>2260</v>
      </c>
      <c r="CW187" s="1255" t="s">
        <v>2260</v>
      </c>
      <c r="CX187" s="1256" t="s">
        <v>2260</v>
      </c>
      <c r="CY187" s="1255" t="s">
        <v>2260</v>
      </c>
      <c r="CZ187" s="1255" t="s">
        <v>2260</v>
      </c>
      <c r="DA187" s="1255" t="s">
        <v>2260</v>
      </c>
      <c r="DB187" s="1256" t="s">
        <v>2260</v>
      </c>
      <c r="DC187" s="1195"/>
      <c r="DD187" s="1204"/>
      <c r="DE187" s="1205"/>
    </row>
    <row r="188" spans="1:109" ht="15.75" hidden="1" customHeight="1">
      <c r="A188" s="741" t="s">
        <v>1143</v>
      </c>
      <c r="B188" s="742">
        <v>182</v>
      </c>
      <c r="C188" s="758" t="s">
        <v>1557</v>
      </c>
      <c r="D188" s="742"/>
      <c r="E188" s="742"/>
      <c r="F188" s="754" t="s">
        <v>2842</v>
      </c>
      <c r="G188" s="759" t="s">
        <v>2843</v>
      </c>
      <c r="H188" s="760"/>
      <c r="I188" s="761"/>
      <c r="J188" s="762"/>
      <c r="K188" s="762">
        <v>1</v>
      </c>
      <c r="L188" s="762"/>
      <c r="M188" s="762"/>
      <c r="N188" s="762"/>
      <c r="O188" s="762"/>
      <c r="P188" s="763"/>
      <c r="Q188" s="764">
        <f t="shared" si="2"/>
        <v>1</v>
      </c>
      <c r="R188" s="758" t="s">
        <v>1846</v>
      </c>
      <c r="S188" s="742" t="s">
        <v>1826</v>
      </c>
      <c r="T188" s="765" t="s">
        <v>1837</v>
      </c>
      <c r="U188" s="742"/>
      <c r="V188" s="742" t="s">
        <v>2844</v>
      </c>
      <c r="W188" s="742" t="s">
        <v>2845</v>
      </c>
      <c r="X188" s="798">
        <v>0</v>
      </c>
      <c r="Y188" s="788" t="s">
        <v>1838</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210</v>
      </c>
      <c r="BQ188" s="777" t="s">
        <v>2260</v>
      </c>
      <c r="BR188" s="769" t="s">
        <v>2260</v>
      </c>
      <c r="BS188" s="769" t="s">
        <v>2260</v>
      </c>
      <c r="BT188" s="769" t="s">
        <v>2260</v>
      </c>
      <c r="BU188" s="774" t="s">
        <v>2260</v>
      </c>
      <c r="BV188" s="777" t="s">
        <v>2260</v>
      </c>
      <c r="BW188" s="769" t="s">
        <v>2260</v>
      </c>
      <c r="BX188" s="769" t="s">
        <v>2260</v>
      </c>
      <c r="BY188" s="769" t="s">
        <v>2260</v>
      </c>
      <c r="BZ188" s="769" t="s">
        <v>2260</v>
      </c>
      <c r="CA188" s="777" t="s">
        <v>2260</v>
      </c>
      <c r="CB188" s="769" t="s">
        <v>2260</v>
      </c>
      <c r="CC188" s="769" t="s">
        <v>2260</v>
      </c>
      <c r="CD188" s="769" t="s">
        <v>2260</v>
      </c>
      <c r="CE188" s="774" t="s">
        <v>2260</v>
      </c>
      <c r="CF188" s="769" t="s">
        <v>2260</v>
      </c>
      <c r="CG188" s="769" t="s">
        <v>2260</v>
      </c>
      <c r="CH188" s="769" t="s">
        <v>2260</v>
      </c>
      <c r="CI188" s="769" t="s">
        <v>2260</v>
      </c>
      <c r="CJ188" s="774" t="s">
        <v>2260</v>
      </c>
      <c r="CK188" s="777" t="s">
        <v>2260</v>
      </c>
      <c r="CL188" s="769" t="s">
        <v>2260</v>
      </c>
      <c r="CM188" s="769" t="s">
        <v>2260</v>
      </c>
      <c r="CN188" s="769" t="s">
        <v>2260</v>
      </c>
      <c r="CO188" s="774" t="s">
        <v>2260</v>
      </c>
      <c r="CP188" s="777" t="s">
        <v>2260</v>
      </c>
      <c r="CQ188" s="769" t="s">
        <v>2260</v>
      </c>
      <c r="CR188" s="769" t="s">
        <v>2260</v>
      </c>
      <c r="CS188" s="769" t="s">
        <v>2260</v>
      </c>
      <c r="CT188" s="774" t="s">
        <v>2260</v>
      </c>
      <c r="CU188" s="2341">
        <v>-4.5600000000000002E-2</v>
      </c>
      <c r="CV188" s="1252" t="s">
        <v>2260</v>
      </c>
      <c r="CW188" s="1252" t="s">
        <v>2260</v>
      </c>
      <c r="CX188" s="1254" t="s">
        <v>2260</v>
      </c>
      <c r="CY188" s="1252" t="s">
        <v>2260</v>
      </c>
      <c r="CZ188" s="1252" t="s">
        <v>2260</v>
      </c>
      <c r="DA188" s="1252" t="s">
        <v>2260</v>
      </c>
      <c r="DB188" s="1254" t="s">
        <v>2260</v>
      </c>
      <c r="DC188" s="754"/>
      <c r="DD188" s="782"/>
      <c r="DE188" s="783"/>
    </row>
    <row r="189" spans="1:109" ht="15.75" hidden="1" customHeight="1">
      <c r="A189" s="741" t="s">
        <v>1269</v>
      </c>
      <c r="B189" s="742">
        <v>183</v>
      </c>
      <c r="C189" s="758" t="s">
        <v>1174</v>
      </c>
      <c r="D189" s="742" t="s">
        <v>2846</v>
      </c>
      <c r="E189" s="742" t="s">
        <v>2223</v>
      </c>
      <c r="F189" s="754" t="s">
        <v>2847</v>
      </c>
      <c r="G189" s="759" t="s">
        <v>705</v>
      </c>
      <c r="H189" s="760" t="s">
        <v>2848</v>
      </c>
      <c r="I189" s="761"/>
      <c r="J189" s="762">
        <v>1</v>
      </c>
      <c r="K189" s="762"/>
      <c r="L189" s="762"/>
      <c r="M189" s="762"/>
      <c r="N189" s="762"/>
      <c r="O189" s="762"/>
      <c r="P189" s="763"/>
      <c r="Q189" s="764">
        <f t="shared" si="2"/>
        <v>1</v>
      </c>
      <c r="R189" s="758" t="s">
        <v>1852</v>
      </c>
      <c r="S189" s="742" t="s">
        <v>1826</v>
      </c>
      <c r="T189" s="765" t="s">
        <v>1827</v>
      </c>
      <c r="U189" s="742" t="s">
        <v>705</v>
      </c>
      <c r="V189" s="742" t="s">
        <v>1857</v>
      </c>
      <c r="W189" s="742" t="s">
        <v>706</v>
      </c>
      <c r="X189" s="798">
        <v>1</v>
      </c>
      <c r="Y189" s="788" t="s">
        <v>1838</v>
      </c>
      <c r="Z189" s="759" t="s">
        <v>705</v>
      </c>
      <c r="AA189" s="754"/>
      <c r="AB189" s="754"/>
      <c r="AC189" s="754"/>
      <c r="AD189" s="754"/>
      <c r="AE189" s="754"/>
      <c r="AF189" s="768"/>
      <c r="AG189" s="811"/>
      <c r="AH189" s="811"/>
      <c r="AI189" s="811"/>
      <c r="AJ189" s="811"/>
      <c r="AK189" s="811"/>
      <c r="AL189" s="811"/>
      <c r="AM189" s="811"/>
      <c r="AN189" s="811"/>
      <c r="AO189" s="811"/>
      <c r="AP189" s="811"/>
      <c r="AQ189" s="1677"/>
      <c r="AR189" s="1678"/>
      <c r="AS189" s="1678"/>
      <c r="AT189" s="1678"/>
      <c r="AU189" s="1679"/>
      <c r="AV189" s="812"/>
      <c r="AW189" s="811"/>
      <c r="AX189" s="811"/>
      <c r="AY189" s="811"/>
      <c r="AZ189" s="811"/>
      <c r="BA189" s="811"/>
      <c r="BB189" s="811"/>
      <c r="BC189" s="811"/>
      <c r="BD189" s="811"/>
      <c r="BE189" s="811"/>
      <c r="BF189" s="811"/>
      <c r="BG189" s="811"/>
      <c r="BH189" s="811"/>
      <c r="BI189" s="811"/>
      <c r="BJ189" s="811"/>
      <c r="BK189" s="813"/>
      <c r="BL189" s="1327"/>
      <c r="BM189" s="1328"/>
      <c r="BN189" s="1328"/>
      <c r="BO189" s="1328"/>
      <c r="BP189" s="1389"/>
      <c r="BQ189" s="1369"/>
      <c r="BR189" s="1319"/>
      <c r="BS189" s="1319"/>
      <c r="BT189" s="1319"/>
      <c r="BU189" s="1320"/>
      <c r="BV189" s="1370"/>
      <c r="BW189" s="1324"/>
      <c r="BX189" s="1324"/>
      <c r="BY189" s="1324"/>
      <c r="BZ189" s="1324"/>
      <c r="CA189" s="1369"/>
      <c r="CB189" s="1319"/>
      <c r="CC189" s="1319"/>
      <c r="CD189" s="1319"/>
      <c r="CE189" s="1320"/>
      <c r="CF189" s="1319"/>
      <c r="CG189" s="1319"/>
      <c r="CH189" s="1319"/>
      <c r="CI189" s="1319"/>
      <c r="CJ189" s="1320"/>
      <c r="CK189" s="1369"/>
      <c r="CL189" s="1319"/>
      <c r="CM189" s="1319"/>
      <c r="CN189" s="1319"/>
      <c r="CO189" s="1320"/>
      <c r="CP189" s="1369"/>
      <c r="CQ189" s="1319"/>
      <c r="CR189" s="1319"/>
      <c r="CS189" s="1319"/>
      <c r="CT189" s="1320"/>
      <c r="CU189" s="1467"/>
      <c r="CV189" s="1458"/>
      <c r="CW189" s="1458"/>
      <c r="CX189" s="1663"/>
      <c r="CY189" s="1458"/>
      <c r="CZ189" s="1458"/>
      <c r="DA189" s="1458"/>
      <c r="DB189" s="1663"/>
      <c r="DC189" s="1328"/>
      <c r="DD189" s="1664"/>
      <c r="DE189" s="1669"/>
    </row>
    <row r="190" spans="1:109" ht="15.75" hidden="1" customHeight="1">
      <c r="A190" s="741" t="s">
        <v>1269</v>
      </c>
      <c r="B190" s="742">
        <v>184</v>
      </c>
      <c r="C190" s="758" t="s">
        <v>1161</v>
      </c>
      <c r="D190" s="742" t="s">
        <v>2849</v>
      </c>
      <c r="E190" s="742" t="s">
        <v>2217</v>
      </c>
      <c r="F190" s="754" t="s">
        <v>2850</v>
      </c>
      <c r="G190" s="759" t="s">
        <v>1084</v>
      </c>
      <c r="H190" s="760" t="s">
        <v>2851</v>
      </c>
      <c r="I190" s="761">
        <v>1</v>
      </c>
      <c r="J190" s="762"/>
      <c r="K190" s="762"/>
      <c r="L190" s="762"/>
      <c r="M190" s="762"/>
      <c r="N190" s="762"/>
      <c r="O190" s="762"/>
      <c r="P190" s="763"/>
      <c r="Q190" s="764">
        <f t="shared" si="2"/>
        <v>1</v>
      </c>
      <c r="R190" s="758" t="s">
        <v>1852</v>
      </c>
      <c r="S190" s="742" t="s">
        <v>1826</v>
      </c>
      <c r="T190" s="1389" t="s">
        <v>1837</v>
      </c>
      <c r="U190" s="742" t="s">
        <v>2348</v>
      </c>
      <c r="V190" s="742" t="s">
        <v>1857</v>
      </c>
      <c r="W190" s="742" t="s">
        <v>2852</v>
      </c>
      <c r="X190" s="1243">
        <v>1</v>
      </c>
      <c r="Y190" s="788" t="s">
        <v>1838</v>
      </c>
      <c r="Z190" s="759" t="s">
        <v>1084</v>
      </c>
      <c r="AA190" s="754"/>
      <c r="AB190" s="754"/>
      <c r="AC190" s="754"/>
      <c r="AD190" s="754"/>
      <c r="AE190" s="754"/>
      <c r="AF190" s="768"/>
      <c r="AG190" s="769"/>
      <c r="AH190" s="769"/>
      <c r="AI190" s="769"/>
      <c r="AJ190" s="769"/>
      <c r="AK190" s="769"/>
      <c r="AL190" s="769"/>
      <c r="AM190" s="769"/>
      <c r="AN190" s="766"/>
      <c r="AO190" s="766"/>
      <c r="AP190" s="766"/>
      <c r="AQ190" s="1675"/>
      <c r="AR190" s="1676"/>
      <c r="AS190" s="1676"/>
      <c r="AT190" s="1676"/>
      <c r="AU190" s="1684"/>
      <c r="AV190" s="796"/>
      <c r="AW190" s="766"/>
      <c r="AX190" s="766"/>
      <c r="AY190" s="766"/>
      <c r="AZ190" s="766"/>
      <c r="BA190" s="766"/>
      <c r="BB190" s="766"/>
      <c r="BC190" s="766"/>
      <c r="BD190" s="766"/>
      <c r="BE190" s="766"/>
      <c r="BF190" s="766"/>
      <c r="BG190" s="766"/>
      <c r="BH190" s="766"/>
      <c r="BI190" s="766"/>
      <c r="BJ190" s="766"/>
      <c r="BK190" s="810"/>
      <c r="BL190" s="1327"/>
      <c r="BM190" s="1328"/>
      <c r="BN190" s="1328"/>
      <c r="BO190" s="1328"/>
      <c r="BP190" s="1389"/>
      <c r="BQ190" s="1369"/>
      <c r="BR190" s="1319"/>
      <c r="BS190" s="1319"/>
      <c r="BT190" s="1319"/>
      <c r="BU190" s="1320"/>
      <c r="BV190" s="1370"/>
      <c r="BW190" s="1324"/>
      <c r="BX190" s="1324"/>
      <c r="BY190" s="1324"/>
      <c r="BZ190" s="1324"/>
      <c r="CA190" s="1369"/>
      <c r="CB190" s="1319"/>
      <c r="CC190" s="1319"/>
      <c r="CD190" s="1319"/>
      <c r="CE190" s="1320"/>
      <c r="CF190" s="1319"/>
      <c r="CG190" s="1319"/>
      <c r="CH190" s="1319"/>
      <c r="CI190" s="1319"/>
      <c r="CJ190" s="1320"/>
      <c r="CK190" s="1369"/>
      <c r="CL190" s="1319"/>
      <c r="CM190" s="1319"/>
      <c r="CN190" s="1319"/>
      <c r="CO190" s="1320"/>
      <c r="CP190" s="1369"/>
      <c r="CQ190" s="1319"/>
      <c r="CR190" s="1319"/>
      <c r="CS190" s="1319"/>
      <c r="CT190" s="1320"/>
      <c r="CU190" s="1467"/>
      <c r="CV190" s="1458"/>
      <c r="CW190" s="1458"/>
      <c r="CX190" s="1663"/>
      <c r="CY190" s="1458"/>
      <c r="CZ190" s="1458"/>
      <c r="DA190" s="1458"/>
      <c r="DB190" s="1663"/>
      <c r="DC190" s="1328"/>
      <c r="DD190" s="1664"/>
      <c r="DE190" s="1669"/>
    </row>
    <row r="191" spans="1:109" ht="15.75" hidden="1" customHeight="1">
      <c r="A191" s="741" t="s">
        <v>1269</v>
      </c>
      <c r="B191" s="742">
        <v>185</v>
      </c>
      <c r="C191" s="758" t="s">
        <v>1158</v>
      </c>
      <c r="D191" s="742" t="s">
        <v>2853</v>
      </c>
      <c r="E191" s="742" t="s">
        <v>2231</v>
      </c>
      <c r="F191" s="754" t="s">
        <v>2854</v>
      </c>
      <c r="G191" s="759" t="s">
        <v>172</v>
      </c>
      <c r="H191" s="760" t="s">
        <v>2855</v>
      </c>
      <c r="I191" s="761"/>
      <c r="J191" s="762">
        <v>1</v>
      </c>
      <c r="K191" s="762"/>
      <c r="L191" s="762"/>
      <c r="M191" s="762"/>
      <c r="N191" s="762"/>
      <c r="O191" s="762"/>
      <c r="P191" s="763"/>
      <c r="Q191" s="764">
        <f t="shared" si="2"/>
        <v>1</v>
      </c>
      <c r="R191" s="758" t="s">
        <v>1846</v>
      </c>
      <c r="S191" s="742" t="s">
        <v>1826</v>
      </c>
      <c r="T191" s="765" t="s">
        <v>1827</v>
      </c>
      <c r="U191" s="742" t="s">
        <v>2247</v>
      </c>
      <c r="V191" s="742" t="s">
        <v>1857</v>
      </c>
      <c r="W191" s="742" t="s">
        <v>2856</v>
      </c>
      <c r="X191" s="798">
        <v>2</v>
      </c>
      <c r="Y191" s="790" t="s">
        <v>1838</v>
      </c>
      <c r="Z191" s="759" t="s">
        <v>172</v>
      </c>
      <c r="AA191" s="754"/>
      <c r="AB191" s="754"/>
      <c r="AC191" s="754"/>
      <c r="AD191" s="754"/>
      <c r="AE191" s="754"/>
      <c r="AF191" s="768"/>
      <c r="AG191" s="769"/>
      <c r="AH191" s="769"/>
      <c r="AI191" s="769"/>
      <c r="AJ191" s="769"/>
      <c r="AK191" s="769"/>
      <c r="AL191" s="769"/>
      <c r="AM191" s="769"/>
      <c r="AN191" s="769"/>
      <c r="AO191" s="769"/>
      <c r="AP191" s="769"/>
      <c r="AQ191" s="1369"/>
      <c r="AR191" s="1319"/>
      <c r="AS191" s="1319"/>
      <c r="AT191" s="1319"/>
      <c r="AU191" s="1320"/>
      <c r="AV191" s="777"/>
      <c r="AW191" s="769"/>
      <c r="AX191" s="769"/>
      <c r="AY191" s="769"/>
      <c r="AZ191" s="769"/>
      <c r="BA191" s="769"/>
      <c r="BB191" s="769"/>
      <c r="BC191" s="769"/>
      <c r="BD191" s="769"/>
      <c r="BE191" s="769"/>
      <c r="BF191" s="769"/>
      <c r="BG191" s="769"/>
      <c r="BH191" s="769"/>
      <c r="BI191" s="769"/>
      <c r="BJ191" s="769"/>
      <c r="BK191" s="774"/>
      <c r="BL191" s="1327"/>
      <c r="BM191" s="1328"/>
      <c r="BN191" s="1328"/>
      <c r="BO191" s="1328"/>
      <c r="BP191" s="1389"/>
      <c r="BQ191" s="1369"/>
      <c r="BR191" s="1319"/>
      <c r="BS191" s="1319"/>
      <c r="BT191" s="1319"/>
      <c r="BU191" s="1320"/>
      <c r="BV191" s="1369"/>
      <c r="BW191" s="1319"/>
      <c r="BX191" s="1319"/>
      <c r="BY191" s="1319"/>
      <c r="BZ191" s="1319"/>
      <c r="CA191" s="1369"/>
      <c r="CB191" s="1319"/>
      <c r="CC191" s="1319"/>
      <c r="CD191" s="1319"/>
      <c r="CE191" s="1320"/>
      <c r="CF191" s="1319"/>
      <c r="CG191" s="1319"/>
      <c r="CH191" s="1319"/>
      <c r="CI191" s="1319"/>
      <c r="CJ191" s="1320"/>
      <c r="CK191" s="1369"/>
      <c r="CL191" s="1319"/>
      <c r="CM191" s="1319"/>
      <c r="CN191" s="1319"/>
      <c r="CO191" s="1320"/>
      <c r="CP191" s="1369"/>
      <c r="CQ191" s="1319"/>
      <c r="CR191" s="1319"/>
      <c r="CS191" s="1319"/>
      <c r="CT191" s="1320"/>
      <c r="CU191" s="1467"/>
      <c r="CV191" s="1458"/>
      <c r="CW191" s="1458"/>
      <c r="CX191" s="1663"/>
      <c r="CY191" s="1458"/>
      <c r="CZ191" s="1458"/>
      <c r="DA191" s="1458"/>
      <c r="DB191" s="1663"/>
      <c r="DC191" s="1328"/>
      <c r="DD191" s="1664"/>
      <c r="DE191" s="1669"/>
    </row>
    <row r="192" spans="1:109" ht="15.75" hidden="1" customHeight="1">
      <c r="A192" s="741" t="s">
        <v>1269</v>
      </c>
      <c r="B192" s="742">
        <v>186</v>
      </c>
      <c r="C192" s="758" t="s">
        <v>1159</v>
      </c>
      <c r="D192" s="742" t="s">
        <v>2853</v>
      </c>
      <c r="E192" s="742" t="s">
        <v>2223</v>
      </c>
      <c r="F192" s="754" t="s">
        <v>2857</v>
      </c>
      <c r="G192" s="759" t="s">
        <v>179</v>
      </c>
      <c r="H192" s="760" t="s">
        <v>2858</v>
      </c>
      <c r="I192" s="761"/>
      <c r="J192" s="762">
        <v>1</v>
      </c>
      <c r="K192" s="762"/>
      <c r="L192" s="762"/>
      <c r="M192" s="762"/>
      <c r="N192" s="762"/>
      <c r="O192" s="762"/>
      <c r="P192" s="763"/>
      <c r="Q192" s="764">
        <f t="shared" si="2"/>
        <v>1</v>
      </c>
      <c r="R192" s="758" t="s">
        <v>1852</v>
      </c>
      <c r="S192" s="742" t="s">
        <v>1826</v>
      </c>
      <c r="T192" s="765" t="s">
        <v>1827</v>
      </c>
      <c r="U192" s="742" t="s">
        <v>2220</v>
      </c>
      <c r="V192" s="742" t="s">
        <v>1851</v>
      </c>
      <c r="W192" s="742" t="s">
        <v>2859</v>
      </c>
      <c r="X192" s="1243">
        <v>0</v>
      </c>
      <c r="Y192" s="790" t="s">
        <v>1838</v>
      </c>
      <c r="Z192" s="759" t="s">
        <v>179</v>
      </c>
      <c r="AA192" s="754"/>
      <c r="AB192" s="754"/>
      <c r="AC192" s="754"/>
      <c r="AD192" s="754"/>
      <c r="AE192" s="754"/>
      <c r="AF192" s="768"/>
      <c r="AG192" s="769"/>
      <c r="AH192" s="769"/>
      <c r="AI192" s="769"/>
      <c r="AJ192" s="769"/>
      <c r="AK192" s="769"/>
      <c r="AL192" s="814"/>
      <c r="AM192" s="814"/>
      <c r="AN192" s="814"/>
      <c r="AO192" s="814"/>
      <c r="AP192" s="814"/>
      <c r="AQ192" s="1321"/>
      <c r="AR192" s="1322"/>
      <c r="AS192" s="1322"/>
      <c r="AT192" s="1322"/>
      <c r="AU192" s="1323"/>
      <c r="AV192" s="815"/>
      <c r="AW192" s="814"/>
      <c r="AX192" s="814"/>
      <c r="AY192" s="814"/>
      <c r="AZ192" s="814"/>
      <c r="BA192" s="814"/>
      <c r="BB192" s="814"/>
      <c r="BC192" s="814"/>
      <c r="BD192" s="814"/>
      <c r="BE192" s="814"/>
      <c r="BF192" s="814"/>
      <c r="BG192" s="814"/>
      <c r="BH192" s="814"/>
      <c r="BI192" s="814"/>
      <c r="BJ192" s="814"/>
      <c r="BK192" s="816"/>
      <c r="BL192" s="1327"/>
      <c r="BM192" s="1328"/>
      <c r="BN192" s="1328"/>
      <c r="BO192" s="1328"/>
      <c r="BP192" s="1389"/>
      <c r="BQ192" s="1369"/>
      <c r="BR192" s="1319"/>
      <c r="BS192" s="1319"/>
      <c r="BT192" s="1319"/>
      <c r="BU192" s="1320"/>
      <c r="BV192" s="1321"/>
      <c r="BW192" s="1322"/>
      <c r="BX192" s="1322"/>
      <c r="BY192" s="1322"/>
      <c r="BZ192" s="1322"/>
      <c r="CA192" s="1369"/>
      <c r="CB192" s="1319"/>
      <c r="CC192" s="1319"/>
      <c r="CD192" s="1319"/>
      <c r="CE192" s="1320"/>
      <c r="CF192" s="1319"/>
      <c r="CG192" s="1319"/>
      <c r="CH192" s="1319"/>
      <c r="CI192" s="1319"/>
      <c r="CJ192" s="1320"/>
      <c r="CK192" s="1321"/>
      <c r="CL192" s="1322"/>
      <c r="CM192" s="1322"/>
      <c r="CN192" s="1322"/>
      <c r="CO192" s="1323"/>
      <c r="CP192" s="1369"/>
      <c r="CQ192" s="1319"/>
      <c r="CR192" s="1319"/>
      <c r="CS192" s="1319"/>
      <c r="CT192" s="1320"/>
      <c r="CU192" s="1467"/>
      <c r="CV192" s="1458"/>
      <c r="CW192" s="1458"/>
      <c r="CX192" s="1663"/>
      <c r="CY192" s="1458"/>
      <c r="CZ192" s="1458"/>
      <c r="DA192" s="1458"/>
      <c r="DB192" s="1663"/>
      <c r="DC192" s="1328"/>
      <c r="DD192" s="1664"/>
      <c r="DE192" s="1669"/>
    </row>
    <row r="193" spans="1:109" ht="15.75" hidden="1" customHeight="1">
      <c r="A193" s="741" t="s">
        <v>1269</v>
      </c>
      <c r="B193" s="742">
        <v>187</v>
      </c>
      <c r="C193" s="758" t="s">
        <v>1162</v>
      </c>
      <c r="D193" s="742" t="s">
        <v>2853</v>
      </c>
      <c r="E193" s="742" t="s">
        <v>2217</v>
      </c>
      <c r="F193" s="754" t="s">
        <v>2860</v>
      </c>
      <c r="G193" s="759" t="s">
        <v>203</v>
      </c>
      <c r="H193" s="760" t="s">
        <v>2861</v>
      </c>
      <c r="I193" s="761"/>
      <c r="J193" s="762">
        <v>1</v>
      </c>
      <c r="K193" s="762"/>
      <c r="L193" s="762"/>
      <c r="M193" s="762"/>
      <c r="N193" s="762"/>
      <c r="O193" s="762"/>
      <c r="P193" s="763"/>
      <c r="Q193" s="764">
        <f t="shared" si="2"/>
        <v>1</v>
      </c>
      <c r="R193" s="758" t="s">
        <v>1846</v>
      </c>
      <c r="S193" s="742" t="s">
        <v>1826</v>
      </c>
      <c r="T193" s="765" t="s">
        <v>1827</v>
      </c>
      <c r="U193" s="742" t="s">
        <v>2363</v>
      </c>
      <c r="V193" s="742" t="s">
        <v>1857</v>
      </c>
      <c r="W193" s="742" t="s">
        <v>2862</v>
      </c>
      <c r="X193" s="798">
        <v>1</v>
      </c>
      <c r="Y193" s="790" t="s">
        <v>1838</v>
      </c>
      <c r="Z193" s="759" t="s">
        <v>203</v>
      </c>
      <c r="AA193" s="754"/>
      <c r="AB193" s="754"/>
      <c r="AC193" s="754"/>
      <c r="AD193" s="754"/>
      <c r="AE193" s="754"/>
      <c r="AF193" s="768"/>
      <c r="AG193" s="769"/>
      <c r="AH193" s="769"/>
      <c r="AI193" s="769"/>
      <c r="AJ193" s="769"/>
      <c r="AK193" s="769"/>
      <c r="AL193" s="769"/>
      <c r="AM193" s="769"/>
      <c r="AN193" s="769"/>
      <c r="AO193" s="769"/>
      <c r="AP193" s="769"/>
      <c r="AQ193" s="1370"/>
      <c r="AR193" s="1324"/>
      <c r="AS193" s="1324"/>
      <c r="AT193" s="1324"/>
      <c r="AU193" s="1325"/>
      <c r="AV193" s="777"/>
      <c r="AW193" s="769"/>
      <c r="AX193" s="769"/>
      <c r="AY193" s="769"/>
      <c r="AZ193" s="769"/>
      <c r="BA193" s="769"/>
      <c r="BB193" s="769"/>
      <c r="BC193" s="769"/>
      <c r="BD193" s="769"/>
      <c r="BE193" s="769"/>
      <c r="BF193" s="769"/>
      <c r="BG193" s="769"/>
      <c r="BH193" s="769"/>
      <c r="BI193" s="769"/>
      <c r="BJ193" s="769"/>
      <c r="BK193" s="774"/>
      <c r="BL193" s="1327"/>
      <c r="BM193" s="1328"/>
      <c r="BN193" s="1328"/>
      <c r="BO193" s="1328"/>
      <c r="BP193" s="1389"/>
      <c r="BQ193" s="1369"/>
      <c r="BR193" s="1319"/>
      <c r="BS193" s="1319"/>
      <c r="BT193" s="1319"/>
      <c r="BU193" s="1320"/>
      <c r="BV193" s="1369"/>
      <c r="BW193" s="1319"/>
      <c r="BX193" s="1319"/>
      <c r="BY193" s="1319"/>
      <c r="BZ193" s="1319"/>
      <c r="CA193" s="1369"/>
      <c r="CB193" s="1319"/>
      <c r="CC193" s="1319"/>
      <c r="CD193" s="1319"/>
      <c r="CE193" s="1320"/>
      <c r="CF193" s="1319"/>
      <c r="CG193" s="1319"/>
      <c r="CH193" s="1319"/>
      <c r="CI193" s="1319"/>
      <c r="CJ193" s="1320"/>
      <c r="CK193" s="1369"/>
      <c r="CL193" s="1319"/>
      <c r="CM193" s="1319"/>
      <c r="CN193" s="1319"/>
      <c r="CO193" s="1320"/>
      <c r="CP193" s="1369"/>
      <c r="CQ193" s="1319"/>
      <c r="CR193" s="1319"/>
      <c r="CS193" s="1319"/>
      <c r="CT193" s="1320"/>
      <c r="CU193" s="1467"/>
      <c r="CV193" s="1458"/>
      <c r="CW193" s="1458"/>
      <c r="CX193" s="1663"/>
      <c r="CY193" s="1458"/>
      <c r="CZ193" s="1458"/>
      <c r="DA193" s="1458"/>
      <c r="DB193" s="1663"/>
      <c r="DC193" s="1328"/>
      <c r="DD193" s="1664"/>
      <c r="DE193" s="1669"/>
    </row>
    <row r="194" spans="1:109" ht="15.75" hidden="1" customHeight="1">
      <c r="A194" s="741" t="s">
        <v>1269</v>
      </c>
      <c r="B194" s="742">
        <v>188</v>
      </c>
      <c r="C194" s="758" t="s">
        <v>1163</v>
      </c>
      <c r="D194" s="742" t="s">
        <v>2853</v>
      </c>
      <c r="E194" s="742" t="s">
        <v>2231</v>
      </c>
      <c r="F194" s="754" t="s">
        <v>2863</v>
      </c>
      <c r="G194" s="759" t="s">
        <v>209</v>
      </c>
      <c r="H194" s="760" t="s">
        <v>2864</v>
      </c>
      <c r="I194" s="761"/>
      <c r="J194" s="762">
        <v>1</v>
      </c>
      <c r="K194" s="762"/>
      <c r="L194" s="762"/>
      <c r="M194" s="762"/>
      <c r="N194" s="762"/>
      <c r="O194" s="762"/>
      <c r="P194" s="763"/>
      <c r="Q194" s="764">
        <f t="shared" si="2"/>
        <v>1</v>
      </c>
      <c r="R194" s="758" t="s">
        <v>1846</v>
      </c>
      <c r="S194" s="742" t="s">
        <v>1826</v>
      </c>
      <c r="T194" s="765" t="s">
        <v>1827</v>
      </c>
      <c r="U194" s="742" t="s">
        <v>2371</v>
      </c>
      <c r="V194" s="742" t="s">
        <v>321</v>
      </c>
      <c r="W194" s="742" t="s">
        <v>2865</v>
      </c>
      <c r="X194" s="1243">
        <v>2</v>
      </c>
      <c r="Y194" s="790" t="s">
        <v>1838</v>
      </c>
      <c r="Z194" s="759" t="s">
        <v>209</v>
      </c>
      <c r="AA194" s="754"/>
      <c r="AB194" s="754"/>
      <c r="AC194" s="754"/>
      <c r="AD194" s="754"/>
      <c r="AE194" s="754"/>
      <c r="AF194" s="768"/>
      <c r="AG194" s="769"/>
      <c r="AH194" s="769"/>
      <c r="AI194" s="769"/>
      <c r="AJ194" s="769"/>
      <c r="AK194" s="769"/>
      <c r="AL194" s="769"/>
      <c r="AM194" s="769"/>
      <c r="AN194" s="769"/>
      <c r="AO194" s="769"/>
      <c r="AP194" s="769"/>
      <c r="AQ194" s="1370"/>
      <c r="AR194" s="1324"/>
      <c r="AS194" s="1324"/>
      <c r="AT194" s="1324"/>
      <c r="AU194" s="1325"/>
      <c r="AV194" s="777"/>
      <c r="AW194" s="769"/>
      <c r="AX194" s="769"/>
      <c r="AY194" s="769"/>
      <c r="AZ194" s="769"/>
      <c r="BA194" s="769"/>
      <c r="BB194" s="769"/>
      <c r="BC194" s="769"/>
      <c r="BD194" s="769"/>
      <c r="BE194" s="769"/>
      <c r="BF194" s="769"/>
      <c r="BG194" s="769"/>
      <c r="BH194" s="769"/>
      <c r="BI194" s="769"/>
      <c r="BJ194" s="769"/>
      <c r="BK194" s="774"/>
      <c r="BL194" s="1327"/>
      <c r="BM194" s="1328"/>
      <c r="BN194" s="1328"/>
      <c r="BO194" s="1328"/>
      <c r="BP194" s="1389"/>
      <c r="BQ194" s="1369"/>
      <c r="BR194" s="1319"/>
      <c r="BS194" s="1319"/>
      <c r="BT194" s="1319"/>
      <c r="BU194" s="1320"/>
      <c r="BV194" s="1369"/>
      <c r="BW194" s="1319"/>
      <c r="BX194" s="1319"/>
      <c r="BY194" s="1319"/>
      <c r="BZ194" s="1319"/>
      <c r="CA194" s="1369"/>
      <c r="CB194" s="1319"/>
      <c r="CC194" s="1319"/>
      <c r="CD194" s="1319"/>
      <c r="CE194" s="1320"/>
      <c r="CF194" s="1319"/>
      <c r="CG194" s="1319"/>
      <c r="CH194" s="1319"/>
      <c r="CI194" s="1319"/>
      <c r="CJ194" s="1320"/>
      <c r="CK194" s="1369"/>
      <c r="CL194" s="1319"/>
      <c r="CM194" s="1319"/>
      <c r="CN194" s="1319"/>
      <c r="CO194" s="1320"/>
      <c r="CP194" s="1369"/>
      <c r="CQ194" s="1319"/>
      <c r="CR194" s="1319"/>
      <c r="CS194" s="1319"/>
      <c r="CT194" s="1320"/>
      <c r="CU194" s="1467"/>
      <c r="CV194" s="1458"/>
      <c r="CW194" s="1458"/>
      <c r="CX194" s="1663"/>
      <c r="CY194" s="1458"/>
      <c r="CZ194" s="1458"/>
      <c r="DA194" s="1458"/>
      <c r="DB194" s="1663"/>
      <c r="DC194" s="1328"/>
      <c r="DD194" s="1664"/>
      <c r="DE194" s="1669"/>
    </row>
    <row r="195" spans="1:109" ht="15.75" hidden="1" customHeight="1">
      <c r="A195" s="741" t="s">
        <v>1269</v>
      </c>
      <c r="B195" s="742">
        <v>189</v>
      </c>
      <c r="C195" s="758" t="s">
        <v>1309</v>
      </c>
      <c r="D195" s="742" t="s">
        <v>2853</v>
      </c>
      <c r="E195" s="742" t="s">
        <v>2223</v>
      </c>
      <c r="F195" s="754" t="s">
        <v>2866</v>
      </c>
      <c r="G195" s="759" t="s">
        <v>2419</v>
      </c>
      <c r="H195" s="760" t="s">
        <v>2867</v>
      </c>
      <c r="I195" s="761"/>
      <c r="J195" s="762">
        <v>1</v>
      </c>
      <c r="K195" s="762"/>
      <c r="L195" s="762"/>
      <c r="M195" s="762"/>
      <c r="N195" s="762"/>
      <c r="O195" s="762"/>
      <c r="P195" s="763"/>
      <c r="Q195" s="764">
        <f t="shared" si="2"/>
        <v>1</v>
      </c>
      <c r="R195" s="758" t="s">
        <v>1846</v>
      </c>
      <c r="S195" s="742" t="s">
        <v>1826</v>
      </c>
      <c r="T195" s="765" t="s">
        <v>1827</v>
      </c>
      <c r="U195" s="742" t="s">
        <v>2421</v>
      </c>
      <c r="V195" s="742" t="s">
        <v>1857</v>
      </c>
      <c r="W195" s="742" t="s">
        <v>2868</v>
      </c>
      <c r="X195" s="1243">
        <v>2</v>
      </c>
      <c r="Y195" s="767" t="s">
        <v>1838</v>
      </c>
      <c r="Z195" s="759" t="s">
        <v>2309</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210</v>
      </c>
      <c r="BM195" s="754" t="s">
        <v>210</v>
      </c>
      <c r="BN195" s="754" t="s">
        <v>210</v>
      </c>
      <c r="BO195" s="754" t="s">
        <v>210</v>
      </c>
      <c r="BP195" s="765" t="s">
        <v>210</v>
      </c>
      <c r="BQ195" s="777" t="s">
        <v>2260</v>
      </c>
      <c r="BR195" s="769" t="s">
        <v>2260</v>
      </c>
      <c r="BS195" s="769" t="s">
        <v>2260</v>
      </c>
      <c r="BT195" s="769" t="s">
        <v>2260</v>
      </c>
      <c r="BU195" s="774" t="s">
        <v>2260</v>
      </c>
      <c r="BV195" s="773" t="s">
        <v>2260</v>
      </c>
      <c r="BW195" s="769" t="s">
        <v>2260</v>
      </c>
      <c r="BX195" s="769" t="s">
        <v>2260</v>
      </c>
      <c r="BY195" s="769" t="s">
        <v>2260</v>
      </c>
      <c r="BZ195" s="769" t="s">
        <v>2260</v>
      </c>
      <c r="CA195" s="775" t="s">
        <v>2260</v>
      </c>
      <c r="CB195" s="776" t="s">
        <v>2260</v>
      </c>
      <c r="CC195" s="776" t="s">
        <v>2260</v>
      </c>
      <c r="CD195" s="776" t="s">
        <v>2260</v>
      </c>
      <c r="CE195" s="789" t="s">
        <v>2260</v>
      </c>
      <c r="CF195" s="776" t="s">
        <v>2260</v>
      </c>
      <c r="CG195" s="776" t="s">
        <v>2260</v>
      </c>
      <c r="CH195" s="776" t="s">
        <v>2260</v>
      </c>
      <c r="CI195" s="776" t="s">
        <v>2260</v>
      </c>
      <c r="CJ195" s="789" t="s">
        <v>2260</v>
      </c>
      <c r="CK195" s="777" t="s">
        <v>2260</v>
      </c>
      <c r="CL195" s="769" t="s">
        <v>2260</v>
      </c>
      <c r="CM195" s="769" t="s">
        <v>2260</v>
      </c>
      <c r="CN195" s="769" t="s">
        <v>2260</v>
      </c>
      <c r="CO195" s="774" t="s">
        <v>2260</v>
      </c>
      <c r="CP195" s="777" t="s">
        <v>2260</v>
      </c>
      <c r="CQ195" s="769" t="s">
        <v>2260</v>
      </c>
      <c r="CR195" s="769" t="s">
        <v>2260</v>
      </c>
      <c r="CS195" s="769" t="s">
        <v>2260</v>
      </c>
      <c r="CT195" s="774" t="s">
        <v>2260</v>
      </c>
      <c r="CU195" s="1253">
        <v>-0.54400000000000004</v>
      </c>
      <c r="CV195" s="1252" t="s">
        <v>2260</v>
      </c>
      <c r="CW195" s="1252" t="s">
        <v>2260</v>
      </c>
      <c r="CX195" s="1254" t="s">
        <v>2260</v>
      </c>
      <c r="CY195" s="1252" t="s">
        <v>2260</v>
      </c>
      <c r="CZ195" s="1252" t="s">
        <v>2260</v>
      </c>
      <c r="DA195" s="1252" t="s">
        <v>2260</v>
      </c>
      <c r="DB195" s="1254" t="s">
        <v>2260</v>
      </c>
      <c r="DC195" s="754"/>
      <c r="DD195" s="782">
        <v>1</v>
      </c>
      <c r="DE195" s="783"/>
    </row>
    <row r="196" spans="1:109" ht="15.75" hidden="1" customHeight="1">
      <c r="A196" s="741" t="s">
        <v>1269</v>
      </c>
      <c r="B196" s="742">
        <v>190</v>
      </c>
      <c r="C196" s="758" t="s">
        <v>1326</v>
      </c>
      <c r="D196" s="742" t="s">
        <v>2853</v>
      </c>
      <c r="E196" s="742" t="s">
        <v>2231</v>
      </c>
      <c r="F196" s="754" t="s">
        <v>2869</v>
      </c>
      <c r="G196" s="759" t="s">
        <v>2297</v>
      </c>
      <c r="H196" s="760" t="s">
        <v>2870</v>
      </c>
      <c r="I196" s="761"/>
      <c r="J196" s="762">
        <v>1</v>
      </c>
      <c r="K196" s="762"/>
      <c r="L196" s="762"/>
      <c r="M196" s="762"/>
      <c r="N196" s="762"/>
      <c r="O196" s="762"/>
      <c r="P196" s="763"/>
      <c r="Q196" s="764">
        <f t="shared" si="2"/>
        <v>1</v>
      </c>
      <c r="R196" s="758" t="s">
        <v>1846</v>
      </c>
      <c r="S196" s="742" t="s">
        <v>1826</v>
      </c>
      <c r="T196" s="765" t="s">
        <v>1827</v>
      </c>
      <c r="U196" s="742" t="s">
        <v>2295</v>
      </c>
      <c r="V196" s="742" t="s">
        <v>1857</v>
      </c>
      <c r="W196" s="742" t="s">
        <v>2871</v>
      </c>
      <c r="X196" s="798">
        <v>0</v>
      </c>
      <c r="Y196" s="767" t="s">
        <v>1838</v>
      </c>
      <c r="Z196" s="759" t="s">
        <v>2297</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210</v>
      </c>
      <c r="BM196" s="754" t="s">
        <v>210</v>
      </c>
      <c r="BN196" s="754" t="s">
        <v>210</v>
      </c>
      <c r="BO196" s="754" t="s">
        <v>210</v>
      </c>
      <c r="BP196" s="765" t="s">
        <v>210</v>
      </c>
      <c r="BQ196" s="773" t="s">
        <v>2260</v>
      </c>
      <c r="BR196" s="769" t="s">
        <v>2260</v>
      </c>
      <c r="BS196" s="769" t="s">
        <v>2260</v>
      </c>
      <c r="BT196" s="769" t="s">
        <v>2260</v>
      </c>
      <c r="BU196" s="774" t="s">
        <v>2260</v>
      </c>
      <c r="BV196" s="773" t="s">
        <v>2260</v>
      </c>
      <c r="BW196" s="769" t="s">
        <v>2260</v>
      </c>
      <c r="BX196" s="769" t="s">
        <v>2260</v>
      </c>
      <c r="BY196" s="769" t="s">
        <v>2260</v>
      </c>
      <c r="BZ196" s="769" t="s">
        <v>2260</v>
      </c>
      <c r="CA196" s="777" t="s">
        <v>2260</v>
      </c>
      <c r="CB196" s="769" t="s">
        <v>2260</v>
      </c>
      <c r="CC196" s="769" t="s">
        <v>2260</v>
      </c>
      <c r="CD196" s="769" t="s">
        <v>2260</v>
      </c>
      <c r="CE196" s="774" t="s">
        <v>2260</v>
      </c>
      <c r="CF196" s="769" t="s">
        <v>2260</v>
      </c>
      <c r="CG196" s="769" t="s">
        <v>2260</v>
      </c>
      <c r="CH196" s="769" t="s">
        <v>2260</v>
      </c>
      <c r="CI196" s="769" t="s">
        <v>2260</v>
      </c>
      <c r="CJ196" s="774" t="s">
        <v>2260</v>
      </c>
      <c r="CK196" s="777" t="s">
        <v>2260</v>
      </c>
      <c r="CL196" s="769" t="s">
        <v>2260</v>
      </c>
      <c r="CM196" s="769" t="s">
        <v>2260</v>
      </c>
      <c r="CN196" s="769" t="s">
        <v>2260</v>
      </c>
      <c r="CO196" s="774" t="s">
        <v>2260</v>
      </c>
      <c r="CP196" s="777" t="s">
        <v>2260</v>
      </c>
      <c r="CQ196" s="769" t="s">
        <v>2260</v>
      </c>
      <c r="CR196" s="769" t="s">
        <v>2260</v>
      </c>
      <c r="CS196" s="769" t="s">
        <v>2260</v>
      </c>
      <c r="CT196" s="774" t="s">
        <v>2260</v>
      </c>
      <c r="CU196" s="1253">
        <v>-1.89E-3</v>
      </c>
      <c r="CV196" s="1252" t="s">
        <v>2260</v>
      </c>
      <c r="CW196" s="1252" t="s">
        <v>2260</v>
      </c>
      <c r="CX196" s="1254" t="s">
        <v>2260</v>
      </c>
      <c r="CY196" s="1252" t="s">
        <v>2260</v>
      </c>
      <c r="CZ196" s="1252" t="s">
        <v>2260</v>
      </c>
      <c r="DA196" s="1252" t="s">
        <v>2260</v>
      </c>
      <c r="DB196" s="1254" t="s">
        <v>2260</v>
      </c>
      <c r="DC196" s="754"/>
      <c r="DD196" s="782">
        <v>1</v>
      </c>
      <c r="DE196" s="783"/>
    </row>
    <row r="197" spans="1:109" ht="15.75" hidden="1" customHeight="1">
      <c r="A197" s="741" t="s">
        <v>1269</v>
      </c>
      <c r="B197" s="742">
        <v>191</v>
      </c>
      <c r="C197" s="758" t="s">
        <v>1343</v>
      </c>
      <c r="D197" s="742" t="s">
        <v>2872</v>
      </c>
      <c r="E197" s="742" t="s">
        <v>2231</v>
      </c>
      <c r="F197" s="754" t="s">
        <v>2873</v>
      </c>
      <c r="G197" s="759" t="s">
        <v>2874</v>
      </c>
      <c r="H197" s="760" t="s">
        <v>2875</v>
      </c>
      <c r="I197" s="761"/>
      <c r="J197" s="762">
        <v>1</v>
      </c>
      <c r="K197" s="762"/>
      <c r="L197" s="762"/>
      <c r="M197" s="762"/>
      <c r="N197" s="762"/>
      <c r="O197" s="762"/>
      <c r="P197" s="763"/>
      <c r="Q197" s="764">
        <f t="shared" si="2"/>
        <v>1</v>
      </c>
      <c r="R197" s="758" t="s">
        <v>1852</v>
      </c>
      <c r="S197" s="742" t="s">
        <v>1826</v>
      </c>
      <c r="T197" s="765" t="s">
        <v>1827</v>
      </c>
      <c r="U197" s="742" t="s">
        <v>2280</v>
      </c>
      <c r="V197" s="742" t="s">
        <v>1857</v>
      </c>
      <c r="W197" s="742" t="s">
        <v>2876</v>
      </c>
      <c r="X197" s="798">
        <v>0</v>
      </c>
      <c r="Y197" s="767" t="s">
        <v>1828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210</v>
      </c>
      <c r="BM197" s="754" t="s">
        <v>210</v>
      </c>
      <c r="BN197" s="754" t="s">
        <v>210</v>
      </c>
      <c r="BO197" s="754" t="s">
        <v>210</v>
      </c>
      <c r="BP197" s="765" t="s">
        <v>210</v>
      </c>
      <c r="BQ197" s="777" t="s">
        <v>2260</v>
      </c>
      <c r="BR197" s="769" t="s">
        <v>2260</v>
      </c>
      <c r="BS197" s="769" t="s">
        <v>2260</v>
      </c>
      <c r="BT197" s="769" t="s">
        <v>2260</v>
      </c>
      <c r="BU197" s="774" t="s">
        <v>2260</v>
      </c>
      <c r="BV197" s="777" t="s">
        <v>2260</v>
      </c>
      <c r="BW197" s="769" t="s">
        <v>2260</v>
      </c>
      <c r="BX197" s="769" t="s">
        <v>2260</v>
      </c>
      <c r="BY197" s="769" t="s">
        <v>2260</v>
      </c>
      <c r="BZ197" s="769" t="s">
        <v>2260</v>
      </c>
      <c r="CA197" s="777" t="s">
        <v>2260</v>
      </c>
      <c r="CB197" s="769" t="s">
        <v>2260</v>
      </c>
      <c r="CC197" s="769" t="s">
        <v>2260</v>
      </c>
      <c r="CD197" s="769" t="s">
        <v>2260</v>
      </c>
      <c r="CE197" s="774" t="s">
        <v>2260</v>
      </c>
      <c r="CF197" s="769" t="s">
        <v>2260</v>
      </c>
      <c r="CG197" s="769" t="s">
        <v>2260</v>
      </c>
      <c r="CH197" s="769" t="s">
        <v>2260</v>
      </c>
      <c r="CI197" s="769" t="s">
        <v>2260</v>
      </c>
      <c r="CJ197" s="774" t="s">
        <v>2260</v>
      </c>
      <c r="CK197" s="777" t="s">
        <v>2260</v>
      </c>
      <c r="CL197" s="769" t="s">
        <v>2260</v>
      </c>
      <c r="CM197" s="769" t="s">
        <v>2260</v>
      </c>
      <c r="CN197" s="769" t="s">
        <v>2260</v>
      </c>
      <c r="CO197" s="774" t="s">
        <v>2260</v>
      </c>
      <c r="CP197" s="777" t="s">
        <v>2260</v>
      </c>
      <c r="CQ197" s="769" t="s">
        <v>2260</v>
      </c>
      <c r="CR197" s="769" t="s">
        <v>2260</v>
      </c>
      <c r="CS197" s="769" t="s">
        <v>2260</v>
      </c>
      <c r="CT197" s="774" t="s">
        <v>2260</v>
      </c>
      <c r="CU197" s="1253">
        <v>-8.0000000000000004E-4</v>
      </c>
      <c r="CV197" s="1252" t="s">
        <v>2260</v>
      </c>
      <c r="CW197" s="1252" t="s">
        <v>2260</v>
      </c>
      <c r="CX197" s="1254" t="s">
        <v>2260</v>
      </c>
      <c r="CY197" s="1252">
        <v>4.0000000000000002E-4</v>
      </c>
      <c r="CZ197" s="1252" t="s">
        <v>2260</v>
      </c>
      <c r="DA197" s="1252" t="s">
        <v>2260</v>
      </c>
      <c r="DB197" s="1254" t="s">
        <v>2260</v>
      </c>
      <c r="DC197" s="754"/>
      <c r="DD197" s="782">
        <v>1</v>
      </c>
      <c r="DE197" s="783"/>
    </row>
    <row r="198" spans="1:109" ht="15.75" hidden="1" customHeight="1">
      <c r="A198" s="741" t="s">
        <v>1269</v>
      </c>
      <c r="B198" s="742">
        <v>192</v>
      </c>
      <c r="C198" s="758" t="s">
        <v>1360</v>
      </c>
      <c r="D198" s="742" t="s">
        <v>2872</v>
      </c>
      <c r="E198" s="742" t="s">
        <v>2231</v>
      </c>
      <c r="F198" s="754" t="s">
        <v>2877</v>
      </c>
      <c r="G198" s="759" t="s">
        <v>2390</v>
      </c>
      <c r="H198" s="760" t="s">
        <v>2878</v>
      </c>
      <c r="I198" s="761">
        <v>1</v>
      </c>
      <c r="J198" s="762"/>
      <c r="K198" s="762"/>
      <c r="L198" s="762"/>
      <c r="M198" s="762"/>
      <c r="N198" s="762"/>
      <c r="O198" s="762"/>
      <c r="P198" s="763"/>
      <c r="Q198" s="764">
        <f t="shared" si="2"/>
        <v>1</v>
      </c>
      <c r="R198" s="758" t="s">
        <v>1852</v>
      </c>
      <c r="S198" s="742" t="s">
        <v>1826</v>
      </c>
      <c r="T198" s="765" t="s">
        <v>1827</v>
      </c>
      <c r="U198" s="742" t="s">
        <v>2290</v>
      </c>
      <c r="V198" s="742" t="s">
        <v>1857</v>
      </c>
      <c r="W198" s="742" t="s">
        <v>2291</v>
      </c>
      <c r="X198" s="798">
        <v>1</v>
      </c>
      <c r="Y198" s="767" t="s">
        <v>1838</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210</v>
      </c>
      <c r="BM198" s="754" t="s">
        <v>210</v>
      </c>
      <c r="BN198" s="754" t="s">
        <v>210</v>
      </c>
      <c r="BO198" s="754" t="s">
        <v>210</v>
      </c>
      <c r="BP198" s="765" t="s">
        <v>210</v>
      </c>
      <c r="BQ198" s="777" t="s">
        <v>2260</v>
      </c>
      <c r="BR198" s="769" t="s">
        <v>2260</v>
      </c>
      <c r="BS198" s="769" t="s">
        <v>2260</v>
      </c>
      <c r="BT198" s="769" t="s">
        <v>2260</v>
      </c>
      <c r="BU198" s="774" t="s">
        <v>2260</v>
      </c>
      <c r="BV198" s="777" t="s">
        <v>2260</v>
      </c>
      <c r="BW198" s="769" t="s">
        <v>2260</v>
      </c>
      <c r="BX198" s="769" t="s">
        <v>2260</v>
      </c>
      <c r="BY198" s="769" t="s">
        <v>2260</v>
      </c>
      <c r="BZ198" s="769" t="s">
        <v>2260</v>
      </c>
      <c r="CA198" s="777" t="s">
        <v>2260</v>
      </c>
      <c r="CB198" s="769" t="s">
        <v>2260</v>
      </c>
      <c r="CC198" s="769" t="s">
        <v>2260</v>
      </c>
      <c r="CD198" s="769" t="s">
        <v>2260</v>
      </c>
      <c r="CE198" s="774" t="s">
        <v>2260</v>
      </c>
      <c r="CF198" s="769" t="s">
        <v>2260</v>
      </c>
      <c r="CG198" s="769" t="s">
        <v>2260</v>
      </c>
      <c r="CH198" s="769" t="s">
        <v>2260</v>
      </c>
      <c r="CI198" s="769" t="s">
        <v>2260</v>
      </c>
      <c r="CJ198" s="769" t="s">
        <v>2260</v>
      </c>
      <c r="CK198" s="777">
        <v>-1.7</v>
      </c>
      <c r="CL198" s="769">
        <v>-1.7</v>
      </c>
      <c r="CM198" s="769">
        <v>-1.7</v>
      </c>
      <c r="CN198" s="769">
        <v>-1.7</v>
      </c>
      <c r="CO198" s="774">
        <v>-1.7</v>
      </c>
      <c r="CP198" s="777" t="s">
        <v>2260</v>
      </c>
      <c r="CQ198" s="769" t="s">
        <v>2260</v>
      </c>
      <c r="CR198" s="769" t="s">
        <v>2260</v>
      </c>
      <c r="CS198" s="769" t="s">
        <v>2260</v>
      </c>
      <c r="CT198" s="774" t="s">
        <v>2260</v>
      </c>
      <c r="CU198" s="1253">
        <v>-1.9E-2</v>
      </c>
      <c r="CV198" s="1252" t="s">
        <v>2260</v>
      </c>
      <c r="CW198" s="1252" t="s">
        <v>2260</v>
      </c>
      <c r="CX198" s="1254" t="s">
        <v>2260</v>
      </c>
      <c r="CY198" s="1252">
        <v>1.6799999999999999E-2</v>
      </c>
      <c r="CZ198" s="1252" t="s">
        <v>2260</v>
      </c>
      <c r="DA198" s="1252" t="s">
        <v>2260</v>
      </c>
      <c r="DB198" s="1254" t="s">
        <v>2260</v>
      </c>
      <c r="DC198" s="754"/>
      <c r="DD198" s="782">
        <v>1</v>
      </c>
      <c r="DE198" s="783"/>
    </row>
    <row r="199" spans="1:109" ht="15.75" hidden="1" customHeight="1">
      <c r="A199" s="741" t="s">
        <v>1269</v>
      </c>
      <c r="B199" s="742">
        <v>193</v>
      </c>
      <c r="C199" s="758" t="s">
        <v>1377</v>
      </c>
      <c r="D199" s="742" t="s">
        <v>2872</v>
      </c>
      <c r="E199" s="742" t="s">
        <v>2231</v>
      </c>
      <c r="F199" s="754" t="s">
        <v>2879</v>
      </c>
      <c r="G199" s="759" t="s">
        <v>2880</v>
      </c>
      <c r="H199" s="760" t="s">
        <v>2881</v>
      </c>
      <c r="I199" s="761"/>
      <c r="J199" s="762">
        <v>1</v>
      </c>
      <c r="K199" s="762"/>
      <c r="L199" s="762"/>
      <c r="M199" s="762"/>
      <c r="N199" s="762"/>
      <c r="O199" s="762"/>
      <c r="P199" s="763"/>
      <c r="Q199" s="764">
        <f t="shared" si="2"/>
        <v>1</v>
      </c>
      <c r="R199" s="758" t="s">
        <v>2882</v>
      </c>
      <c r="S199" s="742" t="s">
        <v>1826</v>
      </c>
      <c r="T199" s="765" t="s">
        <v>1837</v>
      </c>
      <c r="U199" s="742" t="s">
        <v>2523</v>
      </c>
      <c r="V199" s="742" t="s">
        <v>165</v>
      </c>
      <c r="W199" s="742" t="s">
        <v>2883</v>
      </c>
      <c r="X199" s="898">
        <v>3</v>
      </c>
      <c r="Y199" s="788" t="s">
        <v>1828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210</v>
      </c>
      <c r="BQ199" s="777" t="s">
        <v>2260</v>
      </c>
      <c r="BR199" s="769" t="s">
        <v>2260</v>
      </c>
      <c r="BS199" s="769" t="s">
        <v>2260</v>
      </c>
      <c r="BT199" s="769" t="s">
        <v>2260</v>
      </c>
      <c r="BU199" s="774" t="s">
        <v>2260</v>
      </c>
      <c r="BV199" s="777" t="s">
        <v>2260</v>
      </c>
      <c r="BW199" s="769" t="s">
        <v>2260</v>
      </c>
      <c r="BX199" s="769" t="s">
        <v>2260</v>
      </c>
      <c r="BY199" s="769" t="s">
        <v>2260</v>
      </c>
      <c r="BZ199" s="769" t="s">
        <v>2260</v>
      </c>
      <c r="CA199" s="777" t="s">
        <v>2260</v>
      </c>
      <c r="CB199" s="769" t="s">
        <v>2260</v>
      </c>
      <c r="CC199" s="769" t="s">
        <v>2260</v>
      </c>
      <c r="CD199" s="769" t="s">
        <v>2260</v>
      </c>
      <c r="CE199" s="774" t="s">
        <v>2260</v>
      </c>
      <c r="CF199" s="769" t="s">
        <v>2260</v>
      </c>
      <c r="CG199" s="769" t="s">
        <v>2260</v>
      </c>
      <c r="CH199" s="769" t="s">
        <v>2260</v>
      </c>
      <c r="CI199" s="769" t="s">
        <v>2260</v>
      </c>
      <c r="CJ199" s="774" t="s">
        <v>2260</v>
      </c>
      <c r="CK199" s="777" t="s">
        <v>2260</v>
      </c>
      <c r="CL199" s="769" t="s">
        <v>2260</v>
      </c>
      <c r="CM199" s="769" t="s">
        <v>2260</v>
      </c>
      <c r="CN199" s="769" t="s">
        <v>2260</v>
      </c>
      <c r="CO199" s="774" t="s">
        <v>2260</v>
      </c>
      <c r="CP199" s="777" t="s">
        <v>2260</v>
      </c>
      <c r="CQ199" s="769" t="s">
        <v>2260</v>
      </c>
      <c r="CR199" s="769" t="s">
        <v>2260</v>
      </c>
      <c r="CS199" s="769" t="s">
        <v>2260</v>
      </c>
      <c r="CT199" s="774" t="s">
        <v>2260</v>
      </c>
      <c r="CU199" s="1253">
        <v>-0.186</v>
      </c>
      <c r="CV199" s="1252" t="s">
        <v>2260</v>
      </c>
      <c r="CW199" s="1252" t="s">
        <v>2260</v>
      </c>
      <c r="CX199" s="1254" t="s">
        <v>2260</v>
      </c>
      <c r="CY199" s="1252">
        <v>0.186</v>
      </c>
      <c r="CZ199" s="1252" t="s">
        <v>2260</v>
      </c>
      <c r="DA199" s="1252" t="s">
        <v>2260</v>
      </c>
      <c r="DB199" s="1254" t="s">
        <v>2260</v>
      </c>
      <c r="DC199" s="754"/>
      <c r="DD199" s="782">
        <v>1</v>
      </c>
      <c r="DE199" s="783"/>
    </row>
    <row r="200" spans="1:109" ht="15.75" hidden="1" customHeight="1">
      <c r="A200" s="741" t="s">
        <v>1269</v>
      </c>
      <c r="B200" s="742">
        <v>194</v>
      </c>
      <c r="C200" s="758" t="s">
        <v>1394</v>
      </c>
      <c r="D200" s="742" t="s">
        <v>2872</v>
      </c>
      <c r="E200" s="742" t="s">
        <v>2217</v>
      </c>
      <c r="F200" s="754" t="s">
        <v>2884</v>
      </c>
      <c r="G200" s="759" t="s">
        <v>2885</v>
      </c>
      <c r="H200" s="760" t="s">
        <v>2886</v>
      </c>
      <c r="I200" s="761"/>
      <c r="J200" s="762">
        <v>1</v>
      </c>
      <c r="K200" s="762"/>
      <c r="L200" s="762"/>
      <c r="M200" s="762"/>
      <c r="N200" s="762"/>
      <c r="O200" s="762"/>
      <c r="P200" s="763"/>
      <c r="Q200" s="764">
        <f t="shared" si="2"/>
        <v>1</v>
      </c>
      <c r="R200" s="758" t="s">
        <v>1846</v>
      </c>
      <c r="S200" s="742" t="s">
        <v>1826</v>
      </c>
      <c r="T200" s="765" t="s">
        <v>1827</v>
      </c>
      <c r="U200" s="742" t="s">
        <v>2523</v>
      </c>
      <c r="V200" s="742" t="s">
        <v>321</v>
      </c>
      <c r="W200" s="742" t="s">
        <v>2887</v>
      </c>
      <c r="X200" s="798">
        <v>1</v>
      </c>
      <c r="Y200" s="788" t="s">
        <v>1828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210</v>
      </c>
      <c r="BM200" s="754" t="s">
        <v>210</v>
      </c>
      <c r="BN200" s="754" t="s">
        <v>210</v>
      </c>
      <c r="BO200" s="754" t="s">
        <v>210</v>
      </c>
      <c r="BP200" s="765" t="s">
        <v>210</v>
      </c>
      <c r="BQ200" s="777" t="s">
        <v>2260</v>
      </c>
      <c r="BR200" s="769" t="s">
        <v>2260</v>
      </c>
      <c r="BS200" s="769" t="s">
        <v>2260</v>
      </c>
      <c r="BT200" s="769" t="s">
        <v>2260</v>
      </c>
      <c r="BU200" s="774" t="s">
        <v>2260</v>
      </c>
      <c r="BV200" s="777">
        <v>70</v>
      </c>
      <c r="BW200" s="769">
        <v>70</v>
      </c>
      <c r="BX200" s="769">
        <v>70</v>
      </c>
      <c r="BY200" s="769">
        <v>70</v>
      </c>
      <c r="BZ200" s="769">
        <v>70</v>
      </c>
      <c r="CA200" s="786" t="s">
        <v>2260</v>
      </c>
      <c r="CB200" s="769" t="s">
        <v>2260</v>
      </c>
      <c r="CC200" s="769" t="s">
        <v>2260</v>
      </c>
      <c r="CD200" s="769" t="s">
        <v>2260</v>
      </c>
      <c r="CE200" s="774" t="s">
        <v>2260</v>
      </c>
      <c r="CF200" s="769" t="s">
        <v>2260</v>
      </c>
      <c r="CG200" s="769" t="s">
        <v>2260</v>
      </c>
      <c r="CH200" s="769" t="s">
        <v>2260</v>
      </c>
      <c r="CI200" s="769" t="s">
        <v>2260</v>
      </c>
      <c r="CJ200" s="774" t="s">
        <v>2260</v>
      </c>
      <c r="CK200" s="777" t="s">
        <v>2260</v>
      </c>
      <c r="CL200" s="769" t="s">
        <v>2260</v>
      </c>
      <c r="CM200" s="769" t="s">
        <v>2260</v>
      </c>
      <c r="CN200" s="769" t="s">
        <v>2260</v>
      </c>
      <c r="CO200" s="774" t="s">
        <v>2260</v>
      </c>
      <c r="CP200" s="777" t="s">
        <v>2260</v>
      </c>
      <c r="CQ200" s="769" t="s">
        <v>2260</v>
      </c>
      <c r="CR200" s="769" t="s">
        <v>2260</v>
      </c>
      <c r="CS200" s="769" t="s">
        <v>2260</v>
      </c>
      <c r="CT200" s="774" t="s">
        <v>2260</v>
      </c>
      <c r="CU200" s="1253">
        <v>-9.3999999999999997E-4</v>
      </c>
      <c r="CV200" s="1252" t="s">
        <v>2260</v>
      </c>
      <c r="CW200" s="1252" t="s">
        <v>2260</v>
      </c>
      <c r="CX200" s="1254" t="s">
        <v>2260</v>
      </c>
      <c r="CY200" s="1252" t="s">
        <v>2260</v>
      </c>
      <c r="CZ200" s="1252" t="s">
        <v>2260</v>
      </c>
      <c r="DA200" s="1252" t="s">
        <v>2260</v>
      </c>
      <c r="DB200" s="1254" t="s">
        <v>2260</v>
      </c>
      <c r="DC200" s="754"/>
      <c r="DD200" s="782">
        <v>1</v>
      </c>
      <c r="DE200" s="783"/>
    </row>
    <row r="201" spans="1:109" ht="15.75" hidden="1" customHeight="1">
      <c r="A201" s="741" t="s">
        <v>1269</v>
      </c>
      <c r="B201" s="742">
        <v>195</v>
      </c>
      <c r="C201" s="758" t="s">
        <v>1411</v>
      </c>
      <c r="D201" s="742" t="s">
        <v>2888</v>
      </c>
      <c r="E201" s="742" t="s">
        <v>2231</v>
      </c>
      <c r="F201" s="754" t="s">
        <v>2889</v>
      </c>
      <c r="G201" s="759" t="s">
        <v>2890</v>
      </c>
      <c r="H201" s="760" t="s">
        <v>2891</v>
      </c>
      <c r="I201" s="761"/>
      <c r="J201" s="762"/>
      <c r="K201" s="762"/>
      <c r="L201" s="762"/>
      <c r="M201" s="762">
        <v>1</v>
      </c>
      <c r="N201" s="762"/>
      <c r="O201" s="762"/>
      <c r="P201" s="763"/>
      <c r="Q201" s="764">
        <f t="shared" ref="Q201:Q264" si="3">SUM(I201:P201)</f>
        <v>1</v>
      </c>
      <c r="R201" s="758" t="s">
        <v>1852</v>
      </c>
      <c r="S201" s="742" t="s">
        <v>1826</v>
      </c>
      <c r="T201" s="765" t="s">
        <v>1827</v>
      </c>
      <c r="U201" s="742" t="s">
        <v>2892</v>
      </c>
      <c r="V201" s="742" t="s">
        <v>321</v>
      </c>
      <c r="W201" s="742" t="s">
        <v>2634</v>
      </c>
      <c r="X201" s="1243">
        <v>2</v>
      </c>
      <c r="Y201" s="788" t="s">
        <v>1838</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210</v>
      </c>
      <c r="BM201" s="754" t="s">
        <v>210</v>
      </c>
      <c r="BN201" s="754" t="s">
        <v>210</v>
      </c>
      <c r="BO201" s="754" t="s">
        <v>210</v>
      </c>
      <c r="BP201" s="765" t="s">
        <v>210</v>
      </c>
      <c r="BQ201" s="777" t="s">
        <v>2260</v>
      </c>
      <c r="BR201" s="769" t="s">
        <v>2260</v>
      </c>
      <c r="BS201" s="769" t="s">
        <v>2260</v>
      </c>
      <c r="BT201" s="769" t="s">
        <v>2260</v>
      </c>
      <c r="BU201" s="774" t="s">
        <v>2260</v>
      </c>
      <c r="BV201" s="775">
        <v>2.62</v>
      </c>
      <c r="BW201" s="776">
        <v>2.62</v>
      </c>
      <c r="BX201" s="776">
        <v>2.62</v>
      </c>
      <c r="BY201" s="776">
        <v>2.62</v>
      </c>
      <c r="BZ201" s="776">
        <v>2.62</v>
      </c>
      <c r="CA201" s="777" t="s">
        <v>2260</v>
      </c>
      <c r="CB201" s="769" t="s">
        <v>2260</v>
      </c>
      <c r="CC201" s="769" t="s">
        <v>2260</v>
      </c>
      <c r="CD201" s="769" t="s">
        <v>2260</v>
      </c>
      <c r="CE201" s="774" t="s">
        <v>2260</v>
      </c>
      <c r="CF201" s="779" t="s">
        <v>2260</v>
      </c>
      <c r="CG201" s="779" t="s">
        <v>2260</v>
      </c>
      <c r="CH201" s="779" t="s">
        <v>2260</v>
      </c>
      <c r="CI201" s="779" t="s">
        <v>2260</v>
      </c>
      <c r="CJ201" s="780" t="s">
        <v>2260</v>
      </c>
      <c r="CK201" s="777">
        <v>1.5</v>
      </c>
      <c r="CL201" s="769">
        <v>1.5</v>
      </c>
      <c r="CM201" s="769">
        <v>1.5</v>
      </c>
      <c r="CN201" s="769">
        <v>1.5</v>
      </c>
      <c r="CO201" s="774">
        <v>1.5</v>
      </c>
      <c r="CP201" s="777" t="s">
        <v>2260</v>
      </c>
      <c r="CQ201" s="769" t="s">
        <v>2260</v>
      </c>
      <c r="CR201" s="769" t="s">
        <v>2260</v>
      </c>
      <c r="CS201" s="769" t="s">
        <v>2260</v>
      </c>
      <c r="CT201" s="774" t="s">
        <v>2260</v>
      </c>
      <c r="CU201" s="1253">
        <v>-0.14000000000000001</v>
      </c>
      <c r="CV201" s="1252" t="s">
        <v>2260</v>
      </c>
      <c r="CW201" s="1252" t="s">
        <v>2260</v>
      </c>
      <c r="CX201" s="1254" t="s">
        <v>2260</v>
      </c>
      <c r="CY201" s="1252">
        <v>0.14000000000000001</v>
      </c>
      <c r="CZ201" s="1252" t="s">
        <v>2260</v>
      </c>
      <c r="DA201" s="1252" t="s">
        <v>2260</v>
      </c>
      <c r="DB201" s="1254" t="s">
        <v>2260</v>
      </c>
      <c r="DC201" s="754"/>
      <c r="DD201" s="782">
        <v>1</v>
      </c>
      <c r="DE201" s="783"/>
    </row>
    <row r="202" spans="1:109" ht="15.75" hidden="1" customHeight="1">
      <c r="A202" s="741" t="s">
        <v>1269</v>
      </c>
      <c r="B202" s="742">
        <v>196</v>
      </c>
      <c r="C202" s="758" t="s">
        <v>1427</v>
      </c>
      <c r="D202" s="742" t="s">
        <v>2888</v>
      </c>
      <c r="E202" s="742" t="s">
        <v>2231</v>
      </c>
      <c r="F202" s="754" t="s">
        <v>2893</v>
      </c>
      <c r="G202" s="759" t="s">
        <v>2894</v>
      </c>
      <c r="H202" s="760" t="s">
        <v>2895</v>
      </c>
      <c r="I202" s="761"/>
      <c r="J202" s="762"/>
      <c r="K202" s="762"/>
      <c r="L202" s="762"/>
      <c r="M202" s="762">
        <v>1</v>
      </c>
      <c r="N202" s="762"/>
      <c r="O202" s="762"/>
      <c r="P202" s="763"/>
      <c r="Q202" s="764">
        <f t="shared" si="3"/>
        <v>1</v>
      </c>
      <c r="R202" s="758" t="s">
        <v>1846</v>
      </c>
      <c r="S202" s="742" t="s">
        <v>1826</v>
      </c>
      <c r="T202" s="765" t="s">
        <v>1827</v>
      </c>
      <c r="U202" s="742" t="s">
        <v>2329</v>
      </c>
      <c r="V202" s="742" t="s">
        <v>1857</v>
      </c>
      <c r="W202" s="742" t="s">
        <v>2896</v>
      </c>
      <c r="X202" s="798">
        <v>0</v>
      </c>
      <c r="Y202" s="790" t="s">
        <v>1828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210</v>
      </c>
      <c r="BM202" s="754" t="s">
        <v>210</v>
      </c>
      <c r="BN202" s="754" t="s">
        <v>210</v>
      </c>
      <c r="BO202" s="754" t="s">
        <v>210</v>
      </c>
      <c r="BP202" s="765" t="s">
        <v>210</v>
      </c>
      <c r="BQ202" s="777" t="s">
        <v>2260</v>
      </c>
      <c r="BR202" s="769" t="s">
        <v>2260</v>
      </c>
      <c r="BS202" s="769" t="s">
        <v>2260</v>
      </c>
      <c r="BT202" s="769" t="s">
        <v>2260</v>
      </c>
      <c r="BU202" s="774" t="s">
        <v>2260</v>
      </c>
      <c r="BV202" s="777" t="s">
        <v>2260</v>
      </c>
      <c r="BW202" s="769" t="s">
        <v>2260</v>
      </c>
      <c r="BX202" s="769" t="s">
        <v>2260</v>
      </c>
      <c r="BY202" s="769" t="s">
        <v>2260</v>
      </c>
      <c r="BZ202" s="769" t="s">
        <v>2260</v>
      </c>
      <c r="CA202" s="777" t="s">
        <v>2260</v>
      </c>
      <c r="CB202" s="769" t="s">
        <v>2260</v>
      </c>
      <c r="CC202" s="769" t="s">
        <v>2260</v>
      </c>
      <c r="CD202" s="769" t="s">
        <v>2260</v>
      </c>
      <c r="CE202" s="774" t="s">
        <v>2260</v>
      </c>
      <c r="CF202" s="769" t="s">
        <v>2260</v>
      </c>
      <c r="CG202" s="769" t="s">
        <v>2260</v>
      </c>
      <c r="CH202" s="769" t="s">
        <v>2260</v>
      </c>
      <c r="CI202" s="769" t="s">
        <v>2260</v>
      </c>
      <c r="CJ202" s="774" t="s">
        <v>2260</v>
      </c>
      <c r="CK202" s="777" t="s">
        <v>2260</v>
      </c>
      <c r="CL202" s="769" t="s">
        <v>2260</v>
      </c>
      <c r="CM202" s="769" t="s">
        <v>2260</v>
      </c>
      <c r="CN202" s="769" t="s">
        <v>2260</v>
      </c>
      <c r="CO202" s="774" t="s">
        <v>2260</v>
      </c>
      <c r="CP202" s="777" t="s">
        <v>2260</v>
      </c>
      <c r="CQ202" s="769" t="s">
        <v>2260</v>
      </c>
      <c r="CR202" s="769" t="s">
        <v>2260</v>
      </c>
      <c r="CS202" s="769" t="s">
        <v>2260</v>
      </c>
      <c r="CT202" s="774" t="s">
        <v>2260</v>
      </c>
      <c r="CU202" s="1253">
        <v>-2.0999999999999999E-5</v>
      </c>
      <c r="CV202" s="1252" t="s">
        <v>2260</v>
      </c>
      <c r="CW202" s="1252" t="s">
        <v>2260</v>
      </c>
      <c r="CX202" s="1254" t="s">
        <v>2260</v>
      </c>
      <c r="CY202" s="1252" t="s">
        <v>2260</v>
      </c>
      <c r="CZ202" s="1252" t="s">
        <v>2260</v>
      </c>
      <c r="DA202" s="1252" t="s">
        <v>2260</v>
      </c>
      <c r="DB202" s="1254" t="s">
        <v>2260</v>
      </c>
      <c r="DC202" s="754"/>
      <c r="DD202" s="782">
        <v>1</v>
      </c>
      <c r="DE202" s="783"/>
    </row>
    <row r="203" spans="1:109" ht="15.75" hidden="1" customHeight="1">
      <c r="A203" s="741" t="s">
        <v>1269</v>
      </c>
      <c r="B203" s="742">
        <v>197</v>
      </c>
      <c r="C203" s="758" t="s">
        <v>1764</v>
      </c>
      <c r="D203" s="742" t="s">
        <v>2888</v>
      </c>
      <c r="E203" s="742" t="s">
        <v>2231</v>
      </c>
      <c r="F203" s="754" t="s">
        <v>2897</v>
      </c>
      <c r="G203" s="759" t="s">
        <v>2251</v>
      </c>
      <c r="H203" s="760" t="s">
        <v>2898</v>
      </c>
      <c r="I203" s="761"/>
      <c r="J203" s="762"/>
      <c r="K203" s="762"/>
      <c r="L203" s="762"/>
      <c r="M203" s="762">
        <v>1</v>
      </c>
      <c r="N203" s="762"/>
      <c r="O203" s="762"/>
      <c r="P203" s="763"/>
      <c r="Q203" s="764">
        <f t="shared" si="3"/>
        <v>1</v>
      </c>
      <c r="R203" s="758" t="s">
        <v>1852</v>
      </c>
      <c r="S203" s="742" t="s">
        <v>1826</v>
      </c>
      <c r="T203" s="765" t="s">
        <v>1827</v>
      </c>
      <c r="U203" s="742" t="s">
        <v>1888</v>
      </c>
      <c r="V203" s="742" t="s">
        <v>1897</v>
      </c>
      <c r="W203" s="742" t="s">
        <v>2899</v>
      </c>
      <c r="X203" s="1243">
        <v>2</v>
      </c>
      <c r="Y203" s="788" t="s">
        <v>1828</v>
      </c>
      <c r="Z203" s="759" t="s">
        <v>2251</v>
      </c>
      <c r="AA203" s="754"/>
      <c r="AB203" s="754"/>
      <c r="AC203" s="754"/>
      <c r="AD203" s="754"/>
      <c r="AE203" s="754"/>
      <c r="AF203" s="768"/>
      <c r="AG203" s="769"/>
      <c r="AH203" s="769"/>
      <c r="AI203" s="769"/>
      <c r="AJ203" s="769"/>
      <c r="AK203" s="769"/>
      <c r="AL203" s="769"/>
      <c r="AM203" s="769"/>
      <c r="AN203" s="769"/>
      <c r="AO203" s="769"/>
      <c r="AP203" s="769"/>
      <c r="AQ203" s="1369"/>
      <c r="AR203" s="1319"/>
      <c r="AS203" s="1319"/>
      <c r="AT203" s="1319"/>
      <c r="AU203" s="1320"/>
      <c r="AV203" s="777"/>
      <c r="AW203" s="769"/>
      <c r="AX203" s="769"/>
      <c r="AY203" s="769"/>
      <c r="AZ203" s="769"/>
      <c r="BA203" s="769"/>
      <c r="BB203" s="769"/>
      <c r="BC203" s="769"/>
      <c r="BD203" s="769"/>
      <c r="BE203" s="769"/>
      <c r="BF203" s="769"/>
      <c r="BG203" s="769"/>
      <c r="BH203" s="769"/>
      <c r="BI203" s="769"/>
      <c r="BJ203" s="769"/>
      <c r="BK203" s="774"/>
      <c r="BL203" s="1327"/>
      <c r="BM203" s="1328"/>
      <c r="BN203" s="1328"/>
      <c r="BO203" s="1328"/>
      <c r="BP203" s="1389"/>
      <c r="BQ203" s="1369"/>
      <c r="BR203" s="1319"/>
      <c r="BS203" s="1319"/>
      <c r="BT203" s="1319"/>
      <c r="BU203" s="1320"/>
      <c r="BV203" s="1369"/>
      <c r="BW203" s="1319"/>
      <c r="BX203" s="1319"/>
      <c r="BY203" s="1319"/>
      <c r="BZ203" s="1319"/>
      <c r="CA203" s="1369"/>
      <c r="CB203" s="1319"/>
      <c r="CC203" s="1319"/>
      <c r="CD203" s="1319"/>
      <c r="CE203" s="1320"/>
      <c r="CF203" s="1319"/>
      <c r="CG203" s="1319"/>
      <c r="CH203" s="1319"/>
      <c r="CI203" s="1319"/>
      <c r="CJ203" s="1320"/>
      <c r="CK203" s="1369"/>
      <c r="CL203" s="1319"/>
      <c r="CM203" s="1319"/>
      <c r="CN203" s="1319"/>
      <c r="CO203" s="1320"/>
      <c r="CP203" s="1369"/>
      <c r="CQ203" s="1319"/>
      <c r="CR203" s="1319"/>
      <c r="CS203" s="1319"/>
      <c r="CT203" s="1320"/>
      <c r="CU203" s="1467"/>
      <c r="CV203" s="1458"/>
      <c r="CW203" s="1458"/>
      <c r="CX203" s="1663"/>
      <c r="CY203" s="1458"/>
      <c r="CZ203" s="1458"/>
      <c r="DA203" s="1458"/>
      <c r="DB203" s="1663"/>
      <c r="DC203" s="1328"/>
      <c r="DD203" s="1664"/>
      <c r="DE203" s="1669"/>
    </row>
    <row r="204" spans="1:109" ht="15.75" hidden="1" customHeight="1">
      <c r="A204" s="741" t="s">
        <v>1269</v>
      </c>
      <c r="B204" s="742">
        <v>198</v>
      </c>
      <c r="C204" s="758" t="s">
        <v>1781</v>
      </c>
      <c r="D204" s="742" t="s">
        <v>2888</v>
      </c>
      <c r="E204" s="742" t="s">
        <v>2231</v>
      </c>
      <c r="F204" s="754" t="s">
        <v>2900</v>
      </c>
      <c r="G204" s="759" t="s">
        <v>2254</v>
      </c>
      <c r="H204" s="760" t="s">
        <v>2901</v>
      </c>
      <c r="I204" s="761"/>
      <c r="J204" s="762">
        <v>1</v>
      </c>
      <c r="K204" s="762"/>
      <c r="L204" s="762"/>
      <c r="M204" s="762"/>
      <c r="N204" s="762"/>
      <c r="O204" s="762"/>
      <c r="P204" s="763"/>
      <c r="Q204" s="764">
        <f t="shared" si="3"/>
        <v>1</v>
      </c>
      <c r="R204" s="758" t="s">
        <v>1852</v>
      </c>
      <c r="S204" s="742" t="s">
        <v>1826</v>
      </c>
      <c r="T204" s="765" t="s">
        <v>1827</v>
      </c>
      <c r="U204" s="742" t="s">
        <v>1891</v>
      </c>
      <c r="V204" s="742" t="s">
        <v>1897</v>
      </c>
      <c r="W204" s="742" t="s">
        <v>2902</v>
      </c>
      <c r="X204" s="1243">
        <v>2</v>
      </c>
      <c r="Y204" s="791" t="s">
        <v>1828</v>
      </c>
      <c r="Z204" s="759" t="s">
        <v>2254</v>
      </c>
      <c r="AA204" s="754"/>
      <c r="AB204" s="754"/>
      <c r="AC204" s="754"/>
      <c r="AD204" s="754"/>
      <c r="AE204" s="754"/>
      <c r="AF204" s="768"/>
      <c r="AG204" s="769"/>
      <c r="AH204" s="769"/>
      <c r="AI204" s="769"/>
      <c r="AJ204" s="769"/>
      <c r="AK204" s="769"/>
      <c r="AL204" s="769"/>
      <c r="AM204" s="769"/>
      <c r="AN204" s="769"/>
      <c r="AO204" s="769"/>
      <c r="AP204" s="769"/>
      <c r="AQ204" s="1369"/>
      <c r="AR204" s="1319"/>
      <c r="AS204" s="1319"/>
      <c r="AT204" s="1319"/>
      <c r="AU204" s="1320"/>
      <c r="AV204" s="777"/>
      <c r="AW204" s="769"/>
      <c r="AX204" s="769"/>
      <c r="AY204" s="769"/>
      <c r="AZ204" s="769"/>
      <c r="BA204" s="769"/>
      <c r="BB204" s="769"/>
      <c r="BC204" s="769"/>
      <c r="BD204" s="769"/>
      <c r="BE204" s="769"/>
      <c r="BF204" s="769"/>
      <c r="BG204" s="769"/>
      <c r="BH204" s="769"/>
      <c r="BI204" s="769"/>
      <c r="BJ204" s="769"/>
      <c r="BK204" s="774"/>
      <c r="BL204" s="1327"/>
      <c r="BM204" s="1328"/>
      <c r="BN204" s="1328"/>
      <c r="BO204" s="1328"/>
      <c r="BP204" s="1389"/>
      <c r="BQ204" s="1369"/>
      <c r="BR204" s="1319"/>
      <c r="BS204" s="1319"/>
      <c r="BT204" s="1319"/>
      <c r="BU204" s="1320"/>
      <c r="BV204" s="1369"/>
      <c r="BW204" s="1319"/>
      <c r="BX204" s="1319"/>
      <c r="BY204" s="1319"/>
      <c r="BZ204" s="1319"/>
      <c r="CA204" s="1369"/>
      <c r="CB204" s="1319"/>
      <c r="CC204" s="1319"/>
      <c r="CD204" s="1319"/>
      <c r="CE204" s="1320"/>
      <c r="CF204" s="1319"/>
      <c r="CG204" s="1319"/>
      <c r="CH204" s="1319"/>
      <c r="CI204" s="1319"/>
      <c r="CJ204" s="1320"/>
      <c r="CK204" s="1369"/>
      <c r="CL204" s="1319"/>
      <c r="CM204" s="1319"/>
      <c r="CN204" s="1319"/>
      <c r="CO204" s="1320"/>
      <c r="CP204" s="1369"/>
      <c r="CQ204" s="1319"/>
      <c r="CR204" s="1319"/>
      <c r="CS204" s="1319"/>
      <c r="CT204" s="1320"/>
      <c r="CU204" s="1467"/>
      <c r="CV204" s="1458"/>
      <c r="CW204" s="1458"/>
      <c r="CX204" s="1663"/>
      <c r="CY204" s="1458"/>
      <c r="CZ204" s="1458"/>
      <c r="DA204" s="1458"/>
      <c r="DB204" s="1663"/>
      <c r="DC204" s="1328"/>
      <c r="DD204" s="1664"/>
      <c r="DE204" s="1669"/>
    </row>
    <row r="205" spans="1:109" ht="15.75" hidden="1" customHeight="1">
      <c r="A205" s="741" t="s">
        <v>1269</v>
      </c>
      <c r="B205" s="742">
        <v>199</v>
      </c>
      <c r="C205" s="758" t="s">
        <v>1592</v>
      </c>
      <c r="D205" s="742" t="s">
        <v>2849</v>
      </c>
      <c r="E205" s="742" t="s">
        <v>2231</v>
      </c>
      <c r="F205" s="754" t="s">
        <v>2903</v>
      </c>
      <c r="G205" s="759" t="s">
        <v>2904</v>
      </c>
      <c r="H205" s="760" t="s">
        <v>2905</v>
      </c>
      <c r="I205" s="761"/>
      <c r="J205" s="762">
        <v>1</v>
      </c>
      <c r="K205" s="762"/>
      <c r="L205" s="762"/>
      <c r="M205" s="762"/>
      <c r="N205" s="762"/>
      <c r="O205" s="762"/>
      <c r="P205" s="763"/>
      <c r="Q205" s="764">
        <f t="shared" si="3"/>
        <v>1</v>
      </c>
      <c r="R205" s="758" t="s">
        <v>1825</v>
      </c>
      <c r="S205" s="742"/>
      <c r="T205" s="765"/>
      <c r="U205" s="742" t="s">
        <v>2234</v>
      </c>
      <c r="V205" s="742" t="s">
        <v>321</v>
      </c>
      <c r="W205" s="742" t="s">
        <v>2906</v>
      </c>
      <c r="X205" s="798">
        <v>0</v>
      </c>
      <c r="Y205" s="795" t="s">
        <v>1838</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2260</v>
      </c>
      <c r="BR205" s="769" t="s">
        <v>2260</v>
      </c>
      <c r="BS205" s="769" t="s">
        <v>2260</v>
      </c>
      <c r="BT205" s="769" t="s">
        <v>2260</v>
      </c>
      <c r="BU205" s="774" t="s">
        <v>2260</v>
      </c>
      <c r="BV205" s="777" t="s">
        <v>2260</v>
      </c>
      <c r="BW205" s="769" t="s">
        <v>2260</v>
      </c>
      <c r="BX205" s="769" t="s">
        <v>2260</v>
      </c>
      <c r="BY205" s="769" t="s">
        <v>2260</v>
      </c>
      <c r="BZ205" s="769" t="s">
        <v>2260</v>
      </c>
      <c r="CA205" s="777" t="s">
        <v>2260</v>
      </c>
      <c r="CB205" s="769" t="s">
        <v>2260</v>
      </c>
      <c r="CC205" s="769" t="s">
        <v>2260</v>
      </c>
      <c r="CD205" s="769" t="s">
        <v>2260</v>
      </c>
      <c r="CE205" s="774" t="s">
        <v>2260</v>
      </c>
      <c r="CF205" s="769" t="s">
        <v>2260</v>
      </c>
      <c r="CG205" s="769" t="s">
        <v>2260</v>
      </c>
      <c r="CH205" s="769" t="s">
        <v>2260</v>
      </c>
      <c r="CI205" s="769" t="s">
        <v>2260</v>
      </c>
      <c r="CJ205" s="774" t="s">
        <v>2260</v>
      </c>
      <c r="CK205" s="777" t="s">
        <v>2260</v>
      </c>
      <c r="CL205" s="769" t="s">
        <v>2260</v>
      </c>
      <c r="CM205" s="769" t="s">
        <v>2260</v>
      </c>
      <c r="CN205" s="769" t="s">
        <v>2260</v>
      </c>
      <c r="CO205" s="774" t="s">
        <v>2260</v>
      </c>
      <c r="CP205" s="777" t="s">
        <v>2260</v>
      </c>
      <c r="CQ205" s="769" t="s">
        <v>2260</v>
      </c>
      <c r="CR205" s="769" t="s">
        <v>2260</v>
      </c>
      <c r="CS205" s="769" t="s">
        <v>2260</v>
      </c>
      <c r="CT205" s="774" t="s">
        <v>2260</v>
      </c>
      <c r="CU205" s="1253" t="s">
        <v>2260</v>
      </c>
      <c r="CV205" s="1252" t="s">
        <v>2260</v>
      </c>
      <c r="CW205" s="1252" t="s">
        <v>2260</v>
      </c>
      <c r="CX205" s="1254" t="s">
        <v>2260</v>
      </c>
      <c r="CY205" s="1252" t="s">
        <v>2260</v>
      </c>
      <c r="CZ205" s="1252" t="s">
        <v>2260</v>
      </c>
      <c r="DA205" s="1252" t="s">
        <v>2260</v>
      </c>
      <c r="DB205" s="1254" t="s">
        <v>2260</v>
      </c>
      <c r="DC205" s="754"/>
      <c r="DD205" s="782">
        <v>1</v>
      </c>
      <c r="DE205" s="783"/>
    </row>
    <row r="206" spans="1:109" ht="15.75" hidden="1" customHeight="1">
      <c r="A206" s="741" t="s">
        <v>1269</v>
      </c>
      <c r="B206" s="742">
        <v>200</v>
      </c>
      <c r="C206" s="758" t="s">
        <v>1168</v>
      </c>
      <c r="D206" s="742" t="s">
        <v>2849</v>
      </c>
      <c r="E206" s="742" t="s">
        <v>2231</v>
      </c>
      <c r="F206" s="754" t="s">
        <v>2907</v>
      </c>
      <c r="G206" s="759" t="s">
        <v>567</v>
      </c>
      <c r="H206" s="760" t="s">
        <v>2908</v>
      </c>
      <c r="I206" s="761">
        <v>1</v>
      </c>
      <c r="J206" s="762"/>
      <c r="K206" s="762"/>
      <c r="L206" s="762"/>
      <c r="M206" s="762"/>
      <c r="N206" s="762"/>
      <c r="O206" s="762"/>
      <c r="P206" s="763"/>
      <c r="Q206" s="764">
        <f t="shared" si="3"/>
        <v>1</v>
      </c>
      <c r="R206" s="758" t="s">
        <v>1825</v>
      </c>
      <c r="S206" s="742"/>
      <c r="T206" s="765"/>
      <c r="U206" s="742" t="s">
        <v>2234</v>
      </c>
      <c r="V206" s="742" t="s">
        <v>321</v>
      </c>
      <c r="W206" s="742" t="s">
        <v>2909</v>
      </c>
      <c r="X206" s="798">
        <v>1</v>
      </c>
      <c r="Y206" s="790" t="s">
        <v>1838</v>
      </c>
      <c r="Z206" s="759" t="s">
        <v>567</v>
      </c>
      <c r="AA206" s="754"/>
      <c r="AB206" s="754"/>
      <c r="AC206" s="754"/>
      <c r="AD206" s="754"/>
      <c r="AE206" s="754"/>
      <c r="AF206" s="768"/>
      <c r="AG206" s="769"/>
      <c r="AH206" s="769"/>
      <c r="AI206" s="769"/>
      <c r="AJ206" s="769"/>
      <c r="AK206" s="785"/>
      <c r="AL206" s="785"/>
      <c r="AM206" s="785"/>
      <c r="AN206" s="785"/>
      <c r="AO206" s="785"/>
      <c r="AP206" s="785"/>
      <c r="AQ206" s="1685"/>
      <c r="AR206" s="1686"/>
      <c r="AS206" s="1686"/>
      <c r="AT206" s="1686"/>
      <c r="AU206" s="1687"/>
      <c r="AV206" s="786"/>
      <c r="AW206" s="785"/>
      <c r="AX206" s="785"/>
      <c r="AY206" s="785"/>
      <c r="AZ206" s="785"/>
      <c r="BA206" s="785"/>
      <c r="BB206" s="785"/>
      <c r="BC206" s="785"/>
      <c r="BD206" s="785"/>
      <c r="BE206" s="785"/>
      <c r="BF206" s="785"/>
      <c r="BG206" s="785"/>
      <c r="BH206" s="785"/>
      <c r="BI206" s="785"/>
      <c r="BJ206" s="785"/>
      <c r="BK206" s="787"/>
      <c r="BL206" s="1327"/>
      <c r="BM206" s="1328"/>
      <c r="BN206" s="1328"/>
      <c r="BO206" s="1328"/>
      <c r="BP206" s="1389"/>
      <c r="BQ206" s="1369"/>
      <c r="BR206" s="1319"/>
      <c r="BS206" s="1319"/>
      <c r="BT206" s="1319"/>
      <c r="BU206" s="1320"/>
      <c r="BV206" s="1369"/>
      <c r="BW206" s="1319"/>
      <c r="BX206" s="1319"/>
      <c r="BY206" s="1319"/>
      <c r="BZ206" s="1319"/>
      <c r="CA206" s="1369"/>
      <c r="CB206" s="1319"/>
      <c r="CC206" s="1319"/>
      <c r="CD206" s="1319"/>
      <c r="CE206" s="1320"/>
      <c r="CF206" s="1319"/>
      <c r="CG206" s="1319"/>
      <c r="CH206" s="1319"/>
      <c r="CI206" s="1319"/>
      <c r="CJ206" s="1320"/>
      <c r="CK206" s="1369"/>
      <c r="CL206" s="1319"/>
      <c r="CM206" s="1319"/>
      <c r="CN206" s="1319"/>
      <c r="CO206" s="1320"/>
      <c r="CP206" s="1369"/>
      <c r="CQ206" s="1319"/>
      <c r="CR206" s="1319"/>
      <c r="CS206" s="1319"/>
      <c r="CT206" s="1320"/>
      <c r="CU206" s="1467"/>
      <c r="CV206" s="1458"/>
      <c r="CW206" s="1458"/>
      <c r="CX206" s="1663"/>
      <c r="CY206" s="1458"/>
      <c r="CZ206" s="1458"/>
      <c r="DA206" s="1458"/>
      <c r="DB206" s="1663"/>
      <c r="DC206" s="1328"/>
      <c r="DD206" s="1664"/>
      <c r="DE206" s="1669"/>
    </row>
    <row r="207" spans="1:109" ht="15.75" hidden="1" customHeight="1">
      <c r="A207" s="741" t="s">
        <v>1269</v>
      </c>
      <c r="B207" s="742">
        <v>201</v>
      </c>
      <c r="C207" s="758" t="s">
        <v>1609</v>
      </c>
      <c r="D207" s="742" t="s">
        <v>2849</v>
      </c>
      <c r="E207" s="742" t="s">
        <v>2223</v>
      </c>
      <c r="F207" s="754" t="s">
        <v>2910</v>
      </c>
      <c r="G207" s="759" t="s">
        <v>2911</v>
      </c>
      <c r="H207" s="760" t="s">
        <v>2912</v>
      </c>
      <c r="I207" s="761">
        <v>1</v>
      </c>
      <c r="J207" s="762"/>
      <c r="K207" s="762"/>
      <c r="L207" s="762"/>
      <c r="M207" s="762"/>
      <c r="N207" s="762"/>
      <c r="O207" s="762"/>
      <c r="P207" s="763"/>
      <c r="Q207" s="764">
        <f t="shared" si="3"/>
        <v>1</v>
      </c>
      <c r="R207" s="758" t="s">
        <v>1825</v>
      </c>
      <c r="S207" s="742"/>
      <c r="T207" s="765"/>
      <c r="U207" s="742" t="s">
        <v>2234</v>
      </c>
      <c r="V207" s="742" t="s">
        <v>1857</v>
      </c>
      <c r="W207" s="742" t="s">
        <v>2913</v>
      </c>
      <c r="X207" s="798">
        <v>0</v>
      </c>
      <c r="Y207" s="795" t="s">
        <v>1838</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2260</v>
      </c>
      <c r="BR207" s="769" t="s">
        <v>2260</v>
      </c>
      <c r="BS207" s="769" t="s">
        <v>2260</v>
      </c>
      <c r="BT207" s="769" t="s">
        <v>2260</v>
      </c>
      <c r="BU207" s="774" t="s">
        <v>2260</v>
      </c>
      <c r="BV207" s="777" t="s">
        <v>2260</v>
      </c>
      <c r="BW207" s="769" t="s">
        <v>2260</v>
      </c>
      <c r="BX207" s="769" t="s">
        <v>2260</v>
      </c>
      <c r="BY207" s="769" t="s">
        <v>2260</v>
      </c>
      <c r="BZ207" s="769" t="s">
        <v>2260</v>
      </c>
      <c r="CA207" s="777" t="s">
        <v>2260</v>
      </c>
      <c r="CB207" s="769" t="s">
        <v>2260</v>
      </c>
      <c r="CC207" s="769" t="s">
        <v>2260</v>
      </c>
      <c r="CD207" s="769" t="s">
        <v>2260</v>
      </c>
      <c r="CE207" s="774" t="s">
        <v>2260</v>
      </c>
      <c r="CF207" s="769" t="s">
        <v>2260</v>
      </c>
      <c r="CG207" s="769" t="s">
        <v>2260</v>
      </c>
      <c r="CH207" s="769" t="s">
        <v>2260</v>
      </c>
      <c r="CI207" s="769" t="s">
        <v>2260</v>
      </c>
      <c r="CJ207" s="774" t="s">
        <v>2260</v>
      </c>
      <c r="CK207" s="777" t="s">
        <v>2260</v>
      </c>
      <c r="CL207" s="769" t="s">
        <v>2260</v>
      </c>
      <c r="CM207" s="769" t="s">
        <v>2260</v>
      </c>
      <c r="CN207" s="769" t="s">
        <v>2260</v>
      </c>
      <c r="CO207" s="774" t="s">
        <v>2260</v>
      </c>
      <c r="CP207" s="777" t="s">
        <v>2260</v>
      </c>
      <c r="CQ207" s="769" t="s">
        <v>2260</v>
      </c>
      <c r="CR207" s="769" t="s">
        <v>2260</v>
      </c>
      <c r="CS207" s="769" t="s">
        <v>2260</v>
      </c>
      <c r="CT207" s="774" t="s">
        <v>2260</v>
      </c>
      <c r="CU207" s="1253" t="s">
        <v>2260</v>
      </c>
      <c r="CV207" s="1252" t="s">
        <v>2260</v>
      </c>
      <c r="CW207" s="1252" t="s">
        <v>2260</v>
      </c>
      <c r="CX207" s="1254" t="s">
        <v>2260</v>
      </c>
      <c r="CY207" s="1252" t="s">
        <v>2260</v>
      </c>
      <c r="CZ207" s="1252" t="s">
        <v>2260</v>
      </c>
      <c r="DA207" s="1252" t="s">
        <v>2260</v>
      </c>
      <c r="DB207" s="1254" t="s">
        <v>2260</v>
      </c>
      <c r="DC207" s="754"/>
      <c r="DD207" s="782">
        <v>1</v>
      </c>
      <c r="DE207" s="783"/>
    </row>
    <row r="208" spans="1:109" ht="15.75" hidden="1" customHeight="1">
      <c r="A208" s="741" t="s">
        <v>1269</v>
      </c>
      <c r="B208" s="742">
        <v>202</v>
      </c>
      <c r="C208" s="758" t="s">
        <v>1626</v>
      </c>
      <c r="D208" s="742" t="s">
        <v>2872</v>
      </c>
      <c r="E208" s="742" t="s">
        <v>2217</v>
      </c>
      <c r="F208" s="754" t="s">
        <v>2914</v>
      </c>
      <c r="G208" s="759" t="s">
        <v>2915</v>
      </c>
      <c r="H208" s="760" t="s">
        <v>2916</v>
      </c>
      <c r="I208" s="761"/>
      <c r="J208" s="762">
        <v>1</v>
      </c>
      <c r="K208" s="762"/>
      <c r="L208" s="762"/>
      <c r="M208" s="762"/>
      <c r="N208" s="762"/>
      <c r="O208" s="762"/>
      <c r="P208" s="763"/>
      <c r="Q208" s="764">
        <f t="shared" si="3"/>
        <v>1</v>
      </c>
      <c r="R208" s="758" t="s">
        <v>1825</v>
      </c>
      <c r="S208" s="742"/>
      <c r="T208" s="765"/>
      <c r="U208" s="742" t="s">
        <v>2408</v>
      </c>
      <c r="V208" s="742" t="s">
        <v>321</v>
      </c>
      <c r="W208" s="742" t="s">
        <v>2917</v>
      </c>
      <c r="X208" s="1243">
        <v>1</v>
      </c>
      <c r="Y208" s="790" t="s">
        <v>1838</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2260</v>
      </c>
      <c r="BR208" s="769" t="s">
        <v>2260</v>
      </c>
      <c r="BS208" s="769" t="s">
        <v>2260</v>
      </c>
      <c r="BT208" s="769" t="s">
        <v>2260</v>
      </c>
      <c r="BU208" s="774" t="s">
        <v>2260</v>
      </c>
      <c r="BV208" s="777" t="s">
        <v>2260</v>
      </c>
      <c r="BW208" s="769" t="s">
        <v>2260</v>
      </c>
      <c r="BX208" s="769" t="s">
        <v>2260</v>
      </c>
      <c r="BY208" s="769" t="s">
        <v>2260</v>
      </c>
      <c r="BZ208" s="769" t="s">
        <v>2260</v>
      </c>
      <c r="CA208" s="777" t="s">
        <v>2260</v>
      </c>
      <c r="CB208" s="769" t="s">
        <v>2260</v>
      </c>
      <c r="CC208" s="769" t="s">
        <v>2260</v>
      </c>
      <c r="CD208" s="769" t="s">
        <v>2260</v>
      </c>
      <c r="CE208" s="774" t="s">
        <v>2260</v>
      </c>
      <c r="CF208" s="769" t="s">
        <v>2260</v>
      </c>
      <c r="CG208" s="769" t="s">
        <v>2260</v>
      </c>
      <c r="CH208" s="769" t="s">
        <v>2260</v>
      </c>
      <c r="CI208" s="769" t="s">
        <v>2260</v>
      </c>
      <c r="CJ208" s="769" t="s">
        <v>2260</v>
      </c>
      <c r="CK208" s="777" t="s">
        <v>2260</v>
      </c>
      <c r="CL208" s="769" t="s">
        <v>2260</v>
      </c>
      <c r="CM208" s="769" t="s">
        <v>2260</v>
      </c>
      <c r="CN208" s="769" t="s">
        <v>2260</v>
      </c>
      <c r="CO208" s="774" t="s">
        <v>2260</v>
      </c>
      <c r="CP208" s="777" t="s">
        <v>2260</v>
      </c>
      <c r="CQ208" s="769" t="s">
        <v>2260</v>
      </c>
      <c r="CR208" s="769" t="s">
        <v>2260</v>
      </c>
      <c r="CS208" s="769" t="s">
        <v>2260</v>
      </c>
      <c r="CT208" s="774" t="s">
        <v>2260</v>
      </c>
      <c r="CU208" s="1253" t="s">
        <v>2260</v>
      </c>
      <c r="CV208" s="1252" t="s">
        <v>2260</v>
      </c>
      <c r="CW208" s="1252" t="s">
        <v>2260</v>
      </c>
      <c r="CX208" s="1254" t="s">
        <v>2260</v>
      </c>
      <c r="CY208" s="1252" t="s">
        <v>2260</v>
      </c>
      <c r="CZ208" s="1252" t="s">
        <v>2260</v>
      </c>
      <c r="DA208" s="1252" t="s">
        <v>2260</v>
      </c>
      <c r="DB208" s="1254" t="s">
        <v>2260</v>
      </c>
      <c r="DC208" s="754"/>
      <c r="DD208" s="782">
        <v>1</v>
      </c>
      <c r="DE208" s="783"/>
    </row>
    <row r="209" spans="1:109" ht="15.75" hidden="1" customHeight="1">
      <c r="A209" s="741" t="s">
        <v>1269</v>
      </c>
      <c r="B209" s="742">
        <v>203</v>
      </c>
      <c r="C209" s="758" t="s">
        <v>1643</v>
      </c>
      <c r="D209" s="742" t="s">
        <v>2918</v>
      </c>
      <c r="E209" s="742" t="s">
        <v>2217</v>
      </c>
      <c r="F209" s="754" t="s">
        <v>2919</v>
      </c>
      <c r="G209" s="759" t="s">
        <v>2920</v>
      </c>
      <c r="H209" s="760" t="s">
        <v>2921</v>
      </c>
      <c r="I209" s="761"/>
      <c r="J209" s="762"/>
      <c r="K209" s="762"/>
      <c r="L209" s="762"/>
      <c r="M209" s="762">
        <v>1</v>
      </c>
      <c r="N209" s="762"/>
      <c r="O209" s="762"/>
      <c r="P209" s="763"/>
      <c r="Q209" s="764">
        <f t="shared" si="3"/>
        <v>1</v>
      </c>
      <c r="R209" s="758" t="s">
        <v>1825</v>
      </c>
      <c r="S209" s="742"/>
      <c r="T209" s="765"/>
      <c r="U209" s="742" t="s">
        <v>2329</v>
      </c>
      <c r="V209" s="742" t="s">
        <v>321</v>
      </c>
      <c r="W209" s="742" t="s">
        <v>2922</v>
      </c>
      <c r="X209" s="798">
        <v>0</v>
      </c>
      <c r="Y209" s="788" t="s">
        <v>1828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2260</v>
      </c>
      <c r="BR209" s="769" t="s">
        <v>2260</v>
      </c>
      <c r="BS209" s="769" t="s">
        <v>2260</v>
      </c>
      <c r="BT209" s="769" t="s">
        <v>2260</v>
      </c>
      <c r="BU209" s="774" t="s">
        <v>2260</v>
      </c>
      <c r="BV209" s="777" t="s">
        <v>2260</v>
      </c>
      <c r="BW209" s="769" t="s">
        <v>2260</v>
      </c>
      <c r="BX209" s="769" t="s">
        <v>2260</v>
      </c>
      <c r="BY209" s="769" t="s">
        <v>2260</v>
      </c>
      <c r="BZ209" s="769" t="s">
        <v>2260</v>
      </c>
      <c r="CA209" s="777" t="s">
        <v>2260</v>
      </c>
      <c r="CB209" s="769" t="s">
        <v>2260</v>
      </c>
      <c r="CC209" s="769" t="s">
        <v>2260</v>
      </c>
      <c r="CD209" s="769" t="s">
        <v>2260</v>
      </c>
      <c r="CE209" s="774" t="s">
        <v>2260</v>
      </c>
      <c r="CF209" s="769" t="s">
        <v>2260</v>
      </c>
      <c r="CG209" s="769" t="s">
        <v>2260</v>
      </c>
      <c r="CH209" s="769" t="s">
        <v>2260</v>
      </c>
      <c r="CI209" s="769" t="s">
        <v>2260</v>
      </c>
      <c r="CJ209" s="774" t="s">
        <v>2260</v>
      </c>
      <c r="CK209" s="777" t="s">
        <v>2260</v>
      </c>
      <c r="CL209" s="769" t="s">
        <v>2260</v>
      </c>
      <c r="CM209" s="769" t="s">
        <v>2260</v>
      </c>
      <c r="CN209" s="769" t="s">
        <v>2260</v>
      </c>
      <c r="CO209" s="774" t="s">
        <v>2260</v>
      </c>
      <c r="CP209" s="777" t="s">
        <v>2260</v>
      </c>
      <c r="CQ209" s="769" t="s">
        <v>2260</v>
      </c>
      <c r="CR209" s="769" t="s">
        <v>2260</v>
      </c>
      <c r="CS209" s="769" t="s">
        <v>2260</v>
      </c>
      <c r="CT209" s="774" t="s">
        <v>2260</v>
      </c>
      <c r="CU209" s="1253" t="s">
        <v>2260</v>
      </c>
      <c r="CV209" s="1252" t="s">
        <v>2260</v>
      </c>
      <c r="CW209" s="1252" t="s">
        <v>2260</v>
      </c>
      <c r="CX209" s="1254" t="s">
        <v>2260</v>
      </c>
      <c r="CY209" s="1252" t="s">
        <v>2260</v>
      </c>
      <c r="CZ209" s="1252" t="s">
        <v>2260</v>
      </c>
      <c r="DA209" s="1252" t="s">
        <v>2260</v>
      </c>
      <c r="DB209" s="1254" t="s">
        <v>2260</v>
      </c>
      <c r="DC209" s="754"/>
      <c r="DD209" s="782">
        <v>1</v>
      </c>
      <c r="DE209" s="783"/>
    </row>
    <row r="210" spans="1:109" ht="15.75" hidden="1" customHeight="1">
      <c r="A210" s="741" t="s">
        <v>1269</v>
      </c>
      <c r="B210" s="742">
        <v>204</v>
      </c>
      <c r="C210" s="758" t="s">
        <v>1659</v>
      </c>
      <c r="D210" s="742" t="s">
        <v>2923</v>
      </c>
      <c r="E210" s="742" t="s">
        <v>2223</v>
      </c>
      <c r="F210" s="754" t="s">
        <v>2924</v>
      </c>
      <c r="G210" s="759" t="s">
        <v>2925</v>
      </c>
      <c r="H210" s="760" t="s">
        <v>2926</v>
      </c>
      <c r="I210" s="761"/>
      <c r="J210" s="762">
        <v>1</v>
      </c>
      <c r="K210" s="762"/>
      <c r="L210" s="762"/>
      <c r="M210" s="762"/>
      <c r="N210" s="762"/>
      <c r="O210" s="762"/>
      <c r="P210" s="763"/>
      <c r="Q210" s="764">
        <f t="shared" si="3"/>
        <v>1</v>
      </c>
      <c r="R210" s="758" t="s">
        <v>1825</v>
      </c>
      <c r="S210" s="742"/>
      <c r="T210" s="765"/>
      <c r="U210" s="742" t="s">
        <v>2927</v>
      </c>
      <c r="V210" s="742" t="s">
        <v>1899</v>
      </c>
      <c r="W210" s="742" t="s">
        <v>2928</v>
      </c>
      <c r="X210" s="1246">
        <v>0</v>
      </c>
      <c r="Y210" s="788" t="s">
        <v>1828</v>
      </c>
      <c r="Z210" s="759"/>
      <c r="AA210" s="754"/>
      <c r="AB210" s="754"/>
      <c r="AC210" s="754"/>
      <c r="AD210" s="754"/>
      <c r="AE210" s="754"/>
      <c r="AF210" s="768"/>
      <c r="AG210" s="769"/>
      <c r="AH210" s="769"/>
      <c r="AI210" s="769"/>
      <c r="AJ210" s="769"/>
      <c r="AK210" s="769"/>
      <c r="AL210" s="769"/>
      <c r="AM210" s="769"/>
      <c r="AN210" s="769"/>
      <c r="AO210" s="769"/>
      <c r="AP210" s="769"/>
      <c r="AQ210" s="777" t="s">
        <v>2929</v>
      </c>
      <c r="AR210" s="769" t="s">
        <v>2929</v>
      </c>
      <c r="AS210" s="769" t="s">
        <v>2929</v>
      </c>
      <c r="AT210" s="769" t="s">
        <v>2929</v>
      </c>
      <c r="AU210" s="774" t="s">
        <v>2929</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2260</v>
      </c>
      <c r="BR210" s="769" t="s">
        <v>2260</v>
      </c>
      <c r="BS210" s="769" t="s">
        <v>2260</v>
      </c>
      <c r="BT210" s="769" t="s">
        <v>2260</v>
      </c>
      <c r="BU210" s="774" t="s">
        <v>2260</v>
      </c>
      <c r="BV210" s="777" t="s">
        <v>2260</v>
      </c>
      <c r="BW210" s="769" t="s">
        <v>2260</v>
      </c>
      <c r="BX210" s="769" t="s">
        <v>2260</v>
      </c>
      <c r="BY210" s="769" t="s">
        <v>2260</v>
      </c>
      <c r="BZ210" s="769" t="s">
        <v>2260</v>
      </c>
      <c r="CA210" s="777" t="s">
        <v>2260</v>
      </c>
      <c r="CB210" s="769" t="s">
        <v>2260</v>
      </c>
      <c r="CC210" s="769" t="s">
        <v>2260</v>
      </c>
      <c r="CD210" s="769" t="s">
        <v>2260</v>
      </c>
      <c r="CE210" s="774" t="s">
        <v>2260</v>
      </c>
      <c r="CF210" s="769" t="s">
        <v>2260</v>
      </c>
      <c r="CG210" s="769" t="s">
        <v>2260</v>
      </c>
      <c r="CH210" s="769" t="s">
        <v>2260</v>
      </c>
      <c r="CI210" s="769" t="s">
        <v>2260</v>
      </c>
      <c r="CJ210" s="774" t="s">
        <v>2260</v>
      </c>
      <c r="CK210" s="777" t="s">
        <v>2260</v>
      </c>
      <c r="CL210" s="769" t="s">
        <v>2260</v>
      </c>
      <c r="CM210" s="769" t="s">
        <v>2260</v>
      </c>
      <c r="CN210" s="769" t="s">
        <v>2260</v>
      </c>
      <c r="CO210" s="774" t="s">
        <v>2260</v>
      </c>
      <c r="CP210" s="777" t="s">
        <v>2260</v>
      </c>
      <c r="CQ210" s="769" t="s">
        <v>2260</v>
      </c>
      <c r="CR210" s="769" t="s">
        <v>2260</v>
      </c>
      <c r="CS210" s="769" t="s">
        <v>2260</v>
      </c>
      <c r="CT210" s="774" t="s">
        <v>2260</v>
      </c>
      <c r="CU210" s="1253" t="s">
        <v>2260</v>
      </c>
      <c r="CV210" s="1252" t="s">
        <v>2260</v>
      </c>
      <c r="CW210" s="1252" t="s">
        <v>2260</v>
      </c>
      <c r="CX210" s="1254" t="s">
        <v>2260</v>
      </c>
      <c r="CY210" s="1252" t="s">
        <v>2260</v>
      </c>
      <c r="CZ210" s="1252" t="s">
        <v>2260</v>
      </c>
      <c r="DA210" s="1252" t="s">
        <v>2260</v>
      </c>
      <c r="DB210" s="1254" t="s">
        <v>2260</v>
      </c>
      <c r="DC210" s="754"/>
      <c r="DD210" s="782">
        <v>1</v>
      </c>
      <c r="DE210" s="783"/>
    </row>
    <row r="211" spans="1:109" ht="15.75" hidden="1" customHeight="1">
      <c r="A211" s="741" t="s">
        <v>1269</v>
      </c>
      <c r="B211" s="742">
        <v>205</v>
      </c>
      <c r="C211" s="758" t="s">
        <v>1169</v>
      </c>
      <c r="D211" s="742" t="s">
        <v>2888</v>
      </c>
      <c r="E211" s="742" t="s">
        <v>2231</v>
      </c>
      <c r="F211" s="754" t="s">
        <v>2930</v>
      </c>
      <c r="G211" s="759" t="s">
        <v>755</v>
      </c>
      <c r="H211" s="760" t="s">
        <v>2931</v>
      </c>
      <c r="I211" s="761"/>
      <c r="J211" s="762"/>
      <c r="K211" s="762"/>
      <c r="L211" s="762"/>
      <c r="M211" s="762">
        <v>1</v>
      </c>
      <c r="N211" s="762"/>
      <c r="O211" s="762"/>
      <c r="P211" s="763"/>
      <c r="Q211" s="764">
        <f t="shared" si="3"/>
        <v>1</v>
      </c>
      <c r="R211" s="758" t="s">
        <v>1825</v>
      </c>
      <c r="S211" s="742"/>
      <c r="T211" s="765"/>
      <c r="U211" s="742" t="s">
        <v>2329</v>
      </c>
      <c r="V211" s="742" t="s">
        <v>1897</v>
      </c>
      <c r="W211" s="742" t="s">
        <v>1897</v>
      </c>
      <c r="X211" s="798">
        <v>1</v>
      </c>
      <c r="Y211" s="788" t="s">
        <v>1828</v>
      </c>
      <c r="Z211" s="759" t="s">
        <v>755</v>
      </c>
      <c r="AA211" s="754"/>
      <c r="AB211" s="754"/>
      <c r="AC211" s="754"/>
      <c r="AD211" s="754"/>
      <c r="AE211" s="754"/>
      <c r="AF211" s="768"/>
      <c r="AG211" s="769"/>
      <c r="AH211" s="769"/>
      <c r="AI211" s="769"/>
      <c r="AJ211" s="769"/>
      <c r="AK211" s="769"/>
      <c r="AL211" s="769"/>
      <c r="AM211" s="769"/>
      <c r="AN211" s="769"/>
      <c r="AO211" s="769"/>
      <c r="AP211" s="769"/>
      <c r="AQ211" s="1369"/>
      <c r="AR211" s="1319"/>
      <c r="AS211" s="1319"/>
      <c r="AT211" s="1319"/>
      <c r="AU211" s="1320"/>
      <c r="AV211" s="777"/>
      <c r="AW211" s="769"/>
      <c r="AX211" s="769"/>
      <c r="AY211" s="769"/>
      <c r="AZ211" s="769"/>
      <c r="BA211" s="769"/>
      <c r="BB211" s="769"/>
      <c r="BC211" s="769"/>
      <c r="BD211" s="769"/>
      <c r="BE211" s="769"/>
      <c r="BF211" s="769"/>
      <c r="BG211" s="769"/>
      <c r="BH211" s="769"/>
      <c r="BI211" s="769"/>
      <c r="BJ211" s="769"/>
      <c r="BK211" s="774"/>
      <c r="BL211" s="1327"/>
      <c r="BM211" s="1328"/>
      <c r="BN211" s="1328"/>
      <c r="BO211" s="1328"/>
      <c r="BP211" s="1389"/>
      <c r="BQ211" s="1369"/>
      <c r="BR211" s="1319"/>
      <c r="BS211" s="1319"/>
      <c r="BT211" s="1319"/>
      <c r="BU211" s="1320"/>
      <c r="BV211" s="1369"/>
      <c r="BW211" s="1319"/>
      <c r="BX211" s="1319"/>
      <c r="BY211" s="1319"/>
      <c r="BZ211" s="1319"/>
      <c r="CA211" s="1369"/>
      <c r="CB211" s="1319"/>
      <c r="CC211" s="1319"/>
      <c r="CD211" s="1319"/>
      <c r="CE211" s="1320"/>
      <c r="CF211" s="1319"/>
      <c r="CG211" s="1319"/>
      <c r="CH211" s="1319"/>
      <c r="CI211" s="1319"/>
      <c r="CJ211" s="1320"/>
      <c r="CK211" s="1369"/>
      <c r="CL211" s="1319"/>
      <c r="CM211" s="1319"/>
      <c r="CN211" s="1319"/>
      <c r="CO211" s="1320"/>
      <c r="CP211" s="1369"/>
      <c r="CQ211" s="1319"/>
      <c r="CR211" s="1319"/>
      <c r="CS211" s="1319"/>
      <c r="CT211" s="1320"/>
      <c r="CU211" s="1467"/>
      <c r="CV211" s="1458"/>
      <c r="CW211" s="1458"/>
      <c r="CX211" s="1663"/>
      <c r="CY211" s="1458"/>
      <c r="CZ211" s="1458"/>
      <c r="DA211" s="1458"/>
      <c r="DB211" s="1663"/>
      <c r="DC211" s="1328"/>
      <c r="DD211" s="1664"/>
      <c r="DE211" s="1669"/>
    </row>
    <row r="212" spans="1:109" ht="15.75" hidden="1" customHeight="1">
      <c r="A212" s="741" t="s">
        <v>1269</v>
      </c>
      <c r="B212" s="742">
        <v>206</v>
      </c>
      <c r="C212" s="758" t="s">
        <v>1673</v>
      </c>
      <c r="D212" s="742"/>
      <c r="E212" s="742"/>
      <c r="F212" s="754" t="s">
        <v>2331</v>
      </c>
      <c r="G212" s="759" t="s">
        <v>2332</v>
      </c>
      <c r="H212" s="760"/>
      <c r="I212" s="761"/>
      <c r="J212" s="762"/>
      <c r="K212" s="762"/>
      <c r="L212" s="762"/>
      <c r="M212" s="762"/>
      <c r="N212" s="762"/>
      <c r="O212" s="762"/>
      <c r="P212" s="763"/>
      <c r="Q212" s="764">
        <f t="shared" si="3"/>
        <v>0</v>
      </c>
      <c r="R212" s="758" t="s">
        <v>1825</v>
      </c>
      <c r="S212" s="742"/>
      <c r="T212" s="765"/>
      <c r="U212" s="742"/>
      <c r="V212" s="1216" t="s">
        <v>1890</v>
      </c>
      <c r="W212" s="742" t="s">
        <v>2333</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2334</v>
      </c>
      <c r="AR212" s="769" t="s">
        <v>2334</v>
      </c>
      <c r="AS212" s="769" t="s">
        <v>2334</v>
      </c>
      <c r="AT212" s="769" t="s">
        <v>2334</v>
      </c>
      <c r="AU212" s="774" t="s">
        <v>2334</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2260</v>
      </c>
      <c r="BR212" s="769" t="s">
        <v>2260</v>
      </c>
      <c r="BS212" s="769" t="s">
        <v>2260</v>
      </c>
      <c r="BT212" s="769" t="s">
        <v>2260</v>
      </c>
      <c r="BU212" s="774" t="s">
        <v>2260</v>
      </c>
      <c r="BV212" s="777" t="s">
        <v>2260</v>
      </c>
      <c r="BW212" s="769" t="s">
        <v>2260</v>
      </c>
      <c r="BX212" s="769" t="s">
        <v>2260</v>
      </c>
      <c r="BY212" s="769" t="s">
        <v>2260</v>
      </c>
      <c r="BZ212" s="769" t="s">
        <v>2260</v>
      </c>
      <c r="CA212" s="777" t="s">
        <v>2260</v>
      </c>
      <c r="CB212" s="769" t="s">
        <v>2260</v>
      </c>
      <c r="CC212" s="769" t="s">
        <v>2260</v>
      </c>
      <c r="CD212" s="769" t="s">
        <v>2260</v>
      </c>
      <c r="CE212" s="774" t="s">
        <v>2260</v>
      </c>
      <c r="CF212" s="769" t="s">
        <v>2260</v>
      </c>
      <c r="CG212" s="769" t="s">
        <v>2260</v>
      </c>
      <c r="CH212" s="769" t="s">
        <v>2260</v>
      </c>
      <c r="CI212" s="769" t="s">
        <v>2260</v>
      </c>
      <c r="CJ212" s="774" t="s">
        <v>2260</v>
      </c>
      <c r="CK212" s="777" t="s">
        <v>2260</v>
      </c>
      <c r="CL212" s="769" t="s">
        <v>2260</v>
      </c>
      <c r="CM212" s="769" t="s">
        <v>2260</v>
      </c>
      <c r="CN212" s="769" t="s">
        <v>2260</v>
      </c>
      <c r="CO212" s="774" t="s">
        <v>2260</v>
      </c>
      <c r="CP212" s="777" t="s">
        <v>2260</v>
      </c>
      <c r="CQ212" s="769" t="s">
        <v>2260</v>
      </c>
      <c r="CR212" s="769" t="s">
        <v>2260</v>
      </c>
      <c r="CS212" s="769" t="s">
        <v>2260</v>
      </c>
      <c r="CT212" s="774" t="s">
        <v>2260</v>
      </c>
      <c r="CU212" s="1253" t="s">
        <v>2260</v>
      </c>
      <c r="CV212" s="1252" t="s">
        <v>2260</v>
      </c>
      <c r="CW212" s="1252" t="s">
        <v>2260</v>
      </c>
      <c r="CX212" s="1254" t="s">
        <v>2260</v>
      </c>
      <c r="CY212" s="1252" t="s">
        <v>2260</v>
      </c>
      <c r="CZ212" s="1252" t="s">
        <v>2260</v>
      </c>
      <c r="DA212" s="1252" t="s">
        <v>2260</v>
      </c>
      <c r="DB212" s="1254" t="s">
        <v>2260</v>
      </c>
      <c r="DC212" s="754"/>
      <c r="DD212" s="782"/>
      <c r="DE212" s="783"/>
    </row>
    <row r="213" spans="1:109" ht="15.75" hidden="1" customHeight="1">
      <c r="A213" s="741" t="s">
        <v>1269</v>
      </c>
      <c r="B213" s="742">
        <v>207</v>
      </c>
      <c r="C213" s="758" t="s">
        <v>1443</v>
      </c>
      <c r="D213" s="742"/>
      <c r="E213" s="742"/>
      <c r="F213" s="754" t="s">
        <v>2932</v>
      </c>
      <c r="G213" s="759" t="s">
        <v>2416</v>
      </c>
      <c r="H213" s="760"/>
      <c r="I213" s="761">
        <v>1</v>
      </c>
      <c r="J213" s="762"/>
      <c r="K213" s="762"/>
      <c r="L213" s="762"/>
      <c r="M213" s="762"/>
      <c r="N213" s="762"/>
      <c r="O213" s="762"/>
      <c r="P213" s="763"/>
      <c r="Q213" s="764">
        <f t="shared" si="3"/>
        <v>1</v>
      </c>
      <c r="R213" s="758" t="s">
        <v>1846</v>
      </c>
      <c r="S213" s="742" t="s">
        <v>1826</v>
      </c>
      <c r="T213" s="765" t="s">
        <v>1827</v>
      </c>
      <c r="U213" s="742"/>
      <c r="V213" s="1217" t="s">
        <v>1857</v>
      </c>
      <c r="W213" s="742" t="s">
        <v>2933</v>
      </c>
      <c r="X213" s="798">
        <v>0</v>
      </c>
      <c r="Y213" s="788" t="s">
        <v>1828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210</v>
      </c>
      <c r="BM213" s="754" t="s">
        <v>210</v>
      </c>
      <c r="BN213" s="754" t="s">
        <v>210</v>
      </c>
      <c r="BO213" s="754" t="s">
        <v>210</v>
      </c>
      <c r="BP213" s="765" t="s">
        <v>210</v>
      </c>
      <c r="BQ213" s="777" t="s">
        <v>2260</v>
      </c>
      <c r="BR213" s="769" t="s">
        <v>2260</v>
      </c>
      <c r="BS213" s="769" t="s">
        <v>2260</v>
      </c>
      <c r="BT213" s="769" t="s">
        <v>2260</v>
      </c>
      <c r="BU213" s="774" t="s">
        <v>2260</v>
      </c>
      <c r="BV213" s="777" t="s">
        <v>2260</v>
      </c>
      <c r="BW213" s="769" t="s">
        <v>2260</v>
      </c>
      <c r="BX213" s="769" t="s">
        <v>2260</v>
      </c>
      <c r="BY213" s="769" t="s">
        <v>2260</v>
      </c>
      <c r="BZ213" s="769" t="s">
        <v>2260</v>
      </c>
      <c r="CA213" s="777" t="s">
        <v>2260</v>
      </c>
      <c r="CB213" s="769" t="s">
        <v>2260</v>
      </c>
      <c r="CC213" s="769" t="s">
        <v>2260</v>
      </c>
      <c r="CD213" s="769" t="s">
        <v>2260</v>
      </c>
      <c r="CE213" s="774" t="s">
        <v>2260</v>
      </c>
      <c r="CF213" s="769" t="s">
        <v>2260</v>
      </c>
      <c r="CG213" s="769" t="s">
        <v>2260</v>
      </c>
      <c r="CH213" s="769" t="s">
        <v>2260</v>
      </c>
      <c r="CI213" s="769" t="s">
        <v>2260</v>
      </c>
      <c r="CJ213" s="774" t="s">
        <v>2260</v>
      </c>
      <c r="CK213" s="777" t="s">
        <v>2260</v>
      </c>
      <c r="CL213" s="769" t="s">
        <v>2260</v>
      </c>
      <c r="CM213" s="769" t="s">
        <v>2260</v>
      </c>
      <c r="CN213" s="769" t="s">
        <v>2260</v>
      </c>
      <c r="CO213" s="774" t="s">
        <v>2260</v>
      </c>
      <c r="CP213" s="777" t="s">
        <v>2260</v>
      </c>
      <c r="CQ213" s="769" t="s">
        <v>2260</v>
      </c>
      <c r="CR213" s="769" t="s">
        <v>2260</v>
      </c>
      <c r="CS213" s="769" t="s">
        <v>2260</v>
      </c>
      <c r="CT213" s="774" t="s">
        <v>2260</v>
      </c>
      <c r="CU213" s="1253">
        <v>-2.23E-2</v>
      </c>
      <c r="CV213" s="1252" t="s">
        <v>2260</v>
      </c>
      <c r="CW213" s="1252" t="s">
        <v>2260</v>
      </c>
      <c r="CX213" s="1254" t="s">
        <v>2260</v>
      </c>
      <c r="CY213" s="1252" t="s">
        <v>2260</v>
      </c>
      <c r="CZ213" s="1252" t="s">
        <v>2260</v>
      </c>
      <c r="DA213" s="1252" t="s">
        <v>2260</v>
      </c>
      <c r="DB213" s="1254" t="s">
        <v>2260</v>
      </c>
      <c r="DC213" s="754"/>
      <c r="DD213" s="782"/>
      <c r="DE213" s="783"/>
    </row>
    <row r="214" spans="1:109" ht="15.75" hidden="1" customHeight="1">
      <c r="A214" s="741" t="s">
        <v>1269</v>
      </c>
      <c r="B214" s="742">
        <v>208</v>
      </c>
      <c r="C214" s="758" t="s">
        <v>1457</v>
      </c>
      <c r="D214" s="742"/>
      <c r="E214" s="742"/>
      <c r="F214" s="754">
        <v>15</v>
      </c>
      <c r="G214" s="759" t="s">
        <v>2934</v>
      </c>
      <c r="H214" s="760" t="s">
        <v>2935</v>
      </c>
      <c r="I214" s="761"/>
      <c r="J214" s="762"/>
      <c r="K214" s="762"/>
      <c r="L214" s="762"/>
      <c r="M214" s="762"/>
      <c r="N214" s="762"/>
      <c r="O214" s="762"/>
      <c r="P214" s="763"/>
      <c r="Q214" s="764">
        <f t="shared" si="3"/>
        <v>0</v>
      </c>
      <c r="R214" s="758" t="s">
        <v>1846</v>
      </c>
      <c r="S214" s="742" t="s">
        <v>1826</v>
      </c>
      <c r="T214" s="765" t="s">
        <v>1837</v>
      </c>
      <c r="U214" s="742"/>
      <c r="V214" s="742" t="s">
        <v>2844</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2260</v>
      </c>
      <c r="AR214" s="769" t="s">
        <v>2260</v>
      </c>
      <c r="AS214" s="769" t="s">
        <v>2260</v>
      </c>
      <c r="AT214" s="769" t="s">
        <v>2260</v>
      </c>
      <c r="AU214" s="774" t="s">
        <v>2260</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2260</v>
      </c>
      <c r="BR214" s="769" t="s">
        <v>2260</v>
      </c>
      <c r="BS214" s="769" t="s">
        <v>2260</v>
      </c>
      <c r="BT214" s="769" t="s">
        <v>2260</v>
      </c>
      <c r="BU214" s="774" t="s">
        <v>2260</v>
      </c>
      <c r="BV214" s="777" t="s">
        <v>2260</v>
      </c>
      <c r="BW214" s="769" t="s">
        <v>2260</v>
      </c>
      <c r="BX214" s="769" t="s">
        <v>2260</v>
      </c>
      <c r="BY214" s="769" t="s">
        <v>2260</v>
      </c>
      <c r="BZ214" s="769" t="s">
        <v>2260</v>
      </c>
      <c r="CA214" s="777" t="s">
        <v>2260</v>
      </c>
      <c r="CB214" s="769" t="s">
        <v>2260</v>
      </c>
      <c r="CC214" s="769" t="s">
        <v>2260</v>
      </c>
      <c r="CD214" s="769" t="s">
        <v>2260</v>
      </c>
      <c r="CE214" s="774" t="s">
        <v>2260</v>
      </c>
      <c r="CF214" s="769" t="s">
        <v>2260</v>
      </c>
      <c r="CG214" s="769" t="s">
        <v>2260</v>
      </c>
      <c r="CH214" s="769" t="s">
        <v>2260</v>
      </c>
      <c r="CI214" s="769" t="s">
        <v>2260</v>
      </c>
      <c r="CJ214" s="774" t="s">
        <v>2260</v>
      </c>
      <c r="CK214" s="777" t="s">
        <v>2260</v>
      </c>
      <c r="CL214" s="769" t="s">
        <v>2260</v>
      </c>
      <c r="CM214" s="769" t="s">
        <v>2260</v>
      </c>
      <c r="CN214" s="769" t="s">
        <v>2260</v>
      </c>
      <c r="CO214" s="774" t="s">
        <v>2260</v>
      </c>
      <c r="CP214" s="777" t="s">
        <v>2260</v>
      </c>
      <c r="CQ214" s="769" t="s">
        <v>2260</v>
      </c>
      <c r="CR214" s="769" t="s">
        <v>2260</v>
      </c>
      <c r="CS214" s="769" t="s">
        <v>2260</v>
      </c>
      <c r="CT214" s="774" t="s">
        <v>2260</v>
      </c>
      <c r="CU214" s="1253">
        <v>-7.9000000000000001E-2</v>
      </c>
      <c r="CV214" s="1252" t="s">
        <v>2260</v>
      </c>
      <c r="CW214" s="1252" t="s">
        <v>2260</v>
      </c>
      <c r="CX214" s="1254" t="s">
        <v>2260</v>
      </c>
      <c r="CY214" s="1252">
        <v>0.31590000000000001</v>
      </c>
      <c r="CZ214" s="1252" t="s">
        <v>2260</v>
      </c>
      <c r="DA214" s="1252" t="s">
        <v>2260</v>
      </c>
      <c r="DB214" s="1254" t="s">
        <v>2260</v>
      </c>
      <c r="DC214" s="754"/>
      <c r="DD214" s="782"/>
      <c r="DE214" s="783"/>
    </row>
    <row r="215" spans="1:109" ht="15.75" hidden="1" customHeight="1">
      <c r="A215" s="741" t="s">
        <v>1296</v>
      </c>
      <c r="B215" s="742">
        <v>209</v>
      </c>
      <c r="C215" s="758" t="s">
        <v>1173</v>
      </c>
      <c r="D215" s="742" t="s">
        <v>2936</v>
      </c>
      <c r="E215" s="742" t="s">
        <v>2223</v>
      </c>
      <c r="F215" s="754" t="s">
        <v>2937</v>
      </c>
      <c r="G215" s="759" t="s">
        <v>179</v>
      </c>
      <c r="H215" s="760" t="s">
        <v>2938</v>
      </c>
      <c r="I215" s="761"/>
      <c r="J215" s="762">
        <v>1</v>
      </c>
      <c r="K215" s="762"/>
      <c r="L215" s="762"/>
      <c r="M215" s="762"/>
      <c r="N215" s="762"/>
      <c r="O215" s="762"/>
      <c r="P215" s="763"/>
      <c r="Q215" s="764">
        <f t="shared" si="3"/>
        <v>1</v>
      </c>
      <c r="R215" s="758" t="s">
        <v>1852</v>
      </c>
      <c r="S215" s="742" t="s">
        <v>1826</v>
      </c>
      <c r="T215" s="765" t="s">
        <v>1827</v>
      </c>
      <c r="U215" s="742" t="s">
        <v>2220</v>
      </c>
      <c r="V215" s="742" t="s">
        <v>1851</v>
      </c>
      <c r="W215" s="742" t="s">
        <v>2939</v>
      </c>
      <c r="X215" s="798">
        <v>0</v>
      </c>
      <c r="Y215" s="790" t="s">
        <v>1838</v>
      </c>
      <c r="Z215" s="759" t="s">
        <v>179</v>
      </c>
      <c r="AA215" s="754"/>
      <c r="AB215" s="754"/>
      <c r="AC215" s="754"/>
      <c r="AD215" s="754"/>
      <c r="AE215" s="754"/>
      <c r="AF215" s="768"/>
      <c r="AG215" s="769"/>
      <c r="AH215" s="769"/>
      <c r="AI215" s="769"/>
      <c r="AJ215" s="769"/>
      <c r="AK215" s="769"/>
      <c r="AL215" s="769"/>
      <c r="AM215" s="769"/>
      <c r="AN215" s="769"/>
      <c r="AO215" s="769"/>
      <c r="AP215" s="769"/>
      <c r="AQ215" s="1370"/>
      <c r="AR215" s="1324"/>
      <c r="AS215" s="1324"/>
      <c r="AT215" s="1324"/>
      <c r="AU215" s="1325"/>
      <c r="AV215" s="777"/>
      <c r="AW215" s="769"/>
      <c r="AX215" s="769"/>
      <c r="AY215" s="769"/>
      <c r="AZ215" s="769"/>
      <c r="BA215" s="769"/>
      <c r="BB215" s="769"/>
      <c r="BC215" s="769"/>
      <c r="BD215" s="769"/>
      <c r="BE215" s="769"/>
      <c r="BF215" s="769"/>
      <c r="BG215" s="769"/>
      <c r="BH215" s="769"/>
      <c r="BI215" s="769"/>
      <c r="BJ215" s="769"/>
      <c r="BK215" s="774"/>
      <c r="BL215" s="1327"/>
      <c r="BM215" s="1328"/>
      <c r="BN215" s="1328"/>
      <c r="BO215" s="1328"/>
      <c r="BP215" s="1389"/>
      <c r="BQ215" s="1660"/>
      <c r="BR215" s="1661"/>
      <c r="BS215" s="1661"/>
      <c r="BT215" s="1661"/>
      <c r="BU215" s="1662"/>
      <c r="BV215" s="1660"/>
      <c r="BW215" s="1661"/>
      <c r="BX215" s="1661"/>
      <c r="BY215" s="1661"/>
      <c r="BZ215" s="1661"/>
      <c r="CA215" s="1369"/>
      <c r="CB215" s="1319"/>
      <c r="CC215" s="1319"/>
      <c r="CD215" s="1319"/>
      <c r="CE215" s="1320"/>
      <c r="CF215" s="1319"/>
      <c r="CG215" s="1319"/>
      <c r="CH215" s="1319"/>
      <c r="CI215" s="1319"/>
      <c r="CJ215" s="1320"/>
      <c r="CK215" s="1370"/>
      <c r="CL215" s="1324"/>
      <c r="CM215" s="1324"/>
      <c r="CN215" s="1324"/>
      <c r="CO215" s="1325"/>
      <c r="CP215" s="1370"/>
      <c r="CQ215" s="1324"/>
      <c r="CR215" s="1324"/>
      <c r="CS215" s="1324"/>
      <c r="CT215" s="1325"/>
      <c r="CU215" s="1467"/>
      <c r="CV215" s="1458"/>
      <c r="CW215" s="1458"/>
      <c r="CX215" s="1663"/>
      <c r="CY215" s="1458"/>
      <c r="CZ215" s="1458"/>
      <c r="DA215" s="1458"/>
      <c r="DB215" s="1663"/>
      <c r="DC215" s="1328"/>
      <c r="DD215" s="1664"/>
      <c r="DE215" s="1669"/>
    </row>
    <row r="216" spans="1:109" ht="15.75" hidden="1" customHeight="1">
      <c r="A216" s="741" t="s">
        <v>1296</v>
      </c>
      <c r="B216" s="742">
        <v>210</v>
      </c>
      <c r="C216" s="758" t="s">
        <v>1176</v>
      </c>
      <c r="D216" s="742" t="s">
        <v>2936</v>
      </c>
      <c r="E216" s="742" t="s">
        <v>2223</v>
      </c>
      <c r="F216" s="754" t="s">
        <v>2940</v>
      </c>
      <c r="G216" s="759" t="s">
        <v>203</v>
      </c>
      <c r="H216" s="760" t="s">
        <v>2938</v>
      </c>
      <c r="I216" s="761"/>
      <c r="J216" s="762">
        <v>1</v>
      </c>
      <c r="K216" s="762"/>
      <c r="L216" s="762"/>
      <c r="M216" s="762"/>
      <c r="N216" s="762"/>
      <c r="O216" s="762"/>
      <c r="P216" s="763"/>
      <c r="Q216" s="764">
        <f t="shared" si="3"/>
        <v>1</v>
      </c>
      <c r="R216" s="758" t="s">
        <v>1846</v>
      </c>
      <c r="S216" s="742" t="s">
        <v>1826</v>
      </c>
      <c r="T216" s="765" t="s">
        <v>1827</v>
      </c>
      <c r="U216" s="742" t="s">
        <v>2363</v>
      </c>
      <c r="V216" s="742" t="s">
        <v>1857</v>
      </c>
      <c r="W216" s="742" t="s">
        <v>2459</v>
      </c>
      <c r="X216" s="798">
        <v>1</v>
      </c>
      <c r="Y216" s="790" t="s">
        <v>1838</v>
      </c>
      <c r="Z216" s="759" t="s">
        <v>203</v>
      </c>
      <c r="AA216" s="754"/>
      <c r="AB216" s="754"/>
      <c r="AC216" s="754"/>
      <c r="AD216" s="754"/>
      <c r="AE216" s="754"/>
      <c r="AF216" s="768"/>
      <c r="AG216" s="769"/>
      <c r="AH216" s="769"/>
      <c r="AI216" s="769"/>
      <c r="AJ216" s="769"/>
      <c r="AK216" s="769"/>
      <c r="AL216" s="769"/>
      <c r="AM216" s="769"/>
      <c r="AN216" s="769"/>
      <c r="AO216" s="769"/>
      <c r="AP216" s="769"/>
      <c r="AQ216" s="1370"/>
      <c r="AR216" s="1324"/>
      <c r="AS216" s="1324"/>
      <c r="AT216" s="1324"/>
      <c r="AU216" s="1325"/>
      <c r="AV216" s="777"/>
      <c r="AW216" s="769"/>
      <c r="AX216" s="769"/>
      <c r="AY216" s="769"/>
      <c r="AZ216" s="769"/>
      <c r="BA216" s="769"/>
      <c r="BB216" s="769"/>
      <c r="BC216" s="769"/>
      <c r="BD216" s="769"/>
      <c r="BE216" s="769"/>
      <c r="BF216" s="769"/>
      <c r="BG216" s="769"/>
      <c r="BH216" s="769"/>
      <c r="BI216" s="769"/>
      <c r="BJ216" s="769"/>
      <c r="BK216" s="774"/>
      <c r="BL216" s="1327"/>
      <c r="BM216" s="1328"/>
      <c r="BN216" s="1328"/>
      <c r="BO216" s="1328"/>
      <c r="BP216" s="1389"/>
      <c r="BQ216" s="1369"/>
      <c r="BR216" s="1319"/>
      <c r="BS216" s="1319"/>
      <c r="BT216" s="1319"/>
      <c r="BU216" s="1320"/>
      <c r="BV216" s="1369"/>
      <c r="BW216" s="1319"/>
      <c r="BX216" s="1319"/>
      <c r="BY216" s="1319"/>
      <c r="BZ216" s="1319"/>
      <c r="CA216" s="1369"/>
      <c r="CB216" s="1319"/>
      <c r="CC216" s="1319"/>
      <c r="CD216" s="1319"/>
      <c r="CE216" s="1320"/>
      <c r="CF216" s="1319"/>
      <c r="CG216" s="1319"/>
      <c r="CH216" s="1319"/>
      <c r="CI216" s="1319"/>
      <c r="CJ216" s="1320"/>
      <c r="CK216" s="1369"/>
      <c r="CL216" s="1319"/>
      <c r="CM216" s="1319"/>
      <c r="CN216" s="1319"/>
      <c r="CO216" s="1320"/>
      <c r="CP216" s="1369"/>
      <c r="CQ216" s="1319"/>
      <c r="CR216" s="1319"/>
      <c r="CS216" s="1319"/>
      <c r="CT216" s="1320"/>
      <c r="CU216" s="1467"/>
      <c r="CV216" s="1458"/>
      <c r="CW216" s="1458"/>
      <c r="CX216" s="1663"/>
      <c r="CY216" s="1458"/>
      <c r="CZ216" s="1458"/>
      <c r="DA216" s="1458"/>
      <c r="DB216" s="1663"/>
      <c r="DC216" s="1328"/>
      <c r="DD216" s="1664"/>
      <c r="DE216" s="1669"/>
    </row>
    <row r="217" spans="1:109" ht="15.75" hidden="1" customHeight="1">
      <c r="A217" s="741" t="s">
        <v>1296</v>
      </c>
      <c r="B217" s="742">
        <v>211</v>
      </c>
      <c r="C217" s="758" t="s">
        <v>1310</v>
      </c>
      <c r="D217" s="742" t="s">
        <v>2936</v>
      </c>
      <c r="E217" s="742" t="s">
        <v>2223</v>
      </c>
      <c r="F217" s="754" t="s">
        <v>2941</v>
      </c>
      <c r="G217" s="759" t="s">
        <v>2942</v>
      </c>
      <c r="H217" s="760" t="s">
        <v>2943</v>
      </c>
      <c r="I217" s="761"/>
      <c r="J217" s="762">
        <v>1</v>
      </c>
      <c r="K217" s="762"/>
      <c r="L217" s="762"/>
      <c r="M217" s="762"/>
      <c r="N217" s="762"/>
      <c r="O217" s="762"/>
      <c r="P217" s="763"/>
      <c r="Q217" s="764">
        <f t="shared" si="3"/>
        <v>1</v>
      </c>
      <c r="R217" s="758" t="s">
        <v>1846</v>
      </c>
      <c r="S217" s="742" t="s">
        <v>1826</v>
      </c>
      <c r="T217" s="765" t="s">
        <v>1827</v>
      </c>
      <c r="U217" s="742" t="s">
        <v>2421</v>
      </c>
      <c r="V217" s="742" t="s">
        <v>1857</v>
      </c>
      <c r="W217" s="742" t="s">
        <v>2468</v>
      </c>
      <c r="X217" s="798">
        <v>2</v>
      </c>
      <c r="Y217" s="790" t="s">
        <v>1838</v>
      </c>
      <c r="Z217" s="759" t="s">
        <v>2309</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210</v>
      </c>
      <c r="BM217" s="754" t="s">
        <v>210</v>
      </c>
      <c r="BN217" s="754" t="s">
        <v>210</v>
      </c>
      <c r="BO217" s="754" t="s">
        <v>210</v>
      </c>
      <c r="BP217" s="765" t="s">
        <v>210</v>
      </c>
      <c r="BQ217" s="777" t="s">
        <v>2260</v>
      </c>
      <c r="BR217" s="769" t="s">
        <v>2260</v>
      </c>
      <c r="BS217" s="769" t="s">
        <v>2260</v>
      </c>
      <c r="BT217" s="769" t="s">
        <v>2260</v>
      </c>
      <c r="BU217" s="774" t="s">
        <v>2260</v>
      </c>
      <c r="BV217" s="777" t="s">
        <v>2260</v>
      </c>
      <c r="BW217" s="769" t="s">
        <v>2260</v>
      </c>
      <c r="BX217" s="769" t="s">
        <v>2260</v>
      </c>
      <c r="BY217" s="769" t="s">
        <v>2260</v>
      </c>
      <c r="BZ217" s="769" t="s">
        <v>2260</v>
      </c>
      <c r="CA217" s="777" t="s">
        <v>2260</v>
      </c>
      <c r="CB217" s="769" t="s">
        <v>2260</v>
      </c>
      <c r="CC217" s="769" t="s">
        <v>2260</v>
      </c>
      <c r="CD217" s="769" t="s">
        <v>2260</v>
      </c>
      <c r="CE217" s="774" t="s">
        <v>2260</v>
      </c>
      <c r="CF217" s="769" t="s">
        <v>2260</v>
      </c>
      <c r="CG217" s="769" t="s">
        <v>2260</v>
      </c>
      <c r="CH217" s="769" t="s">
        <v>2260</v>
      </c>
      <c r="CI217" s="769" t="s">
        <v>2260</v>
      </c>
      <c r="CJ217" s="774" t="s">
        <v>2260</v>
      </c>
      <c r="CK217" s="777" t="s">
        <v>2260</v>
      </c>
      <c r="CL217" s="769" t="s">
        <v>2260</v>
      </c>
      <c r="CM217" s="769" t="s">
        <v>2260</v>
      </c>
      <c r="CN217" s="769" t="s">
        <v>2260</v>
      </c>
      <c r="CO217" s="774" t="s">
        <v>2260</v>
      </c>
      <c r="CP217" s="777" t="s">
        <v>2260</v>
      </c>
      <c r="CQ217" s="769" t="s">
        <v>2260</v>
      </c>
      <c r="CR217" s="769" t="s">
        <v>2260</v>
      </c>
      <c r="CS217" s="769" t="s">
        <v>2260</v>
      </c>
      <c r="CT217" s="774" t="s">
        <v>2260</v>
      </c>
      <c r="CU217" s="1253">
        <v>-0.79600000000000004</v>
      </c>
      <c r="CV217" s="1252" t="s">
        <v>2260</v>
      </c>
      <c r="CW217" s="1252" t="s">
        <v>2260</v>
      </c>
      <c r="CX217" s="1254" t="s">
        <v>2260</v>
      </c>
      <c r="CY217" s="1252" t="s">
        <v>2260</v>
      </c>
      <c r="CZ217" s="1252" t="s">
        <v>2260</v>
      </c>
      <c r="DA217" s="1252" t="s">
        <v>2260</v>
      </c>
      <c r="DB217" s="1254" t="s">
        <v>2260</v>
      </c>
      <c r="DC217" s="754"/>
      <c r="DD217" s="782">
        <v>1</v>
      </c>
      <c r="DE217" s="783"/>
    </row>
    <row r="218" spans="1:109" ht="15.75" hidden="1" customHeight="1">
      <c r="A218" s="741" t="s">
        <v>1296</v>
      </c>
      <c r="B218" s="742">
        <v>212</v>
      </c>
      <c r="C218" s="758" t="s">
        <v>1172</v>
      </c>
      <c r="D218" s="742" t="s">
        <v>2936</v>
      </c>
      <c r="E218" s="742" t="s">
        <v>2217</v>
      </c>
      <c r="F218" s="754" t="s">
        <v>2944</v>
      </c>
      <c r="G218" s="759" t="s">
        <v>172</v>
      </c>
      <c r="H218" s="760" t="s">
        <v>2938</v>
      </c>
      <c r="I218" s="761"/>
      <c r="J218" s="762">
        <v>1</v>
      </c>
      <c r="K218" s="762"/>
      <c r="L218" s="762"/>
      <c r="M218" s="762"/>
      <c r="N218" s="762"/>
      <c r="O218" s="762"/>
      <c r="P218" s="763"/>
      <c r="Q218" s="764">
        <f t="shared" si="3"/>
        <v>1</v>
      </c>
      <c r="R218" s="758" t="s">
        <v>1846</v>
      </c>
      <c r="S218" s="742" t="s">
        <v>1826</v>
      </c>
      <c r="T218" s="765" t="s">
        <v>1827</v>
      </c>
      <c r="U218" s="742" t="s">
        <v>2247</v>
      </c>
      <c r="V218" s="742" t="s">
        <v>1897</v>
      </c>
      <c r="W218" s="742" t="s">
        <v>2945</v>
      </c>
      <c r="X218" s="798">
        <v>2</v>
      </c>
      <c r="Y218" s="790" t="s">
        <v>1838</v>
      </c>
      <c r="Z218" s="759" t="s">
        <v>172</v>
      </c>
      <c r="AA218" s="754"/>
      <c r="AB218" s="754"/>
      <c r="AC218" s="754"/>
      <c r="AD218" s="754"/>
      <c r="AE218" s="754"/>
      <c r="AF218" s="768"/>
      <c r="AG218" s="769"/>
      <c r="AH218" s="769"/>
      <c r="AI218" s="769"/>
      <c r="AJ218" s="769"/>
      <c r="AK218" s="769"/>
      <c r="AL218" s="769"/>
      <c r="AM218" s="769"/>
      <c r="AN218" s="769"/>
      <c r="AO218" s="769"/>
      <c r="AP218" s="769"/>
      <c r="AQ218" s="1369"/>
      <c r="AR218" s="1319"/>
      <c r="AS218" s="1319"/>
      <c r="AT218" s="1319"/>
      <c r="AU218" s="1320"/>
      <c r="AV218" s="777"/>
      <c r="AW218" s="769"/>
      <c r="AX218" s="769"/>
      <c r="AY218" s="769"/>
      <c r="AZ218" s="769"/>
      <c r="BA218" s="769"/>
      <c r="BB218" s="769"/>
      <c r="BC218" s="769"/>
      <c r="BD218" s="769"/>
      <c r="BE218" s="769"/>
      <c r="BF218" s="769"/>
      <c r="BG218" s="769"/>
      <c r="BH218" s="769"/>
      <c r="BI218" s="769"/>
      <c r="BJ218" s="769"/>
      <c r="BK218" s="774"/>
      <c r="BL218" s="1327"/>
      <c r="BM218" s="1328"/>
      <c r="BN218" s="1328"/>
      <c r="BO218" s="1328"/>
      <c r="BP218" s="1389"/>
      <c r="BQ218" s="1369"/>
      <c r="BR218" s="1319"/>
      <c r="BS218" s="1319"/>
      <c r="BT218" s="1319"/>
      <c r="BU218" s="1320"/>
      <c r="BV218" s="1369"/>
      <c r="BW218" s="1319"/>
      <c r="BX218" s="1319"/>
      <c r="BY218" s="1319"/>
      <c r="BZ218" s="1319"/>
      <c r="CA218" s="1369"/>
      <c r="CB218" s="1319"/>
      <c r="CC218" s="1319"/>
      <c r="CD218" s="1319"/>
      <c r="CE218" s="1320"/>
      <c r="CF218" s="1319"/>
      <c r="CG218" s="1319"/>
      <c r="CH218" s="1319"/>
      <c r="CI218" s="1319"/>
      <c r="CJ218" s="1320"/>
      <c r="CK218" s="1369"/>
      <c r="CL218" s="1319"/>
      <c r="CM218" s="1319"/>
      <c r="CN218" s="1319"/>
      <c r="CO218" s="1320"/>
      <c r="CP218" s="1369"/>
      <c r="CQ218" s="1319"/>
      <c r="CR218" s="1319"/>
      <c r="CS218" s="1319"/>
      <c r="CT218" s="1320"/>
      <c r="CU218" s="1467"/>
      <c r="CV218" s="1458"/>
      <c r="CW218" s="1458"/>
      <c r="CX218" s="1663"/>
      <c r="CY218" s="1458"/>
      <c r="CZ218" s="1458"/>
      <c r="DA218" s="1458"/>
      <c r="DB218" s="1663"/>
      <c r="DC218" s="1328"/>
      <c r="DD218" s="1664"/>
      <c r="DE218" s="1669"/>
    </row>
    <row r="219" spans="1:109" ht="15.75" hidden="1" customHeight="1">
      <c r="A219" s="741" t="s">
        <v>1296</v>
      </c>
      <c r="B219" s="742">
        <v>213</v>
      </c>
      <c r="C219" s="758" t="s">
        <v>1327</v>
      </c>
      <c r="D219" s="742" t="s">
        <v>2946</v>
      </c>
      <c r="E219" s="742" t="s">
        <v>2223</v>
      </c>
      <c r="F219" s="754" t="s">
        <v>2947</v>
      </c>
      <c r="G219" s="759" t="s">
        <v>2948</v>
      </c>
      <c r="H219" s="760" t="s">
        <v>2949</v>
      </c>
      <c r="I219" s="761"/>
      <c r="J219" s="762"/>
      <c r="K219" s="762"/>
      <c r="L219" s="762"/>
      <c r="M219" s="762">
        <v>1</v>
      </c>
      <c r="N219" s="762"/>
      <c r="O219" s="762"/>
      <c r="P219" s="763"/>
      <c r="Q219" s="764">
        <f t="shared" si="3"/>
        <v>1</v>
      </c>
      <c r="R219" s="758" t="s">
        <v>1846</v>
      </c>
      <c r="S219" s="742" t="s">
        <v>1826</v>
      </c>
      <c r="T219" s="765" t="s">
        <v>1827</v>
      </c>
      <c r="U219" s="742" t="s">
        <v>2396</v>
      </c>
      <c r="V219" s="742" t="s">
        <v>1857</v>
      </c>
      <c r="W219" s="742" t="s">
        <v>2950</v>
      </c>
      <c r="X219" s="798">
        <v>0</v>
      </c>
      <c r="Y219" s="790" t="s">
        <v>1828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210</v>
      </c>
      <c r="BM219" s="754" t="s">
        <v>210</v>
      </c>
      <c r="BN219" s="754" t="s">
        <v>210</v>
      </c>
      <c r="BO219" s="754" t="s">
        <v>210</v>
      </c>
      <c r="BP219" s="765" t="s">
        <v>210</v>
      </c>
      <c r="BQ219" s="777" t="s">
        <v>2260</v>
      </c>
      <c r="BR219" s="769" t="s">
        <v>2260</v>
      </c>
      <c r="BS219" s="769" t="s">
        <v>2260</v>
      </c>
      <c r="BT219" s="769" t="s">
        <v>2260</v>
      </c>
      <c r="BU219" s="774" t="s">
        <v>2260</v>
      </c>
      <c r="BV219" s="777" t="s">
        <v>2260</v>
      </c>
      <c r="BW219" s="769" t="s">
        <v>2260</v>
      </c>
      <c r="BX219" s="769" t="s">
        <v>2260</v>
      </c>
      <c r="BY219" s="769" t="s">
        <v>2260</v>
      </c>
      <c r="BZ219" s="769" t="s">
        <v>2260</v>
      </c>
      <c r="CA219" s="777" t="s">
        <v>2260</v>
      </c>
      <c r="CB219" s="769" t="s">
        <v>2260</v>
      </c>
      <c r="CC219" s="769" t="s">
        <v>2260</v>
      </c>
      <c r="CD219" s="769" t="s">
        <v>2260</v>
      </c>
      <c r="CE219" s="774" t="s">
        <v>2260</v>
      </c>
      <c r="CF219" s="769" t="s">
        <v>2260</v>
      </c>
      <c r="CG219" s="769" t="s">
        <v>2260</v>
      </c>
      <c r="CH219" s="769" t="s">
        <v>2260</v>
      </c>
      <c r="CI219" s="769" t="s">
        <v>2260</v>
      </c>
      <c r="CJ219" s="769" t="s">
        <v>2260</v>
      </c>
      <c r="CK219" s="777" t="s">
        <v>2260</v>
      </c>
      <c r="CL219" s="769" t="s">
        <v>2260</v>
      </c>
      <c r="CM219" s="769" t="s">
        <v>2260</v>
      </c>
      <c r="CN219" s="769" t="s">
        <v>2260</v>
      </c>
      <c r="CO219" s="774" t="s">
        <v>2260</v>
      </c>
      <c r="CP219" s="777" t="s">
        <v>2260</v>
      </c>
      <c r="CQ219" s="769" t="s">
        <v>2260</v>
      </c>
      <c r="CR219" s="769" t="s">
        <v>2260</v>
      </c>
      <c r="CS219" s="769" t="s">
        <v>2260</v>
      </c>
      <c r="CT219" s="774" t="s">
        <v>2260</v>
      </c>
      <c r="CU219" s="1253">
        <v>-9.0999999999999993E-6</v>
      </c>
      <c r="CV219" s="1252" t="s">
        <v>2260</v>
      </c>
      <c r="CW219" s="1252" t="s">
        <v>2260</v>
      </c>
      <c r="CX219" s="1254" t="s">
        <v>2260</v>
      </c>
      <c r="CY219" s="1252" t="s">
        <v>2260</v>
      </c>
      <c r="CZ219" s="1252" t="s">
        <v>2260</v>
      </c>
      <c r="DA219" s="1252" t="s">
        <v>2260</v>
      </c>
      <c r="DB219" s="1254" t="s">
        <v>2260</v>
      </c>
      <c r="DC219" s="754"/>
      <c r="DD219" s="782">
        <v>1</v>
      </c>
      <c r="DE219" s="783"/>
    </row>
    <row r="220" spans="1:109" ht="15.75" hidden="1" customHeight="1">
      <c r="A220" s="741" t="s">
        <v>1296</v>
      </c>
      <c r="B220" s="742">
        <v>214</v>
      </c>
      <c r="C220" s="758" t="s">
        <v>1593</v>
      </c>
      <c r="D220" s="742" t="s">
        <v>2946</v>
      </c>
      <c r="E220" s="742" t="s">
        <v>2231</v>
      </c>
      <c r="F220" s="754" t="s">
        <v>2951</v>
      </c>
      <c r="G220" s="759" t="s">
        <v>2952</v>
      </c>
      <c r="H220" s="760" t="s">
        <v>2953</v>
      </c>
      <c r="I220" s="761"/>
      <c r="J220" s="762"/>
      <c r="K220" s="762"/>
      <c r="L220" s="762"/>
      <c r="M220" s="762">
        <v>1</v>
      </c>
      <c r="N220" s="762"/>
      <c r="O220" s="762"/>
      <c r="P220" s="763"/>
      <c r="Q220" s="764">
        <f t="shared" si="3"/>
        <v>1</v>
      </c>
      <c r="R220" s="758" t="s">
        <v>1825</v>
      </c>
      <c r="S220" s="742"/>
      <c r="T220" s="765"/>
      <c r="U220" s="742" t="s">
        <v>2396</v>
      </c>
      <c r="V220" s="742" t="s">
        <v>321</v>
      </c>
      <c r="W220" s="742" t="s">
        <v>2657</v>
      </c>
      <c r="X220" s="798">
        <v>1</v>
      </c>
      <c r="Y220" s="790" t="s">
        <v>1828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2260</v>
      </c>
      <c r="BR220" s="769" t="s">
        <v>2260</v>
      </c>
      <c r="BS220" s="769" t="s">
        <v>2260</v>
      </c>
      <c r="BT220" s="769" t="s">
        <v>2260</v>
      </c>
      <c r="BU220" s="774" t="s">
        <v>2260</v>
      </c>
      <c r="BV220" s="777" t="s">
        <v>2260</v>
      </c>
      <c r="BW220" s="769" t="s">
        <v>2260</v>
      </c>
      <c r="BX220" s="769" t="s">
        <v>2260</v>
      </c>
      <c r="BY220" s="769" t="s">
        <v>2260</v>
      </c>
      <c r="BZ220" s="769" t="s">
        <v>2260</v>
      </c>
      <c r="CA220" s="777" t="s">
        <v>2260</v>
      </c>
      <c r="CB220" s="769" t="s">
        <v>2260</v>
      </c>
      <c r="CC220" s="769" t="s">
        <v>2260</v>
      </c>
      <c r="CD220" s="769" t="s">
        <v>2260</v>
      </c>
      <c r="CE220" s="774" t="s">
        <v>2260</v>
      </c>
      <c r="CF220" s="769" t="s">
        <v>2260</v>
      </c>
      <c r="CG220" s="769" t="s">
        <v>2260</v>
      </c>
      <c r="CH220" s="769" t="s">
        <v>2260</v>
      </c>
      <c r="CI220" s="769" t="s">
        <v>2260</v>
      </c>
      <c r="CJ220" s="774" t="s">
        <v>2260</v>
      </c>
      <c r="CK220" s="777" t="s">
        <v>2260</v>
      </c>
      <c r="CL220" s="769" t="s">
        <v>2260</v>
      </c>
      <c r="CM220" s="769" t="s">
        <v>2260</v>
      </c>
      <c r="CN220" s="769" t="s">
        <v>2260</v>
      </c>
      <c r="CO220" s="774" t="s">
        <v>2260</v>
      </c>
      <c r="CP220" s="777" t="s">
        <v>2260</v>
      </c>
      <c r="CQ220" s="769" t="s">
        <v>2260</v>
      </c>
      <c r="CR220" s="769" t="s">
        <v>2260</v>
      </c>
      <c r="CS220" s="769" t="s">
        <v>2260</v>
      </c>
      <c r="CT220" s="774" t="s">
        <v>2260</v>
      </c>
      <c r="CU220" s="1253" t="s">
        <v>2260</v>
      </c>
      <c r="CV220" s="1252" t="s">
        <v>2260</v>
      </c>
      <c r="CW220" s="1252" t="s">
        <v>2260</v>
      </c>
      <c r="CX220" s="1254" t="s">
        <v>2260</v>
      </c>
      <c r="CY220" s="1252" t="s">
        <v>2260</v>
      </c>
      <c r="CZ220" s="1252" t="s">
        <v>2260</v>
      </c>
      <c r="DA220" s="1252" t="s">
        <v>2260</v>
      </c>
      <c r="DB220" s="1254" t="s">
        <v>2260</v>
      </c>
      <c r="DC220" s="754"/>
      <c r="DD220" s="782">
        <v>1</v>
      </c>
      <c r="DE220" s="783"/>
    </row>
    <row r="221" spans="1:109" ht="15.75" hidden="1" customHeight="1">
      <c r="A221" s="741" t="s">
        <v>1296</v>
      </c>
      <c r="B221" s="742">
        <v>215</v>
      </c>
      <c r="C221" s="758" t="s">
        <v>1610</v>
      </c>
      <c r="D221" s="742" t="s">
        <v>2946</v>
      </c>
      <c r="E221" s="742" t="s">
        <v>2231</v>
      </c>
      <c r="F221" s="754" t="s">
        <v>2954</v>
      </c>
      <c r="G221" s="759" t="s">
        <v>2955</v>
      </c>
      <c r="H221" s="760" t="s">
        <v>2956</v>
      </c>
      <c r="I221" s="761"/>
      <c r="J221" s="762"/>
      <c r="K221" s="762"/>
      <c r="L221" s="762"/>
      <c r="M221" s="762">
        <v>1</v>
      </c>
      <c r="N221" s="762"/>
      <c r="O221" s="762"/>
      <c r="P221" s="763"/>
      <c r="Q221" s="764">
        <f t="shared" si="3"/>
        <v>1</v>
      </c>
      <c r="R221" s="758" t="s">
        <v>1825</v>
      </c>
      <c r="S221" s="742"/>
      <c r="T221" s="765"/>
      <c r="U221" s="742" t="s">
        <v>2396</v>
      </c>
      <c r="V221" s="742" t="s">
        <v>321</v>
      </c>
      <c r="W221" s="742" t="s">
        <v>2657</v>
      </c>
      <c r="X221" s="798">
        <v>1</v>
      </c>
      <c r="Y221" s="767" t="s">
        <v>1828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2260</v>
      </c>
      <c r="BR221" s="769" t="s">
        <v>2260</v>
      </c>
      <c r="BS221" s="769" t="s">
        <v>2260</v>
      </c>
      <c r="BT221" s="769" t="s">
        <v>2260</v>
      </c>
      <c r="BU221" s="774" t="s">
        <v>2260</v>
      </c>
      <c r="BV221" s="777" t="s">
        <v>2260</v>
      </c>
      <c r="BW221" s="769" t="s">
        <v>2260</v>
      </c>
      <c r="BX221" s="769" t="s">
        <v>2260</v>
      </c>
      <c r="BY221" s="769" t="s">
        <v>2260</v>
      </c>
      <c r="BZ221" s="769" t="s">
        <v>2260</v>
      </c>
      <c r="CA221" s="777" t="s">
        <v>2260</v>
      </c>
      <c r="CB221" s="769" t="s">
        <v>2260</v>
      </c>
      <c r="CC221" s="769" t="s">
        <v>2260</v>
      </c>
      <c r="CD221" s="769" t="s">
        <v>2260</v>
      </c>
      <c r="CE221" s="774" t="s">
        <v>2260</v>
      </c>
      <c r="CF221" s="769" t="s">
        <v>2260</v>
      </c>
      <c r="CG221" s="769" t="s">
        <v>2260</v>
      </c>
      <c r="CH221" s="769" t="s">
        <v>2260</v>
      </c>
      <c r="CI221" s="769" t="s">
        <v>2260</v>
      </c>
      <c r="CJ221" s="774" t="s">
        <v>2260</v>
      </c>
      <c r="CK221" s="777" t="s">
        <v>2260</v>
      </c>
      <c r="CL221" s="769" t="s">
        <v>2260</v>
      </c>
      <c r="CM221" s="769" t="s">
        <v>2260</v>
      </c>
      <c r="CN221" s="769" t="s">
        <v>2260</v>
      </c>
      <c r="CO221" s="774" t="s">
        <v>2260</v>
      </c>
      <c r="CP221" s="777" t="s">
        <v>2260</v>
      </c>
      <c r="CQ221" s="769" t="s">
        <v>2260</v>
      </c>
      <c r="CR221" s="769" t="s">
        <v>2260</v>
      </c>
      <c r="CS221" s="769" t="s">
        <v>2260</v>
      </c>
      <c r="CT221" s="774" t="s">
        <v>2260</v>
      </c>
      <c r="CU221" s="1253" t="s">
        <v>2260</v>
      </c>
      <c r="CV221" s="1252" t="s">
        <v>2260</v>
      </c>
      <c r="CW221" s="1252" t="s">
        <v>2260</v>
      </c>
      <c r="CX221" s="1254" t="s">
        <v>2260</v>
      </c>
      <c r="CY221" s="1252" t="s">
        <v>2260</v>
      </c>
      <c r="CZ221" s="1252" t="s">
        <v>2260</v>
      </c>
      <c r="DA221" s="1252" t="s">
        <v>2260</v>
      </c>
      <c r="DB221" s="1254" t="s">
        <v>2260</v>
      </c>
      <c r="DC221" s="754"/>
      <c r="DD221" s="782">
        <v>1</v>
      </c>
      <c r="DE221" s="783"/>
    </row>
    <row r="222" spans="1:109" ht="15.75" hidden="1" customHeight="1">
      <c r="A222" s="741" t="s">
        <v>1296</v>
      </c>
      <c r="B222" s="742">
        <v>216</v>
      </c>
      <c r="C222" s="758" t="s">
        <v>1344</v>
      </c>
      <c r="D222" s="742" t="s">
        <v>2946</v>
      </c>
      <c r="E222" s="742" t="s">
        <v>2231</v>
      </c>
      <c r="F222" s="754" t="s">
        <v>2957</v>
      </c>
      <c r="G222" s="759" t="s">
        <v>2502</v>
      </c>
      <c r="H222" s="760" t="s">
        <v>2958</v>
      </c>
      <c r="I222" s="761"/>
      <c r="J222" s="762"/>
      <c r="K222" s="762"/>
      <c r="L222" s="762"/>
      <c r="M222" s="762">
        <v>1</v>
      </c>
      <c r="N222" s="762"/>
      <c r="O222" s="762"/>
      <c r="P222" s="763"/>
      <c r="Q222" s="764">
        <f t="shared" si="3"/>
        <v>1</v>
      </c>
      <c r="R222" s="758" t="s">
        <v>1852</v>
      </c>
      <c r="S222" s="742" t="s">
        <v>1826</v>
      </c>
      <c r="T222" s="765" t="s">
        <v>1827</v>
      </c>
      <c r="U222" s="742" t="s">
        <v>2396</v>
      </c>
      <c r="V222" s="742" t="s">
        <v>321</v>
      </c>
      <c r="W222" s="742" t="s">
        <v>2959</v>
      </c>
      <c r="X222" s="798">
        <v>2</v>
      </c>
      <c r="Y222" s="767" t="s">
        <v>1838</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210</v>
      </c>
      <c r="BM222" s="754" t="s">
        <v>210</v>
      </c>
      <c r="BN222" s="754" t="s">
        <v>210</v>
      </c>
      <c r="BO222" s="754" t="s">
        <v>210</v>
      </c>
      <c r="BP222" s="765" t="s">
        <v>210</v>
      </c>
      <c r="BQ222" s="773" t="s">
        <v>2260</v>
      </c>
      <c r="BR222" s="769" t="s">
        <v>2260</v>
      </c>
      <c r="BS222" s="769" t="s">
        <v>2260</v>
      </c>
      <c r="BT222" s="769" t="s">
        <v>2260</v>
      </c>
      <c r="BU222" s="774" t="s">
        <v>2260</v>
      </c>
      <c r="BV222" s="775">
        <v>3.36</v>
      </c>
      <c r="BW222" s="776">
        <v>3.36</v>
      </c>
      <c r="BX222" s="776">
        <v>3.36</v>
      </c>
      <c r="BY222" s="776">
        <v>3.36</v>
      </c>
      <c r="BZ222" s="776">
        <v>3.36</v>
      </c>
      <c r="CA222" s="777" t="s">
        <v>2260</v>
      </c>
      <c r="CB222" s="769" t="s">
        <v>2260</v>
      </c>
      <c r="CC222" s="769" t="s">
        <v>2260</v>
      </c>
      <c r="CD222" s="769" t="s">
        <v>2260</v>
      </c>
      <c r="CE222" s="774" t="s">
        <v>2260</v>
      </c>
      <c r="CF222" s="779" t="s">
        <v>2260</v>
      </c>
      <c r="CG222" s="779" t="s">
        <v>2260</v>
      </c>
      <c r="CH222" s="779" t="s">
        <v>2260</v>
      </c>
      <c r="CI222" s="779" t="s">
        <v>2260</v>
      </c>
      <c r="CJ222" s="780" t="s">
        <v>2260</v>
      </c>
      <c r="CK222" s="777">
        <v>2.2999999999999998</v>
      </c>
      <c r="CL222" s="769">
        <v>2.2000000000000002</v>
      </c>
      <c r="CM222" s="769">
        <v>2</v>
      </c>
      <c r="CN222" s="769">
        <v>1.9</v>
      </c>
      <c r="CO222" s="774">
        <v>1.7</v>
      </c>
      <c r="CP222" s="777" t="s">
        <v>2260</v>
      </c>
      <c r="CQ222" s="769" t="s">
        <v>2260</v>
      </c>
      <c r="CR222" s="769" t="s">
        <v>2260</v>
      </c>
      <c r="CS222" s="769" t="s">
        <v>2260</v>
      </c>
      <c r="CT222" s="774" t="s">
        <v>2260</v>
      </c>
      <c r="CU222" s="1253">
        <v>-0.24099999999999999</v>
      </c>
      <c r="CV222" s="1252" t="s">
        <v>2260</v>
      </c>
      <c r="CW222" s="1252" t="s">
        <v>2260</v>
      </c>
      <c r="CX222" s="1254" t="s">
        <v>2260</v>
      </c>
      <c r="CY222" s="1252">
        <v>0.24099999999999999</v>
      </c>
      <c r="CZ222" s="1252" t="s">
        <v>2260</v>
      </c>
      <c r="DA222" s="1252" t="s">
        <v>2260</v>
      </c>
      <c r="DB222" s="1254" t="s">
        <v>2260</v>
      </c>
      <c r="DC222" s="754"/>
      <c r="DD222" s="782">
        <v>1</v>
      </c>
      <c r="DE222" s="783"/>
    </row>
    <row r="223" spans="1:109" ht="15.75" hidden="1" customHeight="1">
      <c r="A223" s="741" t="s">
        <v>1296</v>
      </c>
      <c r="B223" s="742">
        <v>217</v>
      </c>
      <c r="C223" s="758" t="s">
        <v>1183</v>
      </c>
      <c r="D223" s="742" t="s">
        <v>2946</v>
      </c>
      <c r="E223" s="742" t="s">
        <v>2231</v>
      </c>
      <c r="F223" s="754" t="s">
        <v>2960</v>
      </c>
      <c r="G223" s="759" t="s">
        <v>755</v>
      </c>
      <c r="H223" s="760" t="s">
        <v>2938</v>
      </c>
      <c r="I223" s="761"/>
      <c r="J223" s="762"/>
      <c r="K223" s="762"/>
      <c r="L223" s="762"/>
      <c r="M223" s="762">
        <v>1</v>
      </c>
      <c r="N223" s="762"/>
      <c r="O223" s="762"/>
      <c r="P223" s="763"/>
      <c r="Q223" s="764">
        <f t="shared" si="3"/>
        <v>1</v>
      </c>
      <c r="R223" s="758" t="s">
        <v>1825</v>
      </c>
      <c r="S223" s="742"/>
      <c r="T223" s="765"/>
      <c r="U223" s="742" t="s">
        <v>2396</v>
      </c>
      <c r="V223" s="742" t="s">
        <v>321</v>
      </c>
      <c r="W223" s="742" t="s">
        <v>2961</v>
      </c>
      <c r="X223" s="798">
        <v>1</v>
      </c>
      <c r="Y223" s="767" t="s">
        <v>1828</v>
      </c>
      <c r="Z223" s="759" t="s">
        <v>755</v>
      </c>
      <c r="AA223" s="754"/>
      <c r="AB223" s="754"/>
      <c r="AC223" s="754"/>
      <c r="AD223" s="754"/>
      <c r="AE223" s="754"/>
      <c r="AF223" s="768"/>
      <c r="AG223" s="769"/>
      <c r="AH223" s="769"/>
      <c r="AI223" s="769"/>
      <c r="AJ223" s="769"/>
      <c r="AK223" s="769"/>
      <c r="AL223" s="769"/>
      <c r="AM223" s="769"/>
      <c r="AN223" s="769"/>
      <c r="AO223" s="769"/>
      <c r="AP223" s="769"/>
      <c r="AQ223" s="1369"/>
      <c r="AR223" s="1319"/>
      <c r="AS223" s="1319"/>
      <c r="AT223" s="1319"/>
      <c r="AU223" s="1320"/>
      <c r="AV223" s="777"/>
      <c r="AW223" s="769"/>
      <c r="AX223" s="769"/>
      <c r="AY223" s="769"/>
      <c r="AZ223" s="769"/>
      <c r="BA223" s="769"/>
      <c r="BB223" s="769"/>
      <c r="BC223" s="769"/>
      <c r="BD223" s="769"/>
      <c r="BE223" s="769"/>
      <c r="BF223" s="769"/>
      <c r="BG223" s="769"/>
      <c r="BH223" s="769"/>
      <c r="BI223" s="769"/>
      <c r="BJ223" s="769"/>
      <c r="BK223" s="774"/>
      <c r="BL223" s="1327"/>
      <c r="BM223" s="1328"/>
      <c r="BN223" s="1328"/>
      <c r="BO223" s="1328"/>
      <c r="BP223" s="1389"/>
      <c r="BQ223" s="1369"/>
      <c r="BR223" s="1319"/>
      <c r="BS223" s="1319"/>
      <c r="BT223" s="1319"/>
      <c r="BU223" s="1320"/>
      <c r="BV223" s="1369"/>
      <c r="BW223" s="1319"/>
      <c r="BX223" s="1319"/>
      <c r="BY223" s="1319"/>
      <c r="BZ223" s="1319"/>
      <c r="CA223" s="1369"/>
      <c r="CB223" s="1319"/>
      <c r="CC223" s="1319"/>
      <c r="CD223" s="1319"/>
      <c r="CE223" s="1320"/>
      <c r="CF223" s="1319"/>
      <c r="CG223" s="1319"/>
      <c r="CH223" s="1319"/>
      <c r="CI223" s="1319"/>
      <c r="CJ223" s="1320"/>
      <c r="CK223" s="1369"/>
      <c r="CL223" s="1319"/>
      <c r="CM223" s="1319"/>
      <c r="CN223" s="1319"/>
      <c r="CO223" s="1320"/>
      <c r="CP223" s="1369"/>
      <c r="CQ223" s="1319"/>
      <c r="CR223" s="1319"/>
      <c r="CS223" s="1319"/>
      <c r="CT223" s="1320"/>
      <c r="CU223" s="1467"/>
      <c r="CV223" s="1458"/>
      <c r="CW223" s="1458"/>
      <c r="CX223" s="1663"/>
      <c r="CY223" s="1458"/>
      <c r="CZ223" s="1458"/>
      <c r="DA223" s="1458"/>
      <c r="DB223" s="1663"/>
      <c r="DC223" s="1328"/>
      <c r="DD223" s="1664"/>
      <c r="DE223" s="1669"/>
    </row>
    <row r="224" spans="1:109" ht="15.75" hidden="1" customHeight="1">
      <c r="A224" s="741" t="s">
        <v>1296</v>
      </c>
      <c r="B224" s="742">
        <v>218</v>
      </c>
      <c r="C224" s="758" t="s">
        <v>1182</v>
      </c>
      <c r="D224" s="742" t="s">
        <v>2962</v>
      </c>
      <c r="E224" s="742" t="s">
        <v>2231</v>
      </c>
      <c r="F224" s="754" t="s">
        <v>2963</v>
      </c>
      <c r="G224" s="759" t="s">
        <v>567</v>
      </c>
      <c r="H224" s="760" t="s">
        <v>2938</v>
      </c>
      <c r="I224" s="761">
        <v>1</v>
      </c>
      <c r="J224" s="762"/>
      <c r="K224" s="762"/>
      <c r="L224" s="762"/>
      <c r="M224" s="762"/>
      <c r="N224" s="762"/>
      <c r="O224" s="762"/>
      <c r="P224" s="763"/>
      <c r="Q224" s="764">
        <f t="shared" si="3"/>
        <v>1</v>
      </c>
      <c r="R224" s="758" t="s">
        <v>1825</v>
      </c>
      <c r="S224" s="742"/>
      <c r="T224" s="765"/>
      <c r="U224" s="742" t="s">
        <v>2234</v>
      </c>
      <c r="V224" s="742" t="s">
        <v>321</v>
      </c>
      <c r="W224" s="742" t="s">
        <v>2964</v>
      </c>
      <c r="X224" s="798">
        <v>1</v>
      </c>
      <c r="Y224" s="767" t="s">
        <v>1838</v>
      </c>
      <c r="Z224" s="759" t="s">
        <v>567</v>
      </c>
      <c r="AA224" s="754"/>
      <c r="AB224" s="754"/>
      <c r="AC224" s="754"/>
      <c r="AD224" s="754"/>
      <c r="AE224" s="754"/>
      <c r="AF224" s="768"/>
      <c r="AG224" s="776"/>
      <c r="AH224" s="776"/>
      <c r="AI224" s="776"/>
      <c r="AJ224" s="776"/>
      <c r="AK224" s="776"/>
      <c r="AL224" s="776"/>
      <c r="AM224" s="776"/>
      <c r="AN224" s="785"/>
      <c r="AO224" s="785"/>
      <c r="AP224" s="785"/>
      <c r="AQ224" s="1460"/>
      <c r="AR224" s="1665"/>
      <c r="AS224" s="1665"/>
      <c r="AT224" s="1665"/>
      <c r="AU224" s="1466"/>
      <c r="AV224" s="786"/>
      <c r="AW224" s="785"/>
      <c r="AX224" s="785"/>
      <c r="AY224" s="785"/>
      <c r="AZ224" s="785"/>
      <c r="BA224" s="785"/>
      <c r="BB224" s="785"/>
      <c r="BC224" s="785"/>
      <c r="BD224" s="785"/>
      <c r="BE224" s="785"/>
      <c r="BF224" s="785"/>
      <c r="BG224" s="785"/>
      <c r="BH224" s="785"/>
      <c r="BI224" s="785"/>
      <c r="BJ224" s="785"/>
      <c r="BK224" s="787"/>
      <c r="BL224" s="1327"/>
      <c r="BM224" s="1328"/>
      <c r="BN224" s="1328"/>
      <c r="BO224" s="1328"/>
      <c r="BP224" s="1389"/>
      <c r="BQ224" s="1369"/>
      <c r="BR224" s="1319"/>
      <c r="BS224" s="1319"/>
      <c r="BT224" s="1319"/>
      <c r="BU224" s="1320"/>
      <c r="BV224" s="1670"/>
      <c r="BW224" s="1671"/>
      <c r="BX224" s="1671"/>
      <c r="BY224" s="1671"/>
      <c r="BZ224" s="1671"/>
      <c r="CA224" s="1369"/>
      <c r="CB224" s="1319"/>
      <c r="CC224" s="1319"/>
      <c r="CD224" s="1319"/>
      <c r="CE224" s="1320"/>
      <c r="CF224" s="1319"/>
      <c r="CG224" s="1319"/>
      <c r="CH224" s="1319"/>
      <c r="CI224" s="1319"/>
      <c r="CJ224" s="1319"/>
      <c r="CK224" s="1670"/>
      <c r="CL224" s="1671"/>
      <c r="CM224" s="1671"/>
      <c r="CN224" s="1671"/>
      <c r="CO224" s="1688"/>
      <c r="CP224" s="1369"/>
      <c r="CQ224" s="1319"/>
      <c r="CR224" s="1319"/>
      <c r="CS224" s="1319"/>
      <c r="CT224" s="1320"/>
      <c r="CU224" s="1467"/>
      <c r="CV224" s="1458"/>
      <c r="CW224" s="1458"/>
      <c r="CX224" s="1663"/>
      <c r="CY224" s="1458"/>
      <c r="CZ224" s="1458"/>
      <c r="DA224" s="1458"/>
      <c r="DB224" s="1663"/>
      <c r="DC224" s="1328"/>
      <c r="DD224" s="1664"/>
      <c r="DE224" s="1669"/>
    </row>
    <row r="225" spans="1:109" ht="15.75" hidden="1" customHeight="1">
      <c r="A225" s="741" t="s">
        <v>1296</v>
      </c>
      <c r="B225" s="742">
        <v>219</v>
      </c>
      <c r="C225" s="758" t="s">
        <v>1177</v>
      </c>
      <c r="D225" s="742" t="s">
        <v>2962</v>
      </c>
      <c r="E225" s="742" t="s">
        <v>2231</v>
      </c>
      <c r="F225" s="754" t="s">
        <v>2965</v>
      </c>
      <c r="G225" s="759" t="s">
        <v>209</v>
      </c>
      <c r="H225" s="760" t="s">
        <v>2938</v>
      </c>
      <c r="I225" s="761"/>
      <c r="J225" s="762">
        <v>1</v>
      </c>
      <c r="K225" s="762"/>
      <c r="L225" s="762"/>
      <c r="M225" s="762"/>
      <c r="N225" s="762"/>
      <c r="O225" s="762"/>
      <c r="P225" s="763"/>
      <c r="Q225" s="764">
        <f t="shared" si="3"/>
        <v>1</v>
      </c>
      <c r="R225" s="758" t="s">
        <v>1846</v>
      </c>
      <c r="S225" s="742" t="s">
        <v>1826</v>
      </c>
      <c r="T225" s="765" t="s">
        <v>1827</v>
      </c>
      <c r="U225" s="742" t="s">
        <v>2238</v>
      </c>
      <c r="V225" s="742" t="s">
        <v>321</v>
      </c>
      <c r="W225" s="742" t="s">
        <v>2966</v>
      </c>
      <c r="X225" s="798">
        <v>2</v>
      </c>
      <c r="Y225" s="788" t="s">
        <v>1838</v>
      </c>
      <c r="Z225" s="759" t="s">
        <v>209</v>
      </c>
      <c r="AA225" s="754"/>
      <c r="AB225" s="754"/>
      <c r="AC225" s="754"/>
      <c r="AD225" s="754"/>
      <c r="AE225" s="754"/>
      <c r="AF225" s="768"/>
      <c r="AG225" s="769"/>
      <c r="AH225" s="769"/>
      <c r="AI225" s="769"/>
      <c r="AJ225" s="769"/>
      <c r="AK225" s="769"/>
      <c r="AL225" s="769"/>
      <c r="AM225" s="769"/>
      <c r="AN225" s="769"/>
      <c r="AO225" s="769"/>
      <c r="AP225" s="769"/>
      <c r="AQ225" s="1370"/>
      <c r="AR225" s="1324"/>
      <c r="AS225" s="1324"/>
      <c r="AT225" s="1324"/>
      <c r="AU225" s="1325"/>
      <c r="AV225" s="777"/>
      <c r="AW225" s="769"/>
      <c r="AX225" s="769"/>
      <c r="AY225" s="769"/>
      <c r="AZ225" s="769"/>
      <c r="BA225" s="769"/>
      <c r="BB225" s="769"/>
      <c r="BC225" s="769"/>
      <c r="BD225" s="769"/>
      <c r="BE225" s="769"/>
      <c r="BF225" s="769"/>
      <c r="BG225" s="769"/>
      <c r="BH225" s="769"/>
      <c r="BI225" s="769"/>
      <c r="BJ225" s="769"/>
      <c r="BK225" s="774"/>
      <c r="BL225" s="1327"/>
      <c r="BM225" s="1328"/>
      <c r="BN225" s="1328"/>
      <c r="BO225" s="1328"/>
      <c r="BP225" s="1389"/>
      <c r="BQ225" s="1369"/>
      <c r="BR225" s="1319"/>
      <c r="BS225" s="1319"/>
      <c r="BT225" s="1319"/>
      <c r="BU225" s="1320"/>
      <c r="BV225" s="1369"/>
      <c r="BW225" s="1319"/>
      <c r="BX225" s="1319"/>
      <c r="BY225" s="1319"/>
      <c r="BZ225" s="1319"/>
      <c r="CA225" s="1369"/>
      <c r="CB225" s="1319"/>
      <c r="CC225" s="1319"/>
      <c r="CD225" s="1319"/>
      <c r="CE225" s="1320"/>
      <c r="CF225" s="1319"/>
      <c r="CG225" s="1319"/>
      <c r="CH225" s="1319"/>
      <c r="CI225" s="1319"/>
      <c r="CJ225" s="1320"/>
      <c r="CK225" s="1369"/>
      <c r="CL225" s="1319"/>
      <c r="CM225" s="1319"/>
      <c r="CN225" s="1319"/>
      <c r="CO225" s="1320"/>
      <c r="CP225" s="1369"/>
      <c r="CQ225" s="1319"/>
      <c r="CR225" s="1319"/>
      <c r="CS225" s="1319"/>
      <c r="CT225" s="1320"/>
      <c r="CU225" s="1467"/>
      <c r="CV225" s="1458"/>
      <c r="CW225" s="1458"/>
      <c r="CX225" s="1663"/>
      <c r="CY225" s="1458"/>
      <c r="CZ225" s="1458"/>
      <c r="DA225" s="1458"/>
      <c r="DB225" s="1663"/>
      <c r="DC225" s="1328"/>
      <c r="DD225" s="1664"/>
      <c r="DE225" s="1669"/>
    </row>
    <row r="226" spans="1:109" ht="15.75" hidden="1" customHeight="1">
      <c r="A226" s="741" t="s">
        <v>1296</v>
      </c>
      <c r="B226" s="742">
        <v>220</v>
      </c>
      <c r="C226" s="758" t="s">
        <v>1188</v>
      </c>
      <c r="D226" s="742" t="s">
        <v>2962</v>
      </c>
      <c r="E226" s="742" t="s">
        <v>2223</v>
      </c>
      <c r="F226" s="754" t="s">
        <v>2967</v>
      </c>
      <c r="G226" s="759" t="s">
        <v>705</v>
      </c>
      <c r="H226" s="760" t="s">
        <v>2938</v>
      </c>
      <c r="I226" s="761"/>
      <c r="J226" s="762">
        <v>1</v>
      </c>
      <c r="K226" s="762"/>
      <c r="L226" s="762"/>
      <c r="M226" s="762"/>
      <c r="N226" s="762"/>
      <c r="O226" s="762"/>
      <c r="P226" s="763"/>
      <c r="Q226" s="764">
        <f t="shared" si="3"/>
        <v>1</v>
      </c>
      <c r="R226" s="758" t="s">
        <v>1852</v>
      </c>
      <c r="S226" s="742" t="s">
        <v>1826</v>
      </c>
      <c r="T226" s="765" t="s">
        <v>1827</v>
      </c>
      <c r="U226" s="742" t="s">
        <v>705</v>
      </c>
      <c r="V226" s="742" t="s">
        <v>1857</v>
      </c>
      <c r="W226" s="742" t="s">
        <v>2968</v>
      </c>
      <c r="X226" s="798">
        <v>1</v>
      </c>
      <c r="Y226" s="788" t="s">
        <v>1838</v>
      </c>
      <c r="Z226" s="759" t="s">
        <v>705</v>
      </c>
      <c r="AA226" s="754"/>
      <c r="AB226" s="754"/>
      <c r="AC226" s="754"/>
      <c r="AD226" s="754"/>
      <c r="AE226" s="754"/>
      <c r="AF226" s="768"/>
      <c r="AG226" s="769"/>
      <c r="AH226" s="769"/>
      <c r="AI226" s="769"/>
      <c r="AJ226" s="769"/>
      <c r="AK226" s="769"/>
      <c r="AL226" s="769"/>
      <c r="AM226" s="769"/>
      <c r="AN226" s="769"/>
      <c r="AO226" s="769"/>
      <c r="AP226" s="769"/>
      <c r="AQ226" s="1370"/>
      <c r="AR226" s="1324"/>
      <c r="AS226" s="1324"/>
      <c r="AT226" s="1324"/>
      <c r="AU226" s="1325"/>
      <c r="AV226" s="777"/>
      <c r="AW226" s="769"/>
      <c r="AX226" s="769"/>
      <c r="AY226" s="769"/>
      <c r="AZ226" s="769"/>
      <c r="BA226" s="769"/>
      <c r="BB226" s="769"/>
      <c r="BC226" s="769"/>
      <c r="BD226" s="769"/>
      <c r="BE226" s="769"/>
      <c r="BF226" s="769"/>
      <c r="BG226" s="769"/>
      <c r="BH226" s="769"/>
      <c r="BI226" s="769"/>
      <c r="BJ226" s="769"/>
      <c r="BK226" s="774"/>
      <c r="BL226" s="1327"/>
      <c r="BM226" s="1328"/>
      <c r="BN226" s="1328"/>
      <c r="BO226" s="1328"/>
      <c r="BP226" s="1389"/>
      <c r="BQ226" s="1460"/>
      <c r="BR226" s="1665"/>
      <c r="BS226" s="1665"/>
      <c r="BT226" s="1665"/>
      <c r="BU226" s="1466"/>
      <c r="BV226" s="1370"/>
      <c r="BW226" s="1324"/>
      <c r="BX226" s="1324"/>
      <c r="BY226" s="1324"/>
      <c r="BZ226" s="1324"/>
      <c r="CA226" s="1369"/>
      <c r="CB226" s="1319"/>
      <c r="CC226" s="1319"/>
      <c r="CD226" s="1319"/>
      <c r="CE226" s="1320"/>
      <c r="CF226" s="1319"/>
      <c r="CG226" s="1319"/>
      <c r="CH226" s="1319"/>
      <c r="CI226" s="1319"/>
      <c r="CJ226" s="1320"/>
      <c r="CK226" s="1370"/>
      <c r="CL226" s="1324"/>
      <c r="CM226" s="1324"/>
      <c r="CN226" s="1324"/>
      <c r="CO226" s="1325"/>
      <c r="CP226" s="1370"/>
      <c r="CQ226" s="1324"/>
      <c r="CR226" s="1324"/>
      <c r="CS226" s="1324"/>
      <c r="CT226" s="1325"/>
      <c r="CU226" s="1467"/>
      <c r="CV226" s="1458"/>
      <c r="CW226" s="1458"/>
      <c r="CX226" s="1663"/>
      <c r="CY226" s="1458"/>
      <c r="CZ226" s="1458"/>
      <c r="DA226" s="1458"/>
      <c r="DB226" s="1663"/>
      <c r="DC226" s="1328"/>
      <c r="DD226" s="1664"/>
      <c r="DE226" s="1669"/>
    </row>
    <row r="227" spans="1:109" ht="15.75" hidden="1" customHeight="1">
      <c r="A227" s="741" t="s">
        <v>1296</v>
      </c>
      <c r="B227" s="742">
        <v>221</v>
      </c>
      <c r="C227" s="758" t="s">
        <v>1361</v>
      </c>
      <c r="D227" s="742" t="s">
        <v>2969</v>
      </c>
      <c r="E227" s="742" t="s">
        <v>2231</v>
      </c>
      <c r="F227" s="754" t="s">
        <v>2970</v>
      </c>
      <c r="G227" s="759" t="s">
        <v>2971</v>
      </c>
      <c r="H227" s="760" t="s">
        <v>2972</v>
      </c>
      <c r="I227" s="761"/>
      <c r="J227" s="762"/>
      <c r="K227" s="762"/>
      <c r="L227" s="762"/>
      <c r="M227" s="762">
        <v>1</v>
      </c>
      <c r="N227" s="762"/>
      <c r="O227" s="762"/>
      <c r="P227" s="763"/>
      <c r="Q227" s="764">
        <f t="shared" si="3"/>
        <v>1</v>
      </c>
      <c r="R227" s="758" t="s">
        <v>1846</v>
      </c>
      <c r="S227" s="742" t="s">
        <v>1826</v>
      </c>
      <c r="T227" s="765" t="s">
        <v>1827</v>
      </c>
      <c r="U227" s="742" t="s">
        <v>2264</v>
      </c>
      <c r="V227" s="742" t="s">
        <v>321</v>
      </c>
      <c r="W227" s="742" t="s">
        <v>2973</v>
      </c>
      <c r="X227" s="798">
        <v>1</v>
      </c>
      <c r="Y227" s="790" t="s">
        <v>1828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210</v>
      </c>
      <c r="BM227" s="754" t="s">
        <v>210</v>
      </c>
      <c r="BN227" s="754" t="s">
        <v>210</v>
      </c>
      <c r="BO227" s="754" t="s">
        <v>210</v>
      </c>
      <c r="BP227" s="765" t="s">
        <v>210</v>
      </c>
      <c r="BQ227" s="777" t="s">
        <v>2260</v>
      </c>
      <c r="BR227" s="769" t="s">
        <v>2260</v>
      </c>
      <c r="BS227" s="769" t="s">
        <v>2260</v>
      </c>
      <c r="BT227" s="769" t="s">
        <v>2260</v>
      </c>
      <c r="BU227" s="774" t="s">
        <v>2260</v>
      </c>
      <c r="BV227" s="777" t="s">
        <v>2260</v>
      </c>
      <c r="BW227" s="769" t="s">
        <v>2260</v>
      </c>
      <c r="BX227" s="769" t="s">
        <v>2260</v>
      </c>
      <c r="BY227" s="769" t="s">
        <v>2260</v>
      </c>
      <c r="BZ227" s="769" t="s">
        <v>2260</v>
      </c>
      <c r="CA227" s="777" t="s">
        <v>2260</v>
      </c>
      <c r="CB227" s="769" t="s">
        <v>2260</v>
      </c>
      <c r="CC227" s="769" t="s">
        <v>2260</v>
      </c>
      <c r="CD227" s="769" t="s">
        <v>2260</v>
      </c>
      <c r="CE227" s="774" t="s">
        <v>2260</v>
      </c>
      <c r="CF227" s="769" t="s">
        <v>2260</v>
      </c>
      <c r="CG227" s="769" t="s">
        <v>2260</v>
      </c>
      <c r="CH227" s="769" t="s">
        <v>2260</v>
      </c>
      <c r="CI227" s="769" t="s">
        <v>2260</v>
      </c>
      <c r="CJ227" s="774" t="s">
        <v>2260</v>
      </c>
      <c r="CK227" s="777" t="s">
        <v>2260</v>
      </c>
      <c r="CL227" s="769" t="s">
        <v>2260</v>
      </c>
      <c r="CM227" s="769" t="s">
        <v>2260</v>
      </c>
      <c r="CN227" s="769" t="s">
        <v>2260</v>
      </c>
      <c r="CO227" s="774" t="s">
        <v>2260</v>
      </c>
      <c r="CP227" s="777" t="s">
        <v>2260</v>
      </c>
      <c r="CQ227" s="769" t="s">
        <v>2260</v>
      </c>
      <c r="CR227" s="769" t="s">
        <v>2260</v>
      </c>
      <c r="CS227" s="769" t="s">
        <v>2260</v>
      </c>
      <c r="CT227" s="774" t="s">
        <v>2260</v>
      </c>
      <c r="CU227" s="1253">
        <v>-3.261E-3</v>
      </c>
      <c r="CV227" s="1252" t="s">
        <v>2260</v>
      </c>
      <c r="CW227" s="1252" t="s">
        <v>2260</v>
      </c>
      <c r="CX227" s="1254" t="s">
        <v>2260</v>
      </c>
      <c r="CY227" s="1252" t="s">
        <v>2260</v>
      </c>
      <c r="CZ227" s="1252" t="s">
        <v>2260</v>
      </c>
      <c r="DA227" s="1252" t="s">
        <v>2260</v>
      </c>
      <c r="DB227" s="1254" t="s">
        <v>2260</v>
      </c>
      <c r="DC227" s="754"/>
      <c r="DD227" s="782">
        <v>1</v>
      </c>
      <c r="DE227" s="783"/>
    </row>
    <row r="228" spans="1:109" ht="15.75" hidden="1" customHeight="1">
      <c r="A228" s="741" t="s">
        <v>1296</v>
      </c>
      <c r="B228" s="742">
        <v>222</v>
      </c>
      <c r="C228" s="758" t="s">
        <v>1765</v>
      </c>
      <c r="D228" s="742" t="s">
        <v>2969</v>
      </c>
      <c r="E228" s="742" t="s">
        <v>2231</v>
      </c>
      <c r="F228" s="754" t="s">
        <v>2974</v>
      </c>
      <c r="G228" s="759" t="s">
        <v>2251</v>
      </c>
      <c r="H228" s="760" t="s">
        <v>2938</v>
      </c>
      <c r="I228" s="761"/>
      <c r="J228" s="762"/>
      <c r="K228" s="762"/>
      <c r="L228" s="762"/>
      <c r="M228" s="762">
        <v>1</v>
      </c>
      <c r="N228" s="762"/>
      <c r="O228" s="762"/>
      <c r="P228" s="763"/>
      <c r="Q228" s="764">
        <f t="shared" si="3"/>
        <v>1</v>
      </c>
      <c r="R228" s="758" t="s">
        <v>1852</v>
      </c>
      <c r="S228" s="742" t="s">
        <v>1826</v>
      </c>
      <c r="T228" s="765" t="s">
        <v>1827</v>
      </c>
      <c r="U228" s="742" t="s">
        <v>1888</v>
      </c>
      <c r="V228" s="742" t="s">
        <v>1897</v>
      </c>
      <c r="W228" s="742" t="s">
        <v>2975</v>
      </c>
      <c r="X228" s="1243">
        <v>2</v>
      </c>
      <c r="Y228" s="788" t="s">
        <v>1828</v>
      </c>
      <c r="Z228" s="759" t="s">
        <v>2251</v>
      </c>
      <c r="AA228" s="754"/>
      <c r="AB228" s="754"/>
      <c r="AC228" s="754"/>
      <c r="AD228" s="754"/>
      <c r="AE228" s="754"/>
      <c r="AF228" s="768"/>
      <c r="AG228" s="769"/>
      <c r="AH228" s="769"/>
      <c r="AI228" s="769"/>
      <c r="AJ228" s="769"/>
      <c r="AK228" s="769"/>
      <c r="AL228" s="769"/>
      <c r="AM228" s="769"/>
      <c r="AN228" s="769"/>
      <c r="AO228" s="769"/>
      <c r="AP228" s="769"/>
      <c r="AQ228" s="1369"/>
      <c r="AR228" s="1319"/>
      <c r="AS228" s="1319"/>
      <c r="AT228" s="1319"/>
      <c r="AU228" s="1320"/>
      <c r="AV228" s="777"/>
      <c r="AW228" s="769"/>
      <c r="AX228" s="769"/>
      <c r="AY228" s="769"/>
      <c r="AZ228" s="769"/>
      <c r="BA228" s="769"/>
      <c r="BB228" s="769"/>
      <c r="BC228" s="769"/>
      <c r="BD228" s="769"/>
      <c r="BE228" s="769"/>
      <c r="BF228" s="769"/>
      <c r="BG228" s="769"/>
      <c r="BH228" s="769"/>
      <c r="BI228" s="769"/>
      <c r="BJ228" s="769"/>
      <c r="BK228" s="774"/>
      <c r="BL228" s="1327"/>
      <c r="BM228" s="1328"/>
      <c r="BN228" s="1328"/>
      <c r="BO228" s="1328"/>
      <c r="BP228" s="1389"/>
      <c r="BQ228" s="1369"/>
      <c r="BR228" s="1319"/>
      <c r="BS228" s="1319"/>
      <c r="BT228" s="1319"/>
      <c r="BU228" s="1320"/>
      <c r="BV228" s="1369"/>
      <c r="BW228" s="1319"/>
      <c r="BX228" s="1319"/>
      <c r="BY228" s="1319"/>
      <c r="BZ228" s="1319"/>
      <c r="CA228" s="1369"/>
      <c r="CB228" s="1319"/>
      <c r="CC228" s="1319"/>
      <c r="CD228" s="1319"/>
      <c r="CE228" s="1320"/>
      <c r="CF228" s="1319"/>
      <c r="CG228" s="1319"/>
      <c r="CH228" s="1319"/>
      <c r="CI228" s="1319"/>
      <c r="CJ228" s="1320"/>
      <c r="CK228" s="1369"/>
      <c r="CL228" s="1319"/>
      <c r="CM228" s="1319"/>
      <c r="CN228" s="1319"/>
      <c r="CO228" s="1320"/>
      <c r="CP228" s="1369"/>
      <c r="CQ228" s="1319"/>
      <c r="CR228" s="1319"/>
      <c r="CS228" s="1319"/>
      <c r="CT228" s="1320"/>
      <c r="CU228" s="1467"/>
      <c r="CV228" s="1458"/>
      <c r="CW228" s="1458"/>
      <c r="CX228" s="1663"/>
      <c r="CY228" s="1458"/>
      <c r="CZ228" s="1458"/>
      <c r="DA228" s="1458"/>
      <c r="DB228" s="1663"/>
      <c r="DC228" s="1328"/>
      <c r="DD228" s="1664"/>
      <c r="DE228" s="1669"/>
    </row>
    <row r="229" spans="1:109" ht="15.75" hidden="1" customHeight="1">
      <c r="A229" s="741" t="s">
        <v>1296</v>
      </c>
      <c r="B229" s="742">
        <v>223</v>
      </c>
      <c r="C229" s="758" t="s">
        <v>1782</v>
      </c>
      <c r="D229" s="742" t="s">
        <v>2969</v>
      </c>
      <c r="E229" s="742" t="s">
        <v>2231</v>
      </c>
      <c r="F229" s="754" t="s">
        <v>2976</v>
      </c>
      <c r="G229" s="759" t="s">
        <v>2254</v>
      </c>
      <c r="H229" s="760" t="s">
        <v>2938</v>
      </c>
      <c r="I229" s="761"/>
      <c r="J229" s="762">
        <v>1</v>
      </c>
      <c r="K229" s="762"/>
      <c r="L229" s="762"/>
      <c r="M229" s="762"/>
      <c r="N229" s="762"/>
      <c r="O229" s="762"/>
      <c r="P229" s="763"/>
      <c r="Q229" s="764">
        <f t="shared" si="3"/>
        <v>1</v>
      </c>
      <c r="R229" s="758" t="s">
        <v>1852</v>
      </c>
      <c r="S229" s="742" t="s">
        <v>1826</v>
      </c>
      <c r="T229" s="765" t="s">
        <v>1827</v>
      </c>
      <c r="U229" s="742" t="s">
        <v>1891</v>
      </c>
      <c r="V229" s="742" t="s">
        <v>1897</v>
      </c>
      <c r="W229" s="742" t="s">
        <v>2902</v>
      </c>
      <c r="X229" s="1243">
        <v>2</v>
      </c>
      <c r="Y229" s="791" t="s">
        <v>1828</v>
      </c>
      <c r="Z229" s="759" t="s">
        <v>2254</v>
      </c>
      <c r="AA229" s="754"/>
      <c r="AB229" s="754"/>
      <c r="AC229" s="754"/>
      <c r="AD229" s="754"/>
      <c r="AE229" s="754"/>
      <c r="AF229" s="768"/>
      <c r="AG229" s="769"/>
      <c r="AH229" s="769"/>
      <c r="AI229" s="769"/>
      <c r="AJ229" s="769"/>
      <c r="AK229" s="769"/>
      <c r="AL229" s="769"/>
      <c r="AM229" s="769"/>
      <c r="AN229" s="769"/>
      <c r="AO229" s="769"/>
      <c r="AP229" s="769"/>
      <c r="AQ229" s="1369"/>
      <c r="AR229" s="1319"/>
      <c r="AS229" s="1319"/>
      <c r="AT229" s="1319"/>
      <c r="AU229" s="1320"/>
      <c r="AV229" s="777"/>
      <c r="AW229" s="769"/>
      <c r="AX229" s="769"/>
      <c r="AY229" s="769"/>
      <c r="AZ229" s="769"/>
      <c r="BA229" s="769"/>
      <c r="BB229" s="769"/>
      <c r="BC229" s="769"/>
      <c r="BD229" s="769"/>
      <c r="BE229" s="769"/>
      <c r="BF229" s="769"/>
      <c r="BG229" s="769"/>
      <c r="BH229" s="769"/>
      <c r="BI229" s="769"/>
      <c r="BJ229" s="769"/>
      <c r="BK229" s="774"/>
      <c r="BL229" s="1327"/>
      <c r="BM229" s="1328"/>
      <c r="BN229" s="1328"/>
      <c r="BO229" s="1328"/>
      <c r="BP229" s="1389"/>
      <c r="BQ229" s="1369"/>
      <c r="BR229" s="1319"/>
      <c r="BS229" s="1319"/>
      <c r="BT229" s="1319"/>
      <c r="BU229" s="1320"/>
      <c r="BV229" s="1369"/>
      <c r="BW229" s="1319"/>
      <c r="BX229" s="1319"/>
      <c r="BY229" s="1319"/>
      <c r="BZ229" s="1319"/>
      <c r="CA229" s="1369"/>
      <c r="CB229" s="1319"/>
      <c r="CC229" s="1319"/>
      <c r="CD229" s="1319"/>
      <c r="CE229" s="1320"/>
      <c r="CF229" s="1319"/>
      <c r="CG229" s="1319"/>
      <c r="CH229" s="1319"/>
      <c r="CI229" s="1319"/>
      <c r="CJ229" s="1320"/>
      <c r="CK229" s="1369"/>
      <c r="CL229" s="1319"/>
      <c r="CM229" s="1319"/>
      <c r="CN229" s="1319"/>
      <c r="CO229" s="1320"/>
      <c r="CP229" s="1369"/>
      <c r="CQ229" s="1319"/>
      <c r="CR229" s="1319"/>
      <c r="CS229" s="1319"/>
      <c r="CT229" s="1320"/>
      <c r="CU229" s="1467"/>
      <c r="CV229" s="1458"/>
      <c r="CW229" s="1458"/>
      <c r="CX229" s="1663"/>
      <c r="CY229" s="1458"/>
      <c r="CZ229" s="1458"/>
      <c r="DA229" s="1458"/>
      <c r="DB229" s="1663"/>
      <c r="DC229" s="1328"/>
      <c r="DD229" s="1664"/>
      <c r="DE229" s="1669"/>
    </row>
    <row r="230" spans="1:109" ht="15.75" hidden="1" customHeight="1">
      <c r="A230" s="741" t="s">
        <v>1296</v>
      </c>
      <c r="B230" s="742">
        <v>224</v>
      </c>
      <c r="C230" s="758" t="s">
        <v>1175</v>
      </c>
      <c r="D230" s="742" t="s">
        <v>2977</v>
      </c>
      <c r="E230" s="742" t="s">
        <v>2217</v>
      </c>
      <c r="F230" s="754" t="s">
        <v>2978</v>
      </c>
      <c r="G230" s="759" t="s">
        <v>1084</v>
      </c>
      <c r="H230" s="760" t="s">
        <v>2938</v>
      </c>
      <c r="I230" s="761"/>
      <c r="J230" s="762">
        <v>1</v>
      </c>
      <c r="K230" s="762"/>
      <c r="L230" s="762"/>
      <c r="M230" s="762"/>
      <c r="N230" s="762"/>
      <c r="O230" s="762"/>
      <c r="P230" s="763"/>
      <c r="Q230" s="764">
        <f t="shared" si="3"/>
        <v>1</v>
      </c>
      <c r="R230" s="758" t="s">
        <v>1846</v>
      </c>
      <c r="S230" s="742" t="s">
        <v>1826</v>
      </c>
      <c r="T230" s="1389" t="s">
        <v>1837</v>
      </c>
      <c r="U230" s="742" t="s">
        <v>2348</v>
      </c>
      <c r="V230" s="742" t="s">
        <v>1857</v>
      </c>
      <c r="W230" s="742" t="s">
        <v>2979</v>
      </c>
      <c r="X230" s="798">
        <v>1</v>
      </c>
      <c r="Y230" s="795" t="s">
        <v>1838</v>
      </c>
      <c r="Z230" s="759" t="s">
        <v>1084</v>
      </c>
      <c r="AA230" s="754"/>
      <c r="AB230" s="754"/>
      <c r="AC230" s="754"/>
      <c r="AD230" s="754"/>
      <c r="AE230" s="754"/>
      <c r="AF230" s="768"/>
      <c r="AG230" s="769"/>
      <c r="AH230" s="769"/>
      <c r="AI230" s="769"/>
      <c r="AJ230" s="769"/>
      <c r="AK230" s="769"/>
      <c r="AL230" s="769"/>
      <c r="AM230" s="769"/>
      <c r="AN230" s="769"/>
      <c r="AO230" s="769"/>
      <c r="AP230" s="769"/>
      <c r="AQ230" s="1369"/>
      <c r="AR230" s="1319"/>
      <c r="AS230" s="1319"/>
      <c r="AT230" s="1319"/>
      <c r="AU230" s="1320"/>
      <c r="AV230" s="777"/>
      <c r="AW230" s="769"/>
      <c r="AX230" s="769"/>
      <c r="AY230" s="769"/>
      <c r="AZ230" s="769"/>
      <c r="BA230" s="769"/>
      <c r="BB230" s="769"/>
      <c r="BC230" s="769"/>
      <c r="BD230" s="769"/>
      <c r="BE230" s="769"/>
      <c r="BF230" s="769"/>
      <c r="BG230" s="769"/>
      <c r="BH230" s="769"/>
      <c r="BI230" s="769"/>
      <c r="BJ230" s="769"/>
      <c r="BK230" s="774"/>
      <c r="BL230" s="1327"/>
      <c r="BM230" s="1328"/>
      <c r="BN230" s="1328"/>
      <c r="BO230" s="1328"/>
      <c r="BP230" s="1389"/>
      <c r="BQ230" s="1369"/>
      <c r="BR230" s="1319"/>
      <c r="BS230" s="1319"/>
      <c r="BT230" s="1319"/>
      <c r="BU230" s="1320"/>
      <c r="BV230" s="1370"/>
      <c r="BW230" s="1324"/>
      <c r="BX230" s="1324"/>
      <c r="BY230" s="1324"/>
      <c r="BZ230" s="1324"/>
      <c r="CA230" s="1369"/>
      <c r="CB230" s="1319"/>
      <c r="CC230" s="1319"/>
      <c r="CD230" s="1319"/>
      <c r="CE230" s="1320"/>
      <c r="CF230" s="1319"/>
      <c r="CG230" s="1319"/>
      <c r="CH230" s="1319"/>
      <c r="CI230" s="1319"/>
      <c r="CJ230" s="1320"/>
      <c r="CK230" s="1369"/>
      <c r="CL230" s="1319"/>
      <c r="CM230" s="1319"/>
      <c r="CN230" s="1319"/>
      <c r="CO230" s="1320"/>
      <c r="CP230" s="1369"/>
      <c r="CQ230" s="1319"/>
      <c r="CR230" s="1319"/>
      <c r="CS230" s="1319"/>
      <c r="CT230" s="1320"/>
      <c r="CU230" s="1467"/>
      <c r="CV230" s="1458"/>
      <c r="CW230" s="1458"/>
      <c r="CX230" s="1663"/>
      <c r="CY230" s="1458"/>
      <c r="CZ230" s="1458"/>
      <c r="DA230" s="1458"/>
      <c r="DB230" s="1663"/>
      <c r="DC230" s="1328"/>
      <c r="DD230" s="1664"/>
      <c r="DE230" s="1669"/>
    </row>
    <row r="231" spans="1:109" ht="15.75" hidden="1" customHeight="1">
      <c r="A231" s="741" t="s">
        <v>1296</v>
      </c>
      <c r="B231" s="742">
        <v>225</v>
      </c>
      <c r="C231" s="758" t="s">
        <v>1378</v>
      </c>
      <c r="D231" s="742" t="s">
        <v>2977</v>
      </c>
      <c r="E231" s="742" t="s">
        <v>2223</v>
      </c>
      <c r="F231" s="754" t="s">
        <v>2980</v>
      </c>
      <c r="G231" s="759" t="s">
        <v>2981</v>
      </c>
      <c r="H231" s="760" t="s">
        <v>2982</v>
      </c>
      <c r="I231" s="761"/>
      <c r="J231" s="762">
        <v>1</v>
      </c>
      <c r="K231" s="762"/>
      <c r="L231" s="762"/>
      <c r="M231" s="762"/>
      <c r="N231" s="762"/>
      <c r="O231" s="762"/>
      <c r="P231" s="763"/>
      <c r="Q231" s="764">
        <f t="shared" si="3"/>
        <v>1</v>
      </c>
      <c r="R231" s="758" t="s">
        <v>1846</v>
      </c>
      <c r="S231" s="742" t="s">
        <v>1826</v>
      </c>
      <c r="T231" s="765" t="s">
        <v>1827</v>
      </c>
      <c r="U231" s="742" t="s">
        <v>2408</v>
      </c>
      <c r="V231" s="742" t="s">
        <v>1857</v>
      </c>
      <c r="W231" s="742" t="s">
        <v>2983</v>
      </c>
      <c r="X231" s="798">
        <v>0</v>
      </c>
      <c r="Y231" s="790" t="s">
        <v>1838</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210</v>
      </c>
      <c r="BM231" s="754" t="s">
        <v>210</v>
      </c>
      <c r="BN231" s="754" t="s">
        <v>210</v>
      </c>
      <c r="BO231" s="754" t="s">
        <v>210</v>
      </c>
      <c r="BP231" s="765" t="s">
        <v>210</v>
      </c>
      <c r="BQ231" s="777" t="s">
        <v>2260</v>
      </c>
      <c r="BR231" s="769" t="s">
        <v>2260</v>
      </c>
      <c r="BS231" s="769" t="s">
        <v>2260</v>
      </c>
      <c r="BT231" s="769" t="s">
        <v>2260</v>
      </c>
      <c r="BU231" s="774" t="s">
        <v>2260</v>
      </c>
      <c r="BV231" s="777" t="s">
        <v>2260</v>
      </c>
      <c r="BW231" s="769" t="s">
        <v>2260</v>
      </c>
      <c r="BX231" s="769" t="s">
        <v>2260</v>
      </c>
      <c r="BY231" s="769" t="s">
        <v>2260</v>
      </c>
      <c r="BZ231" s="769" t="s">
        <v>2260</v>
      </c>
      <c r="CA231" s="777" t="s">
        <v>2260</v>
      </c>
      <c r="CB231" s="769" t="s">
        <v>2260</v>
      </c>
      <c r="CC231" s="769" t="s">
        <v>2260</v>
      </c>
      <c r="CD231" s="769" t="s">
        <v>2260</v>
      </c>
      <c r="CE231" s="774" t="s">
        <v>2260</v>
      </c>
      <c r="CF231" s="769" t="s">
        <v>2260</v>
      </c>
      <c r="CG231" s="769" t="s">
        <v>2260</v>
      </c>
      <c r="CH231" s="769" t="s">
        <v>2260</v>
      </c>
      <c r="CI231" s="769" t="s">
        <v>2260</v>
      </c>
      <c r="CJ231" s="774" t="s">
        <v>2260</v>
      </c>
      <c r="CK231" s="777" t="s">
        <v>2260</v>
      </c>
      <c r="CL231" s="769" t="s">
        <v>2260</v>
      </c>
      <c r="CM231" s="769" t="s">
        <v>2260</v>
      </c>
      <c r="CN231" s="769" t="s">
        <v>2260</v>
      </c>
      <c r="CO231" s="774" t="s">
        <v>2260</v>
      </c>
      <c r="CP231" s="777" t="s">
        <v>2260</v>
      </c>
      <c r="CQ231" s="769" t="s">
        <v>2260</v>
      </c>
      <c r="CR231" s="769" t="s">
        <v>2260</v>
      </c>
      <c r="CS231" s="769" t="s">
        <v>2260</v>
      </c>
      <c r="CT231" s="774" t="s">
        <v>2260</v>
      </c>
      <c r="CU231" s="1253">
        <v>-1.578E-3</v>
      </c>
      <c r="CV231" s="1252" t="s">
        <v>2260</v>
      </c>
      <c r="CW231" s="1252" t="s">
        <v>2260</v>
      </c>
      <c r="CX231" s="1254" t="s">
        <v>2260</v>
      </c>
      <c r="CY231" s="1252" t="s">
        <v>2260</v>
      </c>
      <c r="CZ231" s="1252" t="s">
        <v>2260</v>
      </c>
      <c r="DA231" s="1252" t="s">
        <v>2260</v>
      </c>
      <c r="DB231" s="1254" t="s">
        <v>2260</v>
      </c>
      <c r="DC231" s="754"/>
      <c r="DD231" s="782">
        <v>1</v>
      </c>
      <c r="DE231" s="783"/>
    </row>
    <row r="232" spans="1:109" ht="15.75" hidden="1" customHeight="1">
      <c r="A232" s="741" t="s">
        <v>1296</v>
      </c>
      <c r="B232" s="742">
        <v>226</v>
      </c>
      <c r="C232" s="758" t="s">
        <v>1627</v>
      </c>
      <c r="D232" s="742" t="s">
        <v>2977</v>
      </c>
      <c r="E232" s="742" t="s">
        <v>2217</v>
      </c>
      <c r="F232" s="754" t="s">
        <v>2984</v>
      </c>
      <c r="G232" s="759" t="s">
        <v>788</v>
      </c>
      <c r="H232" s="760" t="s">
        <v>2985</v>
      </c>
      <c r="I232" s="761"/>
      <c r="J232" s="762">
        <v>1</v>
      </c>
      <c r="K232" s="762"/>
      <c r="L232" s="762"/>
      <c r="M232" s="762"/>
      <c r="N232" s="762"/>
      <c r="O232" s="762"/>
      <c r="P232" s="763"/>
      <c r="Q232" s="764">
        <f t="shared" si="3"/>
        <v>1</v>
      </c>
      <c r="R232" s="758" t="s">
        <v>1825</v>
      </c>
      <c r="S232" s="742"/>
      <c r="T232" s="765"/>
      <c r="U232" s="742" t="s">
        <v>788</v>
      </c>
      <c r="V232" s="742" t="s">
        <v>1857</v>
      </c>
      <c r="W232" s="742" t="s">
        <v>2986</v>
      </c>
      <c r="X232" s="798">
        <v>0</v>
      </c>
      <c r="Y232" s="795" t="s">
        <v>1838</v>
      </c>
      <c r="Z232" s="759"/>
      <c r="AA232" s="754"/>
      <c r="AB232" s="754"/>
      <c r="AC232" s="754"/>
      <c r="AD232" s="754"/>
      <c r="AE232" s="754"/>
      <c r="AF232" s="768"/>
      <c r="AG232" s="769"/>
      <c r="AH232" s="769"/>
      <c r="AI232" s="769"/>
      <c r="AJ232" s="769"/>
      <c r="AK232" s="769"/>
      <c r="AL232" s="769"/>
      <c r="AM232" s="769"/>
      <c r="AN232" s="769"/>
      <c r="AO232" s="769"/>
      <c r="AP232" s="769"/>
      <c r="AQ232" s="1369"/>
      <c r="AR232" s="1319"/>
      <c r="AS232" s="1319"/>
      <c r="AT232" s="1319"/>
      <c r="AU232" s="1320"/>
      <c r="AV232" s="777"/>
      <c r="AW232" s="769"/>
      <c r="AX232" s="769"/>
      <c r="AY232" s="769"/>
      <c r="AZ232" s="769"/>
      <c r="BA232" s="769"/>
      <c r="BB232" s="769"/>
      <c r="BC232" s="769"/>
      <c r="BD232" s="769"/>
      <c r="BE232" s="769"/>
      <c r="BF232" s="769"/>
      <c r="BG232" s="769"/>
      <c r="BH232" s="769"/>
      <c r="BI232" s="769"/>
      <c r="BJ232" s="769"/>
      <c r="BK232" s="774"/>
      <c r="BL232" s="1327"/>
      <c r="BM232" s="1328"/>
      <c r="BN232" s="1328"/>
      <c r="BO232" s="1328"/>
      <c r="BP232" s="1389"/>
      <c r="BQ232" s="1369"/>
      <c r="BR232" s="1319"/>
      <c r="BS232" s="1319"/>
      <c r="BT232" s="1319"/>
      <c r="BU232" s="1320"/>
      <c r="BV232" s="1369"/>
      <c r="BW232" s="1319"/>
      <c r="BX232" s="1319"/>
      <c r="BY232" s="1319"/>
      <c r="BZ232" s="1319"/>
      <c r="CA232" s="1369"/>
      <c r="CB232" s="1319"/>
      <c r="CC232" s="1319"/>
      <c r="CD232" s="1319"/>
      <c r="CE232" s="1320"/>
      <c r="CF232" s="1319"/>
      <c r="CG232" s="1319"/>
      <c r="CH232" s="1319"/>
      <c r="CI232" s="1319"/>
      <c r="CJ232" s="1320"/>
      <c r="CK232" s="1369"/>
      <c r="CL232" s="1319"/>
      <c r="CM232" s="1319"/>
      <c r="CN232" s="1319"/>
      <c r="CO232" s="1320"/>
      <c r="CP232" s="1369"/>
      <c r="CQ232" s="1319"/>
      <c r="CR232" s="1319"/>
      <c r="CS232" s="1319"/>
      <c r="CT232" s="1320"/>
      <c r="CU232" s="1467"/>
      <c r="CV232" s="1458"/>
      <c r="CW232" s="1458"/>
      <c r="CX232" s="1663"/>
      <c r="CY232" s="1458"/>
      <c r="CZ232" s="1458"/>
      <c r="DA232" s="1458"/>
      <c r="DB232" s="1663"/>
      <c r="DC232" s="1328"/>
      <c r="DD232" s="1664"/>
      <c r="DE232" s="1669"/>
    </row>
    <row r="233" spans="1:109" ht="15.75" hidden="1" customHeight="1">
      <c r="A233" s="741" t="s">
        <v>1296</v>
      </c>
      <c r="B233" s="742">
        <v>227</v>
      </c>
      <c r="C233" s="758" t="s">
        <v>1644</v>
      </c>
      <c r="D233" s="742" t="s">
        <v>2977</v>
      </c>
      <c r="E233" s="742" t="s">
        <v>2231</v>
      </c>
      <c r="F233" s="754" t="s">
        <v>2987</v>
      </c>
      <c r="G233" s="759" t="s">
        <v>2988</v>
      </c>
      <c r="H233" s="760" t="s">
        <v>2989</v>
      </c>
      <c r="I233" s="761">
        <v>1</v>
      </c>
      <c r="J233" s="762"/>
      <c r="K233" s="762"/>
      <c r="L233" s="762"/>
      <c r="M233" s="762"/>
      <c r="N233" s="762"/>
      <c r="O233" s="762"/>
      <c r="P233" s="763"/>
      <c r="Q233" s="764">
        <f t="shared" si="3"/>
        <v>1</v>
      </c>
      <c r="R233" s="758" t="s">
        <v>1825</v>
      </c>
      <c r="S233" s="742"/>
      <c r="T233" s="765"/>
      <c r="U233" s="742" t="s">
        <v>2290</v>
      </c>
      <c r="V233" s="742" t="s">
        <v>1857</v>
      </c>
      <c r="W233" s="742" t="s">
        <v>2542</v>
      </c>
      <c r="X233" s="798">
        <v>0</v>
      </c>
      <c r="Y233" s="795" t="s">
        <v>1838</v>
      </c>
      <c r="Z233" s="759"/>
      <c r="AA233" s="754"/>
      <c r="AB233" s="754"/>
      <c r="AC233" s="754"/>
      <c r="AD233" s="754"/>
      <c r="AE233" s="754"/>
      <c r="AF233" s="768"/>
      <c r="AG233" s="769"/>
      <c r="AH233" s="769"/>
      <c r="AI233" s="769"/>
      <c r="AJ233" s="769"/>
      <c r="AK233" s="769"/>
      <c r="AL233" s="769"/>
      <c r="AM233" s="769"/>
      <c r="AN233" s="769"/>
      <c r="AO233" s="769"/>
      <c r="AP233" s="769"/>
      <c r="AQ233" s="826" t="s">
        <v>2990</v>
      </c>
      <c r="AR233" s="769" t="s">
        <v>2990</v>
      </c>
      <c r="AS233" s="769" t="s">
        <v>2990</v>
      </c>
      <c r="AT233" s="769" t="s">
        <v>2990</v>
      </c>
      <c r="AU233" s="774" t="s">
        <v>2990</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2260</v>
      </c>
      <c r="BR233" s="769" t="s">
        <v>2260</v>
      </c>
      <c r="BS233" s="769" t="s">
        <v>2260</v>
      </c>
      <c r="BT233" s="769" t="s">
        <v>2260</v>
      </c>
      <c r="BU233" s="774" t="s">
        <v>2260</v>
      </c>
      <c r="BV233" s="777" t="s">
        <v>2260</v>
      </c>
      <c r="BW233" s="769" t="s">
        <v>2260</v>
      </c>
      <c r="BX233" s="769" t="s">
        <v>2260</v>
      </c>
      <c r="BY233" s="769" t="s">
        <v>2260</v>
      </c>
      <c r="BZ233" s="769" t="s">
        <v>2260</v>
      </c>
      <c r="CA233" s="777" t="s">
        <v>2260</v>
      </c>
      <c r="CB233" s="769" t="s">
        <v>2260</v>
      </c>
      <c r="CC233" s="769" t="s">
        <v>2260</v>
      </c>
      <c r="CD233" s="769" t="s">
        <v>2260</v>
      </c>
      <c r="CE233" s="774" t="s">
        <v>2260</v>
      </c>
      <c r="CF233" s="769" t="s">
        <v>2260</v>
      </c>
      <c r="CG233" s="769" t="s">
        <v>2260</v>
      </c>
      <c r="CH233" s="769" t="s">
        <v>2260</v>
      </c>
      <c r="CI233" s="769" t="s">
        <v>2260</v>
      </c>
      <c r="CJ233" s="769" t="s">
        <v>2260</v>
      </c>
      <c r="CK233" s="777" t="s">
        <v>2260</v>
      </c>
      <c r="CL233" s="769" t="s">
        <v>2260</v>
      </c>
      <c r="CM233" s="769" t="s">
        <v>2260</v>
      </c>
      <c r="CN233" s="769" t="s">
        <v>2260</v>
      </c>
      <c r="CO233" s="774" t="s">
        <v>2260</v>
      </c>
      <c r="CP233" s="777" t="s">
        <v>2260</v>
      </c>
      <c r="CQ233" s="769" t="s">
        <v>2260</v>
      </c>
      <c r="CR233" s="769" t="s">
        <v>2260</v>
      </c>
      <c r="CS233" s="769" t="s">
        <v>2260</v>
      </c>
      <c r="CT233" s="774" t="s">
        <v>2260</v>
      </c>
      <c r="CU233" s="1253" t="s">
        <v>2260</v>
      </c>
      <c r="CV233" s="1252" t="s">
        <v>2260</v>
      </c>
      <c r="CW233" s="1252" t="s">
        <v>2260</v>
      </c>
      <c r="CX233" s="1254" t="s">
        <v>2260</v>
      </c>
      <c r="CY233" s="1252" t="s">
        <v>2260</v>
      </c>
      <c r="CZ233" s="1252" t="s">
        <v>2260</v>
      </c>
      <c r="DA233" s="1252" t="s">
        <v>2260</v>
      </c>
      <c r="DB233" s="1254" t="s">
        <v>2260</v>
      </c>
      <c r="DC233" s="754"/>
      <c r="DD233" s="782">
        <v>1</v>
      </c>
      <c r="DE233" s="783"/>
    </row>
    <row r="234" spans="1:109" ht="15.75" hidden="1" customHeight="1">
      <c r="A234" s="741" t="s">
        <v>1296</v>
      </c>
      <c r="B234" s="742">
        <v>228</v>
      </c>
      <c r="C234" s="758" t="s">
        <v>1660</v>
      </c>
      <c r="D234" s="742" t="s">
        <v>2977</v>
      </c>
      <c r="E234" s="742" t="s">
        <v>2231</v>
      </c>
      <c r="F234" s="754" t="s">
        <v>2991</v>
      </c>
      <c r="G234" s="759" t="s">
        <v>2992</v>
      </c>
      <c r="H234" s="760" t="s">
        <v>2993</v>
      </c>
      <c r="I234" s="761"/>
      <c r="J234" s="762">
        <v>1</v>
      </c>
      <c r="K234" s="762"/>
      <c r="L234" s="762"/>
      <c r="M234" s="762"/>
      <c r="N234" s="762"/>
      <c r="O234" s="762"/>
      <c r="P234" s="763"/>
      <c r="Q234" s="764">
        <f t="shared" si="3"/>
        <v>1</v>
      </c>
      <c r="R234" s="758" t="s">
        <v>1825</v>
      </c>
      <c r="S234" s="742"/>
      <c r="T234" s="765"/>
      <c r="U234" s="742" t="s">
        <v>2523</v>
      </c>
      <c r="V234" s="742" t="s">
        <v>1857</v>
      </c>
      <c r="W234" s="742" t="s">
        <v>2830</v>
      </c>
      <c r="X234" s="798">
        <v>0</v>
      </c>
      <c r="Y234" s="788" t="s">
        <v>1828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2260</v>
      </c>
      <c r="BR234" s="769" t="s">
        <v>2260</v>
      </c>
      <c r="BS234" s="769" t="s">
        <v>2260</v>
      </c>
      <c r="BT234" s="769" t="s">
        <v>2260</v>
      </c>
      <c r="BU234" s="774" t="s">
        <v>2260</v>
      </c>
      <c r="BV234" s="777" t="s">
        <v>2260</v>
      </c>
      <c r="BW234" s="769" t="s">
        <v>2260</v>
      </c>
      <c r="BX234" s="769" t="s">
        <v>2260</v>
      </c>
      <c r="BY234" s="769" t="s">
        <v>2260</v>
      </c>
      <c r="BZ234" s="769" t="s">
        <v>2260</v>
      </c>
      <c r="CA234" s="777" t="s">
        <v>2260</v>
      </c>
      <c r="CB234" s="769" t="s">
        <v>2260</v>
      </c>
      <c r="CC234" s="769" t="s">
        <v>2260</v>
      </c>
      <c r="CD234" s="769" t="s">
        <v>2260</v>
      </c>
      <c r="CE234" s="774" t="s">
        <v>2260</v>
      </c>
      <c r="CF234" s="769" t="s">
        <v>2260</v>
      </c>
      <c r="CG234" s="769" t="s">
        <v>2260</v>
      </c>
      <c r="CH234" s="769" t="s">
        <v>2260</v>
      </c>
      <c r="CI234" s="769" t="s">
        <v>2260</v>
      </c>
      <c r="CJ234" s="774" t="s">
        <v>2260</v>
      </c>
      <c r="CK234" s="777" t="s">
        <v>2260</v>
      </c>
      <c r="CL234" s="769" t="s">
        <v>2260</v>
      </c>
      <c r="CM234" s="769" t="s">
        <v>2260</v>
      </c>
      <c r="CN234" s="769" t="s">
        <v>2260</v>
      </c>
      <c r="CO234" s="774" t="s">
        <v>2260</v>
      </c>
      <c r="CP234" s="777" t="s">
        <v>2260</v>
      </c>
      <c r="CQ234" s="769" t="s">
        <v>2260</v>
      </c>
      <c r="CR234" s="769" t="s">
        <v>2260</v>
      </c>
      <c r="CS234" s="769" t="s">
        <v>2260</v>
      </c>
      <c r="CT234" s="774" t="s">
        <v>2260</v>
      </c>
      <c r="CU234" s="1253" t="s">
        <v>2260</v>
      </c>
      <c r="CV234" s="1252" t="s">
        <v>2260</v>
      </c>
      <c r="CW234" s="1252" t="s">
        <v>2260</v>
      </c>
      <c r="CX234" s="1254" t="s">
        <v>2260</v>
      </c>
      <c r="CY234" s="1252" t="s">
        <v>2260</v>
      </c>
      <c r="CZ234" s="1252" t="s">
        <v>2260</v>
      </c>
      <c r="DA234" s="1252" t="s">
        <v>2260</v>
      </c>
      <c r="DB234" s="1254" t="s">
        <v>2260</v>
      </c>
      <c r="DC234" s="754"/>
      <c r="DD234" s="782">
        <v>1</v>
      </c>
      <c r="DE234" s="783"/>
    </row>
    <row r="235" spans="1:109" ht="15.75" hidden="1" customHeight="1">
      <c r="A235" s="741" t="s">
        <v>1296</v>
      </c>
      <c r="B235" s="742">
        <v>229</v>
      </c>
      <c r="C235" s="758" t="s">
        <v>1395</v>
      </c>
      <c r="D235" s="742" t="s">
        <v>2977</v>
      </c>
      <c r="E235" s="742" t="s">
        <v>2223</v>
      </c>
      <c r="F235" s="754" t="s">
        <v>2994</v>
      </c>
      <c r="G235" s="759" t="s">
        <v>2995</v>
      </c>
      <c r="H235" s="760" t="s">
        <v>2996</v>
      </c>
      <c r="I235" s="761">
        <v>0.34</v>
      </c>
      <c r="J235" s="762">
        <v>0.66</v>
      </c>
      <c r="K235" s="762"/>
      <c r="L235" s="762"/>
      <c r="M235" s="762"/>
      <c r="N235" s="762"/>
      <c r="O235" s="762"/>
      <c r="P235" s="763"/>
      <c r="Q235" s="764">
        <f t="shared" si="3"/>
        <v>1</v>
      </c>
      <c r="R235" s="758" t="s">
        <v>1846</v>
      </c>
      <c r="S235" s="742" t="s">
        <v>1826</v>
      </c>
      <c r="T235" s="765" t="s">
        <v>1827</v>
      </c>
      <c r="U235" s="742" t="s">
        <v>2387</v>
      </c>
      <c r="V235" s="742" t="s">
        <v>1857</v>
      </c>
      <c r="W235" s="742" t="s">
        <v>2997</v>
      </c>
      <c r="X235" s="798">
        <v>0</v>
      </c>
      <c r="Y235" s="788" t="s">
        <v>1828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210</v>
      </c>
      <c r="BM235" s="754" t="s">
        <v>210</v>
      </c>
      <c r="BN235" s="754" t="s">
        <v>210</v>
      </c>
      <c r="BO235" s="754" t="s">
        <v>210</v>
      </c>
      <c r="BP235" s="765" t="s">
        <v>210</v>
      </c>
      <c r="BQ235" s="777" t="s">
        <v>2260</v>
      </c>
      <c r="BR235" s="769" t="s">
        <v>2260</v>
      </c>
      <c r="BS235" s="769" t="s">
        <v>2260</v>
      </c>
      <c r="BT235" s="769" t="s">
        <v>2260</v>
      </c>
      <c r="BU235" s="774" t="s">
        <v>2260</v>
      </c>
      <c r="BV235" s="777" t="s">
        <v>2260</v>
      </c>
      <c r="BW235" s="769" t="s">
        <v>2260</v>
      </c>
      <c r="BX235" s="769" t="s">
        <v>2260</v>
      </c>
      <c r="BY235" s="769" t="s">
        <v>2260</v>
      </c>
      <c r="BZ235" s="769" t="s">
        <v>2260</v>
      </c>
      <c r="CA235" s="777" t="s">
        <v>2260</v>
      </c>
      <c r="CB235" s="769" t="s">
        <v>2260</v>
      </c>
      <c r="CC235" s="769" t="s">
        <v>2260</v>
      </c>
      <c r="CD235" s="769" t="s">
        <v>2260</v>
      </c>
      <c r="CE235" s="774" t="s">
        <v>2260</v>
      </c>
      <c r="CF235" s="769" t="s">
        <v>2260</v>
      </c>
      <c r="CG235" s="769" t="s">
        <v>2260</v>
      </c>
      <c r="CH235" s="769" t="s">
        <v>2260</v>
      </c>
      <c r="CI235" s="769" t="s">
        <v>2260</v>
      </c>
      <c r="CJ235" s="774" t="s">
        <v>2260</v>
      </c>
      <c r="CK235" s="777" t="s">
        <v>2260</v>
      </c>
      <c r="CL235" s="769" t="s">
        <v>2260</v>
      </c>
      <c r="CM235" s="769" t="s">
        <v>2260</v>
      </c>
      <c r="CN235" s="769" t="s">
        <v>2260</v>
      </c>
      <c r="CO235" s="774" t="s">
        <v>2260</v>
      </c>
      <c r="CP235" s="777" t="s">
        <v>2260</v>
      </c>
      <c r="CQ235" s="769" t="s">
        <v>2260</v>
      </c>
      <c r="CR235" s="769" t="s">
        <v>2260</v>
      </c>
      <c r="CS235" s="769" t="s">
        <v>2260</v>
      </c>
      <c r="CT235" s="774" t="s">
        <v>2260</v>
      </c>
      <c r="CU235" s="1253">
        <v>-4.2500000000000003E-3</v>
      </c>
      <c r="CV235" s="1252" t="s">
        <v>2260</v>
      </c>
      <c r="CW235" s="1252" t="s">
        <v>2260</v>
      </c>
      <c r="CX235" s="1254" t="s">
        <v>2260</v>
      </c>
      <c r="CY235" s="1252" t="s">
        <v>2260</v>
      </c>
      <c r="CZ235" s="1252" t="s">
        <v>2260</v>
      </c>
      <c r="DA235" s="1252" t="s">
        <v>2260</v>
      </c>
      <c r="DB235" s="1254" t="s">
        <v>2260</v>
      </c>
      <c r="DC235" s="754"/>
      <c r="DD235" s="782">
        <v>1</v>
      </c>
      <c r="DE235" s="783"/>
    </row>
    <row r="236" spans="1:109" ht="15.75" hidden="1" customHeight="1">
      <c r="A236" s="741" t="s">
        <v>1296</v>
      </c>
      <c r="B236" s="742">
        <v>230</v>
      </c>
      <c r="C236" s="758" t="s">
        <v>1412</v>
      </c>
      <c r="D236" s="742" t="s">
        <v>2936</v>
      </c>
      <c r="E236" s="742" t="s">
        <v>2231</v>
      </c>
      <c r="F236" s="754" t="s">
        <v>2998</v>
      </c>
      <c r="G236" s="759" t="s">
        <v>2999</v>
      </c>
      <c r="H236" s="760" t="s">
        <v>3000</v>
      </c>
      <c r="I236" s="761"/>
      <c r="J236" s="762">
        <v>1</v>
      </c>
      <c r="K236" s="762"/>
      <c r="L236" s="762"/>
      <c r="M236" s="762"/>
      <c r="N236" s="762"/>
      <c r="O236" s="762"/>
      <c r="P236" s="763"/>
      <c r="Q236" s="764">
        <f t="shared" si="3"/>
        <v>1</v>
      </c>
      <c r="R236" s="758" t="s">
        <v>1846</v>
      </c>
      <c r="S236" s="742" t="s">
        <v>1826</v>
      </c>
      <c r="T236" s="765" t="s">
        <v>1827</v>
      </c>
      <c r="U236" s="742"/>
      <c r="V236" s="742" t="s">
        <v>1857</v>
      </c>
      <c r="W236" s="742" t="s">
        <v>3001</v>
      </c>
      <c r="X236" s="1243">
        <v>1</v>
      </c>
      <c r="Y236" s="795" t="s">
        <v>1838</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210</v>
      </c>
      <c r="BM236" s="754" t="s">
        <v>210</v>
      </c>
      <c r="BN236" s="754" t="s">
        <v>210</v>
      </c>
      <c r="BO236" s="754" t="s">
        <v>210</v>
      </c>
      <c r="BP236" s="765" t="s">
        <v>210</v>
      </c>
      <c r="BQ236" s="777" t="s">
        <v>2260</v>
      </c>
      <c r="BR236" s="769" t="s">
        <v>2260</v>
      </c>
      <c r="BS236" s="769" t="s">
        <v>2260</v>
      </c>
      <c r="BT236" s="769" t="s">
        <v>2260</v>
      </c>
      <c r="BU236" s="774" t="s">
        <v>2260</v>
      </c>
      <c r="BV236" s="777" t="s">
        <v>2260</v>
      </c>
      <c r="BW236" s="769" t="s">
        <v>2260</v>
      </c>
      <c r="BX236" s="769" t="s">
        <v>2260</v>
      </c>
      <c r="BY236" s="769" t="s">
        <v>2260</v>
      </c>
      <c r="BZ236" s="769" t="s">
        <v>2260</v>
      </c>
      <c r="CA236" s="777" t="s">
        <v>2260</v>
      </c>
      <c r="CB236" s="769" t="s">
        <v>2260</v>
      </c>
      <c r="CC236" s="769" t="s">
        <v>2260</v>
      </c>
      <c r="CD236" s="769" t="s">
        <v>2260</v>
      </c>
      <c r="CE236" s="774" t="s">
        <v>2260</v>
      </c>
      <c r="CF236" s="769" t="s">
        <v>2260</v>
      </c>
      <c r="CG236" s="769" t="s">
        <v>2260</v>
      </c>
      <c r="CH236" s="769" t="s">
        <v>2260</v>
      </c>
      <c r="CI236" s="769" t="s">
        <v>2260</v>
      </c>
      <c r="CJ236" s="774" t="s">
        <v>2260</v>
      </c>
      <c r="CK236" s="777" t="s">
        <v>2260</v>
      </c>
      <c r="CL236" s="769" t="s">
        <v>2260</v>
      </c>
      <c r="CM236" s="769" t="s">
        <v>2260</v>
      </c>
      <c r="CN236" s="769" t="s">
        <v>2260</v>
      </c>
      <c r="CO236" s="774" t="s">
        <v>2260</v>
      </c>
      <c r="CP236" s="777" t="s">
        <v>2260</v>
      </c>
      <c r="CQ236" s="769" t="s">
        <v>2260</v>
      </c>
      <c r="CR236" s="769" t="s">
        <v>2260</v>
      </c>
      <c r="CS236" s="769" t="s">
        <v>2260</v>
      </c>
      <c r="CT236" s="774" t="s">
        <v>2260</v>
      </c>
      <c r="CU236" s="1253">
        <v>-2.8199999999999999E-2</v>
      </c>
      <c r="CV236" s="1252" t="s">
        <v>2260</v>
      </c>
      <c r="CW236" s="1252" t="s">
        <v>2260</v>
      </c>
      <c r="CX236" s="1254" t="s">
        <v>2260</v>
      </c>
      <c r="CY236" s="1252" t="s">
        <v>2260</v>
      </c>
      <c r="CZ236" s="1252" t="s">
        <v>2260</v>
      </c>
      <c r="DA236" s="1252" t="s">
        <v>2260</v>
      </c>
      <c r="DB236" s="1254" t="s">
        <v>2260</v>
      </c>
      <c r="DC236" s="754"/>
      <c r="DD236" s="782"/>
      <c r="DE236" s="783"/>
    </row>
    <row r="237" spans="1:109" ht="15.75" hidden="1" customHeight="1">
      <c r="A237" s="741" t="s">
        <v>1296</v>
      </c>
      <c r="B237" s="742">
        <v>231</v>
      </c>
      <c r="C237" s="758" t="s">
        <v>1674</v>
      </c>
      <c r="D237" s="742" t="s">
        <v>2946</v>
      </c>
      <c r="E237" s="742" t="s">
        <v>2223</v>
      </c>
      <c r="F237" s="754" t="s">
        <v>3002</v>
      </c>
      <c r="G237" s="759" t="s">
        <v>3003</v>
      </c>
      <c r="H237" s="760" t="s">
        <v>3004</v>
      </c>
      <c r="I237" s="761"/>
      <c r="J237" s="762"/>
      <c r="K237" s="762"/>
      <c r="L237" s="762"/>
      <c r="M237" s="762">
        <v>1</v>
      </c>
      <c r="N237" s="762"/>
      <c r="O237" s="762"/>
      <c r="P237" s="763"/>
      <c r="Q237" s="764">
        <f t="shared" si="3"/>
        <v>1</v>
      </c>
      <c r="R237" s="758" t="s">
        <v>1825</v>
      </c>
      <c r="S237" s="742"/>
      <c r="T237" s="765"/>
      <c r="U237" s="742" t="s">
        <v>2396</v>
      </c>
      <c r="V237" s="742" t="s">
        <v>321</v>
      </c>
      <c r="W237" s="742" t="s">
        <v>2657</v>
      </c>
      <c r="X237" s="798">
        <v>0</v>
      </c>
      <c r="Y237" s="795" t="s">
        <v>1838</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2260</v>
      </c>
      <c r="BR237" s="769" t="s">
        <v>2260</v>
      </c>
      <c r="BS237" s="769" t="s">
        <v>2260</v>
      </c>
      <c r="BT237" s="769" t="s">
        <v>2260</v>
      </c>
      <c r="BU237" s="774" t="s">
        <v>2260</v>
      </c>
      <c r="BV237" s="777" t="s">
        <v>2260</v>
      </c>
      <c r="BW237" s="769" t="s">
        <v>2260</v>
      </c>
      <c r="BX237" s="769" t="s">
        <v>2260</v>
      </c>
      <c r="BY237" s="769" t="s">
        <v>2260</v>
      </c>
      <c r="BZ237" s="769" t="s">
        <v>2260</v>
      </c>
      <c r="CA237" s="777" t="s">
        <v>2260</v>
      </c>
      <c r="CB237" s="769" t="s">
        <v>2260</v>
      </c>
      <c r="CC237" s="769" t="s">
        <v>2260</v>
      </c>
      <c r="CD237" s="769" t="s">
        <v>2260</v>
      </c>
      <c r="CE237" s="774" t="s">
        <v>2260</v>
      </c>
      <c r="CF237" s="769" t="s">
        <v>2260</v>
      </c>
      <c r="CG237" s="769" t="s">
        <v>2260</v>
      </c>
      <c r="CH237" s="769" t="s">
        <v>2260</v>
      </c>
      <c r="CI237" s="769" t="s">
        <v>2260</v>
      </c>
      <c r="CJ237" s="774" t="s">
        <v>2260</v>
      </c>
      <c r="CK237" s="777" t="s">
        <v>2260</v>
      </c>
      <c r="CL237" s="769" t="s">
        <v>2260</v>
      </c>
      <c r="CM237" s="769" t="s">
        <v>2260</v>
      </c>
      <c r="CN237" s="769" t="s">
        <v>2260</v>
      </c>
      <c r="CO237" s="774" t="s">
        <v>2260</v>
      </c>
      <c r="CP237" s="777" t="s">
        <v>2260</v>
      </c>
      <c r="CQ237" s="769" t="s">
        <v>2260</v>
      </c>
      <c r="CR237" s="769" t="s">
        <v>2260</v>
      </c>
      <c r="CS237" s="769" t="s">
        <v>2260</v>
      </c>
      <c r="CT237" s="774" t="s">
        <v>2260</v>
      </c>
      <c r="CU237" s="1253" t="s">
        <v>2260</v>
      </c>
      <c r="CV237" s="1252" t="s">
        <v>2260</v>
      </c>
      <c r="CW237" s="1252" t="s">
        <v>2260</v>
      </c>
      <c r="CX237" s="1254" t="s">
        <v>2260</v>
      </c>
      <c r="CY237" s="1252" t="s">
        <v>2260</v>
      </c>
      <c r="CZ237" s="1252" t="s">
        <v>2260</v>
      </c>
      <c r="DA237" s="1252" t="s">
        <v>2260</v>
      </c>
      <c r="DB237" s="1254" t="s">
        <v>2260</v>
      </c>
      <c r="DC237" s="754"/>
      <c r="DD237" s="782"/>
      <c r="DE237" s="783"/>
    </row>
    <row r="238" spans="1:109" ht="15.75" hidden="1" customHeight="1">
      <c r="A238" s="741" t="s">
        <v>1296</v>
      </c>
      <c r="B238" s="742">
        <v>232</v>
      </c>
      <c r="C238" s="758" t="s">
        <v>1686</v>
      </c>
      <c r="D238" s="742"/>
      <c r="E238" s="742"/>
      <c r="F238" s="754" t="s">
        <v>2331</v>
      </c>
      <c r="G238" s="759" t="s">
        <v>2332</v>
      </c>
      <c r="H238" s="760"/>
      <c r="I238" s="761"/>
      <c r="J238" s="762"/>
      <c r="K238" s="762"/>
      <c r="L238" s="762"/>
      <c r="M238" s="762"/>
      <c r="N238" s="762"/>
      <c r="O238" s="762"/>
      <c r="P238" s="763"/>
      <c r="Q238" s="764">
        <f t="shared" si="3"/>
        <v>0</v>
      </c>
      <c r="R238" s="758" t="s">
        <v>1825</v>
      </c>
      <c r="S238" s="742"/>
      <c r="T238" s="765"/>
      <c r="U238" s="742"/>
      <c r="V238" s="1216" t="s">
        <v>1890</v>
      </c>
      <c r="W238" s="742" t="s">
        <v>2333</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2334</v>
      </c>
      <c r="AR238" s="769" t="s">
        <v>2334</v>
      </c>
      <c r="AS238" s="769" t="s">
        <v>2334</v>
      </c>
      <c r="AT238" s="769" t="s">
        <v>2334</v>
      </c>
      <c r="AU238" s="774" t="s">
        <v>2334</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2260</v>
      </c>
      <c r="BR238" s="769" t="s">
        <v>2260</v>
      </c>
      <c r="BS238" s="769" t="s">
        <v>2260</v>
      </c>
      <c r="BT238" s="769" t="s">
        <v>2260</v>
      </c>
      <c r="BU238" s="774" t="s">
        <v>2260</v>
      </c>
      <c r="BV238" s="777" t="s">
        <v>2260</v>
      </c>
      <c r="BW238" s="769" t="s">
        <v>2260</v>
      </c>
      <c r="BX238" s="769" t="s">
        <v>2260</v>
      </c>
      <c r="BY238" s="769" t="s">
        <v>2260</v>
      </c>
      <c r="BZ238" s="769" t="s">
        <v>2260</v>
      </c>
      <c r="CA238" s="777" t="s">
        <v>2260</v>
      </c>
      <c r="CB238" s="769" t="s">
        <v>2260</v>
      </c>
      <c r="CC238" s="769" t="s">
        <v>2260</v>
      </c>
      <c r="CD238" s="769" t="s">
        <v>2260</v>
      </c>
      <c r="CE238" s="774" t="s">
        <v>2260</v>
      </c>
      <c r="CF238" s="769" t="s">
        <v>2260</v>
      </c>
      <c r="CG238" s="769" t="s">
        <v>2260</v>
      </c>
      <c r="CH238" s="769" t="s">
        <v>2260</v>
      </c>
      <c r="CI238" s="769" t="s">
        <v>2260</v>
      </c>
      <c r="CJ238" s="774" t="s">
        <v>2260</v>
      </c>
      <c r="CK238" s="777" t="s">
        <v>2260</v>
      </c>
      <c r="CL238" s="769" t="s">
        <v>2260</v>
      </c>
      <c r="CM238" s="769" t="s">
        <v>2260</v>
      </c>
      <c r="CN238" s="769" t="s">
        <v>2260</v>
      </c>
      <c r="CO238" s="774" t="s">
        <v>2260</v>
      </c>
      <c r="CP238" s="777" t="s">
        <v>2260</v>
      </c>
      <c r="CQ238" s="769" t="s">
        <v>2260</v>
      </c>
      <c r="CR238" s="769" t="s">
        <v>2260</v>
      </c>
      <c r="CS238" s="769" t="s">
        <v>2260</v>
      </c>
      <c r="CT238" s="774" t="s">
        <v>2260</v>
      </c>
      <c r="CU238" s="1253" t="s">
        <v>2260</v>
      </c>
      <c r="CV238" s="1252" t="s">
        <v>2260</v>
      </c>
      <c r="CW238" s="1252" t="s">
        <v>2260</v>
      </c>
      <c r="CX238" s="1254" t="s">
        <v>2260</v>
      </c>
      <c r="CY238" s="1252" t="s">
        <v>2260</v>
      </c>
      <c r="CZ238" s="1252" t="s">
        <v>2260</v>
      </c>
      <c r="DA238" s="1252" t="s">
        <v>2260</v>
      </c>
      <c r="DB238" s="1254" t="s">
        <v>2260</v>
      </c>
      <c r="DC238" s="754"/>
      <c r="DD238" s="782"/>
      <c r="DE238" s="783"/>
    </row>
    <row r="239" spans="1:109" ht="15.75" hidden="1" customHeight="1">
      <c r="A239" s="741" t="s">
        <v>1296</v>
      </c>
      <c r="B239" s="742">
        <v>233</v>
      </c>
      <c r="C239" s="758" t="s">
        <v>1428</v>
      </c>
      <c r="D239" s="742"/>
      <c r="E239" s="742"/>
      <c r="F239" s="754" t="s">
        <v>3005</v>
      </c>
      <c r="G239" s="759" t="s">
        <v>3006</v>
      </c>
      <c r="H239" s="760"/>
      <c r="I239" s="761"/>
      <c r="J239" s="762">
        <v>1</v>
      </c>
      <c r="K239" s="762"/>
      <c r="L239" s="762"/>
      <c r="M239" s="762"/>
      <c r="N239" s="762"/>
      <c r="O239" s="762"/>
      <c r="P239" s="763"/>
      <c r="Q239" s="764">
        <f t="shared" si="3"/>
        <v>1</v>
      </c>
      <c r="R239" s="758" t="s">
        <v>1846</v>
      </c>
      <c r="S239" s="742" t="s">
        <v>1826</v>
      </c>
      <c r="T239" s="765" t="s">
        <v>1827</v>
      </c>
      <c r="U239" s="742"/>
      <c r="V239" s="742" t="s">
        <v>321</v>
      </c>
      <c r="W239" s="742" t="s">
        <v>3007</v>
      </c>
      <c r="X239" s="1243">
        <v>0</v>
      </c>
      <c r="Y239" s="788" t="s">
        <v>1828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28" t="s">
        <v>210</v>
      </c>
      <c r="BM239" s="1829" t="s">
        <v>210</v>
      </c>
      <c r="BN239" s="1829" t="s">
        <v>210</v>
      </c>
      <c r="BO239" s="1829" t="s">
        <v>210</v>
      </c>
      <c r="BP239" s="765" t="s">
        <v>210</v>
      </c>
      <c r="BQ239" s="777" t="s">
        <v>2260</v>
      </c>
      <c r="BR239" s="769" t="s">
        <v>2260</v>
      </c>
      <c r="BS239" s="769" t="s">
        <v>2260</v>
      </c>
      <c r="BT239" s="769" t="s">
        <v>2260</v>
      </c>
      <c r="BU239" s="774" t="s">
        <v>2260</v>
      </c>
      <c r="BV239" s="777" t="s">
        <v>2260</v>
      </c>
      <c r="BW239" s="769" t="s">
        <v>2260</v>
      </c>
      <c r="BX239" s="769" t="s">
        <v>2260</v>
      </c>
      <c r="BY239" s="769" t="s">
        <v>2260</v>
      </c>
      <c r="BZ239" s="769" t="s">
        <v>2260</v>
      </c>
      <c r="CA239" s="777" t="s">
        <v>2260</v>
      </c>
      <c r="CB239" s="769" t="s">
        <v>2260</v>
      </c>
      <c r="CC239" s="769" t="s">
        <v>2260</v>
      </c>
      <c r="CD239" s="769" t="s">
        <v>2260</v>
      </c>
      <c r="CE239" s="774" t="s">
        <v>2260</v>
      </c>
      <c r="CF239" s="769" t="s">
        <v>2260</v>
      </c>
      <c r="CG239" s="769" t="s">
        <v>2260</v>
      </c>
      <c r="CH239" s="769" t="s">
        <v>2260</v>
      </c>
      <c r="CI239" s="769" t="s">
        <v>2260</v>
      </c>
      <c r="CJ239" s="774" t="s">
        <v>2260</v>
      </c>
      <c r="CK239" s="777" t="s">
        <v>2260</v>
      </c>
      <c r="CL239" s="769" t="s">
        <v>2260</v>
      </c>
      <c r="CM239" s="769" t="s">
        <v>2260</v>
      </c>
      <c r="CN239" s="769" t="s">
        <v>2260</v>
      </c>
      <c r="CO239" s="774" t="s">
        <v>2260</v>
      </c>
      <c r="CP239" s="777" t="s">
        <v>2260</v>
      </c>
      <c r="CQ239" s="769" t="s">
        <v>2260</v>
      </c>
      <c r="CR239" s="769" t="s">
        <v>2260</v>
      </c>
      <c r="CS239" s="769" t="s">
        <v>2260</v>
      </c>
      <c r="CT239" s="774" t="s">
        <v>2260</v>
      </c>
      <c r="CU239" s="1253">
        <v>-6.4000000000000003E-3</v>
      </c>
      <c r="CV239" s="1252" t="s">
        <v>2260</v>
      </c>
      <c r="CW239" s="1252" t="s">
        <v>2260</v>
      </c>
      <c r="CX239" s="1254" t="s">
        <v>2260</v>
      </c>
      <c r="CY239" s="1252" t="s">
        <v>2260</v>
      </c>
      <c r="CZ239" s="1252" t="s">
        <v>2260</v>
      </c>
      <c r="DA239" s="1252" t="s">
        <v>2260</v>
      </c>
      <c r="DB239" s="1254" t="s">
        <v>2260</v>
      </c>
      <c r="DC239" s="754"/>
      <c r="DD239" s="782"/>
      <c r="DE239" s="783"/>
    </row>
    <row r="240" spans="1:109" ht="15.75" hidden="1" customHeight="1">
      <c r="A240" s="741" t="s">
        <v>1278</v>
      </c>
      <c r="B240" s="742">
        <v>234</v>
      </c>
      <c r="C240" s="758" t="s">
        <v>1766</v>
      </c>
      <c r="D240" s="742" t="s">
        <v>3008</v>
      </c>
      <c r="E240" s="742" t="s">
        <v>2231</v>
      </c>
      <c r="F240" s="754" t="s">
        <v>2963</v>
      </c>
      <c r="G240" s="759" t="s">
        <v>2251</v>
      </c>
      <c r="H240" s="760" t="s">
        <v>3009</v>
      </c>
      <c r="I240" s="761"/>
      <c r="J240" s="762"/>
      <c r="K240" s="762"/>
      <c r="L240" s="762"/>
      <c r="M240" s="762">
        <v>1</v>
      </c>
      <c r="N240" s="762"/>
      <c r="O240" s="762"/>
      <c r="P240" s="763"/>
      <c r="Q240" s="764">
        <f t="shared" si="3"/>
        <v>1</v>
      </c>
      <c r="R240" s="758" t="s">
        <v>1852</v>
      </c>
      <c r="S240" s="742" t="s">
        <v>1826</v>
      </c>
      <c r="T240" s="765" t="s">
        <v>1827</v>
      </c>
      <c r="U240" s="742" t="s">
        <v>1888</v>
      </c>
      <c r="V240" s="742" t="s">
        <v>1897</v>
      </c>
      <c r="W240" s="742" t="s">
        <v>3010</v>
      </c>
      <c r="X240" s="1280">
        <v>2</v>
      </c>
      <c r="Y240" s="788" t="s">
        <v>1828</v>
      </c>
      <c r="Z240" s="759" t="s">
        <v>2251</v>
      </c>
      <c r="AA240" s="754"/>
      <c r="AB240" s="754"/>
      <c r="AC240" s="754"/>
      <c r="AD240" s="754"/>
      <c r="AE240" s="754"/>
      <c r="AF240" s="768"/>
      <c r="AG240" s="769"/>
      <c r="AH240" s="769"/>
      <c r="AI240" s="769"/>
      <c r="AJ240" s="769"/>
      <c r="AK240" s="769"/>
      <c r="AL240" s="769"/>
      <c r="AM240" s="769"/>
      <c r="AN240" s="769"/>
      <c r="AO240" s="769"/>
      <c r="AP240" s="769"/>
      <c r="AQ240" s="1369"/>
      <c r="AR240" s="1319"/>
      <c r="AS240" s="1319"/>
      <c r="AT240" s="1319"/>
      <c r="AU240" s="1320"/>
      <c r="AV240" s="777"/>
      <c r="AW240" s="769"/>
      <c r="AX240" s="769"/>
      <c r="AY240" s="769"/>
      <c r="AZ240" s="769"/>
      <c r="BA240" s="769"/>
      <c r="BB240" s="769"/>
      <c r="BC240" s="769"/>
      <c r="BD240" s="769"/>
      <c r="BE240" s="769"/>
      <c r="BF240" s="769"/>
      <c r="BG240" s="769"/>
      <c r="BH240" s="769"/>
      <c r="BI240" s="769"/>
      <c r="BJ240" s="769"/>
      <c r="BK240" s="774"/>
      <c r="BL240" s="1327"/>
      <c r="BM240" s="1328"/>
      <c r="BN240" s="1328"/>
      <c r="BO240" s="1328"/>
      <c r="BP240" s="1389"/>
      <c r="BQ240" s="1369"/>
      <c r="BR240" s="1319"/>
      <c r="BS240" s="1319"/>
      <c r="BT240" s="1319"/>
      <c r="BU240" s="1320"/>
      <c r="BV240" s="1369"/>
      <c r="BW240" s="1319"/>
      <c r="BX240" s="1319"/>
      <c r="BY240" s="1319"/>
      <c r="BZ240" s="1319"/>
      <c r="CA240" s="1369"/>
      <c r="CB240" s="1319"/>
      <c r="CC240" s="1319"/>
      <c r="CD240" s="1319"/>
      <c r="CE240" s="1320"/>
      <c r="CF240" s="1319"/>
      <c r="CG240" s="1319"/>
      <c r="CH240" s="1319"/>
      <c r="CI240" s="1319"/>
      <c r="CJ240" s="1320"/>
      <c r="CK240" s="1369"/>
      <c r="CL240" s="1319"/>
      <c r="CM240" s="1319"/>
      <c r="CN240" s="1319"/>
      <c r="CO240" s="1320"/>
      <c r="CP240" s="1369"/>
      <c r="CQ240" s="1319"/>
      <c r="CR240" s="1319"/>
      <c r="CS240" s="1319"/>
      <c r="CT240" s="1320"/>
      <c r="CU240" s="1467"/>
      <c r="CV240" s="1458"/>
      <c r="CW240" s="1458"/>
      <c r="CX240" s="1663"/>
      <c r="CY240" s="1458"/>
      <c r="CZ240" s="1458"/>
      <c r="DA240" s="1458"/>
      <c r="DB240" s="1663"/>
      <c r="DC240" s="1328"/>
      <c r="DD240" s="1664"/>
      <c r="DE240" s="1669"/>
    </row>
    <row r="241" spans="1:109" ht="15.75" hidden="1" customHeight="1">
      <c r="A241" s="741" t="s">
        <v>1278</v>
      </c>
      <c r="B241" s="742">
        <v>235</v>
      </c>
      <c r="C241" s="758" t="s">
        <v>1783</v>
      </c>
      <c r="D241" s="742" t="s">
        <v>3011</v>
      </c>
      <c r="E241" s="742" t="s">
        <v>2231</v>
      </c>
      <c r="F241" s="754" t="s">
        <v>3012</v>
      </c>
      <c r="G241" s="759" t="s">
        <v>2254</v>
      </c>
      <c r="H241" s="760" t="s">
        <v>3013</v>
      </c>
      <c r="I241" s="761"/>
      <c r="J241" s="762">
        <v>1</v>
      </c>
      <c r="K241" s="762"/>
      <c r="L241" s="762"/>
      <c r="M241" s="762"/>
      <c r="N241" s="762"/>
      <c r="O241" s="762"/>
      <c r="P241" s="763"/>
      <c r="Q241" s="764">
        <f t="shared" si="3"/>
        <v>1</v>
      </c>
      <c r="R241" s="758" t="s">
        <v>1852</v>
      </c>
      <c r="S241" s="742" t="s">
        <v>1826</v>
      </c>
      <c r="T241" s="765" t="s">
        <v>1827</v>
      </c>
      <c r="U241" s="742" t="s">
        <v>1891</v>
      </c>
      <c r="V241" s="742" t="s">
        <v>1897</v>
      </c>
      <c r="W241" s="742" t="s">
        <v>3010</v>
      </c>
      <c r="X241" s="1280">
        <v>2</v>
      </c>
      <c r="Y241" s="788" t="s">
        <v>1828</v>
      </c>
      <c r="Z241" s="759" t="s">
        <v>2254</v>
      </c>
      <c r="AA241" s="754"/>
      <c r="AB241" s="754"/>
      <c r="AC241" s="754"/>
      <c r="AD241" s="754"/>
      <c r="AE241" s="754"/>
      <c r="AF241" s="768"/>
      <c r="AG241" s="769"/>
      <c r="AH241" s="769"/>
      <c r="AI241" s="769"/>
      <c r="AJ241" s="769"/>
      <c r="AK241" s="769"/>
      <c r="AL241" s="769"/>
      <c r="AM241" s="769"/>
      <c r="AN241" s="769"/>
      <c r="AO241" s="769"/>
      <c r="AP241" s="769"/>
      <c r="AQ241" s="1369"/>
      <c r="AR241" s="1319"/>
      <c r="AS241" s="1319"/>
      <c r="AT241" s="1319"/>
      <c r="AU241" s="1320"/>
      <c r="AV241" s="777"/>
      <c r="AW241" s="769"/>
      <c r="AX241" s="769"/>
      <c r="AY241" s="769"/>
      <c r="AZ241" s="769"/>
      <c r="BA241" s="769"/>
      <c r="BB241" s="769"/>
      <c r="BC241" s="769"/>
      <c r="BD241" s="769"/>
      <c r="BE241" s="769"/>
      <c r="BF241" s="769"/>
      <c r="BG241" s="769"/>
      <c r="BH241" s="769"/>
      <c r="BI241" s="769"/>
      <c r="BJ241" s="769"/>
      <c r="BK241" s="774"/>
      <c r="BL241" s="1327"/>
      <c r="BM241" s="1328"/>
      <c r="BN241" s="1328"/>
      <c r="BO241" s="1328"/>
      <c r="BP241" s="1389"/>
      <c r="BQ241" s="1369"/>
      <c r="BR241" s="1319"/>
      <c r="BS241" s="1319"/>
      <c r="BT241" s="1319"/>
      <c r="BU241" s="1320"/>
      <c r="BV241" s="1369"/>
      <c r="BW241" s="1319"/>
      <c r="BX241" s="1319"/>
      <c r="BY241" s="1319"/>
      <c r="BZ241" s="1319"/>
      <c r="CA241" s="1369"/>
      <c r="CB241" s="1319"/>
      <c r="CC241" s="1319"/>
      <c r="CD241" s="1319"/>
      <c r="CE241" s="1320"/>
      <c r="CF241" s="1319"/>
      <c r="CG241" s="1319"/>
      <c r="CH241" s="1319"/>
      <c r="CI241" s="1319"/>
      <c r="CJ241" s="1320"/>
      <c r="CK241" s="1369"/>
      <c r="CL241" s="1319"/>
      <c r="CM241" s="1319"/>
      <c r="CN241" s="1319"/>
      <c r="CO241" s="1320"/>
      <c r="CP241" s="1369"/>
      <c r="CQ241" s="1319"/>
      <c r="CR241" s="1319"/>
      <c r="CS241" s="1319"/>
      <c r="CT241" s="1320"/>
      <c r="CU241" s="1467"/>
      <c r="CV241" s="1458"/>
      <c r="CW241" s="1458"/>
      <c r="CX241" s="1663"/>
      <c r="CY241" s="1458"/>
      <c r="CZ241" s="1458"/>
      <c r="DA241" s="1458"/>
      <c r="DB241" s="1663"/>
      <c r="DC241" s="1328"/>
      <c r="DD241" s="1664"/>
      <c r="DE241" s="1669"/>
    </row>
    <row r="242" spans="1:109" ht="15.75" hidden="1" customHeight="1">
      <c r="A242" s="741" t="s">
        <v>1278</v>
      </c>
      <c r="B242" s="742">
        <v>236</v>
      </c>
      <c r="C242" s="758" t="s">
        <v>1186</v>
      </c>
      <c r="D242" s="742" t="s">
        <v>3014</v>
      </c>
      <c r="E242" s="742" t="s">
        <v>2231</v>
      </c>
      <c r="F242" s="754" t="s">
        <v>2937</v>
      </c>
      <c r="G242" s="759" t="s">
        <v>172</v>
      </c>
      <c r="H242" s="760" t="s">
        <v>3015</v>
      </c>
      <c r="I242" s="761">
        <v>0.1</v>
      </c>
      <c r="J242" s="762">
        <v>0.9</v>
      </c>
      <c r="K242" s="762"/>
      <c r="L242" s="762"/>
      <c r="M242" s="762"/>
      <c r="N242" s="762"/>
      <c r="O242" s="762"/>
      <c r="P242" s="763"/>
      <c r="Q242" s="764">
        <f t="shared" si="3"/>
        <v>1</v>
      </c>
      <c r="R242" s="758" t="s">
        <v>1846</v>
      </c>
      <c r="S242" s="742" t="s">
        <v>1826</v>
      </c>
      <c r="T242" s="765" t="s">
        <v>1827</v>
      </c>
      <c r="U242" s="742" t="s">
        <v>2247</v>
      </c>
      <c r="V242" s="742" t="s">
        <v>1897</v>
      </c>
      <c r="W242" s="742" t="s">
        <v>3016</v>
      </c>
      <c r="X242" s="1279">
        <v>2</v>
      </c>
      <c r="Y242" s="790" t="s">
        <v>1838</v>
      </c>
      <c r="Z242" s="759" t="s">
        <v>172</v>
      </c>
      <c r="AA242" s="754"/>
      <c r="AB242" s="754"/>
      <c r="AC242" s="754"/>
      <c r="AD242" s="754"/>
      <c r="AE242" s="754"/>
      <c r="AF242" s="768"/>
      <c r="AG242" s="769"/>
      <c r="AH242" s="769"/>
      <c r="AI242" s="769"/>
      <c r="AJ242" s="769"/>
      <c r="AK242" s="769"/>
      <c r="AL242" s="769"/>
      <c r="AM242" s="769"/>
      <c r="AN242" s="769"/>
      <c r="AO242" s="769"/>
      <c r="AP242" s="769"/>
      <c r="AQ242" s="1370"/>
      <c r="AR242" s="1324"/>
      <c r="AS242" s="1324"/>
      <c r="AT242" s="1324"/>
      <c r="AU242" s="1325"/>
      <c r="AV242" s="777"/>
      <c r="AW242" s="769"/>
      <c r="AX242" s="769"/>
      <c r="AY242" s="769"/>
      <c r="AZ242" s="769"/>
      <c r="BA242" s="769"/>
      <c r="BB242" s="769"/>
      <c r="BC242" s="769"/>
      <c r="BD242" s="769"/>
      <c r="BE242" s="769"/>
      <c r="BF242" s="769"/>
      <c r="BG242" s="769"/>
      <c r="BH242" s="769"/>
      <c r="BI242" s="769"/>
      <c r="BJ242" s="769"/>
      <c r="BK242" s="774"/>
      <c r="BL242" s="1327"/>
      <c r="BM242" s="1328"/>
      <c r="BN242" s="1328"/>
      <c r="BO242" s="1328"/>
      <c r="BP242" s="1389"/>
      <c r="BQ242" s="1369"/>
      <c r="BR242" s="1319"/>
      <c r="BS242" s="1319"/>
      <c r="BT242" s="1319"/>
      <c r="BU242" s="1320"/>
      <c r="BV242" s="1369"/>
      <c r="BW242" s="1319"/>
      <c r="BX242" s="1319"/>
      <c r="BY242" s="1319"/>
      <c r="BZ242" s="1319"/>
      <c r="CA242" s="1369"/>
      <c r="CB242" s="1319"/>
      <c r="CC242" s="1319"/>
      <c r="CD242" s="1319"/>
      <c r="CE242" s="1320"/>
      <c r="CF242" s="1319"/>
      <c r="CG242" s="1319"/>
      <c r="CH242" s="1319"/>
      <c r="CI242" s="1319"/>
      <c r="CJ242" s="1320"/>
      <c r="CK242" s="1369"/>
      <c r="CL242" s="1319"/>
      <c r="CM242" s="1319"/>
      <c r="CN242" s="1319"/>
      <c r="CO242" s="1320"/>
      <c r="CP242" s="1369"/>
      <c r="CQ242" s="1319"/>
      <c r="CR242" s="1319"/>
      <c r="CS242" s="1319"/>
      <c r="CT242" s="1320"/>
      <c r="CU242" s="1467"/>
      <c r="CV242" s="1458"/>
      <c r="CW242" s="1458"/>
      <c r="CX242" s="1663"/>
      <c r="CY242" s="1458"/>
      <c r="CZ242" s="1458"/>
      <c r="DA242" s="1458"/>
      <c r="DB242" s="1663"/>
      <c r="DC242" s="1328"/>
      <c r="DD242" s="1664"/>
      <c r="DE242" s="1669"/>
    </row>
    <row r="243" spans="1:109" ht="15.75" hidden="1" customHeight="1">
      <c r="A243" s="741" t="s">
        <v>1278</v>
      </c>
      <c r="B243" s="742">
        <v>237</v>
      </c>
      <c r="C243" s="758" t="s">
        <v>1187</v>
      </c>
      <c r="D243" s="742" t="s">
        <v>3017</v>
      </c>
      <c r="E243" s="742" t="s">
        <v>2223</v>
      </c>
      <c r="F243" s="754" t="s">
        <v>2947</v>
      </c>
      <c r="G243" s="759" t="s">
        <v>179</v>
      </c>
      <c r="H243" s="760" t="s">
        <v>3018</v>
      </c>
      <c r="I243" s="761">
        <v>0.05</v>
      </c>
      <c r="J243" s="762">
        <v>0.95</v>
      </c>
      <c r="K243" s="762"/>
      <c r="L243" s="762"/>
      <c r="M243" s="762"/>
      <c r="N243" s="762"/>
      <c r="O243" s="762"/>
      <c r="P243" s="763"/>
      <c r="Q243" s="764">
        <f t="shared" si="3"/>
        <v>1</v>
      </c>
      <c r="R243" s="758" t="s">
        <v>1852</v>
      </c>
      <c r="S243" s="742" t="s">
        <v>1826</v>
      </c>
      <c r="T243" s="765" t="s">
        <v>1827</v>
      </c>
      <c r="U243" s="742" t="s">
        <v>2220</v>
      </c>
      <c r="V243" s="742" t="s">
        <v>1851</v>
      </c>
      <c r="W243" s="742" t="s">
        <v>3019</v>
      </c>
      <c r="X243" s="1280">
        <v>0</v>
      </c>
      <c r="Y243" s="790" t="s">
        <v>1838</v>
      </c>
      <c r="Z243" s="759" t="s">
        <v>179</v>
      </c>
      <c r="AA243" s="754"/>
      <c r="AB243" s="754"/>
      <c r="AC243" s="754"/>
      <c r="AD243" s="754"/>
      <c r="AE243" s="754"/>
      <c r="AF243" s="768"/>
      <c r="AG243" s="769"/>
      <c r="AH243" s="769"/>
      <c r="AI243" s="814"/>
      <c r="AJ243" s="814"/>
      <c r="AK243" s="814"/>
      <c r="AL243" s="814"/>
      <c r="AM243" s="814"/>
      <c r="AN243" s="814"/>
      <c r="AO243" s="814"/>
      <c r="AP243" s="814"/>
      <c r="AQ243" s="1321"/>
      <c r="AR243" s="1322"/>
      <c r="AS243" s="1322"/>
      <c r="AT243" s="1322"/>
      <c r="AU243" s="1323"/>
      <c r="AV243" s="815"/>
      <c r="AW243" s="814"/>
      <c r="AX243" s="814"/>
      <c r="AY243" s="814"/>
      <c r="AZ243" s="814"/>
      <c r="BA243" s="814"/>
      <c r="BB243" s="814"/>
      <c r="BC243" s="814"/>
      <c r="BD243" s="814"/>
      <c r="BE243" s="814"/>
      <c r="BF243" s="814"/>
      <c r="BG243" s="814"/>
      <c r="BH243" s="814"/>
      <c r="BI243" s="814"/>
      <c r="BJ243" s="814"/>
      <c r="BK243" s="816"/>
      <c r="BL243" s="1327"/>
      <c r="BM243" s="1328"/>
      <c r="BN243" s="1328"/>
      <c r="BO243" s="1328"/>
      <c r="BP243" s="1389"/>
      <c r="BQ243" s="1369"/>
      <c r="BR243" s="1319"/>
      <c r="BS243" s="1319"/>
      <c r="BT243" s="1319"/>
      <c r="BU243" s="1320"/>
      <c r="BV243" s="1321"/>
      <c r="BW243" s="1322"/>
      <c r="BX243" s="1322"/>
      <c r="BY243" s="1322"/>
      <c r="BZ243" s="1322"/>
      <c r="CA243" s="1321"/>
      <c r="CB243" s="1322"/>
      <c r="CC243" s="1322"/>
      <c r="CD243" s="1322"/>
      <c r="CE243" s="1323"/>
      <c r="CF243" s="1322"/>
      <c r="CG243" s="1322"/>
      <c r="CH243" s="1322"/>
      <c r="CI243" s="1322"/>
      <c r="CJ243" s="1323"/>
      <c r="CK243" s="1321"/>
      <c r="CL243" s="1322"/>
      <c r="CM243" s="1322"/>
      <c r="CN243" s="1322"/>
      <c r="CO243" s="1323"/>
      <c r="CP243" s="1321"/>
      <c r="CQ243" s="1322"/>
      <c r="CR243" s="1322"/>
      <c r="CS243" s="1322"/>
      <c r="CT243" s="1323"/>
      <c r="CU243" s="1467"/>
      <c r="CV243" s="1458"/>
      <c r="CW243" s="1458"/>
      <c r="CX243" s="1663"/>
      <c r="CY243" s="1458"/>
      <c r="CZ243" s="1458"/>
      <c r="DA243" s="1458"/>
      <c r="DB243" s="1663"/>
      <c r="DC243" s="1328"/>
      <c r="DD243" s="1664"/>
      <c r="DE243" s="1669"/>
    </row>
    <row r="244" spans="1:109" ht="15.75" hidden="1" customHeight="1">
      <c r="A244" s="741" t="s">
        <v>1278</v>
      </c>
      <c r="B244" s="742">
        <v>238</v>
      </c>
      <c r="C244" s="758" t="s">
        <v>1202</v>
      </c>
      <c r="D244" s="742" t="s">
        <v>3020</v>
      </c>
      <c r="E244" s="742" t="s">
        <v>2217</v>
      </c>
      <c r="F244" s="754" t="s">
        <v>2970</v>
      </c>
      <c r="G244" s="759" t="s">
        <v>705</v>
      </c>
      <c r="H244" s="760" t="s">
        <v>3021</v>
      </c>
      <c r="I244" s="761"/>
      <c r="J244" s="762">
        <v>1</v>
      </c>
      <c r="K244" s="762"/>
      <c r="L244" s="762"/>
      <c r="M244" s="762"/>
      <c r="N244" s="762"/>
      <c r="O244" s="762"/>
      <c r="P244" s="763"/>
      <c r="Q244" s="764">
        <f t="shared" si="3"/>
        <v>1</v>
      </c>
      <c r="R244" s="758" t="s">
        <v>1852</v>
      </c>
      <c r="S244" s="742" t="s">
        <v>1826</v>
      </c>
      <c r="T244" s="765" t="s">
        <v>1827</v>
      </c>
      <c r="U244" s="742" t="s">
        <v>705</v>
      </c>
      <c r="V244" s="742" t="s">
        <v>321</v>
      </c>
      <c r="W244" s="742" t="s">
        <v>3022</v>
      </c>
      <c r="X244" s="1279">
        <v>1</v>
      </c>
      <c r="Y244" s="790" t="s">
        <v>1828</v>
      </c>
      <c r="Z244" s="759" t="s">
        <v>705</v>
      </c>
      <c r="AA244" s="754"/>
      <c r="AB244" s="754"/>
      <c r="AC244" s="754"/>
      <c r="AD244" s="754"/>
      <c r="AE244" s="754"/>
      <c r="AF244" s="768"/>
      <c r="AG244" s="769"/>
      <c r="AH244" s="769"/>
      <c r="AI244" s="769"/>
      <c r="AJ244" s="769"/>
      <c r="AK244" s="769"/>
      <c r="AL244" s="766"/>
      <c r="AM244" s="811"/>
      <c r="AN244" s="811"/>
      <c r="AO244" s="811"/>
      <c r="AP244" s="811"/>
      <c r="AQ244" s="1460"/>
      <c r="AR244" s="1665"/>
      <c r="AS244" s="1665"/>
      <c r="AT244" s="1665"/>
      <c r="AU244" s="1466"/>
      <c r="AV244" s="812"/>
      <c r="AW244" s="811"/>
      <c r="AX244" s="811"/>
      <c r="AY244" s="811"/>
      <c r="AZ244" s="811"/>
      <c r="BA244" s="811"/>
      <c r="BB244" s="811"/>
      <c r="BC244" s="811"/>
      <c r="BD244" s="811"/>
      <c r="BE244" s="811"/>
      <c r="BF244" s="811"/>
      <c r="BG244" s="811"/>
      <c r="BH244" s="811"/>
      <c r="BI244" s="811"/>
      <c r="BJ244" s="811"/>
      <c r="BK244" s="813"/>
      <c r="BL244" s="1327"/>
      <c r="BM244" s="1328"/>
      <c r="BN244" s="1328"/>
      <c r="BO244" s="1328"/>
      <c r="BP244" s="1389"/>
      <c r="BQ244" s="1369"/>
      <c r="BR244" s="1319"/>
      <c r="BS244" s="1319"/>
      <c r="BT244" s="1319"/>
      <c r="BU244" s="1320"/>
      <c r="BV244" s="1370"/>
      <c r="BW244" s="1324"/>
      <c r="BX244" s="1324"/>
      <c r="BY244" s="1324"/>
      <c r="BZ244" s="1324"/>
      <c r="CA244" s="1369"/>
      <c r="CB244" s="1319"/>
      <c r="CC244" s="1319"/>
      <c r="CD244" s="1319"/>
      <c r="CE244" s="1320"/>
      <c r="CF244" s="1319"/>
      <c r="CG244" s="1319"/>
      <c r="CH244" s="1319"/>
      <c r="CI244" s="1319"/>
      <c r="CJ244" s="1320"/>
      <c r="CK244" s="1369"/>
      <c r="CL244" s="1319"/>
      <c r="CM244" s="1319"/>
      <c r="CN244" s="1319"/>
      <c r="CO244" s="1320"/>
      <c r="CP244" s="1369"/>
      <c r="CQ244" s="1319"/>
      <c r="CR244" s="1319"/>
      <c r="CS244" s="1319"/>
      <c r="CT244" s="1320"/>
      <c r="CU244" s="1467"/>
      <c r="CV244" s="1458"/>
      <c r="CW244" s="1458"/>
      <c r="CX244" s="1663"/>
      <c r="CY244" s="1458"/>
      <c r="CZ244" s="1458"/>
      <c r="DA244" s="1458"/>
      <c r="DB244" s="1663"/>
      <c r="DC244" s="1328"/>
      <c r="DD244" s="1664"/>
      <c r="DE244" s="1669"/>
    </row>
    <row r="245" spans="1:109" ht="15.75" hidden="1" customHeight="1">
      <c r="A245" s="741" t="s">
        <v>1278</v>
      </c>
      <c r="B245" s="742">
        <v>239</v>
      </c>
      <c r="C245" s="758" t="s">
        <v>1189</v>
      </c>
      <c r="D245" s="742" t="s">
        <v>3023</v>
      </c>
      <c r="E245" s="742" t="s">
        <v>2231</v>
      </c>
      <c r="F245" s="754" t="s">
        <v>2978</v>
      </c>
      <c r="G245" s="759" t="s">
        <v>1084</v>
      </c>
      <c r="H245" s="760" t="s">
        <v>3024</v>
      </c>
      <c r="I245" s="761"/>
      <c r="J245" s="762">
        <v>0.25</v>
      </c>
      <c r="K245" s="762"/>
      <c r="L245" s="762"/>
      <c r="M245" s="762">
        <v>0.75</v>
      </c>
      <c r="N245" s="762"/>
      <c r="O245" s="762"/>
      <c r="P245" s="763"/>
      <c r="Q245" s="764">
        <f t="shared" si="3"/>
        <v>1</v>
      </c>
      <c r="R245" s="758" t="s">
        <v>1852</v>
      </c>
      <c r="S245" s="742" t="s">
        <v>1826</v>
      </c>
      <c r="T245" s="1389" t="s">
        <v>1837</v>
      </c>
      <c r="U245" s="742" t="s">
        <v>2348</v>
      </c>
      <c r="V245" s="742" t="s">
        <v>1857</v>
      </c>
      <c r="W245" s="742" t="s">
        <v>3025</v>
      </c>
      <c r="X245" s="1279">
        <v>1</v>
      </c>
      <c r="Y245" s="790" t="s">
        <v>1838</v>
      </c>
      <c r="Z245" s="759" t="s">
        <v>1084</v>
      </c>
      <c r="AA245" s="754"/>
      <c r="AB245" s="754"/>
      <c r="AC245" s="754"/>
      <c r="AD245" s="754"/>
      <c r="AE245" s="754"/>
      <c r="AF245" s="768"/>
      <c r="AG245" s="769"/>
      <c r="AH245" s="769"/>
      <c r="AI245" s="769"/>
      <c r="AJ245" s="769"/>
      <c r="AK245" s="769"/>
      <c r="AL245" s="766"/>
      <c r="AM245" s="766"/>
      <c r="AN245" s="766"/>
      <c r="AO245" s="766"/>
      <c r="AP245" s="766"/>
      <c r="AQ245" s="1369"/>
      <c r="AR245" s="1319"/>
      <c r="AS245" s="1319"/>
      <c r="AT245" s="1319"/>
      <c r="AU245" s="1320"/>
      <c r="AV245" s="796"/>
      <c r="AW245" s="766"/>
      <c r="AX245" s="766"/>
      <c r="AY245" s="766"/>
      <c r="AZ245" s="766"/>
      <c r="BA245" s="766"/>
      <c r="BB245" s="766"/>
      <c r="BC245" s="766"/>
      <c r="BD245" s="766"/>
      <c r="BE245" s="766"/>
      <c r="BF245" s="766"/>
      <c r="BG245" s="766"/>
      <c r="BH245" s="766"/>
      <c r="BI245" s="766"/>
      <c r="BJ245" s="766"/>
      <c r="BK245" s="774"/>
      <c r="BL245" s="1327"/>
      <c r="BM245" s="1328"/>
      <c r="BN245" s="1328"/>
      <c r="BO245" s="1328"/>
      <c r="BP245" s="1389"/>
      <c r="BQ245" s="1369"/>
      <c r="BR245" s="1319"/>
      <c r="BS245" s="1319"/>
      <c r="BT245" s="1319"/>
      <c r="BU245" s="1320"/>
      <c r="BV245" s="1369"/>
      <c r="BW245" s="1319"/>
      <c r="BX245" s="1319"/>
      <c r="BY245" s="1319"/>
      <c r="BZ245" s="1319"/>
      <c r="CA245" s="1369"/>
      <c r="CB245" s="1319"/>
      <c r="CC245" s="1319"/>
      <c r="CD245" s="1319"/>
      <c r="CE245" s="1320"/>
      <c r="CF245" s="1319"/>
      <c r="CG245" s="1319"/>
      <c r="CH245" s="1319"/>
      <c r="CI245" s="1319"/>
      <c r="CJ245" s="1320"/>
      <c r="CK245" s="1369"/>
      <c r="CL245" s="1319"/>
      <c r="CM245" s="1319"/>
      <c r="CN245" s="1319"/>
      <c r="CO245" s="1320"/>
      <c r="CP245" s="1369"/>
      <c r="CQ245" s="1319"/>
      <c r="CR245" s="1319"/>
      <c r="CS245" s="1319"/>
      <c r="CT245" s="1320"/>
      <c r="CU245" s="1467"/>
      <c r="CV245" s="1458"/>
      <c r="CW245" s="1458"/>
      <c r="CX245" s="1663"/>
      <c r="CY245" s="1458"/>
      <c r="CZ245" s="1458"/>
      <c r="DA245" s="1458"/>
      <c r="DB245" s="1663"/>
      <c r="DC245" s="1328"/>
      <c r="DD245" s="1664"/>
      <c r="DE245" s="1669"/>
    </row>
    <row r="246" spans="1:109" ht="15.75" hidden="1" customHeight="1">
      <c r="A246" s="741" t="s">
        <v>1278</v>
      </c>
      <c r="B246" s="742">
        <v>240</v>
      </c>
      <c r="C246" s="758" t="s">
        <v>1196</v>
      </c>
      <c r="D246" s="742" t="s">
        <v>3026</v>
      </c>
      <c r="E246" s="742" t="s">
        <v>2231</v>
      </c>
      <c r="F246" s="754" t="s">
        <v>3027</v>
      </c>
      <c r="G246" s="759" t="s">
        <v>567</v>
      </c>
      <c r="H246" s="760" t="s">
        <v>2697</v>
      </c>
      <c r="I246" s="761">
        <v>0.75</v>
      </c>
      <c r="J246" s="762">
        <v>0.25</v>
      </c>
      <c r="K246" s="762"/>
      <c r="L246" s="762"/>
      <c r="M246" s="762"/>
      <c r="N246" s="762"/>
      <c r="O246" s="762"/>
      <c r="P246" s="763"/>
      <c r="Q246" s="764">
        <f t="shared" si="3"/>
        <v>1</v>
      </c>
      <c r="R246" s="758" t="s">
        <v>1825</v>
      </c>
      <c r="S246" s="742"/>
      <c r="T246" s="765"/>
      <c r="U246" s="742" t="s">
        <v>3028</v>
      </c>
      <c r="V246" s="742" t="s">
        <v>321</v>
      </c>
      <c r="W246" s="742" t="s">
        <v>3029</v>
      </c>
      <c r="X246" s="1279">
        <v>1</v>
      </c>
      <c r="Y246" s="790" t="s">
        <v>1838</v>
      </c>
      <c r="Z246" s="759" t="s">
        <v>567</v>
      </c>
      <c r="AA246" s="754"/>
      <c r="AB246" s="754"/>
      <c r="AC246" s="754"/>
      <c r="AD246" s="754"/>
      <c r="AE246" s="754"/>
      <c r="AF246" s="768"/>
      <c r="AG246" s="769"/>
      <c r="AH246" s="769"/>
      <c r="AI246" s="769"/>
      <c r="AJ246" s="769"/>
      <c r="AK246" s="769"/>
      <c r="AL246" s="785"/>
      <c r="AM246" s="785"/>
      <c r="AN246" s="785"/>
      <c r="AO246" s="785"/>
      <c r="AP246" s="785"/>
      <c r="AQ246" s="1460"/>
      <c r="AR246" s="1665"/>
      <c r="AS246" s="1665"/>
      <c r="AT246" s="1665"/>
      <c r="AU246" s="1466"/>
      <c r="AV246" s="786"/>
      <c r="AW246" s="785"/>
      <c r="AX246" s="785"/>
      <c r="AY246" s="785"/>
      <c r="AZ246" s="785"/>
      <c r="BA246" s="785"/>
      <c r="BB246" s="785"/>
      <c r="BC246" s="785"/>
      <c r="BD246" s="785"/>
      <c r="BE246" s="785"/>
      <c r="BF246" s="785"/>
      <c r="BG246" s="785"/>
      <c r="BH246" s="785"/>
      <c r="BI246" s="785"/>
      <c r="BJ246" s="785"/>
      <c r="BK246" s="787"/>
      <c r="BL246" s="1327"/>
      <c r="BM246" s="1328"/>
      <c r="BN246" s="1328"/>
      <c r="BO246" s="1328"/>
      <c r="BP246" s="1389"/>
      <c r="BQ246" s="1369"/>
      <c r="BR246" s="1319"/>
      <c r="BS246" s="1319"/>
      <c r="BT246" s="1319"/>
      <c r="BU246" s="1320"/>
      <c r="BV246" s="1369"/>
      <c r="BW246" s="1319"/>
      <c r="BX246" s="1319"/>
      <c r="BY246" s="1319"/>
      <c r="BZ246" s="1319"/>
      <c r="CA246" s="1369"/>
      <c r="CB246" s="1319"/>
      <c r="CC246" s="1319"/>
      <c r="CD246" s="1319"/>
      <c r="CE246" s="1320"/>
      <c r="CF246" s="1319"/>
      <c r="CG246" s="1319"/>
      <c r="CH246" s="1319"/>
      <c r="CI246" s="1319"/>
      <c r="CJ246" s="1319"/>
      <c r="CK246" s="1369"/>
      <c r="CL246" s="1319"/>
      <c r="CM246" s="1319"/>
      <c r="CN246" s="1319"/>
      <c r="CO246" s="1320"/>
      <c r="CP246" s="1369"/>
      <c r="CQ246" s="1319"/>
      <c r="CR246" s="1319"/>
      <c r="CS246" s="1319"/>
      <c r="CT246" s="1320"/>
      <c r="CU246" s="1467"/>
      <c r="CV246" s="1458"/>
      <c r="CW246" s="1458"/>
      <c r="CX246" s="1663"/>
      <c r="CY246" s="1458"/>
      <c r="CZ246" s="1458"/>
      <c r="DA246" s="1458"/>
      <c r="DB246" s="1663"/>
      <c r="DC246" s="1328"/>
      <c r="DD246" s="1664"/>
      <c r="DE246" s="1669"/>
    </row>
    <row r="247" spans="1:109" ht="15.75" hidden="1" customHeight="1">
      <c r="A247" s="741" t="s">
        <v>1278</v>
      </c>
      <c r="B247" s="742">
        <v>241</v>
      </c>
      <c r="C247" s="758" t="s">
        <v>1190</v>
      </c>
      <c r="D247" s="742" t="s">
        <v>3017</v>
      </c>
      <c r="E247" s="742" t="s">
        <v>2217</v>
      </c>
      <c r="F247" s="754" t="s">
        <v>2951</v>
      </c>
      <c r="G247" s="759" t="s">
        <v>203</v>
      </c>
      <c r="H247" s="760" t="s">
        <v>3030</v>
      </c>
      <c r="I247" s="761"/>
      <c r="J247" s="762">
        <v>1</v>
      </c>
      <c r="K247" s="762"/>
      <c r="L247" s="762"/>
      <c r="M247" s="762"/>
      <c r="N247" s="762"/>
      <c r="O247" s="762"/>
      <c r="P247" s="763"/>
      <c r="Q247" s="764">
        <f t="shared" si="3"/>
        <v>1</v>
      </c>
      <c r="R247" s="758" t="s">
        <v>1846</v>
      </c>
      <c r="S247" s="742" t="s">
        <v>1826</v>
      </c>
      <c r="T247" s="765" t="s">
        <v>1827</v>
      </c>
      <c r="U247" s="742" t="s">
        <v>2363</v>
      </c>
      <c r="V247" s="742" t="s">
        <v>1857</v>
      </c>
      <c r="W247" s="742" t="s">
        <v>3031</v>
      </c>
      <c r="X247" s="1279">
        <v>1</v>
      </c>
      <c r="Y247" s="790" t="s">
        <v>1838</v>
      </c>
      <c r="Z247" s="759" t="s">
        <v>203</v>
      </c>
      <c r="AA247" s="754"/>
      <c r="AB247" s="754"/>
      <c r="AC247" s="754"/>
      <c r="AD247" s="754"/>
      <c r="AE247" s="754"/>
      <c r="AF247" s="768"/>
      <c r="AG247" s="769"/>
      <c r="AH247" s="769"/>
      <c r="AI247" s="769"/>
      <c r="AJ247" s="769"/>
      <c r="AK247" s="769"/>
      <c r="AL247" s="769"/>
      <c r="AM247" s="769"/>
      <c r="AN247" s="769"/>
      <c r="AO247" s="769"/>
      <c r="AP247" s="769"/>
      <c r="AQ247" s="1460"/>
      <c r="AR247" s="1665"/>
      <c r="AS247" s="1665"/>
      <c r="AT247" s="1665"/>
      <c r="AU247" s="1466"/>
      <c r="AV247" s="777"/>
      <c r="AW247" s="769"/>
      <c r="AX247" s="769"/>
      <c r="AY247" s="769"/>
      <c r="AZ247" s="769"/>
      <c r="BA247" s="769"/>
      <c r="BB247" s="769"/>
      <c r="BC247" s="769"/>
      <c r="BD247" s="769"/>
      <c r="BE247" s="769"/>
      <c r="BF247" s="769"/>
      <c r="BG247" s="769"/>
      <c r="BH247" s="769"/>
      <c r="BI247" s="769"/>
      <c r="BJ247" s="769"/>
      <c r="BK247" s="774"/>
      <c r="BL247" s="1327"/>
      <c r="BM247" s="1328"/>
      <c r="BN247" s="1328"/>
      <c r="BO247" s="1328"/>
      <c r="BP247" s="1389"/>
      <c r="BQ247" s="1369"/>
      <c r="BR247" s="1319"/>
      <c r="BS247" s="1319"/>
      <c r="BT247" s="1319"/>
      <c r="BU247" s="1320"/>
      <c r="BV247" s="1369"/>
      <c r="BW247" s="1319"/>
      <c r="BX247" s="1319"/>
      <c r="BY247" s="1319"/>
      <c r="BZ247" s="1319"/>
      <c r="CA247" s="1369"/>
      <c r="CB247" s="1319"/>
      <c r="CC247" s="1319"/>
      <c r="CD247" s="1319"/>
      <c r="CE247" s="1320"/>
      <c r="CF247" s="1319"/>
      <c r="CG247" s="1319"/>
      <c r="CH247" s="1319"/>
      <c r="CI247" s="1319"/>
      <c r="CJ247" s="1320"/>
      <c r="CK247" s="1369"/>
      <c r="CL247" s="1319"/>
      <c r="CM247" s="1319"/>
      <c r="CN247" s="1319"/>
      <c r="CO247" s="1320"/>
      <c r="CP247" s="1369"/>
      <c r="CQ247" s="1319"/>
      <c r="CR247" s="1319"/>
      <c r="CS247" s="1319"/>
      <c r="CT247" s="1320"/>
      <c r="CU247" s="1467"/>
      <c r="CV247" s="1458"/>
      <c r="CW247" s="1458"/>
      <c r="CX247" s="1663"/>
      <c r="CY247" s="1458"/>
      <c r="CZ247" s="1458"/>
      <c r="DA247" s="1458"/>
      <c r="DB247" s="1663"/>
      <c r="DC247" s="1328"/>
      <c r="DD247" s="1664"/>
      <c r="DE247" s="1669"/>
    </row>
    <row r="248" spans="1:109" ht="15.75" hidden="1" customHeight="1">
      <c r="A248" s="741" t="s">
        <v>1278</v>
      </c>
      <c r="B248" s="742">
        <v>242</v>
      </c>
      <c r="C248" s="758" t="s">
        <v>1191</v>
      </c>
      <c r="D248" s="742" t="s">
        <v>3017</v>
      </c>
      <c r="E248" s="742" t="s">
        <v>2231</v>
      </c>
      <c r="F248" s="754" t="s">
        <v>2954</v>
      </c>
      <c r="G248" s="759" t="s">
        <v>209</v>
      </c>
      <c r="H248" s="760" t="s">
        <v>3032</v>
      </c>
      <c r="I248" s="761">
        <v>0.05</v>
      </c>
      <c r="J248" s="762">
        <v>0.95</v>
      </c>
      <c r="K248" s="762"/>
      <c r="L248" s="762"/>
      <c r="M248" s="762"/>
      <c r="N248" s="762"/>
      <c r="O248" s="762"/>
      <c r="P248" s="763"/>
      <c r="Q248" s="764">
        <f t="shared" si="3"/>
        <v>1</v>
      </c>
      <c r="R248" s="758" t="s">
        <v>1846</v>
      </c>
      <c r="S248" s="742" t="s">
        <v>1826</v>
      </c>
      <c r="T248" s="765" t="s">
        <v>1827</v>
      </c>
      <c r="U248" s="742" t="s">
        <v>2238</v>
      </c>
      <c r="V248" s="742" t="s">
        <v>321</v>
      </c>
      <c r="W248" s="742" t="s">
        <v>3033</v>
      </c>
      <c r="X248" s="1280">
        <v>2</v>
      </c>
      <c r="Y248" s="790" t="s">
        <v>1838</v>
      </c>
      <c r="Z248" s="759" t="s">
        <v>209</v>
      </c>
      <c r="AA248" s="754"/>
      <c r="AB248" s="754"/>
      <c r="AC248" s="754"/>
      <c r="AD248" s="754"/>
      <c r="AE248" s="754"/>
      <c r="AF248" s="768"/>
      <c r="AG248" s="769"/>
      <c r="AH248" s="769"/>
      <c r="AI248" s="769"/>
      <c r="AJ248" s="769"/>
      <c r="AK248" s="769"/>
      <c r="AL248" s="769"/>
      <c r="AM248" s="769"/>
      <c r="AN248" s="769"/>
      <c r="AO248" s="769"/>
      <c r="AP248" s="769"/>
      <c r="AQ248" s="1370"/>
      <c r="AR248" s="1324"/>
      <c r="AS248" s="1324"/>
      <c r="AT248" s="1324"/>
      <c r="AU248" s="1325"/>
      <c r="AV248" s="777"/>
      <c r="AW248" s="769"/>
      <c r="AX248" s="769"/>
      <c r="AY248" s="769"/>
      <c r="AZ248" s="769"/>
      <c r="BA248" s="769"/>
      <c r="BB248" s="769"/>
      <c r="BC248" s="769"/>
      <c r="BD248" s="769"/>
      <c r="BE248" s="769"/>
      <c r="BF248" s="769"/>
      <c r="BG248" s="769"/>
      <c r="BH248" s="769"/>
      <c r="BI248" s="769"/>
      <c r="BJ248" s="769"/>
      <c r="BK248" s="774"/>
      <c r="BL248" s="1327"/>
      <c r="BM248" s="1328"/>
      <c r="BN248" s="1328"/>
      <c r="BO248" s="1328"/>
      <c r="BP248" s="1389"/>
      <c r="BQ248" s="1369"/>
      <c r="BR248" s="1319"/>
      <c r="BS248" s="1319"/>
      <c r="BT248" s="1319"/>
      <c r="BU248" s="1320"/>
      <c r="BV248" s="1370"/>
      <c r="BW248" s="1324"/>
      <c r="BX248" s="1324"/>
      <c r="BY248" s="1324"/>
      <c r="BZ248" s="1324"/>
      <c r="CA248" s="1369"/>
      <c r="CB248" s="1319"/>
      <c r="CC248" s="1319"/>
      <c r="CD248" s="1319"/>
      <c r="CE248" s="1320"/>
      <c r="CF248" s="1319"/>
      <c r="CG248" s="1319"/>
      <c r="CH248" s="1319"/>
      <c r="CI248" s="1319"/>
      <c r="CJ248" s="1320"/>
      <c r="CK248" s="1369"/>
      <c r="CL248" s="1319"/>
      <c r="CM248" s="1319"/>
      <c r="CN248" s="1319"/>
      <c r="CO248" s="1320"/>
      <c r="CP248" s="1369"/>
      <c r="CQ248" s="1319"/>
      <c r="CR248" s="1319"/>
      <c r="CS248" s="1319"/>
      <c r="CT248" s="1320"/>
      <c r="CU248" s="1467"/>
      <c r="CV248" s="1458"/>
      <c r="CW248" s="1458"/>
      <c r="CX248" s="1663"/>
      <c r="CY248" s="1458"/>
      <c r="CZ248" s="1458"/>
      <c r="DA248" s="1458"/>
      <c r="DB248" s="1663"/>
      <c r="DC248" s="1328"/>
      <c r="DD248" s="1664"/>
      <c r="DE248" s="1669"/>
    </row>
    <row r="249" spans="1:109" ht="15.75" hidden="1" customHeight="1">
      <c r="A249" s="741" t="s">
        <v>1278</v>
      </c>
      <c r="B249" s="742">
        <v>243</v>
      </c>
      <c r="C249" s="758" t="s">
        <v>1594</v>
      </c>
      <c r="D249" s="742" t="s">
        <v>3008</v>
      </c>
      <c r="E249" s="742" t="s">
        <v>2231</v>
      </c>
      <c r="F249" s="754" t="s">
        <v>3005</v>
      </c>
      <c r="G249" s="759" t="s">
        <v>3034</v>
      </c>
      <c r="H249" s="760" t="s">
        <v>3035</v>
      </c>
      <c r="I249" s="761"/>
      <c r="J249" s="762">
        <v>0.25</v>
      </c>
      <c r="K249" s="762"/>
      <c r="L249" s="762"/>
      <c r="M249" s="762">
        <v>0.75</v>
      </c>
      <c r="N249" s="762"/>
      <c r="O249" s="762"/>
      <c r="P249" s="763"/>
      <c r="Q249" s="764">
        <f t="shared" si="3"/>
        <v>1</v>
      </c>
      <c r="R249" s="758" t="s">
        <v>1825</v>
      </c>
      <c r="S249" s="742"/>
      <c r="T249" s="765"/>
      <c r="U249" s="742" t="s">
        <v>2264</v>
      </c>
      <c r="V249" s="742" t="s">
        <v>1897</v>
      </c>
      <c r="W249" s="742" t="s">
        <v>3036</v>
      </c>
      <c r="X249" s="1279">
        <v>1</v>
      </c>
      <c r="Y249" s="790" t="s">
        <v>1828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2260</v>
      </c>
      <c r="BR249" s="769" t="s">
        <v>2260</v>
      </c>
      <c r="BS249" s="769" t="s">
        <v>2260</v>
      </c>
      <c r="BT249" s="769" t="s">
        <v>2260</v>
      </c>
      <c r="BU249" s="774" t="s">
        <v>2260</v>
      </c>
      <c r="BV249" s="777" t="s">
        <v>2260</v>
      </c>
      <c r="BW249" s="769" t="s">
        <v>2260</v>
      </c>
      <c r="BX249" s="769" t="s">
        <v>2260</v>
      </c>
      <c r="BY249" s="769" t="s">
        <v>2260</v>
      </c>
      <c r="BZ249" s="769" t="s">
        <v>2260</v>
      </c>
      <c r="CA249" s="777" t="s">
        <v>2260</v>
      </c>
      <c r="CB249" s="769" t="s">
        <v>2260</v>
      </c>
      <c r="CC249" s="769" t="s">
        <v>2260</v>
      </c>
      <c r="CD249" s="769" t="s">
        <v>2260</v>
      </c>
      <c r="CE249" s="774" t="s">
        <v>2260</v>
      </c>
      <c r="CF249" s="769" t="s">
        <v>2260</v>
      </c>
      <c r="CG249" s="769" t="s">
        <v>2260</v>
      </c>
      <c r="CH249" s="769" t="s">
        <v>2260</v>
      </c>
      <c r="CI249" s="769" t="s">
        <v>2260</v>
      </c>
      <c r="CJ249" s="774" t="s">
        <v>2260</v>
      </c>
      <c r="CK249" s="777" t="s">
        <v>2260</v>
      </c>
      <c r="CL249" s="769" t="s">
        <v>2260</v>
      </c>
      <c r="CM249" s="769" t="s">
        <v>2260</v>
      </c>
      <c r="CN249" s="769" t="s">
        <v>2260</v>
      </c>
      <c r="CO249" s="774" t="s">
        <v>2260</v>
      </c>
      <c r="CP249" s="777" t="s">
        <v>2260</v>
      </c>
      <c r="CQ249" s="769" t="s">
        <v>2260</v>
      </c>
      <c r="CR249" s="769" t="s">
        <v>2260</v>
      </c>
      <c r="CS249" s="769" t="s">
        <v>2260</v>
      </c>
      <c r="CT249" s="774" t="s">
        <v>2260</v>
      </c>
      <c r="CU249" s="1253" t="s">
        <v>2260</v>
      </c>
      <c r="CV249" s="1252" t="s">
        <v>2260</v>
      </c>
      <c r="CW249" s="1252" t="s">
        <v>2260</v>
      </c>
      <c r="CX249" s="1254" t="s">
        <v>2260</v>
      </c>
      <c r="CY249" s="1252" t="s">
        <v>2260</v>
      </c>
      <c r="CZ249" s="1252" t="s">
        <v>2260</v>
      </c>
      <c r="DA249" s="1252" t="s">
        <v>2260</v>
      </c>
      <c r="DB249" s="1254" t="s">
        <v>2260</v>
      </c>
      <c r="DC249" s="754"/>
      <c r="DD249" s="782">
        <v>1</v>
      </c>
      <c r="DE249" s="783"/>
    </row>
    <row r="250" spans="1:109" ht="15.75" hidden="1" customHeight="1">
      <c r="A250" s="741" t="s">
        <v>1278</v>
      </c>
      <c r="B250" s="742">
        <v>244</v>
      </c>
      <c r="C250" s="758" t="s">
        <v>1611</v>
      </c>
      <c r="D250" s="742" t="s">
        <v>3008</v>
      </c>
      <c r="E250" s="742" t="s">
        <v>2231</v>
      </c>
      <c r="F250" s="754" t="s">
        <v>2965</v>
      </c>
      <c r="G250" s="759" t="s">
        <v>3037</v>
      </c>
      <c r="H250" s="760" t="s">
        <v>3038</v>
      </c>
      <c r="I250" s="761"/>
      <c r="J250" s="762">
        <v>0.25</v>
      </c>
      <c r="K250" s="762"/>
      <c r="L250" s="762"/>
      <c r="M250" s="762">
        <v>0.75</v>
      </c>
      <c r="N250" s="762"/>
      <c r="O250" s="762"/>
      <c r="P250" s="763"/>
      <c r="Q250" s="764">
        <f t="shared" si="3"/>
        <v>1</v>
      </c>
      <c r="R250" s="758" t="s">
        <v>1825</v>
      </c>
      <c r="S250" s="742"/>
      <c r="T250" s="765"/>
      <c r="U250" s="742" t="s">
        <v>2264</v>
      </c>
      <c r="V250" s="742" t="s">
        <v>1897</v>
      </c>
      <c r="W250" s="742" t="s">
        <v>3036</v>
      </c>
      <c r="X250" s="1279">
        <v>1</v>
      </c>
      <c r="Y250" s="790" t="s">
        <v>1828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2260</v>
      </c>
      <c r="BR250" s="769" t="s">
        <v>2260</v>
      </c>
      <c r="BS250" s="769" t="s">
        <v>2260</v>
      </c>
      <c r="BT250" s="769" t="s">
        <v>2260</v>
      </c>
      <c r="BU250" s="774" t="s">
        <v>2260</v>
      </c>
      <c r="BV250" s="777" t="s">
        <v>2260</v>
      </c>
      <c r="BW250" s="769" t="s">
        <v>2260</v>
      </c>
      <c r="BX250" s="769" t="s">
        <v>2260</v>
      </c>
      <c r="BY250" s="769" t="s">
        <v>2260</v>
      </c>
      <c r="BZ250" s="769" t="s">
        <v>2260</v>
      </c>
      <c r="CA250" s="777" t="s">
        <v>2260</v>
      </c>
      <c r="CB250" s="769" t="s">
        <v>2260</v>
      </c>
      <c r="CC250" s="769" t="s">
        <v>2260</v>
      </c>
      <c r="CD250" s="769" t="s">
        <v>2260</v>
      </c>
      <c r="CE250" s="774" t="s">
        <v>2260</v>
      </c>
      <c r="CF250" s="769" t="s">
        <v>2260</v>
      </c>
      <c r="CG250" s="769" t="s">
        <v>2260</v>
      </c>
      <c r="CH250" s="769" t="s">
        <v>2260</v>
      </c>
      <c r="CI250" s="769" t="s">
        <v>2260</v>
      </c>
      <c r="CJ250" s="774" t="s">
        <v>2260</v>
      </c>
      <c r="CK250" s="777" t="s">
        <v>2260</v>
      </c>
      <c r="CL250" s="769" t="s">
        <v>2260</v>
      </c>
      <c r="CM250" s="769" t="s">
        <v>2260</v>
      </c>
      <c r="CN250" s="769" t="s">
        <v>2260</v>
      </c>
      <c r="CO250" s="774" t="s">
        <v>2260</v>
      </c>
      <c r="CP250" s="777" t="s">
        <v>2260</v>
      </c>
      <c r="CQ250" s="769" t="s">
        <v>2260</v>
      </c>
      <c r="CR250" s="769" t="s">
        <v>2260</v>
      </c>
      <c r="CS250" s="769" t="s">
        <v>2260</v>
      </c>
      <c r="CT250" s="774" t="s">
        <v>2260</v>
      </c>
      <c r="CU250" s="1253" t="s">
        <v>2260</v>
      </c>
      <c r="CV250" s="1252" t="s">
        <v>2260</v>
      </c>
      <c r="CW250" s="1252" t="s">
        <v>2260</v>
      </c>
      <c r="CX250" s="1254" t="s">
        <v>2260</v>
      </c>
      <c r="CY250" s="1252" t="s">
        <v>2260</v>
      </c>
      <c r="CZ250" s="1252" t="s">
        <v>2260</v>
      </c>
      <c r="DA250" s="1252" t="s">
        <v>2260</v>
      </c>
      <c r="DB250" s="1254" t="s">
        <v>2260</v>
      </c>
      <c r="DC250" s="754"/>
      <c r="DD250" s="782">
        <v>1</v>
      </c>
      <c r="DE250" s="783"/>
    </row>
    <row r="251" spans="1:109" ht="15.75" hidden="1" customHeight="1">
      <c r="A251" s="741" t="s">
        <v>1278</v>
      </c>
      <c r="B251" s="742">
        <v>245</v>
      </c>
      <c r="C251" s="758" t="s">
        <v>1628</v>
      </c>
      <c r="D251" s="742" t="s">
        <v>3008</v>
      </c>
      <c r="E251" s="742" t="s">
        <v>2231</v>
      </c>
      <c r="F251" s="754" t="s">
        <v>2967</v>
      </c>
      <c r="G251" s="759" t="s">
        <v>3039</v>
      </c>
      <c r="H251" s="760" t="s">
        <v>3040</v>
      </c>
      <c r="I251" s="761"/>
      <c r="J251" s="762">
        <v>0.25</v>
      </c>
      <c r="K251" s="762"/>
      <c r="L251" s="762"/>
      <c r="M251" s="762">
        <v>0.75</v>
      </c>
      <c r="N251" s="762"/>
      <c r="O251" s="762"/>
      <c r="P251" s="763"/>
      <c r="Q251" s="764">
        <f t="shared" si="3"/>
        <v>1</v>
      </c>
      <c r="R251" s="758" t="s">
        <v>1825</v>
      </c>
      <c r="S251" s="742"/>
      <c r="T251" s="765"/>
      <c r="U251" s="742" t="s">
        <v>2264</v>
      </c>
      <c r="V251" s="742" t="s">
        <v>1897</v>
      </c>
      <c r="W251" s="742" t="s">
        <v>3036</v>
      </c>
      <c r="X251" s="1279">
        <v>1</v>
      </c>
      <c r="Y251" s="790" t="s">
        <v>1828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2260</v>
      </c>
      <c r="BR251" s="769" t="s">
        <v>2260</v>
      </c>
      <c r="BS251" s="769" t="s">
        <v>2260</v>
      </c>
      <c r="BT251" s="769" t="s">
        <v>2260</v>
      </c>
      <c r="BU251" s="774" t="s">
        <v>2260</v>
      </c>
      <c r="BV251" s="777" t="s">
        <v>2260</v>
      </c>
      <c r="BW251" s="769" t="s">
        <v>2260</v>
      </c>
      <c r="BX251" s="769" t="s">
        <v>2260</v>
      </c>
      <c r="BY251" s="769" t="s">
        <v>2260</v>
      </c>
      <c r="BZ251" s="769" t="s">
        <v>2260</v>
      </c>
      <c r="CA251" s="777" t="s">
        <v>2260</v>
      </c>
      <c r="CB251" s="769" t="s">
        <v>2260</v>
      </c>
      <c r="CC251" s="769" t="s">
        <v>2260</v>
      </c>
      <c r="CD251" s="769" t="s">
        <v>2260</v>
      </c>
      <c r="CE251" s="774" t="s">
        <v>2260</v>
      </c>
      <c r="CF251" s="769" t="s">
        <v>2260</v>
      </c>
      <c r="CG251" s="769" t="s">
        <v>2260</v>
      </c>
      <c r="CH251" s="769" t="s">
        <v>2260</v>
      </c>
      <c r="CI251" s="769" t="s">
        <v>2260</v>
      </c>
      <c r="CJ251" s="774" t="s">
        <v>2260</v>
      </c>
      <c r="CK251" s="777" t="s">
        <v>2260</v>
      </c>
      <c r="CL251" s="769" t="s">
        <v>2260</v>
      </c>
      <c r="CM251" s="769" t="s">
        <v>2260</v>
      </c>
      <c r="CN251" s="769" t="s">
        <v>2260</v>
      </c>
      <c r="CO251" s="774" t="s">
        <v>2260</v>
      </c>
      <c r="CP251" s="777" t="s">
        <v>2260</v>
      </c>
      <c r="CQ251" s="769" t="s">
        <v>2260</v>
      </c>
      <c r="CR251" s="769" t="s">
        <v>2260</v>
      </c>
      <c r="CS251" s="769" t="s">
        <v>2260</v>
      </c>
      <c r="CT251" s="774" t="s">
        <v>2260</v>
      </c>
      <c r="CU251" s="1253" t="s">
        <v>2260</v>
      </c>
      <c r="CV251" s="1252" t="s">
        <v>2260</v>
      </c>
      <c r="CW251" s="1252" t="s">
        <v>2260</v>
      </c>
      <c r="CX251" s="1254" t="s">
        <v>2260</v>
      </c>
      <c r="CY251" s="1252" t="s">
        <v>2260</v>
      </c>
      <c r="CZ251" s="1252" t="s">
        <v>2260</v>
      </c>
      <c r="DA251" s="1252" t="s">
        <v>2260</v>
      </c>
      <c r="DB251" s="1254" t="s">
        <v>2260</v>
      </c>
      <c r="DC251" s="754"/>
      <c r="DD251" s="782">
        <v>1</v>
      </c>
      <c r="DE251" s="783"/>
    </row>
    <row r="252" spans="1:109" ht="15.75" hidden="1" customHeight="1">
      <c r="A252" s="741" t="s">
        <v>1278</v>
      </c>
      <c r="B252" s="742">
        <v>246</v>
      </c>
      <c r="C252" s="758" t="s">
        <v>1645</v>
      </c>
      <c r="D252" s="742" t="s">
        <v>3008</v>
      </c>
      <c r="E252" s="742" t="s">
        <v>2231</v>
      </c>
      <c r="F252" s="754" t="s">
        <v>3041</v>
      </c>
      <c r="G252" s="759" t="s">
        <v>3042</v>
      </c>
      <c r="H252" s="760" t="s">
        <v>3043</v>
      </c>
      <c r="I252" s="761"/>
      <c r="J252" s="762">
        <v>0.25</v>
      </c>
      <c r="K252" s="762"/>
      <c r="L252" s="762"/>
      <c r="M252" s="762">
        <v>0.75</v>
      </c>
      <c r="N252" s="762"/>
      <c r="O252" s="762"/>
      <c r="P252" s="763"/>
      <c r="Q252" s="764">
        <f t="shared" si="3"/>
        <v>1</v>
      </c>
      <c r="R252" s="758" t="s">
        <v>1825</v>
      </c>
      <c r="S252" s="742"/>
      <c r="T252" s="765"/>
      <c r="U252" s="742" t="s">
        <v>2264</v>
      </c>
      <c r="V252" s="742" t="s">
        <v>1897</v>
      </c>
      <c r="W252" s="742" t="s">
        <v>3036</v>
      </c>
      <c r="X252" s="1279">
        <v>1</v>
      </c>
      <c r="Y252" s="788" t="s">
        <v>1828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2260</v>
      </c>
      <c r="BR252" s="769" t="s">
        <v>2260</v>
      </c>
      <c r="BS252" s="769" t="s">
        <v>2260</v>
      </c>
      <c r="BT252" s="769" t="s">
        <v>2260</v>
      </c>
      <c r="BU252" s="774" t="s">
        <v>2260</v>
      </c>
      <c r="BV252" s="777" t="s">
        <v>2260</v>
      </c>
      <c r="BW252" s="769" t="s">
        <v>2260</v>
      </c>
      <c r="BX252" s="769" t="s">
        <v>2260</v>
      </c>
      <c r="BY252" s="769" t="s">
        <v>2260</v>
      </c>
      <c r="BZ252" s="769" t="s">
        <v>2260</v>
      </c>
      <c r="CA252" s="777" t="s">
        <v>2260</v>
      </c>
      <c r="CB252" s="769" t="s">
        <v>2260</v>
      </c>
      <c r="CC252" s="769" t="s">
        <v>2260</v>
      </c>
      <c r="CD252" s="769" t="s">
        <v>2260</v>
      </c>
      <c r="CE252" s="774" t="s">
        <v>2260</v>
      </c>
      <c r="CF252" s="769" t="s">
        <v>2260</v>
      </c>
      <c r="CG252" s="769" t="s">
        <v>2260</v>
      </c>
      <c r="CH252" s="769" t="s">
        <v>2260</v>
      </c>
      <c r="CI252" s="769" t="s">
        <v>2260</v>
      </c>
      <c r="CJ252" s="774" t="s">
        <v>2260</v>
      </c>
      <c r="CK252" s="777" t="s">
        <v>2260</v>
      </c>
      <c r="CL252" s="769" t="s">
        <v>2260</v>
      </c>
      <c r="CM252" s="769" t="s">
        <v>2260</v>
      </c>
      <c r="CN252" s="769" t="s">
        <v>2260</v>
      </c>
      <c r="CO252" s="774" t="s">
        <v>2260</v>
      </c>
      <c r="CP252" s="777" t="s">
        <v>2260</v>
      </c>
      <c r="CQ252" s="769" t="s">
        <v>2260</v>
      </c>
      <c r="CR252" s="769" t="s">
        <v>2260</v>
      </c>
      <c r="CS252" s="769" t="s">
        <v>2260</v>
      </c>
      <c r="CT252" s="774" t="s">
        <v>2260</v>
      </c>
      <c r="CU252" s="1253" t="s">
        <v>2260</v>
      </c>
      <c r="CV252" s="1252" t="s">
        <v>2260</v>
      </c>
      <c r="CW252" s="1252" t="s">
        <v>2260</v>
      </c>
      <c r="CX252" s="1254" t="s">
        <v>2260</v>
      </c>
      <c r="CY252" s="1252" t="s">
        <v>2260</v>
      </c>
      <c r="CZ252" s="1252" t="s">
        <v>2260</v>
      </c>
      <c r="DA252" s="1252" t="s">
        <v>2260</v>
      </c>
      <c r="DB252" s="1254" t="s">
        <v>2260</v>
      </c>
      <c r="DC252" s="754"/>
      <c r="DD252" s="782">
        <v>1</v>
      </c>
      <c r="DE252" s="783"/>
    </row>
    <row r="253" spans="1:109" ht="15.75" hidden="1" customHeight="1">
      <c r="A253" s="741" t="s">
        <v>1278</v>
      </c>
      <c r="B253" s="742">
        <v>247</v>
      </c>
      <c r="C253" s="758" t="s">
        <v>1661</v>
      </c>
      <c r="D253" s="742" t="s">
        <v>3008</v>
      </c>
      <c r="E253" s="742" t="s">
        <v>2231</v>
      </c>
      <c r="F253" s="754" t="s">
        <v>3044</v>
      </c>
      <c r="G253" s="759" t="s">
        <v>3045</v>
      </c>
      <c r="H253" s="760" t="s">
        <v>3046</v>
      </c>
      <c r="I253" s="761"/>
      <c r="J253" s="762">
        <v>0.25</v>
      </c>
      <c r="K253" s="762"/>
      <c r="L253" s="762"/>
      <c r="M253" s="762">
        <v>0.75</v>
      </c>
      <c r="N253" s="762"/>
      <c r="O253" s="762"/>
      <c r="P253" s="763"/>
      <c r="Q253" s="764">
        <f t="shared" si="3"/>
        <v>1</v>
      </c>
      <c r="R253" s="758" t="s">
        <v>1825</v>
      </c>
      <c r="S253" s="742"/>
      <c r="T253" s="765"/>
      <c r="U253" s="742" t="s">
        <v>2264</v>
      </c>
      <c r="V253" s="742" t="s">
        <v>1897</v>
      </c>
      <c r="W253" s="742" t="s">
        <v>3036</v>
      </c>
      <c r="X253" s="1279">
        <v>1</v>
      </c>
      <c r="Y253" s="788" t="s">
        <v>1828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2260</v>
      </c>
      <c r="BR253" s="769" t="s">
        <v>2260</v>
      </c>
      <c r="BS253" s="769" t="s">
        <v>2260</v>
      </c>
      <c r="BT253" s="769" t="s">
        <v>2260</v>
      </c>
      <c r="BU253" s="774" t="s">
        <v>2260</v>
      </c>
      <c r="BV253" s="777" t="s">
        <v>2260</v>
      </c>
      <c r="BW253" s="769" t="s">
        <v>2260</v>
      </c>
      <c r="BX253" s="769" t="s">
        <v>2260</v>
      </c>
      <c r="BY253" s="769" t="s">
        <v>2260</v>
      </c>
      <c r="BZ253" s="769" t="s">
        <v>2260</v>
      </c>
      <c r="CA253" s="777" t="s">
        <v>2260</v>
      </c>
      <c r="CB253" s="769" t="s">
        <v>2260</v>
      </c>
      <c r="CC253" s="769" t="s">
        <v>2260</v>
      </c>
      <c r="CD253" s="769" t="s">
        <v>2260</v>
      </c>
      <c r="CE253" s="774" t="s">
        <v>2260</v>
      </c>
      <c r="CF253" s="769" t="s">
        <v>2260</v>
      </c>
      <c r="CG253" s="769" t="s">
        <v>2260</v>
      </c>
      <c r="CH253" s="769" t="s">
        <v>2260</v>
      </c>
      <c r="CI253" s="769" t="s">
        <v>2260</v>
      </c>
      <c r="CJ253" s="774" t="s">
        <v>2260</v>
      </c>
      <c r="CK253" s="777" t="s">
        <v>2260</v>
      </c>
      <c r="CL253" s="769" t="s">
        <v>2260</v>
      </c>
      <c r="CM253" s="769" t="s">
        <v>2260</v>
      </c>
      <c r="CN253" s="769" t="s">
        <v>2260</v>
      </c>
      <c r="CO253" s="774" t="s">
        <v>2260</v>
      </c>
      <c r="CP253" s="777" t="s">
        <v>2260</v>
      </c>
      <c r="CQ253" s="769" t="s">
        <v>2260</v>
      </c>
      <c r="CR253" s="769" t="s">
        <v>2260</v>
      </c>
      <c r="CS253" s="769" t="s">
        <v>2260</v>
      </c>
      <c r="CT253" s="774" t="s">
        <v>2260</v>
      </c>
      <c r="CU253" s="1253" t="s">
        <v>2260</v>
      </c>
      <c r="CV253" s="1252" t="s">
        <v>2260</v>
      </c>
      <c r="CW253" s="1252" t="s">
        <v>2260</v>
      </c>
      <c r="CX253" s="1254" t="s">
        <v>2260</v>
      </c>
      <c r="CY253" s="1252" t="s">
        <v>2260</v>
      </c>
      <c r="CZ253" s="1252" t="s">
        <v>2260</v>
      </c>
      <c r="DA253" s="1252" t="s">
        <v>2260</v>
      </c>
      <c r="DB253" s="1254" t="s">
        <v>2260</v>
      </c>
      <c r="DC253" s="754"/>
      <c r="DD253" s="782">
        <v>1</v>
      </c>
      <c r="DE253" s="783"/>
    </row>
    <row r="254" spans="1:109" ht="15.75" hidden="1" customHeight="1">
      <c r="A254" s="741" t="s">
        <v>1278</v>
      </c>
      <c r="B254" s="742">
        <v>248</v>
      </c>
      <c r="C254" s="758" t="s">
        <v>1675</v>
      </c>
      <c r="D254" s="742" t="s">
        <v>3008</v>
      </c>
      <c r="E254" s="742" t="s">
        <v>2231</v>
      </c>
      <c r="F254" s="754" t="s">
        <v>3047</v>
      </c>
      <c r="G254" s="759" t="s">
        <v>3048</v>
      </c>
      <c r="H254" s="760" t="s">
        <v>3049</v>
      </c>
      <c r="I254" s="761"/>
      <c r="J254" s="762">
        <v>0.25</v>
      </c>
      <c r="K254" s="762"/>
      <c r="L254" s="762"/>
      <c r="M254" s="762">
        <v>0.75</v>
      </c>
      <c r="N254" s="762"/>
      <c r="O254" s="762"/>
      <c r="P254" s="763"/>
      <c r="Q254" s="764">
        <f t="shared" si="3"/>
        <v>1</v>
      </c>
      <c r="R254" s="758" t="s">
        <v>1825</v>
      </c>
      <c r="S254" s="742"/>
      <c r="T254" s="765"/>
      <c r="U254" s="742" t="s">
        <v>2264</v>
      </c>
      <c r="V254" s="742" t="s">
        <v>1897</v>
      </c>
      <c r="W254" s="742" t="s">
        <v>3036</v>
      </c>
      <c r="X254" s="1279">
        <v>1</v>
      </c>
      <c r="Y254" s="795" t="s">
        <v>1828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2260</v>
      </c>
      <c r="BR254" s="769" t="s">
        <v>2260</v>
      </c>
      <c r="BS254" s="769" t="s">
        <v>2260</v>
      </c>
      <c r="BT254" s="769" t="s">
        <v>2260</v>
      </c>
      <c r="BU254" s="774" t="s">
        <v>2260</v>
      </c>
      <c r="BV254" s="777" t="s">
        <v>2260</v>
      </c>
      <c r="BW254" s="769" t="s">
        <v>2260</v>
      </c>
      <c r="BX254" s="769" t="s">
        <v>2260</v>
      </c>
      <c r="BY254" s="769" t="s">
        <v>2260</v>
      </c>
      <c r="BZ254" s="769" t="s">
        <v>2260</v>
      </c>
      <c r="CA254" s="777" t="s">
        <v>2260</v>
      </c>
      <c r="CB254" s="769" t="s">
        <v>2260</v>
      </c>
      <c r="CC254" s="769" t="s">
        <v>2260</v>
      </c>
      <c r="CD254" s="769" t="s">
        <v>2260</v>
      </c>
      <c r="CE254" s="774" t="s">
        <v>2260</v>
      </c>
      <c r="CF254" s="769" t="s">
        <v>2260</v>
      </c>
      <c r="CG254" s="769" t="s">
        <v>2260</v>
      </c>
      <c r="CH254" s="769" t="s">
        <v>2260</v>
      </c>
      <c r="CI254" s="769" t="s">
        <v>2260</v>
      </c>
      <c r="CJ254" s="774" t="s">
        <v>2260</v>
      </c>
      <c r="CK254" s="777" t="s">
        <v>2260</v>
      </c>
      <c r="CL254" s="769" t="s">
        <v>2260</v>
      </c>
      <c r="CM254" s="769" t="s">
        <v>2260</v>
      </c>
      <c r="CN254" s="769" t="s">
        <v>2260</v>
      </c>
      <c r="CO254" s="774" t="s">
        <v>2260</v>
      </c>
      <c r="CP254" s="777" t="s">
        <v>2260</v>
      </c>
      <c r="CQ254" s="769" t="s">
        <v>2260</v>
      </c>
      <c r="CR254" s="769" t="s">
        <v>2260</v>
      </c>
      <c r="CS254" s="769" t="s">
        <v>2260</v>
      </c>
      <c r="CT254" s="774" t="s">
        <v>2260</v>
      </c>
      <c r="CU254" s="1253" t="s">
        <v>2260</v>
      </c>
      <c r="CV254" s="1252" t="s">
        <v>2260</v>
      </c>
      <c r="CW254" s="1252" t="s">
        <v>2260</v>
      </c>
      <c r="CX254" s="1254" t="s">
        <v>2260</v>
      </c>
      <c r="CY254" s="1252" t="s">
        <v>2260</v>
      </c>
      <c r="CZ254" s="1252" t="s">
        <v>2260</v>
      </c>
      <c r="DA254" s="1252" t="s">
        <v>2260</v>
      </c>
      <c r="DB254" s="1254" t="s">
        <v>2260</v>
      </c>
      <c r="DC254" s="754"/>
      <c r="DD254" s="782">
        <v>1</v>
      </c>
      <c r="DE254" s="783"/>
    </row>
    <row r="255" spans="1:109" ht="15.75" hidden="1" customHeight="1">
      <c r="A255" s="741" t="s">
        <v>1278</v>
      </c>
      <c r="B255" s="742">
        <v>249</v>
      </c>
      <c r="C255" s="758" t="s">
        <v>1687</v>
      </c>
      <c r="D255" s="742" t="s">
        <v>3008</v>
      </c>
      <c r="E255" s="742" t="s">
        <v>2231</v>
      </c>
      <c r="F255" s="754" t="s">
        <v>3050</v>
      </c>
      <c r="G255" s="759" t="s">
        <v>3051</v>
      </c>
      <c r="H255" s="760" t="s">
        <v>3052</v>
      </c>
      <c r="I255" s="761"/>
      <c r="J255" s="762"/>
      <c r="K255" s="762"/>
      <c r="L255" s="762"/>
      <c r="M255" s="762">
        <v>1</v>
      </c>
      <c r="N255" s="762"/>
      <c r="O255" s="762"/>
      <c r="P255" s="763"/>
      <c r="Q255" s="764">
        <f t="shared" si="3"/>
        <v>1</v>
      </c>
      <c r="R255" s="758" t="s">
        <v>1825</v>
      </c>
      <c r="S255" s="742"/>
      <c r="T255" s="765"/>
      <c r="U255" s="742" t="s">
        <v>2396</v>
      </c>
      <c r="V255" s="742" t="s">
        <v>1897</v>
      </c>
      <c r="W255" s="742" t="s">
        <v>3036</v>
      </c>
      <c r="X255" s="1279">
        <v>1</v>
      </c>
      <c r="Y255" s="790" t="s">
        <v>1828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2260</v>
      </c>
      <c r="BR255" s="769" t="s">
        <v>2260</v>
      </c>
      <c r="BS255" s="769" t="s">
        <v>2260</v>
      </c>
      <c r="BT255" s="769" t="s">
        <v>2260</v>
      </c>
      <c r="BU255" s="774" t="s">
        <v>2260</v>
      </c>
      <c r="BV255" s="777" t="s">
        <v>2260</v>
      </c>
      <c r="BW255" s="769" t="s">
        <v>2260</v>
      </c>
      <c r="BX255" s="769" t="s">
        <v>2260</v>
      </c>
      <c r="BY255" s="769" t="s">
        <v>2260</v>
      </c>
      <c r="BZ255" s="769" t="s">
        <v>2260</v>
      </c>
      <c r="CA255" s="777" t="s">
        <v>2260</v>
      </c>
      <c r="CB255" s="769" t="s">
        <v>2260</v>
      </c>
      <c r="CC255" s="769" t="s">
        <v>2260</v>
      </c>
      <c r="CD255" s="769" t="s">
        <v>2260</v>
      </c>
      <c r="CE255" s="774" t="s">
        <v>2260</v>
      </c>
      <c r="CF255" s="769" t="s">
        <v>2260</v>
      </c>
      <c r="CG255" s="769" t="s">
        <v>2260</v>
      </c>
      <c r="CH255" s="769" t="s">
        <v>2260</v>
      </c>
      <c r="CI255" s="769" t="s">
        <v>2260</v>
      </c>
      <c r="CJ255" s="774" t="s">
        <v>2260</v>
      </c>
      <c r="CK255" s="777" t="s">
        <v>2260</v>
      </c>
      <c r="CL255" s="769" t="s">
        <v>2260</v>
      </c>
      <c r="CM255" s="769" t="s">
        <v>2260</v>
      </c>
      <c r="CN255" s="769" t="s">
        <v>2260</v>
      </c>
      <c r="CO255" s="774" t="s">
        <v>2260</v>
      </c>
      <c r="CP255" s="777" t="s">
        <v>2260</v>
      </c>
      <c r="CQ255" s="769" t="s">
        <v>2260</v>
      </c>
      <c r="CR255" s="769" t="s">
        <v>2260</v>
      </c>
      <c r="CS255" s="769" t="s">
        <v>2260</v>
      </c>
      <c r="CT255" s="774" t="s">
        <v>2260</v>
      </c>
      <c r="CU255" s="1253" t="s">
        <v>2260</v>
      </c>
      <c r="CV255" s="1252" t="s">
        <v>2260</v>
      </c>
      <c r="CW255" s="1252" t="s">
        <v>2260</v>
      </c>
      <c r="CX255" s="1254" t="s">
        <v>2260</v>
      </c>
      <c r="CY255" s="1252" t="s">
        <v>2260</v>
      </c>
      <c r="CZ255" s="1252" t="s">
        <v>2260</v>
      </c>
      <c r="DA255" s="1252" t="s">
        <v>2260</v>
      </c>
      <c r="DB255" s="1254" t="s">
        <v>2260</v>
      </c>
      <c r="DC255" s="754"/>
      <c r="DD255" s="782">
        <v>1</v>
      </c>
      <c r="DE255" s="783"/>
    </row>
    <row r="256" spans="1:109" ht="15.75" hidden="1" customHeight="1">
      <c r="A256" s="741" t="s">
        <v>1278</v>
      </c>
      <c r="B256" s="742">
        <v>250</v>
      </c>
      <c r="C256" s="758" t="s">
        <v>1698</v>
      </c>
      <c r="D256" s="742" t="s">
        <v>3008</v>
      </c>
      <c r="E256" s="742" t="s">
        <v>2231</v>
      </c>
      <c r="F256" s="754" t="s">
        <v>3053</v>
      </c>
      <c r="G256" s="759" t="s">
        <v>3054</v>
      </c>
      <c r="H256" s="760" t="s">
        <v>3055</v>
      </c>
      <c r="I256" s="761"/>
      <c r="J256" s="762">
        <v>0.5</v>
      </c>
      <c r="K256" s="762"/>
      <c r="L256" s="762"/>
      <c r="M256" s="762">
        <v>0.5</v>
      </c>
      <c r="N256" s="762"/>
      <c r="O256" s="762"/>
      <c r="P256" s="763"/>
      <c r="Q256" s="764">
        <f t="shared" si="3"/>
        <v>1</v>
      </c>
      <c r="R256" s="758" t="s">
        <v>1825</v>
      </c>
      <c r="S256" s="742"/>
      <c r="T256" s="765"/>
      <c r="U256" s="742" t="s">
        <v>2396</v>
      </c>
      <c r="V256" s="742" t="s">
        <v>1897</v>
      </c>
      <c r="W256" s="742" t="s">
        <v>3036</v>
      </c>
      <c r="X256" s="1279">
        <v>1</v>
      </c>
      <c r="Y256" s="790" t="s">
        <v>1828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2260</v>
      </c>
      <c r="BR256" s="769" t="s">
        <v>2260</v>
      </c>
      <c r="BS256" s="769" t="s">
        <v>2260</v>
      </c>
      <c r="BT256" s="769" t="s">
        <v>2260</v>
      </c>
      <c r="BU256" s="774" t="s">
        <v>2260</v>
      </c>
      <c r="BV256" s="777" t="s">
        <v>2260</v>
      </c>
      <c r="BW256" s="769" t="s">
        <v>2260</v>
      </c>
      <c r="BX256" s="769" t="s">
        <v>2260</v>
      </c>
      <c r="BY256" s="769" t="s">
        <v>2260</v>
      </c>
      <c r="BZ256" s="769" t="s">
        <v>2260</v>
      </c>
      <c r="CA256" s="777" t="s">
        <v>2260</v>
      </c>
      <c r="CB256" s="769" t="s">
        <v>2260</v>
      </c>
      <c r="CC256" s="769" t="s">
        <v>2260</v>
      </c>
      <c r="CD256" s="769" t="s">
        <v>2260</v>
      </c>
      <c r="CE256" s="774" t="s">
        <v>2260</v>
      </c>
      <c r="CF256" s="769" t="s">
        <v>2260</v>
      </c>
      <c r="CG256" s="769" t="s">
        <v>2260</v>
      </c>
      <c r="CH256" s="769" t="s">
        <v>2260</v>
      </c>
      <c r="CI256" s="769" t="s">
        <v>2260</v>
      </c>
      <c r="CJ256" s="774" t="s">
        <v>2260</v>
      </c>
      <c r="CK256" s="777" t="s">
        <v>2260</v>
      </c>
      <c r="CL256" s="769" t="s">
        <v>2260</v>
      </c>
      <c r="CM256" s="769" t="s">
        <v>2260</v>
      </c>
      <c r="CN256" s="769" t="s">
        <v>2260</v>
      </c>
      <c r="CO256" s="774" t="s">
        <v>2260</v>
      </c>
      <c r="CP256" s="777" t="s">
        <v>2260</v>
      </c>
      <c r="CQ256" s="769" t="s">
        <v>2260</v>
      </c>
      <c r="CR256" s="769" t="s">
        <v>2260</v>
      </c>
      <c r="CS256" s="769" t="s">
        <v>2260</v>
      </c>
      <c r="CT256" s="774" t="s">
        <v>2260</v>
      </c>
      <c r="CU256" s="1253" t="s">
        <v>2260</v>
      </c>
      <c r="CV256" s="1252" t="s">
        <v>2260</v>
      </c>
      <c r="CW256" s="1252" t="s">
        <v>2260</v>
      </c>
      <c r="CX256" s="1254" t="s">
        <v>2260</v>
      </c>
      <c r="CY256" s="1252" t="s">
        <v>2260</v>
      </c>
      <c r="CZ256" s="1252" t="s">
        <v>2260</v>
      </c>
      <c r="DA256" s="1252" t="s">
        <v>2260</v>
      </c>
      <c r="DB256" s="1254" t="s">
        <v>2260</v>
      </c>
      <c r="DC256" s="754"/>
      <c r="DD256" s="782">
        <v>1</v>
      </c>
      <c r="DE256" s="783"/>
    </row>
    <row r="257" spans="1:109" ht="15.75" hidden="1" customHeight="1">
      <c r="A257" s="741" t="s">
        <v>1278</v>
      </c>
      <c r="B257" s="742">
        <v>251</v>
      </c>
      <c r="C257" s="758" t="s">
        <v>1708</v>
      </c>
      <c r="D257" s="742" t="s">
        <v>3008</v>
      </c>
      <c r="E257" s="742" t="s">
        <v>2231</v>
      </c>
      <c r="F257" s="754" t="s">
        <v>3056</v>
      </c>
      <c r="G257" s="759" t="s">
        <v>3057</v>
      </c>
      <c r="H257" s="760" t="s">
        <v>3058</v>
      </c>
      <c r="I257" s="761"/>
      <c r="J257" s="762">
        <v>0.5</v>
      </c>
      <c r="K257" s="762"/>
      <c r="L257" s="762"/>
      <c r="M257" s="762">
        <v>0.5</v>
      </c>
      <c r="N257" s="762"/>
      <c r="O257" s="762"/>
      <c r="P257" s="763"/>
      <c r="Q257" s="764">
        <f t="shared" si="3"/>
        <v>1</v>
      </c>
      <c r="R257" s="758" t="s">
        <v>1825</v>
      </c>
      <c r="S257" s="742"/>
      <c r="T257" s="765"/>
      <c r="U257" s="742" t="s">
        <v>2396</v>
      </c>
      <c r="V257" s="1303" t="s">
        <v>1897</v>
      </c>
      <c r="W257" s="1302" t="s">
        <v>3059</v>
      </c>
      <c r="X257" s="1279">
        <v>1</v>
      </c>
      <c r="Y257" s="790" t="s">
        <v>1828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2260</v>
      </c>
      <c r="BR257" s="769" t="s">
        <v>2260</v>
      </c>
      <c r="BS257" s="769" t="s">
        <v>2260</v>
      </c>
      <c r="BT257" s="769" t="s">
        <v>2260</v>
      </c>
      <c r="BU257" s="774" t="s">
        <v>2260</v>
      </c>
      <c r="BV257" s="777" t="s">
        <v>2260</v>
      </c>
      <c r="BW257" s="769" t="s">
        <v>2260</v>
      </c>
      <c r="BX257" s="769" t="s">
        <v>2260</v>
      </c>
      <c r="BY257" s="769" t="s">
        <v>2260</v>
      </c>
      <c r="BZ257" s="769" t="s">
        <v>2260</v>
      </c>
      <c r="CA257" s="777" t="s">
        <v>2260</v>
      </c>
      <c r="CB257" s="769" t="s">
        <v>2260</v>
      </c>
      <c r="CC257" s="769" t="s">
        <v>2260</v>
      </c>
      <c r="CD257" s="769" t="s">
        <v>2260</v>
      </c>
      <c r="CE257" s="774" t="s">
        <v>2260</v>
      </c>
      <c r="CF257" s="769" t="s">
        <v>2260</v>
      </c>
      <c r="CG257" s="769" t="s">
        <v>2260</v>
      </c>
      <c r="CH257" s="769" t="s">
        <v>2260</v>
      </c>
      <c r="CI257" s="769" t="s">
        <v>2260</v>
      </c>
      <c r="CJ257" s="774" t="s">
        <v>2260</v>
      </c>
      <c r="CK257" s="777" t="s">
        <v>2260</v>
      </c>
      <c r="CL257" s="769" t="s">
        <v>2260</v>
      </c>
      <c r="CM257" s="769" t="s">
        <v>2260</v>
      </c>
      <c r="CN257" s="769" t="s">
        <v>2260</v>
      </c>
      <c r="CO257" s="774" t="s">
        <v>2260</v>
      </c>
      <c r="CP257" s="777" t="s">
        <v>2260</v>
      </c>
      <c r="CQ257" s="769" t="s">
        <v>2260</v>
      </c>
      <c r="CR257" s="769" t="s">
        <v>2260</v>
      </c>
      <c r="CS257" s="769" t="s">
        <v>2260</v>
      </c>
      <c r="CT257" s="774" t="s">
        <v>2260</v>
      </c>
      <c r="CU257" s="1253" t="s">
        <v>2260</v>
      </c>
      <c r="CV257" s="1252" t="s">
        <v>2260</v>
      </c>
      <c r="CW257" s="1252" t="s">
        <v>2260</v>
      </c>
      <c r="CX257" s="1254" t="s">
        <v>2260</v>
      </c>
      <c r="CY257" s="1252" t="s">
        <v>2260</v>
      </c>
      <c r="CZ257" s="1252" t="s">
        <v>2260</v>
      </c>
      <c r="DA257" s="1252" t="s">
        <v>2260</v>
      </c>
      <c r="DB257" s="1254" t="s">
        <v>2260</v>
      </c>
      <c r="DC257" s="754"/>
      <c r="DD257" s="782">
        <v>1</v>
      </c>
      <c r="DE257" s="783"/>
    </row>
    <row r="258" spans="1:109" ht="15.75" hidden="1" customHeight="1">
      <c r="A258" s="741" t="s">
        <v>1278</v>
      </c>
      <c r="B258" s="742">
        <v>252</v>
      </c>
      <c r="C258" s="758" t="s">
        <v>1311</v>
      </c>
      <c r="D258" s="742" t="s">
        <v>3014</v>
      </c>
      <c r="E258" s="742" t="s">
        <v>2217</v>
      </c>
      <c r="F258" s="754" t="s">
        <v>2940</v>
      </c>
      <c r="G258" s="759" t="s">
        <v>3060</v>
      </c>
      <c r="H258" s="760" t="s">
        <v>3061</v>
      </c>
      <c r="I258" s="761">
        <v>0.2</v>
      </c>
      <c r="J258" s="762">
        <v>0.8</v>
      </c>
      <c r="K258" s="762"/>
      <c r="L258" s="762"/>
      <c r="M258" s="762"/>
      <c r="N258" s="762"/>
      <c r="O258" s="762"/>
      <c r="P258" s="763"/>
      <c r="Q258" s="764">
        <f t="shared" si="3"/>
        <v>1</v>
      </c>
      <c r="R258" s="758" t="s">
        <v>1852</v>
      </c>
      <c r="S258" s="742" t="s">
        <v>1826</v>
      </c>
      <c r="T258" s="765" t="s">
        <v>1827</v>
      </c>
      <c r="U258" s="742" t="s">
        <v>2421</v>
      </c>
      <c r="V258" s="742" t="s">
        <v>1857</v>
      </c>
      <c r="W258" s="742" t="s">
        <v>3062</v>
      </c>
      <c r="X258" s="1279">
        <v>2</v>
      </c>
      <c r="Y258" s="790" t="s">
        <v>1838</v>
      </c>
      <c r="Z258" s="759" t="s">
        <v>2309</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210</v>
      </c>
      <c r="BM258" s="754" t="s">
        <v>210</v>
      </c>
      <c r="BN258" s="754" t="s">
        <v>210</v>
      </c>
      <c r="BO258" s="754" t="s">
        <v>210</v>
      </c>
      <c r="BP258" s="765" t="s">
        <v>210</v>
      </c>
      <c r="BQ258" s="777" t="s">
        <v>2260</v>
      </c>
      <c r="BR258" s="769" t="s">
        <v>2260</v>
      </c>
      <c r="BS258" s="769" t="s">
        <v>2260</v>
      </c>
      <c r="BT258" s="769" t="s">
        <v>2260</v>
      </c>
      <c r="BU258" s="774" t="s">
        <v>2260</v>
      </c>
      <c r="BV258" s="777" t="s">
        <v>2260</v>
      </c>
      <c r="BW258" s="769" t="s">
        <v>2260</v>
      </c>
      <c r="BX258" s="769" t="s">
        <v>2260</v>
      </c>
      <c r="BY258" s="769" t="s">
        <v>2260</v>
      </c>
      <c r="BZ258" s="769" t="s">
        <v>2260</v>
      </c>
      <c r="CA258" s="777" t="s">
        <v>2260</v>
      </c>
      <c r="CB258" s="769" t="s">
        <v>2260</v>
      </c>
      <c r="CC258" s="769" t="s">
        <v>2260</v>
      </c>
      <c r="CD258" s="769" t="s">
        <v>2260</v>
      </c>
      <c r="CE258" s="774" t="s">
        <v>2260</v>
      </c>
      <c r="CF258" s="769" t="s">
        <v>2260</v>
      </c>
      <c r="CG258" s="769" t="s">
        <v>2260</v>
      </c>
      <c r="CH258" s="769" t="s">
        <v>2260</v>
      </c>
      <c r="CI258" s="769" t="s">
        <v>2260</v>
      </c>
      <c r="CJ258" s="769" t="s">
        <v>2260</v>
      </c>
      <c r="CK258" s="777" t="s">
        <v>2260</v>
      </c>
      <c r="CL258" s="769" t="s">
        <v>2260</v>
      </c>
      <c r="CM258" s="769" t="s">
        <v>2260</v>
      </c>
      <c r="CN258" s="769" t="s">
        <v>2260</v>
      </c>
      <c r="CO258" s="774" t="s">
        <v>2260</v>
      </c>
      <c r="CP258" s="777" t="s">
        <v>2260</v>
      </c>
      <c r="CQ258" s="769" t="s">
        <v>2260</v>
      </c>
      <c r="CR258" s="769" t="s">
        <v>2260</v>
      </c>
      <c r="CS258" s="769" t="s">
        <v>2260</v>
      </c>
      <c r="CT258" s="774" t="s">
        <v>2260</v>
      </c>
      <c r="CU258" s="1253">
        <v>-2.2258</v>
      </c>
      <c r="CV258" s="1252" t="s">
        <v>2260</v>
      </c>
      <c r="CW258" s="1252" t="s">
        <v>2260</v>
      </c>
      <c r="CX258" s="1254" t="s">
        <v>2260</v>
      </c>
      <c r="CY258" s="1252">
        <v>0.94740000000000002</v>
      </c>
      <c r="CZ258" s="1252" t="s">
        <v>2260</v>
      </c>
      <c r="DA258" s="1252" t="s">
        <v>2260</v>
      </c>
      <c r="DB258" s="1254" t="s">
        <v>2260</v>
      </c>
      <c r="DC258" s="754"/>
      <c r="DD258" s="782">
        <v>1</v>
      </c>
      <c r="DE258" s="783"/>
    </row>
    <row r="259" spans="1:109" ht="15.75" hidden="1" customHeight="1">
      <c r="A259" s="741" t="s">
        <v>1278</v>
      </c>
      <c r="B259" s="742">
        <v>253</v>
      </c>
      <c r="C259" s="758" t="s">
        <v>1328</v>
      </c>
      <c r="D259" s="742" t="s">
        <v>3014</v>
      </c>
      <c r="E259" s="742" t="s">
        <v>2231</v>
      </c>
      <c r="F259" s="754" t="s">
        <v>2941</v>
      </c>
      <c r="G259" s="759" t="s">
        <v>3063</v>
      </c>
      <c r="H259" s="760" t="s">
        <v>3064</v>
      </c>
      <c r="I259" s="761">
        <v>0.2</v>
      </c>
      <c r="J259" s="762">
        <v>0.8</v>
      </c>
      <c r="K259" s="762"/>
      <c r="L259" s="762"/>
      <c r="M259" s="762"/>
      <c r="N259" s="762"/>
      <c r="O259" s="762"/>
      <c r="P259" s="763"/>
      <c r="Q259" s="764">
        <f t="shared" si="3"/>
        <v>1</v>
      </c>
      <c r="R259" s="758" t="s">
        <v>1852</v>
      </c>
      <c r="S259" s="742" t="s">
        <v>1826</v>
      </c>
      <c r="T259" s="830" t="s">
        <v>1827</v>
      </c>
      <c r="U259" s="742" t="s">
        <v>2421</v>
      </c>
      <c r="V259" s="742" t="s">
        <v>1857</v>
      </c>
      <c r="W259" s="742" t="s">
        <v>3062</v>
      </c>
      <c r="X259" s="1279">
        <v>2</v>
      </c>
      <c r="Y259" s="767" t="s">
        <v>1838</v>
      </c>
      <c r="Z259" s="759" t="s">
        <v>2309</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210</v>
      </c>
      <c r="BM259" s="754" t="s">
        <v>210</v>
      </c>
      <c r="BN259" s="754" t="s">
        <v>210</v>
      </c>
      <c r="BO259" s="754" t="s">
        <v>210</v>
      </c>
      <c r="BP259" s="765" t="s">
        <v>210</v>
      </c>
      <c r="BQ259" s="777" t="s">
        <v>2260</v>
      </c>
      <c r="BR259" s="769" t="s">
        <v>2260</v>
      </c>
      <c r="BS259" s="769" t="s">
        <v>2260</v>
      </c>
      <c r="BT259" s="769" t="s">
        <v>2260</v>
      </c>
      <c r="BU259" s="774" t="s">
        <v>2260</v>
      </c>
      <c r="BV259" s="775" t="s">
        <v>2260</v>
      </c>
      <c r="BW259" s="776" t="s">
        <v>2260</v>
      </c>
      <c r="BX259" s="776" t="s">
        <v>2260</v>
      </c>
      <c r="BY259" s="776" t="s">
        <v>2260</v>
      </c>
      <c r="BZ259" s="776" t="s">
        <v>2260</v>
      </c>
      <c r="CA259" s="775" t="s">
        <v>2260</v>
      </c>
      <c r="CB259" s="776" t="s">
        <v>2260</v>
      </c>
      <c r="CC259" s="776" t="s">
        <v>2260</v>
      </c>
      <c r="CD259" s="776" t="s">
        <v>2260</v>
      </c>
      <c r="CE259" s="789" t="s">
        <v>2260</v>
      </c>
      <c r="CF259" s="776" t="s">
        <v>2260</v>
      </c>
      <c r="CG259" s="776" t="s">
        <v>2260</v>
      </c>
      <c r="CH259" s="776" t="s">
        <v>2260</v>
      </c>
      <c r="CI259" s="776" t="s">
        <v>2260</v>
      </c>
      <c r="CJ259" s="789" t="s">
        <v>2260</v>
      </c>
      <c r="CK259" s="775" t="s">
        <v>2260</v>
      </c>
      <c r="CL259" s="776" t="s">
        <v>2260</v>
      </c>
      <c r="CM259" s="776" t="s">
        <v>2260</v>
      </c>
      <c r="CN259" s="776" t="s">
        <v>2260</v>
      </c>
      <c r="CO259" s="789" t="s">
        <v>2260</v>
      </c>
      <c r="CP259" s="777" t="s">
        <v>2260</v>
      </c>
      <c r="CQ259" s="769" t="s">
        <v>2260</v>
      </c>
      <c r="CR259" s="769" t="s">
        <v>2260</v>
      </c>
      <c r="CS259" s="769" t="s">
        <v>2260</v>
      </c>
      <c r="CT259" s="774" t="s">
        <v>2260</v>
      </c>
      <c r="CU259" s="1253">
        <v>-0.80300000000000005</v>
      </c>
      <c r="CV259" s="1252" t="s">
        <v>2260</v>
      </c>
      <c r="CW259" s="1252" t="s">
        <v>2260</v>
      </c>
      <c r="CX259" s="1254" t="s">
        <v>2260</v>
      </c>
      <c r="CY259" s="1252">
        <v>0.80300000000000005</v>
      </c>
      <c r="CZ259" s="1252" t="s">
        <v>2260</v>
      </c>
      <c r="DA259" s="1252" t="s">
        <v>2260</v>
      </c>
      <c r="DB259" s="1254" t="s">
        <v>2260</v>
      </c>
      <c r="DC259" s="754"/>
      <c r="DD259" s="782">
        <v>1</v>
      </c>
      <c r="DE259" s="783"/>
    </row>
    <row r="260" spans="1:109" ht="15.75" hidden="1" customHeight="1">
      <c r="A260" s="741" t="s">
        <v>1278</v>
      </c>
      <c r="B260" s="742">
        <v>254</v>
      </c>
      <c r="C260" s="758" t="s">
        <v>1717</v>
      </c>
      <c r="D260" s="742" t="s">
        <v>3065</v>
      </c>
      <c r="E260" s="742" t="s">
        <v>2231</v>
      </c>
      <c r="F260" s="754" t="s">
        <v>3066</v>
      </c>
      <c r="G260" s="759" t="s">
        <v>3067</v>
      </c>
      <c r="H260" s="760" t="s">
        <v>3068</v>
      </c>
      <c r="I260" s="761"/>
      <c r="J260" s="762">
        <v>0.1</v>
      </c>
      <c r="K260" s="762"/>
      <c r="L260" s="762"/>
      <c r="M260" s="762">
        <v>0.9</v>
      </c>
      <c r="N260" s="762"/>
      <c r="O260" s="762"/>
      <c r="P260" s="763"/>
      <c r="Q260" s="764">
        <f t="shared" si="3"/>
        <v>1</v>
      </c>
      <c r="R260" s="758" t="s">
        <v>1825</v>
      </c>
      <c r="S260" s="742"/>
      <c r="T260" s="830"/>
      <c r="U260" s="742" t="s">
        <v>2396</v>
      </c>
      <c r="V260" s="742" t="s">
        <v>1857</v>
      </c>
      <c r="W260" s="742" t="s">
        <v>2950</v>
      </c>
      <c r="X260" s="1279">
        <v>0</v>
      </c>
      <c r="Y260" s="767" t="s">
        <v>1828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2260</v>
      </c>
      <c r="BR260" s="769" t="s">
        <v>2260</v>
      </c>
      <c r="BS260" s="769" t="s">
        <v>2260</v>
      </c>
      <c r="BT260" s="769" t="s">
        <v>2260</v>
      </c>
      <c r="BU260" s="774" t="s">
        <v>2260</v>
      </c>
      <c r="BV260" s="831" t="s">
        <v>2260</v>
      </c>
      <c r="BW260" s="785" t="s">
        <v>2260</v>
      </c>
      <c r="BX260" s="785" t="s">
        <v>2260</v>
      </c>
      <c r="BY260" s="785" t="s">
        <v>2260</v>
      </c>
      <c r="BZ260" s="785" t="s">
        <v>2260</v>
      </c>
      <c r="CA260" s="786" t="s">
        <v>2260</v>
      </c>
      <c r="CB260" s="785" t="s">
        <v>2260</v>
      </c>
      <c r="CC260" s="785" t="s">
        <v>2260</v>
      </c>
      <c r="CD260" s="785" t="s">
        <v>2260</v>
      </c>
      <c r="CE260" s="787" t="s">
        <v>2260</v>
      </c>
      <c r="CF260" s="785" t="s">
        <v>2260</v>
      </c>
      <c r="CG260" s="785" t="s">
        <v>2260</v>
      </c>
      <c r="CH260" s="785" t="s">
        <v>2260</v>
      </c>
      <c r="CI260" s="785" t="s">
        <v>2260</v>
      </c>
      <c r="CJ260" s="787" t="s">
        <v>2260</v>
      </c>
      <c r="CK260" s="786" t="s">
        <v>2260</v>
      </c>
      <c r="CL260" s="785" t="s">
        <v>2260</v>
      </c>
      <c r="CM260" s="785" t="s">
        <v>2260</v>
      </c>
      <c r="CN260" s="785" t="s">
        <v>2260</v>
      </c>
      <c r="CO260" s="787" t="s">
        <v>2260</v>
      </c>
      <c r="CP260" s="777" t="s">
        <v>2260</v>
      </c>
      <c r="CQ260" s="769" t="s">
        <v>2260</v>
      </c>
      <c r="CR260" s="769" t="s">
        <v>2260</v>
      </c>
      <c r="CS260" s="769" t="s">
        <v>2260</v>
      </c>
      <c r="CT260" s="774" t="s">
        <v>2260</v>
      </c>
      <c r="CU260" s="1253" t="s">
        <v>2260</v>
      </c>
      <c r="CV260" s="1252" t="s">
        <v>2260</v>
      </c>
      <c r="CW260" s="1252" t="s">
        <v>2260</v>
      </c>
      <c r="CX260" s="1254" t="s">
        <v>2260</v>
      </c>
      <c r="CY260" s="1252" t="s">
        <v>2260</v>
      </c>
      <c r="CZ260" s="1252" t="s">
        <v>2260</v>
      </c>
      <c r="DA260" s="1252" t="s">
        <v>2260</v>
      </c>
      <c r="DB260" s="1254" t="s">
        <v>2260</v>
      </c>
      <c r="DC260" s="754"/>
      <c r="DD260" s="782">
        <v>1</v>
      </c>
      <c r="DE260" s="783"/>
    </row>
    <row r="261" spans="1:109" ht="15.75" hidden="1" customHeight="1">
      <c r="A261" s="741" t="s">
        <v>1278</v>
      </c>
      <c r="B261" s="742">
        <v>255</v>
      </c>
      <c r="C261" s="758" t="s">
        <v>1197</v>
      </c>
      <c r="D261" s="742" t="s">
        <v>3069</v>
      </c>
      <c r="E261" s="742" t="s">
        <v>2231</v>
      </c>
      <c r="F261" s="754" t="s">
        <v>3070</v>
      </c>
      <c r="G261" s="759" t="s">
        <v>755</v>
      </c>
      <c r="H261" s="760" t="s">
        <v>3071</v>
      </c>
      <c r="I261" s="761"/>
      <c r="J261" s="762">
        <v>0.5</v>
      </c>
      <c r="K261" s="762"/>
      <c r="L261" s="762"/>
      <c r="M261" s="762">
        <v>0.5</v>
      </c>
      <c r="N261" s="762"/>
      <c r="O261" s="762"/>
      <c r="P261" s="763"/>
      <c r="Q261" s="764">
        <f t="shared" si="3"/>
        <v>1</v>
      </c>
      <c r="R261" s="758" t="s">
        <v>1825</v>
      </c>
      <c r="S261" s="742"/>
      <c r="T261" s="830"/>
      <c r="U261" s="742" t="s">
        <v>2396</v>
      </c>
      <c r="V261" s="742" t="s">
        <v>321</v>
      </c>
      <c r="W261" s="742" t="s">
        <v>3072</v>
      </c>
      <c r="X261" s="1279">
        <v>1</v>
      </c>
      <c r="Y261" s="767" t="s">
        <v>1828</v>
      </c>
      <c r="Z261" s="759" t="s">
        <v>755</v>
      </c>
      <c r="AA261" s="754"/>
      <c r="AB261" s="754"/>
      <c r="AC261" s="754"/>
      <c r="AD261" s="754"/>
      <c r="AE261" s="754"/>
      <c r="AF261" s="768"/>
      <c r="AG261" s="769"/>
      <c r="AH261" s="769"/>
      <c r="AI261" s="769"/>
      <c r="AJ261" s="769"/>
      <c r="AK261" s="769"/>
      <c r="AL261" s="769"/>
      <c r="AM261" s="769"/>
      <c r="AN261" s="769"/>
      <c r="AO261" s="769"/>
      <c r="AP261" s="769"/>
      <c r="AQ261" s="1369"/>
      <c r="AR261" s="1689"/>
      <c r="AS261" s="1319"/>
      <c r="AT261" s="1319"/>
      <c r="AU261" s="1320"/>
      <c r="AV261" s="777"/>
      <c r="AW261" s="769"/>
      <c r="AX261" s="769"/>
      <c r="AY261" s="769"/>
      <c r="AZ261" s="769"/>
      <c r="BA261" s="769"/>
      <c r="BB261" s="769"/>
      <c r="BC261" s="769"/>
      <c r="BD261" s="769"/>
      <c r="BE261" s="769"/>
      <c r="BF261" s="769"/>
      <c r="BG261" s="769"/>
      <c r="BH261" s="769"/>
      <c r="BI261" s="769"/>
      <c r="BJ261" s="769"/>
      <c r="BK261" s="774"/>
      <c r="BL261" s="1327"/>
      <c r="BM261" s="1328"/>
      <c r="BN261" s="1328"/>
      <c r="BO261" s="1328"/>
      <c r="BP261" s="1389"/>
      <c r="BQ261" s="1690"/>
      <c r="BR261" s="1689"/>
      <c r="BS261" s="1689"/>
      <c r="BT261" s="1689"/>
      <c r="BU261" s="1691"/>
      <c r="BV261" s="1690"/>
      <c r="BW261" s="1689"/>
      <c r="BX261" s="1689"/>
      <c r="BY261" s="1689"/>
      <c r="BZ261" s="1689"/>
      <c r="CA261" s="1690"/>
      <c r="CB261" s="1689"/>
      <c r="CC261" s="1689"/>
      <c r="CD261" s="1689"/>
      <c r="CE261" s="1691"/>
      <c r="CF261" s="1689"/>
      <c r="CG261" s="1689"/>
      <c r="CH261" s="1689"/>
      <c r="CI261" s="1689"/>
      <c r="CJ261" s="1691"/>
      <c r="CK261" s="1690"/>
      <c r="CL261" s="1689"/>
      <c r="CM261" s="1689"/>
      <c r="CN261" s="1689"/>
      <c r="CO261" s="1691"/>
      <c r="CP261" s="1690"/>
      <c r="CQ261" s="1689"/>
      <c r="CR261" s="1689"/>
      <c r="CS261" s="1689"/>
      <c r="CT261" s="1691"/>
      <c r="CU261" s="1467"/>
      <c r="CV261" s="1458"/>
      <c r="CW261" s="1458"/>
      <c r="CX261" s="1663"/>
      <c r="CY261" s="1458"/>
      <c r="CZ261" s="1458"/>
      <c r="DA261" s="1458"/>
      <c r="DB261" s="1663"/>
      <c r="DC261" s="1328"/>
      <c r="DD261" s="1664"/>
      <c r="DE261" s="1669"/>
    </row>
    <row r="262" spans="1:109" ht="15.75" hidden="1" customHeight="1">
      <c r="A262" s="741" t="s">
        <v>1278</v>
      </c>
      <c r="B262" s="742">
        <v>256</v>
      </c>
      <c r="C262" s="758" t="s">
        <v>1725</v>
      </c>
      <c r="D262" s="742" t="s">
        <v>3069</v>
      </c>
      <c r="E262" s="742" t="s">
        <v>2231</v>
      </c>
      <c r="F262" s="754" t="s">
        <v>3073</v>
      </c>
      <c r="G262" s="759" t="s">
        <v>3074</v>
      </c>
      <c r="H262" s="760" t="s">
        <v>3075</v>
      </c>
      <c r="I262" s="761"/>
      <c r="J262" s="762">
        <v>0.5</v>
      </c>
      <c r="K262" s="762"/>
      <c r="L262" s="762"/>
      <c r="M262" s="762">
        <v>0.5</v>
      </c>
      <c r="N262" s="762"/>
      <c r="O262" s="762"/>
      <c r="P262" s="763"/>
      <c r="Q262" s="764">
        <f t="shared" si="3"/>
        <v>1</v>
      </c>
      <c r="R262" s="758" t="s">
        <v>1825</v>
      </c>
      <c r="S262" s="742"/>
      <c r="T262" s="830"/>
      <c r="U262" s="742" t="s">
        <v>2396</v>
      </c>
      <c r="V262" s="1303" t="s">
        <v>1897</v>
      </c>
      <c r="W262" s="1302" t="s">
        <v>3059</v>
      </c>
      <c r="X262" s="1279">
        <v>1</v>
      </c>
      <c r="Y262" s="767" t="s">
        <v>1828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2260</v>
      </c>
      <c r="BR262" s="769" t="s">
        <v>2260</v>
      </c>
      <c r="BS262" s="769" t="s">
        <v>2260</v>
      </c>
      <c r="BT262" s="769" t="s">
        <v>2260</v>
      </c>
      <c r="BU262" s="774" t="s">
        <v>2260</v>
      </c>
      <c r="BV262" s="775" t="s">
        <v>2260</v>
      </c>
      <c r="BW262" s="776" t="s">
        <v>2260</v>
      </c>
      <c r="BX262" s="776" t="s">
        <v>2260</v>
      </c>
      <c r="BY262" s="776" t="s">
        <v>2260</v>
      </c>
      <c r="BZ262" s="776" t="s">
        <v>2260</v>
      </c>
      <c r="CA262" s="775" t="s">
        <v>2260</v>
      </c>
      <c r="CB262" s="776" t="s">
        <v>2260</v>
      </c>
      <c r="CC262" s="776" t="s">
        <v>2260</v>
      </c>
      <c r="CD262" s="776" t="s">
        <v>2260</v>
      </c>
      <c r="CE262" s="789" t="s">
        <v>2260</v>
      </c>
      <c r="CF262" s="776" t="s">
        <v>2260</v>
      </c>
      <c r="CG262" s="776" t="s">
        <v>2260</v>
      </c>
      <c r="CH262" s="776" t="s">
        <v>2260</v>
      </c>
      <c r="CI262" s="776" t="s">
        <v>2260</v>
      </c>
      <c r="CJ262" s="776" t="s">
        <v>2260</v>
      </c>
      <c r="CK262" s="775" t="s">
        <v>2260</v>
      </c>
      <c r="CL262" s="776" t="s">
        <v>2260</v>
      </c>
      <c r="CM262" s="776" t="s">
        <v>2260</v>
      </c>
      <c r="CN262" s="776" t="s">
        <v>2260</v>
      </c>
      <c r="CO262" s="789" t="s">
        <v>2260</v>
      </c>
      <c r="CP262" s="777" t="s">
        <v>2260</v>
      </c>
      <c r="CQ262" s="769" t="s">
        <v>2260</v>
      </c>
      <c r="CR262" s="769" t="s">
        <v>2260</v>
      </c>
      <c r="CS262" s="769" t="s">
        <v>2260</v>
      </c>
      <c r="CT262" s="774" t="s">
        <v>2260</v>
      </c>
      <c r="CU262" s="1253" t="s">
        <v>2260</v>
      </c>
      <c r="CV262" s="1252" t="s">
        <v>2260</v>
      </c>
      <c r="CW262" s="1252" t="s">
        <v>2260</v>
      </c>
      <c r="CX262" s="1254" t="s">
        <v>2260</v>
      </c>
      <c r="CY262" s="1252" t="s">
        <v>2260</v>
      </c>
      <c r="CZ262" s="1252" t="s">
        <v>2260</v>
      </c>
      <c r="DA262" s="1252" t="s">
        <v>2260</v>
      </c>
      <c r="DB262" s="1254" t="s">
        <v>2260</v>
      </c>
      <c r="DC262" s="754"/>
      <c r="DD262" s="782">
        <v>1</v>
      </c>
      <c r="DE262" s="783"/>
    </row>
    <row r="263" spans="1:109" ht="15.75" hidden="1" customHeight="1">
      <c r="A263" s="741" t="s">
        <v>1278</v>
      </c>
      <c r="B263" s="742">
        <v>257</v>
      </c>
      <c r="C263" s="758" t="s">
        <v>1732</v>
      </c>
      <c r="D263" s="742" t="s">
        <v>3076</v>
      </c>
      <c r="E263" s="742" t="s">
        <v>2231</v>
      </c>
      <c r="F263" s="754" t="s">
        <v>3077</v>
      </c>
      <c r="G263" s="759" t="s">
        <v>2745</v>
      </c>
      <c r="H263" s="760" t="s">
        <v>3078</v>
      </c>
      <c r="I263" s="761"/>
      <c r="J263" s="762">
        <v>0.5</v>
      </c>
      <c r="K263" s="762"/>
      <c r="L263" s="762"/>
      <c r="M263" s="762">
        <v>0.5</v>
      </c>
      <c r="N263" s="762"/>
      <c r="O263" s="762"/>
      <c r="P263" s="763"/>
      <c r="Q263" s="764">
        <f t="shared" si="3"/>
        <v>1</v>
      </c>
      <c r="R263" s="758" t="s">
        <v>1825</v>
      </c>
      <c r="S263" s="742"/>
      <c r="T263" s="830"/>
      <c r="U263" s="742" t="s">
        <v>2396</v>
      </c>
      <c r="V263" s="742" t="s">
        <v>1857</v>
      </c>
      <c r="W263" s="742" t="s">
        <v>3079</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2260</v>
      </c>
      <c r="BR263" s="769" t="s">
        <v>2260</v>
      </c>
      <c r="BS263" s="769" t="s">
        <v>2260</v>
      </c>
      <c r="BT263" s="769" t="s">
        <v>2260</v>
      </c>
      <c r="BU263" s="774" t="s">
        <v>2260</v>
      </c>
      <c r="BV263" s="775" t="s">
        <v>2260</v>
      </c>
      <c r="BW263" s="776" t="s">
        <v>2260</v>
      </c>
      <c r="BX263" s="776" t="s">
        <v>2260</v>
      </c>
      <c r="BY263" s="776" t="s">
        <v>2260</v>
      </c>
      <c r="BZ263" s="776" t="s">
        <v>2260</v>
      </c>
      <c r="CA263" s="775" t="s">
        <v>2260</v>
      </c>
      <c r="CB263" s="776" t="s">
        <v>2260</v>
      </c>
      <c r="CC263" s="776" t="s">
        <v>2260</v>
      </c>
      <c r="CD263" s="776" t="s">
        <v>2260</v>
      </c>
      <c r="CE263" s="789" t="s">
        <v>2260</v>
      </c>
      <c r="CF263" s="776" t="s">
        <v>2260</v>
      </c>
      <c r="CG263" s="776" t="s">
        <v>2260</v>
      </c>
      <c r="CH263" s="776" t="s">
        <v>2260</v>
      </c>
      <c r="CI263" s="776" t="s">
        <v>2260</v>
      </c>
      <c r="CJ263" s="789" t="s">
        <v>2260</v>
      </c>
      <c r="CK263" s="775" t="s">
        <v>2260</v>
      </c>
      <c r="CL263" s="776" t="s">
        <v>2260</v>
      </c>
      <c r="CM263" s="776" t="s">
        <v>2260</v>
      </c>
      <c r="CN263" s="776" t="s">
        <v>2260</v>
      </c>
      <c r="CO263" s="789" t="s">
        <v>2260</v>
      </c>
      <c r="CP263" s="777" t="s">
        <v>2260</v>
      </c>
      <c r="CQ263" s="769" t="s">
        <v>2260</v>
      </c>
      <c r="CR263" s="769" t="s">
        <v>2260</v>
      </c>
      <c r="CS263" s="769" t="s">
        <v>2260</v>
      </c>
      <c r="CT263" s="774" t="s">
        <v>2260</v>
      </c>
      <c r="CU263" s="1253" t="s">
        <v>2260</v>
      </c>
      <c r="CV263" s="1252" t="s">
        <v>2260</v>
      </c>
      <c r="CW263" s="1252" t="s">
        <v>2260</v>
      </c>
      <c r="CX263" s="1254" t="s">
        <v>2260</v>
      </c>
      <c r="CY263" s="1252" t="s">
        <v>2260</v>
      </c>
      <c r="CZ263" s="1252" t="s">
        <v>2260</v>
      </c>
      <c r="DA263" s="1252" t="s">
        <v>2260</v>
      </c>
      <c r="DB263" s="1254" t="s">
        <v>2260</v>
      </c>
      <c r="DC263" s="754"/>
      <c r="DD263" s="782">
        <v>1</v>
      </c>
      <c r="DE263" s="783"/>
    </row>
    <row r="264" spans="1:109" ht="15.75" hidden="1" customHeight="1">
      <c r="A264" s="741" t="s">
        <v>1278</v>
      </c>
      <c r="B264" s="742">
        <v>258</v>
      </c>
      <c r="C264" s="758" t="s">
        <v>1345</v>
      </c>
      <c r="D264" s="742" t="s">
        <v>3076</v>
      </c>
      <c r="E264" s="742" t="s">
        <v>2231</v>
      </c>
      <c r="F264" s="754" t="s">
        <v>3080</v>
      </c>
      <c r="G264" s="759" t="s">
        <v>3081</v>
      </c>
      <c r="H264" s="760" t="s">
        <v>3082</v>
      </c>
      <c r="I264" s="761"/>
      <c r="J264" s="762"/>
      <c r="K264" s="762"/>
      <c r="L264" s="762"/>
      <c r="M264" s="762">
        <v>1</v>
      </c>
      <c r="N264" s="762"/>
      <c r="O264" s="762"/>
      <c r="P264" s="763"/>
      <c r="Q264" s="764">
        <f t="shared" si="3"/>
        <v>1</v>
      </c>
      <c r="R264" s="758" t="s">
        <v>1852</v>
      </c>
      <c r="S264" s="742" t="s">
        <v>1826</v>
      </c>
      <c r="T264" s="830" t="s">
        <v>1827</v>
      </c>
      <c r="U264" s="742" t="s">
        <v>2396</v>
      </c>
      <c r="V264" s="742" t="s">
        <v>321</v>
      </c>
      <c r="W264" s="742" t="s">
        <v>3083</v>
      </c>
      <c r="X264" s="1279">
        <v>2</v>
      </c>
      <c r="Y264" s="788" t="s">
        <v>1838</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210</v>
      </c>
      <c r="BM264" s="754" t="s">
        <v>210</v>
      </c>
      <c r="BN264" s="754" t="s">
        <v>210</v>
      </c>
      <c r="BO264" s="754" t="s">
        <v>210</v>
      </c>
      <c r="BP264" s="765" t="s">
        <v>210</v>
      </c>
      <c r="BQ264" s="777" t="s">
        <v>2260</v>
      </c>
      <c r="BR264" s="769" t="s">
        <v>2260</v>
      </c>
      <c r="BS264" s="769" t="s">
        <v>2260</v>
      </c>
      <c r="BT264" s="769" t="s">
        <v>2260</v>
      </c>
      <c r="BU264" s="774" t="s">
        <v>2260</v>
      </c>
      <c r="BV264" s="775">
        <v>2.6</v>
      </c>
      <c r="BW264" s="776">
        <v>2.6</v>
      </c>
      <c r="BX264" s="776">
        <v>2.6</v>
      </c>
      <c r="BY264" s="776">
        <v>2.6</v>
      </c>
      <c r="BZ264" s="776">
        <v>2.6</v>
      </c>
      <c r="CA264" s="777" t="s">
        <v>2260</v>
      </c>
      <c r="CB264" s="769" t="s">
        <v>2260</v>
      </c>
      <c r="CC264" s="769" t="s">
        <v>2260</v>
      </c>
      <c r="CD264" s="769" t="s">
        <v>2260</v>
      </c>
      <c r="CE264" s="774" t="s">
        <v>2260</v>
      </c>
      <c r="CF264" s="779" t="s">
        <v>2260</v>
      </c>
      <c r="CG264" s="779" t="s">
        <v>2260</v>
      </c>
      <c r="CH264" s="779" t="s">
        <v>2260</v>
      </c>
      <c r="CI264" s="779" t="s">
        <v>2260</v>
      </c>
      <c r="CJ264" s="780" t="s">
        <v>2260</v>
      </c>
      <c r="CK264" s="777">
        <v>1.6</v>
      </c>
      <c r="CL264" s="769">
        <v>1.6</v>
      </c>
      <c r="CM264" s="769">
        <v>1.6</v>
      </c>
      <c r="CN264" s="769">
        <v>1.6</v>
      </c>
      <c r="CO264" s="774">
        <v>1.6</v>
      </c>
      <c r="CP264" s="777" t="s">
        <v>2260</v>
      </c>
      <c r="CQ264" s="769" t="s">
        <v>2260</v>
      </c>
      <c r="CR264" s="769" t="s">
        <v>2260</v>
      </c>
      <c r="CS264" s="769" t="s">
        <v>2260</v>
      </c>
      <c r="CT264" s="774" t="s">
        <v>2260</v>
      </c>
      <c r="CU264" s="1253">
        <v>-0.85099999999999998</v>
      </c>
      <c r="CV264" s="1252" t="s">
        <v>2260</v>
      </c>
      <c r="CW264" s="1252" t="s">
        <v>2260</v>
      </c>
      <c r="CX264" s="1254" t="s">
        <v>2260</v>
      </c>
      <c r="CY264" s="1252">
        <v>0.85099999999999998</v>
      </c>
      <c r="CZ264" s="1252" t="s">
        <v>2260</v>
      </c>
      <c r="DA264" s="1252" t="s">
        <v>2260</v>
      </c>
      <c r="DB264" s="1254" t="s">
        <v>2260</v>
      </c>
      <c r="DC264" s="754"/>
      <c r="DD264" s="782">
        <v>1</v>
      </c>
      <c r="DE264" s="783"/>
    </row>
    <row r="265" spans="1:109" ht="15.75" hidden="1" customHeight="1">
      <c r="A265" s="741" t="s">
        <v>1278</v>
      </c>
      <c r="B265" s="742">
        <v>259</v>
      </c>
      <c r="C265" s="758" t="s">
        <v>1362</v>
      </c>
      <c r="D265" s="742" t="s">
        <v>3076</v>
      </c>
      <c r="E265" s="742" t="s">
        <v>2231</v>
      </c>
      <c r="F265" s="754" t="s">
        <v>3084</v>
      </c>
      <c r="G265" s="759" t="s">
        <v>2091</v>
      </c>
      <c r="H265" s="760" t="s">
        <v>3085</v>
      </c>
      <c r="I265" s="761"/>
      <c r="J265" s="762">
        <v>1</v>
      </c>
      <c r="K265" s="762"/>
      <c r="L265" s="762"/>
      <c r="M265" s="762"/>
      <c r="N265" s="762"/>
      <c r="O265" s="762"/>
      <c r="P265" s="763"/>
      <c r="Q265" s="764">
        <f t="shared" ref="Q265:Q328" si="4">SUM(I265:P265)</f>
        <v>1</v>
      </c>
      <c r="R265" s="758" t="s">
        <v>1852</v>
      </c>
      <c r="S265" s="742" t="s">
        <v>1826</v>
      </c>
      <c r="T265" s="1389" t="s">
        <v>1837</v>
      </c>
      <c r="U265" s="742" t="s">
        <v>2396</v>
      </c>
      <c r="V265" s="742" t="s">
        <v>321</v>
      </c>
      <c r="W265" s="742" t="s">
        <v>3083</v>
      </c>
      <c r="X265" s="1279">
        <v>2</v>
      </c>
      <c r="Y265" s="788" t="s">
        <v>1838</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210</v>
      </c>
      <c r="BM265" s="754" t="s">
        <v>210</v>
      </c>
      <c r="BN265" s="754" t="s">
        <v>210</v>
      </c>
      <c r="BO265" s="754" t="s">
        <v>210</v>
      </c>
      <c r="BP265" s="765" t="s">
        <v>210</v>
      </c>
      <c r="BQ265" s="777" t="s">
        <v>2260</v>
      </c>
      <c r="BR265" s="769" t="s">
        <v>2260</v>
      </c>
      <c r="BS265" s="769" t="s">
        <v>2260</v>
      </c>
      <c r="BT265" s="769" t="s">
        <v>2260</v>
      </c>
      <c r="BU265" s="774" t="s">
        <v>2260</v>
      </c>
      <c r="BV265" s="777" t="s">
        <v>2260</v>
      </c>
      <c r="BW265" s="769" t="s">
        <v>2260</v>
      </c>
      <c r="BX265" s="769" t="s">
        <v>2260</v>
      </c>
      <c r="BY265" s="769" t="s">
        <v>2260</v>
      </c>
      <c r="BZ265" s="769" t="s">
        <v>2260</v>
      </c>
      <c r="CA265" s="761" t="s">
        <v>2260</v>
      </c>
      <c r="CB265" s="762" t="s">
        <v>2260</v>
      </c>
      <c r="CC265" s="762" t="s">
        <v>2260</v>
      </c>
      <c r="CD265" s="762" t="s">
        <v>2260</v>
      </c>
      <c r="CE265" s="763" t="s">
        <v>2260</v>
      </c>
      <c r="CF265" s="762" t="s">
        <v>2260</v>
      </c>
      <c r="CG265" s="762" t="s">
        <v>2260</v>
      </c>
      <c r="CH265" s="762" t="s">
        <v>2260</v>
      </c>
      <c r="CI265" s="762" t="s">
        <v>2260</v>
      </c>
      <c r="CJ265" s="763" t="s">
        <v>2260</v>
      </c>
      <c r="CK265" s="761" t="s">
        <v>2260</v>
      </c>
      <c r="CL265" s="762" t="s">
        <v>2260</v>
      </c>
      <c r="CM265" s="762" t="s">
        <v>2260</v>
      </c>
      <c r="CN265" s="762" t="s">
        <v>2260</v>
      </c>
      <c r="CO265" s="763" t="s">
        <v>2260</v>
      </c>
      <c r="CP265" s="777" t="s">
        <v>2260</v>
      </c>
      <c r="CQ265" s="769" t="s">
        <v>2260</v>
      </c>
      <c r="CR265" s="769" t="s">
        <v>2260</v>
      </c>
      <c r="CS265" s="769" t="s">
        <v>2260</v>
      </c>
      <c r="CT265" s="774" t="s">
        <v>2260</v>
      </c>
      <c r="CU265" s="1253">
        <v>-0.33500000000000002</v>
      </c>
      <c r="CV265" s="1252" t="s">
        <v>2260</v>
      </c>
      <c r="CW265" s="1252" t="s">
        <v>2260</v>
      </c>
      <c r="CX265" s="1254" t="s">
        <v>2260</v>
      </c>
      <c r="CY265" s="1252">
        <v>0.182</v>
      </c>
      <c r="CZ265" s="1252" t="s">
        <v>2260</v>
      </c>
      <c r="DA265" s="1252" t="s">
        <v>2260</v>
      </c>
      <c r="DB265" s="1254" t="s">
        <v>2260</v>
      </c>
      <c r="DC265" s="754"/>
      <c r="DD265" s="782">
        <v>1</v>
      </c>
      <c r="DE265" s="783"/>
    </row>
    <row r="266" spans="1:109" ht="15.75" hidden="1" customHeight="1">
      <c r="A266" s="741" t="s">
        <v>1278</v>
      </c>
      <c r="B266" s="742">
        <v>260</v>
      </c>
      <c r="C266" s="758" t="s">
        <v>1379</v>
      </c>
      <c r="D266" s="742" t="s">
        <v>3017</v>
      </c>
      <c r="E266" s="742" t="s">
        <v>2217</v>
      </c>
      <c r="F266" s="754" t="s">
        <v>2957</v>
      </c>
      <c r="G266" s="759" t="s">
        <v>3086</v>
      </c>
      <c r="H266" s="760" t="s">
        <v>3087</v>
      </c>
      <c r="I266" s="761">
        <v>0.05</v>
      </c>
      <c r="J266" s="762">
        <v>0.95</v>
      </c>
      <c r="K266" s="762"/>
      <c r="L266" s="762"/>
      <c r="M266" s="762"/>
      <c r="N266" s="762"/>
      <c r="O266" s="762"/>
      <c r="P266" s="763"/>
      <c r="Q266" s="764">
        <f t="shared" si="4"/>
        <v>1</v>
      </c>
      <c r="R266" s="758" t="s">
        <v>1846</v>
      </c>
      <c r="S266" s="742" t="s">
        <v>1826</v>
      </c>
      <c r="T266" s="830" t="s">
        <v>1837</v>
      </c>
      <c r="U266" s="742" t="s">
        <v>2234</v>
      </c>
      <c r="V266" s="742" t="s">
        <v>1857</v>
      </c>
      <c r="W266" s="742" t="s">
        <v>3088</v>
      </c>
      <c r="X266" s="1279">
        <v>0</v>
      </c>
      <c r="Y266" s="790" t="s">
        <v>1828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210</v>
      </c>
      <c r="BQ266" s="777" t="s">
        <v>2260</v>
      </c>
      <c r="BR266" s="769" t="s">
        <v>2260</v>
      </c>
      <c r="BS266" s="769" t="s">
        <v>2260</v>
      </c>
      <c r="BT266" s="769" t="s">
        <v>2260</v>
      </c>
      <c r="BU266" s="774" t="s">
        <v>2260</v>
      </c>
      <c r="BV266" s="777" t="s">
        <v>2260</v>
      </c>
      <c r="BW266" s="769" t="s">
        <v>2260</v>
      </c>
      <c r="BX266" s="769" t="s">
        <v>2260</v>
      </c>
      <c r="BY266" s="769" t="s">
        <v>2260</v>
      </c>
      <c r="BZ266" s="769" t="s">
        <v>2260</v>
      </c>
      <c r="CA266" s="833" t="s">
        <v>2260</v>
      </c>
      <c r="CB266" s="832" t="s">
        <v>2260</v>
      </c>
      <c r="CC266" s="832" t="s">
        <v>2260</v>
      </c>
      <c r="CD266" s="832" t="s">
        <v>2260</v>
      </c>
      <c r="CE266" s="834" t="s">
        <v>2260</v>
      </c>
      <c r="CF266" s="769" t="s">
        <v>2260</v>
      </c>
      <c r="CG266" s="769" t="s">
        <v>2260</v>
      </c>
      <c r="CH266" s="769" t="s">
        <v>2260</v>
      </c>
      <c r="CI266" s="769" t="s">
        <v>2260</v>
      </c>
      <c r="CJ266" s="774" t="s">
        <v>2260</v>
      </c>
      <c r="CK266" s="777" t="s">
        <v>2260</v>
      </c>
      <c r="CL266" s="769" t="s">
        <v>2260</v>
      </c>
      <c r="CM266" s="769" t="s">
        <v>2260</v>
      </c>
      <c r="CN266" s="769" t="s">
        <v>2260</v>
      </c>
      <c r="CO266" s="774" t="s">
        <v>2260</v>
      </c>
      <c r="CP266" s="777" t="s">
        <v>2260</v>
      </c>
      <c r="CQ266" s="769" t="s">
        <v>2260</v>
      </c>
      <c r="CR266" s="769" t="s">
        <v>2260</v>
      </c>
      <c r="CS266" s="769" t="s">
        <v>2260</v>
      </c>
      <c r="CT266" s="774" t="s">
        <v>2260</v>
      </c>
      <c r="CU266" s="1253">
        <v>-7.2599999999999997E-4</v>
      </c>
      <c r="CV266" s="1252" t="s">
        <v>2260</v>
      </c>
      <c r="CW266" s="1252" t="s">
        <v>2260</v>
      </c>
      <c r="CX266" s="1254" t="s">
        <v>2260</v>
      </c>
      <c r="CY266" s="1252" t="s">
        <v>2260</v>
      </c>
      <c r="CZ266" s="1252" t="s">
        <v>2260</v>
      </c>
      <c r="DA266" s="1252" t="s">
        <v>2260</v>
      </c>
      <c r="DB266" s="1254" t="s">
        <v>2260</v>
      </c>
      <c r="DC266" s="754"/>
      <c r="DD266" s="782">
        <v>1</v>
      </c>
      <c r="DE266" s="783"/>
    </row>
    <row r="267" spans="1:109" ht="15.75" hidden="1" customHeight="1">
      <c r="A267" s="741" t="s">
        <v>1278</v>
      </c>
      <c r="B267" s="742">
        <v>261</v>
      </c>
      <c r="C267" s="758" t="s">
        <v>1739</v>
      </c>
      <c r="D267" s="742" t="s">
        <v>3017</v>
      </c>
      <c r="E267" s="742" t="s">
        <v>2231</v>
      </c>
      <c r="F267" s="754" t="s">
        <v>2960</v>
      </c>
      <c r="G267" s="759" t="s">
        <v>2423</v>
      </c>
      <c r="H267" s="760" t="s">
        <v>3089</v>
      </c>
      <c r="I267" s="761">
        <v>0.1</v>
      </c>
      <c r="J267" s="762">
        <v>0.9</v>
      </c>
      <c r="K267" s="762"/>
      <c r="L267" s="762"/>
      <c r="M267" s="762"/>
      <c r="N267" s="762"/>
      <c r="O267" s="762"/>
      <c r="P267" s="763"/>
      <c r="Q267" s="764">
        <f t="shared" si="4"/>
        <v>1</v>
      </c>
      <c r="R267" s="758" t="s">
        <v>1825</v>
      </c>
      <c r="S267" s="742"/>
      <c r="T267" s="830"/>
      <c r="U267" s="742" t="s">
        <v>2247</v>
      </c>
      <c r="V267" s="742" t="s">
        <v>1897</v>
      </c>
      <c r="W267" s="742" t="s">
        <v>3016</v>
      </c>
      <c r="X267" s="1279">
        <v>3</v>
      </c>
      <c r="Y267" s="788" t="s">
        <v>1838</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2260</v>
      </c>
      <c r="BR267" s="769" t="s">
        <v>2260</v>
      </c>
      <c r="BS267" s="769" t="s">
        <v>2260</v>
      </c>
      <c r="BT267" s="769" t="s">
        <v>2260</v>
      </c>
      <c r="BU267" s="774" t="s">
        <v>2260</v>
      </c>
      <c r="BV267" s="777" t="s">
        <v>2260</v>
      </c>
      <c r="BW267" s="769" t="s">
        <v>2260</v>
      </c>
      <c r="BX267" s="769" t="s">
        <v>2260</v>
      </c>
      <c r="BY267" s="769" t="s">
        <v>2260</v>
      </c>
      <c r="BZ267" s="769" t="s">
        <v>2260</v>
      </c>
      <c r="CA267" s="777" t="s">
        <v>2260</v>
      </c>
      <c r="CB267" s="769" t="s">
        <v>2260</v>
      </c>
      <c r="CC267" s="769" t="s">
        <v>2260</v>
      </c>
      <c r="CD267" s="769" t="s">
        <v>2260</v>
      </c>
      <c r="CE267" s="774" t="s">
        <v>2260</v>
      </c>
      <c r="CF267" s="769" t="s">
        <v>2260</v>
      </c>
      <c r="CG267" s="769" t="s">
        <v>2260</v>
      </c>
      <c r="CH267" s="769" t="s">
        <v>2260</v>
      </c>
      <c r="CI267" s="769" t="s">
        <v>2260</v>
      </c>
      <c r="CJ267" s="774" t="s">
        <v>2260</v>
      </c>
      <c r="CK267" s="777" t="s">
        <v>2260</v>
      </c>
      <c r="CL267" s="769" t="s">
        <v>2260</v>
      </c>
      <c r="CM267" s="769" t="s">
        <v>2260</v>
      </c>
      <c r="CN267" s="769" t="s">
        <v>2260</v>
      </c>
      <c r="CO267" s="774" t="s">
        <v>2260</v>
      </c>
      <c r="CP267" s="777" t="s">
        <v>2260</v>
      </c>
      <c r="CQ267" s="769" t="s">
        <v>2260</v>
      </c>
      <c r="CR267" s="769" t="s">
        <v>2260</v>
      </c>
      <c r="CS267" s="769" t="s">
        <v>2260</v>
      </c>
      <c r="CT267" s="774" t="s">
        <v>2260</v>
      </c>
      <c r="CU267" s="1253" t="s">
        <v>2260</v>
      </c>
      <c r="CV267" s="1252" t="s">
        <v>2260</v>
      </c>
      <c r="CW267" s="1252" t="s">
        <v>2260</v>
      </c>
      <c r="CX267" s="1254" t="s">
        <v>2260</v>
      </c>
      <c r="CY267" s="1252" t="s">
        <v>2260</v>
      </c>
      <c r="CZ267" s="1252" t="s">
        <v>2260</v>
      </c>
      <c r="DA267" s="1252" t="s">
        <v>2260</v>
      </c>
      <c r="DB267" s="1254" t="s">
        <v>2260</v>
      </c>
      <c r="DC267" s="754"/>
      <c r="DD267" s="782">
        <v>1</v>
      </c>
      <c r="DE267" s="783"/>
    </row>
    <row r="268" spans="1:109" ht="15.75" hidden="1" customHeight="1">
      <c r="A268" s="741" t="s">
        <v>1278</v>
      </c>
      <c r="B268" s="742">
        <v>262</v>
      </c>
      <c r="C268" s="758" t="s">
        <v>1396</v>
      </c>
      <c r="D268" s="742" t="s">
        <v>3017</v>
      </c>
      <c r="E268" s="742" t="s">
        <v>2217</v>
      </c>
      <c r="F268" s="754" t="s">
        <v>3002</v>
      </c>
      <c r="G268" s="759" t="s">
        <v>2297</v>
      </c>
      <c r="H268" s="760" t="s">
        <v>3090</v>
      </c>
      <c r="I268" s="761"/>
      <c r="J268" s="762">
        <v>1</v>
      </c>
      <c r="K268" s="762"/>
      <c r="L268" s="762"/>
      <c r="M268" s="762"/>
      <c r="N268" s="762"/>
      <c r="O268" s="762"/>
      <c r="P268" s="763"/>
      <c r="Q268" s="764">
        <f t="shared" si="4"/>
        <v>1</v>
      </c>
      <c r="R268" s="758" t="s">
        <v>1852</v>
      </c>
      <c r="S268" s="742" t="s">
        <v>1826</v>
      </c>
      <c r="T268" s="830" t="s">
        <v>1827</v>
      </c>
      <c r="U268" s="742" t="s">
        <v>2295</v>
      </c>
      <c r="V268" s="742" t="s">
        <v>1857</v>
      </c>
      <c r="W268" s="742" t="s">
        <v>3091</v>
      </c>
      <c r="X268" s="1279">
        <v>1</v>
      </c>
      <c r="Y268" s="791" t="s">
        <v>1838</v>
      </c>
      <c r="Z268" s="759" t="s">
        <v>2297</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210</v>
      </c>
      <c r="BM268" s="754" t="s">
        <v>210</v>
      </c>
      <c r="BN268" s="754" t="s">
        <v>210</v>
      </c>
      <c r="BO268" s="754" t="s">
        <v>210</v>
      </c>
      <c r="BP268" s="765" t="s">
        <v>210</v>
      </c>
      <c r="BQ268" s="777" t="s">
        <v>2260</v>
      </c>
      <c r="BR268" s="769" t="s">
        <v>2260</v>
      </c>
      <c r="BS268" s="769" t="s">
        <v>2260</v>
      </c>
      <c r="BT268" s="769" t="s">
        <v>2260</v>
      </c>
      <c r="BU268" s="774" t="s">
        <v>2260</v>
      </c>
      <c r="BV268" s="777" t="s">
        <v>2260</v>
      </c>
      <c r="BW268" s="769" t="s">
        <v>2260</v>
      </c>
      <c r="BX268" s="769" t="s">
        <v>2260</v>
      </c>
      <c r="BY268" s="769" t="s">
        <v>2260</v>
      </c>
      <c r="BZ268" s="769" t="s">
        <v>2260</v>
      </c>
      <c r="CA268" s="777" t="s">
        <v>2260</v>
      </c>
      <c r="CB268" s="769" t="s">
        <v>2260</v>
      </c>
      <c r="CC268" s="769" t="s">
        <v>2260</v>
      </c>
      <c r="CD268" s="769" t="s">
        <v>2260</v>
      </c>
      <c r="CE268" s="774" t="s">
        <v>2260</v>
      </c>
      <c r="CF268" s="769" t="s">
        <v>2260</v>
      </c>
      <c r="CG268" s="769" t="s">
        <v>2260</v>
      </c>
      <c r="CH268" s="769" t="s">
        <v>2260</v>
      </c>
      <c r="CI268" s="769" t="s">
        <v>2260</v>
      </c>
      <c r="CJ268" s="774" t="s">
        <v>2260</v>
      </c>
      <c r="CK268" s="777" t="s">
        <v>2260</v>
      </c>
      <c r="CL268" s="769" t="s">
        <v>2260</v>
      </c>
      <c r="CM268" s="769" t="s">
        <v>2260</v>
      </c>
      <c r="CN268" s="769" t="s">
        <v>2260</v>
      </c>
      <c r="CO268" s="774" t="s">
        <v>2260</v>
      </c>
      <c r="CP268" s="777" t="s">
        <v>2260</v>
      </c>
      <c r="CQ268" s="769" t="s">
        <v>2260</v>
      </c>
      <c r="CR268" s="769" t="s">
        <v>2260</v>
      </c>
      <c r="CS268" s="769" t="s">
        <v>2260</v>
      </c>
      <c r="CT268" s="774" t="s">
        <v>2260</v>
      </c>
      <c r="CU268" s="1253">
        <v>-8.5361000000000006E-2</v>
      </c>
      <c r="CV268" s="1252" t="s">
        <v>2260</v>
      </c>
      <c r="CW268" s="1252" t="s">
        <v>2260</v>
      </c>
      <c r="CX268" s="1254" t="s">
        <v>2260</v>
      </c>
      <c r="CY268" s="1252">
        <v>7.5377E-2</v>
      </c>
      <c r="CZ268" s="1252" t="s">
        <v>2260</v>
      </c>
      <c r="DA268" s="1252" t="s">
        <v>2260</v>
      </c>
      <c r="DB268" s="1254" t="s">
        <v>2260</v>
      </c>
      <c r="DC268" s="754"/>
      <c r="DD268" s="782">
        <v>1</v>
      </c>
      <c r="DE268" s="783"/>
    </row>
    <row r="269" spans="1:109" ht="15.75" hidden="1" customHeight="1">
      <c r="A269" s="741" t="s">
        <v>1278</v>
      </c>
      <c r="B269" s="742">
        <v>263</v>
      </c>
      <c r="C269" s="758" t="s">
        <v>1413</v>
      </c>
      <c r="D269" s="742" t="s">
        <v>3092</v>
      </c>
      <c r="E269" s="742" t="s">
        <v>2231</v>
      </c>
      <c r="F269" s="754" t="s">
        <v>3093</v>
      </c>
      <c r="G269" s="759" t="s">
        <v>3094</v>
      </c>
      <c r="H269" s="760" t="s">
        <v>3095</v>
      </c>
      <c r="I269" s="761">
        <v>1</v>
      </c>
      <c r="J269" s="762"/>
      <c r="K269" s="762"/>
      <c r="L269" s="762"/>
      <c r="M269" s="762"/>
      <c r="N269" s="762"/>
      <c r="O269" s="762"/>
      <c r="P269" s="763"/>
      <c r="Q269" s="764">
        <f t="shared" si="4"/>
        <v>1</v>
      </c>
      <c r="R269" s="758" t="s">
        <v>1852</v>
      </c>
      <c r="S269" s="742" t="s">
        <v>1826</v>
      </c>
      <c r="T269" s="830" t="s">
        <v>1837</v>
      </c>
      <c r="U269" s="742" t="s">
        <v>2280</v>
      </c>
      <c r="V269" s="742" t="s">
        <v>1857</v>
      </c>
      <c r="W269" s="742" t="s">
        <v>3096</v>
      </c>
      <c r="X269" s="1279">
        <v>1</v>
      </c>
      <c r="Y269" s="795" t="s">
        <v>1828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210</v>
      </c>
      <c r="BQ269" s="777" t="s">
        <v>2260</v>
      </c>
      <c r="BR269" s="769" t="s">
        <v>2260</v>
      </c>
      <c r="BS269" s="769" t="s">
        <v>2260</v>
      </c>
      <c r="BT269" s="769" t="s">
        <v>2260</v>
      </c>
      <c r="BU269" s="774" t="s">
        <v>2260</v>
      </c>
      <c r="BV269" s="777" t="s">
        <v>2260</v>
      </c>
      <c r="BW269" s="769" t="s">
        <v>2260</v>
      </c>
      <c r="BX269" s="769" t="s">
        <v>2260</v>
      </c>
      <c r="BY269" s="769" t="s">
        <v>2260</v>
      </c>
      <c r="BZ269" s="769">
        <v>9500</v>
      </c>
      <c r="CA269" s="777" t="s">
        <v>2260</v>
      </c>
      <c r="CB269" s="769" t="s">
        <v>2260</v>
      </c>
      <c r="CC269" s="769" t="s">
        <v>2260</v>
      </c>
      <c r="CD269" s="769" t="s">
        <v>2260</v>
      </c>
      <c r="CE269" s="774" t="s">
        <v>2260</v>
      </c>
      <c r="CF269" s="769" t="s">
        <v>2260</v>
      </c>
      <c r="CG269" s="769" t="s">
        <v>2260</v>
      </c>
      <c r="CH269" s="769" t="s">
        <v>2260</v>
      </c>
      <c r="CI269" s="769" t="s">
        <v>2260</v>
      </c>
      <c r="CJ269" s="774" t="s">
        <v>2260</v>
      </c>
      <c r="CK269" s="777" t="s">
        <v>2260</v>
      </c>
      <c r="CL269" s="769" t="s">
        <v>2260</v>
      </c>
      <c r="CM269" s="769" t="s">
        <v>2260</v>
      </c>
      <c r="CN269" s="769" t="s">
        <v>2260</v>
      </c>
      <c r="CO269" s="774">
        <v>17358</v>
      </c>
      <c r="CP269" s="777" t="s">
        <v>2260</v>
      </c>
      <c r="CQ269" s="769" t="s">
        <v>2260</v>
      </c>
      <c r="CR269" s="769" t="s">
        <v>2260</v>
      </c>
      <c r="CS269" s="769" t="s">
        <v>2260</v>
      </c>
      <c r="CT269" s="774" t="s">
        <v>2260</v>
      </c>
      <c r="CU269" s="1253">
        <v>-7.6400000000000003E-4</v>
      </c>
      <c r="CV269" s="1252" t="s">
        <v>2260</v>
      </c>
      <c r="CW269" s="1252" t="s">
        <v>2260</v>
      </c>
      <c r="CX269" s="1254" t="s">
        <v>2260</v>
      </c>
      <c r="CY269" s="1252">
        <v>4.3800000000000002E-4</v>
      </c>
      <c r="CZ269" s="1252" t="s">
        <v>2260</v>
      </c>
      <c r="DA269" s="1252" t="s">
        <v>2260</v>
      </c>
      <c r="DB269" s="1254" t="s">
        <v>2260</v>
      </c>
      <c r="DC269" s="754"/>
      <c r="DD269" s="782">
        <v>1</v>
      </c>
      <c r="DE269" s="783"/>
    </row>
    <row r="270" spans="1:109" ht="15.75" hidden="1" customHeight="1">
      <c r="A270" s="741" t="s">
        <v>1278</v>
      </c>
      <c r="B270" s="742">
        <v>264</v>
      </c>
      <c r="C270" s="758" t="s">
        <v>1429</v>
      </c>
      <c r="D270" s="742" t="s">
        <v>3092</v>
      </c>
      <c r="E270" s="742" t="s">
        <v>2231</v>
      </c>
      <c r="F270" s="754" t="s">
        <v>3097</v>
      </c>
      <c r="G270" s="759" t="s">
        <v>3098</v>
      </c>
      <c r="H270" s="760" t="s">
        <v>3099</v>
      </c>
      <c r="I270" s="761">
        <v>0.5</v>
      </c>
      <c r="J270" s="762">
        <v>0.5</v>
      </c>
      <c r="K270" s="762"/>
      <c r="L270" s="762"/>
      <c r="M270" s="762"/>
      <c r="N270" s="762"/>
      <c r="O270" s="762"/>
      <c r="P270" s="763"/>
      <c r="Q270" s="764">
        <f t="shared" si="4"/>
        <v>1</v>
      </c>
      <c r="R270" s="758" t="s">
        <v>1852</v>
      </c>
      <c r="S270" s="742" t="s">
        <v>1826</v>
      </c>
      <c r="T270" s="830" t="s">
        <v>1837</v>
      </c>
      <c r="U270" s="742" t="s">
        <v>2523</v>
      </c>
      <c r="V270" s="742" t="s">
        <v>1857</v>
      </c>
      <c r="W270" s="742" t="s">
        <v>3100</v>
      </c>
      <c r="X270" s="1279">
        <v>1</v>
      </c>
      <c r="Y270" s="790" t="s">
        <v>1828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210</v>
      </c>
      <c r="BQ270" s="836" t="s">
        <v>2260</v>
      </c>
      <c r="BR270" s="835" t="s">
        <v>2260</v>
      </c>
      <c r="BS270" s="835" t="s">
        <v>2260</v>
      </c>
      <c r="BT270" s="835" t="s">
        <v>2260</v>
      </c>
      <c r="BU270" s="837" t="s">
        <v>2260</v>
      </c>
      <c r="BV270" s="777" t="s">
        <v>2260</v>
      </c>
      <c r="BW270" s="769" t="s">
        <v>2260</v>
      </c>
      <c r="BX270" s="769" t="s">
        <v>2260</v>
      </c>
      <c r="BY270" s="769" t="s">
        <v>2260</v>
      </c>
      <c r="BZ270" s="769" t="s">
        <v>2260</v>
      </c>
      <c r="CA270" s="836" t="s">
        <v>2260</v>
      </c>
      <c r="CB270" s="835" t="s">
        <v>2260</v>
      </c>
      <c r="CC270" s="835" t="s">
        <v>2260</v>
      </c>
      <c r="CD270" s="835" t="s">
        <v>2260</v>
      </c>
      <c r="CE270" s="837" t="s">
        <v>2260</v>
      </c>
      <c r="CF270" s="835" t="s">
        <v>2260</v>
      </c>
      <c r="CG270" s="835" t="s">
        <v>2260</v>
      </c>
      <c r="CH270" s="835" t="s">
        <v>2260</v>
      </c>
      <c r="CI270" s="835" t="s">
        <v>2260</v>
      </c>
      <c r="CJ270" s="837" t="s">
        <v>2260</v>
      </c>
      <c r="CK270" s="836" t="s">
        <v>2260</v>
      </c>
      <c r="CL270" s="835" t="s">
        <v>2260</v>
      </c>
      <c r="CM270" s="835" t="s">
        <v>2260</v>
      </c>
      <c r="CN270" s="835" t="s">
        <v>2260</v>
      </c>
      <c r="CO270" s="837">
        <v>1671</v>
      </c>
      <c r="CP270" s="836" t="s">
        <v>2260</v>
      </c>
      <c r="CQ270" s="835" t="s">
        <v>2260</v>
      </c>
      <c r="CR270" s="835" t="s">
        <v>2260</v>
      </c>
      <c r="CS270" s="835" t="s">
        <v>2260</v>
      </c>
      <c r="CT270" s="837" t="s">
        <v>2260</v>
      </c>
      <c r="CU270" s="1253">
        <v>-1.0999999999999999E-2</v>
      </c>
      <c r="CV270" s="1252" t="s">
        <v>2260</v>
      </c>
      <c r="CW270" s="1252" t="s">
        <v>2260</v>
      </c>
      <c r="CX270" s="1254" t="s">
        <v>2260</v>
      </c>
      <c r="CY270" s="1252">
        <v>6.0000000000000001E-3</v>
      </c>
      <c r="CZ270" s="1252" t="s">
        <v>2260</v>
      </c>
      <c r="DA270" s="1252" t="s">
        <v>2260</v>
      </c>
      <c r="DB270" s="1254" t="s">
        <v>2260</v>
      </c>
      <c r="DC270" s="754"/>
      <c r="DD270" s="782">
        <v>1</v>
      </c>
      <c r="DE270" s="783"/>
    </row>
    <row r="271" spans="1:109" ht="15.75" hidden="1" customHeight="1">
      <c r="A271" s="741" t="s">
        <v>1278</v>
      </c>
      <c r="B271" s="742">
        <v>265</v>
      </c>
      <c r="C271" s="758" t="s">
        <v>1444</v>
      </c>
      <c r="D271" s="742" t="s">
        <v>3092</v>
      </c>
      <c r="E271" s="742" t="s">
        <v>2231</v>
      </c>
      <c r="F271" s="754" t="s">
        <v>3101</v>
      </c>
      <c r="G271" s="759" t="s">
        <v>3102</v>
      </c>
      <c r="H271" s="760" t="s">
        <v>3103</v>
      </c>
      <c r="I271" s="761">
        <v>1</v>
      </c>
      <c r="J271" s="762"/>
      <c r="K271" s="762"/>
      <c r="L271" s="762"/>
      <c r="M271" s="762"/>
      <c r="N271" s="762"/>
      <c r="O271" s="762"/>
      <c r="P271" s="763"/>
      <c r="Q271" s="764">
        <f t="shared" si="4"/>
        <v>1</v>
      </c>
      <c r="R271" s="758" t="s">
        <v>1846</v>
      </c>
      <c r="S271" s="742" t="s">
        <v>1826</v>
      </c>
      <c r="T271" s="830" t="s">
        <v>1827</v>
      </c>
      <c r="U271" s="742" t="s">
        <v>2387</v>
      </c>
      <c r="V271" s="742" t="s">
        <v>1857</v>
      </c>
      <c r="W271" s="742" t="s">
        <v>2933</v>
      </c>
      <c r="X271" s="1279">
        <v>0</v>
      </c>
      <c r="Y271" s="795" t="s">
        <v>1828</v>
      </c>
      <c r="Z271" s="759"/>
      <c r="AA271" s="754"/>
      <c r="AB271" s="754"/>
      <c r="AC271" s="754"/>
      <c r="AD271" s="754"/>
      <c r="AE271" s="754"/>
      <c r="AF271" s="768"/>
      <c r="AG271" s="769"/>
      <c r="AH271" s="769"/>
      <c r="AI271" s="769"/>
      <c r="AJ271" s="769"/>
      <c r="AK271" s="769"/>
      <c r="AL271" s="769"/>
      <c r="AM271" s="769"/>
      <c r="AN271" s="769"/>
      <c r="AO271" s="769"/>
      <c r="AP271" s="769"/>
      <c r="AQ271" s="797">
        <v>0</v>
      </c>
      <c r="AR271" s="1999">
        <v>37</v>
      </c>
      <c r="AS271" s="1999">
        <v>38</v>
      </c>
      <c r="AT271" s="1999">
        <v>39</v>
      </c>
      <c r="AU271" s="2000">
        <v>65</v>
      </c>
      <c r="AV271" s="833"/>
      <c r="AW271" s="832"/>
      <c r="AX271" s="832"/>
      <c r="AY271" s="832"/>
      <c r="AZ271" s="832"/>
      <c r="BA271" s="832"/>
      <c r="BB271" s="832"/>
      <c r="BC271" s="832"/>
      <c r="BD271" s="832"/>
      <c r="BE271" s="832"/>
      <c r="BF271" s="832"/>
      <c r="BG271" s="832"/>
      <c r="BH271" s="832"/>
      <c r="BI271" s="832"/>
      <c r="BJ271" s="832"/>
      <c r="BK271" s="834"/>
      <c r="BL271" s="758" t="s">
        <v>210</v>
      </c>
      <c r="BM271" s="754" t="s">
        <v>210</v>
      </c>
      <c r="BN271" s="754" t="s">
        <v>210</v>
      </c>
      <c r="BO271" s="754" t="s">
        <v>210</v>
      </c>
      <c r="BP271" s="765" t="s">
        <v>210</v>
      </c>
      <c r="BQ271" s="777" t="s">
        <v>2260</v>
      </c>
      <c r="BR271" s="769" t="s">
        <v>2260</v>
      </c>
      <c r="BS271" s="769" t="s">
        <v>2260</v>
      </c>
      <c r="BT271" s="769" t="s">
        <v>2260</v>
      </c>
      <c r="BU271" s="774" t="s">
        <v>2260</v>
      </c>
      <c r="BV271" s="777" t="s">
        <v>2260</v>
      </c>
      <c r="BW271" s="769" t="s">
        <v>2260</v>
      </c>
      <c r="BX271" s="769" t="s">
        <v>2260</v>
      </c>
      <c r="BY271" s="769" t="s">
        <v>2260</v>
      </c>
      <c r="BZ271" s="769" t="s">
        <v>2260</v>
      </c>
      <c r="CA271" s="777" t="s">
        <v>2260</v>
      </c>
      <c r="CB271" s="769" t="s">
        <v>2260</v>
      </c>
      <c r="CC271" s="769" t="s">
        <v>2260</v>
      </c>
      <c r="CD271" s="769" t="s">
        <v>2260</v>
      </c>
      <c r="CE271" s="774" t="s">
        <v>2260</v>
      </c>
      <c r="CF271" s="769" t="s">
        <v>2260</v>
      </c>
      <c r="CG271" s="769" t="s">
        <v>2260</v>
      </c>
      <c r="CH271" s="769" t="s">
        <v>2260</v>
      </c>
      <c r="CI271" s="769" t="s">
        <v>2260</v>
      </c>
      <c r="CJ271" s="774" t="s">
        <v>2260</v>
      </c>
      <c r="CK271" s="777" t="s">
        <v>2260</v>
      </c>
      <c r="CL271" s="769" t="s">
        <v>2260</v>
      </c>
      <c r="CM271" s="769" t="s">
        <v>2260</v>
      </c>
      <c r="CN271" s="769" t="s">
        <v>2260</v>
      </c>
      <c r="CO271" s="774" t="s">
        <v>2260</v>
      </c>
      <c r="CP271" s="777" t="s">
        <v>2260</v>
      </c>
      <c r="CQ271" s="769" t="s">
        <v>2260</v>
      </c>
      <c r="CR271" s="769" t="s">
        <v>2260</v>
      </c>
      <c r="CS271" s="769" t="s">
        <v>2260</v>
      </c>
      <c r="CT271" s="774" t="s">
        <v>2260</v>
      </c>
      <c r="CU271" s="1253">
        <v>-6.5000000000000002E-2</v>
      </c>
      <c r="CV271" s="1252" t="s">
        <v>2260</v>
      </c>
      <c r="CW271" s="1252" t="s">
        <v>2260</v>
      </c>
      <c r="CX271" s="1254" t="s">
        <v>2260</v>
      </c>
      <c r="CY271" s="1252" t="s">
        <v>2260</v>
      </c>
      <c r="CZ271" s="1252" t="s">
        <v>2260</v>
      </c>
      <c r="DA271" s="1252" t="s">
        <v>2260</v>
      </c>
      <c r="DB271" s="1254" t="s">
        <v>2260</v>
      </c>
      <c r="DC271" s="754"/>
      <c r="DD271" s="782">
        <v>1</v>
      </c>
      <c r="DE271" s="783"/>
    </row>
    <row r="272" spans="1:109" ht="15.75" hidden="1" customHeight="1">
      <c r="A272" s="741" t="s">
        <v>1278</v>
      </c>
      <c r="B272" s="742">
        <v>266</v>
      </c>
      <c r="C272" s="758" t="s">
        <v>1744</v>
      </c>
      <c r="D272" s="742" t="s">
        <v>3092</v>
      </c>
      <c r="E272" s="742" t="s">
        <v>2217</v>
      </c>
      <c r="F272" s="754" t="s">
        <v>3104</v>
      </c>
      <c r="G272" s="759" t="s">
        <v>2981</v>
      </c>
      <c r="H272" s="760" t="s">
        <v>3105</v>
      </c>
      <c r="I272" s="761">
        <v>0.25</v>
      </c>
      <c r="J272" s="762">
        <v>0.745</v>
      </c>
      <c r="K272" s="762"/>
      <c r="L272" s="762"/>
      <c r="M272" s="762">
        <v>5.0000000000000001E-3</v>
      </c>
      <c r="N272" s="762"/>
      <c r="O272" s="762"/>
      <c r="P272" s="763"/>
      <c r="Q272" s="764">
        <f t="shared" si="4"/>
        <v>1</v>
      </c>
      <c r="R272" s="758" t="s">
        <v>1825</v>
      </c>
      <c r="S272" s="742"/>
      <c r="T272" s="830"/>
      <c r="U272" s="742" t="s">
        <v>2408</v>
      </c>
      <c r="V272" s="742" t="s">
        <v>1857</v>
      </c>
      <c r="W272" s="742" t="s">
        <v>3106</v>
      </c>
      <c r="X272" s="1279">
        <v>1</v>
      </c>
      <c r="Y272" s="790" t="s">
        <v>1838</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2260</v>
      </c>
      <c r="BR272" s="769" t="s">
        <v>2260</v>
      </c>
      <c r="BS272" s="769" t="s">
        <v>2260</v>
      </c>
      <c r="BT272" s="769" t="s">
        <v>2260</v>
      </c>
      <c r="BU272" s="774" t="s">
        <v>2260</v>
      </c>
      <c r="BV272" s="777" t="s">
        <v>2260</v>
      </c>
      <c r="BW272" s="769" t="s">
        <v>2260</v>
      </c>
      <c r="BX272" s="769" t="s">
        <v>2260</v>
      </c>
      <c r="BY272" s="769" t="s">
        <v>2260</v>
      </c>
      <c r="BZ272" s="769" t="s">
        <v>2260</v>
      </c>
      <c r="CA272" s="777" t="s">
        <v>2260</v>
      </c>
      <c r="CB272" s="769" t="s">
        <v>2260</v>
      </c>
      <c r="CC272" s="769" t="s">
        <v>2260</v>
      </c>
      <c r="CD272" s="769" t="s">
        <v>2260</v>
      </c>
      <c r="CE272" s="774" t="s">
        <v>2260</v>
      </c>
      <c r="CF272" s="769" t="s">
        <v>2260</v>
      </c>
      <c r="CG272" s="769" t="s">
        <v>2260</v>
      </c>
      <c r="CH272" s="769" t="s">
        <v>2260</v>
      </c>
      <c r="CI272" s="769" t="s">
        <v>2260</v>
      </c>
      <c r="CJ272" s="769" t="s">
        <v>2260</v>
      </c>
      <c r="CK272" s="777" t="s">
        <v>2260</v>
      </c>
      <c r="CL272" s="769" t="s">
        <v>2260</v>
      </c>
      <c r="CM272" s="769" t="s">
        <v>2260</v>
      </c>
      <c r="CN272" s="769" t="s">
        <v>2260</v>
      </c>
      <c r="CO272" s="774" t="s">
        <v>2260</v>
      </c>
      <c r="CP272" s="777" t="s">
        <v>2260</v>
      </c>
      <c r="CQ272" s="769" t="s">
        <v>2260</v>
      </c>
      <c r="CR272" s="769" t="s">
        <v>2260</v>
      </c>
      <c r="CS272" s="769" t="s">
        <v>2260</v>
      </c>
      <c r="CT272" s="774" t="s">
        <v>2260</v>
      </c>
      <c r="CU272" s="1253" t="s">
        <v>2260</v>
      </c>
      <c r="CV272" s="1252" t="s">
        <v>2260</v>
      </c>
      <c r="CW272" s="1252" t="s">
        <v>2260</v>
      </c>
      <c r="CX272" s="1254" t="s">
        <v>2260</v>
      </c>
      <c r="CY272" s="1252" t="s">
        <v>2260</v>
      </c>
      <c r="CZ272" s="1252" t="s">
        <v>2260</v>
      </c>
      <c r="DA272" s="1252" t="s">
        <v>2260</v>
      </c>
      <c r="DB272" s="1254" t="s">
        <v>2260</v>
      </c>
      <c r="DC272" s="754"/>
      <c r="DD272" s="782">
        <v>1</v>
      </c>
      <c r="DE272" s="783"/>
    </row>
    <row r="273" spans="1:109" ht="15.75" hidden="1" customHeight="1">
      <c r="A273" s="741" t="s">
        <v>1278</v>
      </c>
      <c r="B273" s="742">
        <v>267</v>
      </c>
      <c r="C273" s="758" t="s">
        <v>1458</v>
      </c>
      <c r="D273" s="742" t="s">
        <v>3092</v>
      </c>
      <c r="E273" s="742" t="s">
        <v>2217</v>
      </c>
      <c r="F273" s="754" t="s">
        <v>3107</v>
      </c>
      <c r="G273" s="759" t="s">
        <v>3108</v>
      </c>
      <c r="H273" s="760" t="s">
        <v>3109</v>
      </c>
      <c r="I273" s="761">
        <v>1</v>
      </c>
      <c r="J273" s="762"/>
      <c r="K273" s="762"/>
      <c r="L273" s="762"/>
      <c r="M273" s="762"/>
      <c r="N273" s="762"/>
      <c r="O273" s="762"/>
      <c r="P273" s="763"/>
      <c r="Q273" s="764">
        <f t="shared" si="4"/>
        <v>1</v>
      </c>
      <c r="R273" s="758" t="s">
        <v>1846</v>
      </c>
      <c r="S273" s="742" t="s">
        <v>1826</v>
      </c>
      <c r="T273" s="830" t="s">
        <v>1827</v>
      </c>
      <c r="U273" s="742" t="s">
        <v>2290</v>
      </c>
      <c r="V273" s="742" t="s">
        <v>1857</v>
      </c>
      <c r="W273" s="742" t="s">
        <v>3110</v>
      </c>
      <c r="X273" s="1279">
        <v>0</v>
      </c>
      <c r="Y273" s="788" t="s">
        <v>1838</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210</v>
      </c>
      <c r="BM273" s="754" t="s">
        <v>210</v>
      </c>
      <c r="BN273" s="754" t="s">
        <v>210</v>
      </c>
      <c r="BO273" s="754" t="s">
        <v>210</v>
      </c>
      <c r="BP273" s="765" t="s">
        <v>210</v>
      </c>
      <c r="BQ273" s="777" t="s">
        <v>2260</v>
      </c>
      <c r="BR273" s="769" t="s">
        <v>2260</v>
      </c>
      <c r="BS273" s="769" t="s">
        <v>2260</v>
      </c>
      <c r="BT273" s="769" t="s">
        <v>2260</v>
      </c>
      <c r="BU273" s="774" t="s">
        <v>2260</v>
      </c>
      <c r="BV273" s="777" t="s">
        <v>2260</v>
      </c>
      <c r="BW273" s="769" t="s">
        <v>2260</v>
      </c>
      <c r="BX273" s="769" t="s">
        <v>2260</v>
      </c>
      <c r="BY273" s="769" t="s">
        <v>2260</v>
      </c>
      <c r="BZ273" s="769" t="s">
        <v>2260</v>
      </c>
      <c r="CA273" s="777" t="s">
        <v>2260</v>
      </c>
      <c r="CB273" s="769" t="s">
        <v>2260</v>
      </c>
      <c r="CC273" s="769" t="s">
        <v>2260</v>
      </c>
      <c r="CD273" s="769" t="s">
        <v>2260</v>
      </c>
      <c r="CE273" s="774" t="s">
        <v>2260</v>
      </c>
      <c r="CF273" s="769" t="s">
        <v>2260</v>
      </c>
      <c r="CG273" s="769" t="s">
        <v>2260</v>
      </c>
      <c r="CH273" s="769" t="s">
        <v>2260</v>
      </c>
      <c r="CI273" s="769" t="s">
        <v>2260</v>
      </c>
      <c r="CJ273" s="774" t="s">
        <v>2260</v>
      </c>
      <c r="CK273" s="777" t="s">
        <v>2260</v>
      </c>
      <c r="CL273" s="769" t="s">
        <v>2260</v>
      </c>
      <c r="CM273" s="769" t="s">
        <v>2260</v>
      </c>
      <c r="CN273" s="769" t="s">
        <v>2260</v>
      </c>
      <c r="CO273" s="774" t="s">
        <v>2260</v>
      </c>
      <c r="CP273" s="777" t="s">
        <v>2260</v>
      </c>
      <c r="CQ273" s="769" t="s">
        <v>2260</v>
      </c>
      <c r="CR273" s="769" t="s">
        <v>2260</v>
      </c>
      <c r="CS273" s="769" t="s">
        <v>2260</v>
      </c>
      <c r="CT273" s="774" t="s">
        <v>2260</v>
      </c>
      <c r="CU273" s="1253">
        <v>-5.2999999999999998E-4</v>
      </c>
      <c r="CV273" s="1252" t="s">
        <v>2260</v>
      </c>
      <c r="CW273" s="1252" t="s">
        <v>2260</v>
      </c>
      <c r="CX273" s="1254" t="s">
        <v>2260</v>
      </c>
      <c r="CY273" s="1252" t="s">
        <v>2260</v>
      </c>
      <c r="CZ273" s="1252" t="s">
        <v>2260</v>
      </c>
      <c r="DA273" s="1252" t="s">
        <v>2260</v>
      </c>
      <c r="DB273" s="1254" t="s">
        <v>2260</v>
      </c>
      <c r="DC273" s="754" t="s">
        <v>173</v>
      </c>
      <c r="DD273" s="782">
        <v>1</v>
      </c>
      <c r="DE273" s="783"/>
    </row>
    <row r="274" spans="1:109" ht="15.75" hidden="1" customHeight="1">
      <c r="A274" s="741" t="s">
        <v>1278</v>
      </c>
      <c r="B274" s="742">
        <v>268</v>
      </c>
      <c r="C274" s="758" t="s">
        <v>1747</v>
      </c>
      <c r="D274" s="742" t="s">
        <v>3092</v>
      </c>
      <c r="E274" s="742" t="s">
        <v>2231</v>
      </c>
      <c r="F274" s="754" t="s">
        <v>3111</v>
      </c>
      <c r="G274" s="759" t="s">
        <v>3112</v>
      </c>
      <c r="H274" s="760" t="s">
        <v>3113</v>
      </c>
      <c r="I274" s="761">
        <v>1</v>
      </c>
      <c r="J274" s="762"/>
      <c r="K274" s="762"/>
      <c r="L274" s="762"/>
      <c r="M274" s="762"/>
      <c r="N274" s="762"/>
      <c r="O274" s="762"/>
      <c r="P274" s="763"/>
      <c r="Q274" s="764">
        <f t="shared" si="4"/>
        <v>1</v>
      </c>
      <c r="R274" s="758" t="s">
        <v>1825</v>
      </c>
      <c r="S274" s="742"/>
      <c r="T274" s="830"/>
      <c r="U274" s="742" t="s">
        <v>2290</v>
      </c>
      <c r="V274" s="742" t="s">
        <v>321</v>
      </c>
      <c r="W274" s="742" t="s">
        <v>3114</v>
      </c>
      <c r="X274" s="1279">
        <v>0</v>
      </c>
      <c r="Y274" s="788" t="s">
        <v>1828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2260</v>
      </c>
      <c r="BR274" s="769" t="s">
        <v>2260</v>
      </c>
      <c r="BS274" s="769" t="s">
        <v>2260</v>
      </c>
      <c r="BT274" s="769" t="s">
        <v>2260</v>
      </c>
      <c r="BU274" s="774" t="s">
        <v>2260</v>
      </c>
      <c r="BV274" s="777" t="s">
        <v>2260</v>
      </c>
      <c r="BW274" s="769" t="s">
        <v>2260</v>
      </c>
      <c r="BX274" s="769" t="s">
        <v>2260</v>
      </c>
      <c r="BY274" s="769" t="s">
        <v>2260</v>
      </c>
      <c r="BZ274" s="769" t="s">
        <v>2260</v>
      </c>
      <c r="CA274" s="777" t="s">
        <v>2260</v>
      </c>
      <c r="CB274" s="769" t="s">
        <v>2260</v>
      </c>
      <c r="CC274" s="769" t="s">
        <v>2260</v>
      </c>
      <c r="CD274" s="769" t="s">
        <v>2260</v>
      </c>
      <c r="CE274" s="774" t="s">
        <v>2260</v>
      </c>
      <c r="CF274" s="769" t="s">
        <v>2260</v>
      </c>
      <c r="CG274" s="769" t="s">
        <v>2260</v>
      </c>
      <c r="CH274" s="769" t="s">
        <v>2260</v>
      </c>
      <c r="CI274" s="769" t="s">
        <v>2260</v>
      </c>
      <c r="CJ274" s="774" t="s">
        <v>2260</v>
      </c>
      <c r="CK274" s="777" t="s">
        <v>2260</v>
      </c>
      <c r="CL274" s="769" t="s">
        <v>2260</v>
      </c>
      <c r="CM274" s="769" t="s">
        <v>2260</v>
      </c>
      <c r="CN274" s="769" t="s">
        <v>2260</v>
      </c>
      <c r="CO274" s="774" t="s">
        <v>2260</v>
      </c>
      <c r="CP274" s="777" t="s">
        <v>2260</v>
      </c>
      <c r="CQ274" s="769" t="s">
        <v>2260</v>
      </c>
      <c r="CR274" s="769" t="s">
        <v>2260</v>
      </c>
      <c r="CS274" s="769" t="s">
        <v>2260</v>
      </c>
      <c r="CT274" s="774" t="s">
        <v>2260</v>
      </c>
      <c r="CU274" s="1253" t="s">
        <v>2260</v>
      </c>
      <c r="CV274" s="1252" t="s">
        <v>2260</v>
      </c>
      <c r="CW274" s="1252" t="s">
        <v>2260</v>
      </c>
      <c r="CX274" s="1254" t="s">
        <v>2260</v>
      </c>
      <c r="CY274" s="1252" t="s">
        <v>2260</v>
      </c>
      <c r="CZ274" s="1252" t="s">
        <v>2260</v>
      </c>
      <c r="DA274" s="1252" t="s">
        <v>2260</v>
      </c>
      <c r="DB274" s="1254" t="s">
        <v>2260</v>
      </c>
      <c r="DC274" s="754"/>
      <c r="DD274" s="782">
        <v>1</v>
      </c>
      <c r="DE274" s="783"/>
    </row>
    <row r="275" spans="1:109" ht="15.75" hidden="1" customHeight="1">
      <c r="A275" s="741" t="s">
        <v>1278</v>
      </c>
      <c r="B275" s="742">
        <v>269</v>
      </c>
      <c r="C275" s="758" t="s">
        <v>1749</v>
      </c>
      <c r="D275" s="742" t="s">
        <v>3008</v>
      </c>
      <c r="E275" s="742" t="s">
        <v>2217</v>
      </c>
      <c r="F275" s="754" t="s">
        <v>3115</v>
      </c>
      <c r="G275" s="759" t="s">
        <v>3116</v>
      </c>
      <c r="H275" s="760" t="s">
        <v>3117</v>
      </c>
      <c r="I275" s="761"/>
      <c r="J275" s="762">
        <v>0.5</v>
      </c>
      <c r="K275" s="762"/>
      <c r="L275" s="762"/>
      <c r="M275" s="762">
        <v>0.5</v>
      </c>
      <c r="N275" s="762"/>
      <c r="O275" s="762"/>
      <c r="P275" s="763"/>
      <c r="Q275" s="764">
        <f t="shared" si="4"/>
        <v>1</v>
      </c>
      <c r="R275" s="758" t="s">
        <v>1825</v>
      </c>
      <c r="S275" s="742"/>
      <c r="T275" s="830"/>
      <c r="U275" s="742" t="s">
        <v>2264</v>
      </c>
      <c r="V275" s="742" t="s">
        <v>1897</v>
      </c>
      <c r="W275" s="742" t="s">
        <v>3036</v>
      </c>
      <c r="X275" s="1279">
        <v>1</v>
      </c>
      <c r="Y275" s="788" t="s">
        <v>1828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2260</v>
      </c>
      <c r="BR275" s="769" t="s">
        <v>2260</v>
      </c>
      <c r="BS275" s="769" t="s">
        <v>2260</v>
      </c>
      <c r="BT275" s="769" t="s">
        <v>2260</v>
      </c>
      <c r="BU275" s="774" t="s">
        <v>2260</v>
      </c>
      <c r="BV275" s="777" t="s">
        <v>2260</v>
      </c>
      <c r="BW275" s="769" t="s">
        <v>2260</v>
      </c>
      <c r="BX275" s="769" t="s">
        <v>2260</v>
      </c>
      <c r="BY275" s="769" t="s">
        <v>2260</v>
      </c>
      <c r="BZ275" s="769" t="s">
        <v>2260</v>
      </c>
      <c r="CA275" s="777" t="s">
        <v>2260</v>
      </c>
      <c r="CB275" s="769" t="s">
        <v>2260</v>
      </c>
      <c r="CC275" s="769" t="s">
        <v>2260</v>
      </c>
      <c r="CD275" s="769" t="s">
        <v>2260</v>
      </c>
      <c r="CE275" s="774" t="s">
        <v>2260</v>
      </c>
      <c r="CF275" s="769" t="s">
        <v>2260</v>
      </c>
      <c r="CG275" s="769" t="s">
        <v>2260</v>
      </c>
      <c r="CH275" s="769" t="s">
        <v>2260</v>
      </c>
      <c r="CI275" s="769" t="s">
        <v>2260</v>
      </c>
      <c r="CJ275" s="774" t="s">
        <v>2260</v>
      </c>
      <c r="CK275" s="777" t="s">
        <v>2260</v>
      </c>
      <c r="CL275" s="769" t="s">
        <v>2260</v>
      </c>
      <c r="CM275" s="769" t="s">
        <v>2260</v>
      </c>
      <c r="CN275" s="769" t="s">
        <v>2260</v>
      </c>
      <c r="CO275" s="774" t="s">
        <v>2260</v>
      </c>
      <c r="CP275" s="777" t="s">
        <v>2260</v>
      </c>
      <c r="CQ275" s="769" t="s">
        <v>2260</v>
      </c>
      <c r="CR275" s="769" t="s">
        <v>2260</v>
      </c>
      <c r="CS275" s="769" t="s">
        <v>2260</v>
      </c>
      <c r="CT275" s="774" t="s">
        <v>2260</v>
      </c>
      <c r="CU275" s="1253" t="s">
        <v>2260</v>
      </c>
      <c r="CV275" s="1252" t="s">
        <v>2260</v>
      </c>
      <c r="CW275" s="1252" t="s">
        <v>2260</v>
      </c>
      <c r="CX275" s="1254" t="s">
        <v>2260</v>
      </c>
      <c r="CY275" s="1252" t="s">
        <v>2260</v>
      </c>
      <c r="CZ275" s="1252" t="s">
        <v>2260</v>
      </c>
      <c r="DA275" s="1252" t="s">
        <v>2260</v>
      </c>
      <c r="DB275" s="1254" t="s">
        <v>2260</v>
      </c>
      <c r="DC275" s="754"/>
      <c r="DD275" s="782">
        <v>1</v>
      </c>
      <c r="DE275" s="783"/>
    </row>
    <row r="276" spans="1:109" ht="15.75" hidden="1" customHeight="1">
      <c r="A276" s="741" t="s">
        <v>1278</v>
      </c>
      <c r="B276" s="742">
        <v>270</v>
      </c>
      <c r="C276" s="758" t="s">
        <v>1751</v>
      </c>
      <c r="D276" s="742"/>
      <c r="E276" s="742"/>
      <c r="F276" s="754" t="s">
        <v>2331</v>
      </c>
      <c r="G276" s="759" t="s">
        <v>2332</v>
      </c>
      <c r="H276" s="760"/>
      <c r="I276" s="761"/>
      <c r="J276" s="762"/>
      <c r="K276" s="762"/>
      <c r="L276" s="762"/>
      <c r="M276" s="762"/>
      <c r="N276" s="762"/>
      <c r="O276" s="762"/>
      <c r="P276" s="763"/>
      <c r="Q276" s="764">
        <f t="shared" si="4"/>
        <v>0</v>
      </c>
      <c r="R276" s="758" t="s">
        <v>1825</v>
      </c>
      <c r="S276" s="742"/>
      <c r="T276" s="765"/>
      <c r="U276" s="742"/>
      <c r="V276" s="1216" t="s">
        <v>1890</v>
      </c>
      <c r="W276" s="742" t="s">
        <v>2333</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2334</v>
      </c>
      <c r="AR276" s="769" t="s">
        <v>2334</v>
      </c>
      <c r="AS276" s="769" t="s">
        <v>2334</v>
      </c>
      <c r="AT276" s="769" t="s">
        <v>2334</v>
      </c>
      <c r="AU276" s="774" t="s">
        <v>2334</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2260</v>
      </c>
      <c r="BR276" s="769" t="s">
        <v>2260</v>
      </c>
      <c r="BS276" s="769" t="s">
        <v>2260</v>
      </c>
      <c r="BT276" s="769" t="s">
        <v>2260</v>
      </c>
      <c r="BU276" s="774" t="s">
        <v>2260</v>
      </c>
      <c r="BV276" s="777" t="s">
        <v>2260</v>
      </c>
      <c r="BW276" s="769" t="s">
        <v>2260</v>
      </c>
      <c r="BX276" s="769" t="s">
        <v>2260</v>
      </c>
      <c r="BY276" s="769" t="s">
        <v>2260</v>
      </c>
      <c r="BZ276" s="769" t="s">
        <v>2260</v>
      </c>
      <c r="CA276" s="777" t="s">
        <v>2260</v>
      </c>
      <c r="CB276" s="769" t="s">
        <v>2260</v>
      </c>
      <c r="CC276" s="769" t="s">
        <v>2260</v>
      </c>
      <c r="CD276" s="769" t="s">
        <v>2260</v>
      </c>
      <c r="CE276" s="774" t="s">
        <v>2260</v>
      </c>
      <c r="CF276" s="769" t="s">
        <v>2260</v>
      </c>
      <c r="CG276" s="769" t="s">
        <v>2260</v>
      </c>
      <c r="CH276" s="769" t="s">
        <v>2260</v>
      </c>
      <c r="CI276" s="769" t="s">
        <v>2260</v>
      </c>
      <c r="CJ276" s="774" t="s">
        <v>2260</v>
      </c>
      <c r="CK276" s="777" t="s">
        <v>2260</v>
      </c>
      <c r="CL276" s="769" t="s">
        <v>2260</v>
      </c>
      <c r="CM276" s="769" t="s">
        <v>2260</v>
      </c>
      <c r="CN276" s="769" t="s">
        <v>2260</v>
      </c>
      <c r="CO276" s="774" t="s">
        <v>2260</v>
      </c>
      <c r="CP276" s="777" t="s">
        <v>2260</v>
      </c>
      <c r="CQ276" s="769" t="s">
        <v>2260</v>
      </c>
      <c r="CR276" s="769" t="s">
        <v>2260</v>
      </c>
      <c r="CS276" s="769" t="s">
        <v>2260</v>
      </c>
      <c r="CT276" s="774" t="s">
        <v>2260</v>
      </c>
      <c r="CU276" s="1253" t="s">
        <v>2260</v>
      </c>
      <c r="CV276" s="1252" t="s">
        <v>2260</v>
      </c>
      <c r="CW276" s="1252" t="s">
        <v>2260</v>
      </c>
      <c r="CX276" s="1254" t="s">
        <v>2260</v>
      </c>
      <c r="CY276" s="1252" t="s">
        <v>2260</v>
      </c>
      <c r="CZ276" s="1252" t="s">
        <v>2260</v>
      </c>
      <c r="DA276" s="1252" t="s">
        <v>2260</v>
      </c>
      <c r="DB276" s="1254" t="s">
        <v>2260</v>
      </c>
      <c r="DC276" s="754"/>
      <c r="DD276" s="782"/>
      <c r="DE276" s="783"/>
    </row>
    <row r="277" spans="1:109" ht="15.75" hidden="1" customHeight="1">
      <c r="A277" s="741" t="s">
        <v>1278</v>
      </c>
      <c r="B277" s="742">
        <v>271</v>
      </c>
      <c r="C277" s="758" t="s">
        <v>1467</v>
      </c>
      <c r="D277" s="742"/>
      <c r="E277" s="742"/>
      <c r="F277" s="754" t="s">
        <v>3118</v>
      </c>
      <c r="G277" s="759" t="s">
        <v>3119</v>
      </c>
      <c r="H277" s="760"/>
      <c r="I277" s="761"/>
      <c r="J277" s="762">
        <v>1</v>
      </c>
      <c r="K277" s="762"/>
      <c r="L277" s="762"/>
      <c r="M277" s="762"/>
      <c r="N277" s="762"/>
      <c r="O277" s="762"/>
      <c r="P277" s="763"/>
      <c r="Q277" s="764">
        <f t="shared" si="4"/>
        <v>1</v>
      </c>
      <c r="R277" s="758" t="s">
        <v>2882</v>
      </c>
      <c r="S277" s="742" t="s">
        <v>1826</v>
      </c>
      <c r="T277" s="765" t="s">
        <v>1837</v>
      </c>
      <c r="U277" s="742"/>
      <c r="V277" s="742" t="s">
        <v>2439</v>
      </c>
      <c r="W277" s="742" t="s">
        <v>3120</v>
      </c>
      <c r="X277" s="1279">
        <v>0</v>
      </c>
      <c r="Y277" s="788" t="s">
        <v>1838</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210</v>
      </c>
      <c r="BQ277" s="777" t="s">
        <v>2260</v>
      </c>
      <c r="BR277" s="769" t="s">
        <v>2260</v>
      </c>
      <c r="BS277" s="769" t="s">
        <v>2260</v>
      </c>
      <c r="BT277" s="769" t="s">
        <v>2260</v>
      </c>
      <c r="BU277" s="774" t="s">
        <v>2260</v>
      </c>
      <c r="BV277" s="777" t="s">
        <v>2260</v>
      </c>
      <c r="BW277" s="769" t="s">
        <v>2260</v>
      </c>
      <c r="BX277" s="769" t="s">
        <v>2260</v>
      </c>
      <c r="BY277" s="769" t="s">
        <v>2260</v>
      </c>
      <c r="BZ277" s="769" t="s">
        <v>2260</v>
      </c>
      <c r="CA277" s="777" t="s">
        <v>2260</v>
      </c>
      <c r="CB277" s="769" t="s">
        <v>2260</v>
      </c>
      <c r="CC277" s="769" t="s">
        <v>2260</v>
      </c>
      <c r="CD277" s="769" t="s">
        <v>2260</v>
      </c>
      <c r="CE277" s="774" t="s">
        <v>2260</v>
      </c>
      <c r="CF277" s="769" t="s">
        <v>2260</v>
      </c>
      <c r="CG277" s="769" t="s">
        <v>2260</v>
      </c>
      <c r="CH277" s="769" t="s">
        <v>2260</v>
      </c>
      <c r="CI277" s="769" t="s">
        <v>2260</v>
      </c>
      <c r="CJ277" s="774" t="s">
        <v>2260</v>
      </c>
      <c r="CK277" s="777" t="s">
        <v>2260</v>
      </c>
      <c r="CL277" s="769" t="s">
        <v>2260</v>
      </c>
      <c r="CM277" s="769" t="s">
        <v>2260</v>
      </c>
      <c r="CN277" s="769" t="s">
        <v>2260</v>
      </c>
      <c r="CO277" s="774" t="s">
        <v>2260</v>
      </c>
      <c r="CP277" s="777" t="s">
        <v>2260</v>
      </c>
      <c r="CQ277" s="769" t="s">
        <v>2260</v>
      </c>
      <c r="CR277" s="769" t="s">
        <v>2260</v>
      </c>
      <c r="CS277" s="769" t="s">
        <v>2260</v>
      </c>
      <c r="CT277" s="774" t="s">
        <v>2260</v>
      </c>
      <c r="CU277" s="1253">
        <v>-4.1300000000000003E-2</v>
      </c>
      <c r="CV277" s="1252" t="s">
        <v>2260</v>
      </c>
      <c r="CW277" s="1252" t="s">
        <v>2260</v>
      </c>
      <c r="CX277" s="1254" t="s">
        <v>2260</v>
      </c>
      <c r="CY277" s="1252">
        <v>0.1492</v>
      </c>
      <c r="CZ277" s="1252" t="s">
        <v>2260</v>
      </c>
      <c r="DA277" s="1252" t="s">
        <v>2260</v>
      </c>
      <c r="DB277" s="1254" t="s">
        <v>2260</v>
      </c>
      <c r="DC277" s="754"/>
      <c r="DD277" s="782"/>
      <c r="DE277" s="783"/>
    </row>
    <row r="278" spans="1:109" ht="15.75" hidden="1" customHeight="1">
      <c r="A278" s="741" t="s">
        <v>1185</v>
      </c>
      <c r="B278" s="742">
        <v>272</v>
      </c>
      <c r="C278" s="758" t="s">
        <v>1200</v>
      </c>
      <c r="D278" s="742" t="s">
        <v>3121</v>
      </c>
      <c r="E278" s="742" t="s">
        <v>2217</v>
      </c>
      <c r="F278" s="754" t="s">
        <v>3122</v>
      </c>
      <c r="G278" s="759" t="s">
        <v>172</v>
      </c>
      <c r="H278" s="760" t="s">
        <v>3123</v>
      </c>
      <c r="I278" s="761"/>
      <c r="J278" s="762">
        <v>1</v>
      </c>
      <c r="K278" s="762"/>
      <c r="L278" s="762"/>
      <c r="M278" s="762"/>
      <c r="N278" s="762"/>
      <c r="O278" s="762"/>
      <c r="P278" s="763"/>
      <c r="Q278" s="764">
        <f t="shared" si="4"/>
        <v>1</v>
      </c>
      <c r="R278" s="758" t="s">
        <v>1846</v>
      </c>
      <c r="S278" s="742" t="s">
        <v>1826</v>
      </c>
      <c r="T278" s="830" t="s">
        <v>1827</v>
      </c>
      <c r="U278" s="742" t="s">
        <v>3124</v>
      </c>
      <c r="V278" s="742" t="s">
        <v>1897</v>
      </c>
      <c r="W278" s="742" t="s">
        <v>3125</v>
      </c>
      <c r="X278" s="798">
        <v>2</v>
      </c>
      <c r="Y278" s="788" t="s">
        <v>1838</v>
      </c>
      <c r="Z278" s="759" t="s">
        <v>172</v>
      </c>
      <c r="AA278" s="754"/>
      <c r="AB278" s="754"/>
      <c r="AC278" s="754"/>
      <c r="AD278" s="754"/>
      <c r="AE278" s="754"/>
      <c r="AF278" s="768"/>
      <c r="AG278" s="769"/>
      <c r="AH278" s="769"/>
      <c r="AI278" s="769"/>
      <c r="AJ278" s="769"/>
      <c r="AK278" s="769"/>
      <c r="AL278" s="769"/>
      <c r="AM278" s="769"/>
      <c r="AN278" s="769"/>
      <c r="AO278" s="769"/>
      <c r="AP278" s="769"/>
      <c r="AQ278" s="1369"/>
      <c r="AR278" s="1319"/>
      <c r="AS278" s="1319"/>
      <c r="AT278" s="1319"/>
      <c r="AU278" s="1320"/>
      <c r="AV278" s="777"/>
      <c r="AW278" s="769"/>
      <c r="AX278" s="769"/>
      <c r="AY278" s="769"/>
      <c r="AZ278" s="769"/>
      <c r="BA278" s="769"/>
      <c r="BB278" s="769"/>
      <c r="BC278" s="769"/>
      <c r="BD278" s="769"/>
      <c r="BE278" s="769"/>
      <c r="BF278" s="769"/>
      <c r="BG278" s="769"/>
      <c r="BH278" s="769"/>
      <c r="BI278" s="769"/>
      <c r="BJ278" s="769"/>
      <c r="BK278" s="774"/>
      <c r="BL278" s="1327"/>
      <c r="BM278" s="1328"/>
      <c r="BN278" s="1328"/>
      <c r="BO278" s="1328"/>
      <c r="BP278" s="1389"/>
      <c r="BQ278" s="1369"/>
      <c r="BR278" s="1319"/>
      <c r="BS278" s="1319"/>
      <c r="BT278" s="1319"/>
      <c r="BU278" s="1320"/>
      <c r="BV278" s="1369"/>
      <c r="BW278" s="1319"/>
      <c r="BX278" s="1319"/>
      <c r="BY278" s="1319"/>
      <c r="BZ278" s="1319"/>
      <c r="CA278" s="1369"/>
      <c r="CB278" s="1319"/>
      <c r="CC278" s="1319"/>
      <c r="CD278" s="1319"/>
      <c r="CE278" s="1320"/>
      <c r="CF278" s="1319"/>
      <c r="CG278" s="1319"/>
      <c r="CH278" s="1319"/>
      <c r="CI278" s="1319"/>
      <c r="CJ278" s="1320"/>
      <c r="CK278" s="1369"/>
      <c r="CL278" s="1319"/>
      <c r="CM278" s="1319"/>
      <c r="CN278" s="1319"/>
      <c r="CO278" s="1320"/>
      <c r="CP278" s="1369"/>
      <c r="CQ278" s="1319"/>
      <c r="CR278" s="1319"/>
      <c r="CS278" s="1319"/>
      <c r="CT278" s="1320"/>
      <c r="CU278" s="1467"/>
      <c r="CV278" s="1458"/>
      <c r="CW278" s="1458"/>
      <c r="CX278" s="1663"/>
      <c r="CY278" s="1458"/>
      <c r="CZ278" s="1458"/>
      <c r="DA278" s="1458"/>
      <c r="DB278" s="1663"/>
      <c r="DC278" s="1328"/>
      <c r="DD278" s="1664"/>
      <c r="DE278" s="1669"/>
    </row>
    <row r="279" spans="1:109" ht="15.75" hidden="1" customHeight="1">
      <c r="A279" s="741" t="s">
        <v>1185</v>
      </c>
      <c r="B279" s="742">
        <v>273</v>
      </c>
      <c r="C279" s="758" t="s">
        <v>1216</v>
      </c>
      <c r="D279" s="742" t="s">
        <v>3126</v>
      </c>
      <c r="E279" s="742" t="s">
        <v>3127</v>
      </c>
      <c r="F279" s="754" t="s">
        <v>3128</v>
      </c>
      <c r="G279" s="759" t="s">
        <v>705</v>
      </c>
      <c r="H279" s="760" t="s">
        <v>3129</v>
      </c>
      <c r="I279" s="761"/>
      <c r="J279" s="762">
        <v>1</v>
      </c>
      <c r="K279" s="762"/>
      <c r="L279" s="762"/>
      <c r="M279" s="762"/>
      <c r="N279" s="762"/>
      <c r="O279" s="762"/>
      <c r="P279" s="763"/>
      <c r="Q279" s="764">
        <f t="shared" si="4"/>
        <v>1</v>
      </c>
      <c r="R279" s="758" t="s">
        <v>1852</v>
      </c>
      <c r="S279" s="742" t="s">
        <v>1826</v>
      </c>
      <c r="T279" s="830" t="s">
        <v>1827</v>
      </c>
      <c r="U279" s="742" t="s">
        <v>3130</v>
      </c>
      <c r="V279" s="742" t="s">
        <v>1857</v>
      </c>
      <c r="W279" s="742" t="s">
        <v>3131</v>
      </c>
      <c r="X279" s="798">
        <v>1</v>
      </c>
      <c r="Y279" s="790" t="s">
        <v>1838</v>
      </c>
      <c r="Z279" s="759" t="s">
        <v>705</v>
      </c>
      <c r="AA279" s="754"/>
      <c r="AB279" s="754"/>
      <c r="AC279" s="754"/>
      <c r="AD279" s="754"/>
      <c r="AE279" s="754"/>
      <c r="AF279" s="768"/>
      <c r="AG279" s="769"/>
      <c r="AH279" s="776"/>
      <c r="AI279" s="776"/>
      <c r="AJ279" s="776"/>
      <c r="AK279" s="776"/>
      <c r="AL279" s="776"/>
      <c r="AM279" s="776"/>
      <c r="AN279" s="776"/>
      <c r="AO279" s="776"/>
      <c r="AP279" s="776"/>
      <c r="AQ279" s="1370"/>
      <c r="AR279" s="1324"/>
      <c r="AS279" s="1324"/>
      <c r="AT279" s="1324"/>
      <c r="AU279" s="1325"/>
      <c r="AV279" s="775"/>
      <c r="AW279" s="776"/>
      <c r="AX279" s="776"/>
      <c r="AY279" s="776"/>
      <c r="AZ279" s="776"/>
      <c r="BA279" s="776"/>
      <c r="BB279" s="776"/>
      <c r="BC279" s="776"/>
      <c r="BD279" s="776"/>
      <c r="BE279" s="776"/>
      <c r="BF279" s="776"/>
      <c r="BG279" s="776"/>
      <c r="BH279" s="776"/>
      <c r="BI279" s="776"/>
      <c r="BJ279" s="776"/>
      <c r="BK279" s="789"/>
      <c r="BL279" s="1327"/>
      <c r="BM279" s="1328"/>
      <c r="BN279" s="1328"/>
      <c r="BO279" s="1328"/>
      <c r="BP279" s="1389"/>
      <c r="BQ279" s="1369"/>
      <c r="BR279" s="1319"/>
      <c r="BS279" s="1319"/>
      <c r="BT279" s="1319"/>
      <c r="BU279" s="1320"/>
      <c r="BV279" s="1370"/>
      <c r="BW279" s="1324"/>
      <c r="BX279" s="1324"/>
      <c r="BY279" s="1324"/>
      <c r="BZ279" s="1324"/>
      <c r="CA279" s="1692"/>
      <c r="CB279" s="1693"/>
      <c r="CC279" s="1693"/>
      <c r="CD279" s="1693"/>
      <c r="CE279" s="1694"/>
      <c r="CF279" s="1693"/>
      <c r="CG279" s="1693"/>
      <c r="CH279" s="1693"/>
      <c r="CI279" s="1693"/>
      <c r="CJ279" s="1694"/>
      <c r="CK279" s="1370"/>
      <c r="CL279" s="1324"/>
      <c r="CM279" s="1324"/>
      <c r="CN279" s="1324"/>
      <c r="CO279" s="1325"/>
      <c r="CP279" s="1369"/>
      <c r="CQ279" s="1319"/>
      <c r="CR279" s="1319"/>
      <c r="CS279" s="1319"/>
      <c r="CT279" s="1320"/>
      <c r="CU279" s="1467"/>
      <c r="CV279" s="1458"/>
      <c r="CW279" s="1458"/>
      <c r="CX279" s="1663"/>
      <c r="CY279" s="1458"/>
      <c r="CZ279" s="1458"/>
      <c r="DA279" s="1458"/>
      <c r="DB279" s="1663"/>
      <c r="DC279" s="1328"/>
      <c r="DD279" s="1664"/>
      <c r="DE279" s="1669"/>
    </row>
    <row r="280" spans="1:109" ht="15.75" hidden="1" customHeight="1">
      <c r="A280" s="741" t="s">
        <v>1185</v>
      </c>
      <c r="B280" s="742">
        <v>274</v>
      </c>
      <c r="C280" s="758" t="s">
        <v>1203</v>
      </c>
      <c r="D280" s="742" t="s">
        <v>3132</v>
      </c>
      <c r="E280" s="742" t="s">
        <v>3127</v>
      </c>
      <c r="F280" s="754" t="s">
        <v>3133</v>
      </c>
      <c r="G280" s="759" t="s">
        <v>1084</v>
      </c>
      <c r="H280" s="760" t="s">
        <v>3134</v>
      </c>
      <c r="I280" s="761">
        <v>1</v>
      </c>
      <c r="J280" s="762"/>
      <c r="K280" s="762"/>
      <c r="L280" s="762"/>
      <c r="M280" s="762"/>
      <c r="N280" s="762"/>
      <c r="O280" s="762"/>
      <c r="P280" s="763"/>
      <c r="Q280" s="764">
        <f t="shared" si="4"/>
        <v>1</v>
      </c>
      <c r="R280" s="758" t="s">
        <v>1852</v>
      </c>
      <c r="S280" s="742" t="s">
        <v>1826</v>
      </c>
      <c r="T280" s="1389" t="s">
        <v>1837</v>
      </c>
      <c r="U280" s="742" t="s">
        <v>3135</v>
      </c>
      <c r="V280" s="742" t="s">
        <v>1857</v>
      </c>
      <c r="W280" s="742" t="s">
        <v>3136</v>
      </c>
      <c r="X280" s="1243">
        <v>1</v>
      </c>
      <c r="Y280" s="790" t="s">
        <v>1838</v>
      </c>
      <c r="Z280" s="759" t="s">
        <v>1084</v>
      </c>
      <c r="AA280" s="754"/>
      <c r="AB280" s="754"/>
      <c r="AC280" s="754"/>
      <c r="AD280" s="754"/>
      <c r="AE280" s="754"/>
      <c r="AF280" s="768"/>
      <c r="AG280" s="785"/>
      <c r="AH280" s="785"/>
      <c r="AI280" s="785"/>
      <c r="AJ280" s="785"/>
      <c r="AK280" s="785"/>
      <c r="AL280" s="785"/>
      <c r="AM280" s="785"/>
      <c r="AN280" s="785"/>
      <c r="AO280" s="785"/>
      <c r="AP280" s="785"/>
      <c r="AQ280" s="1369"/>
      <c r="AR280" s="1319"/>
      <c r="AS280" s="1319"/>
      <c r="AT280" s="1319"/>
      <c r="AU280" s="1320"/>
      <c r="AV280" s="786"/>
      <c r="AW280" s="785"/>
      <c r="AX280" s="785"/>
      <c r="AY280" s="785"/>
      <c r="AZ280" s="785"/>
      <c r="BA280" s="785"/>
      <c r="BB280" s="785"/>
      <c r="BC280" s="785"/>
      <c r="BD280" s="785"/>
      <c r="BE280" s="785"/>
      <c r="BF280" s="785"/>
      <c r="BG280" s="785"/>
      <c r="BH280" s="785"/>
      <c r="BI280" s="785"/>
      <c r="BJ280" s="785"/>
      <c r="BK280" s="787"/>
      <c r="BL280" s="1327"/>
      <c r="BM280" s="1328"/>
      <c r="BN280" s="1328"/>
      <c r="BO280" s="1328"/>
      <c r="BP280" s="1389"/>
      <c r="BQ280" s="1369"/>
      <c r="BR280" s="1319"/>
      <c r="BS280" s="1319"/>
      <c r="BT280" s="1319"/>
      <c r="BU280" s="1320"/>
      <c r="BV280" s="1369"/>
      <c r="BW280" s="1319"/>
      <c r="BX280" s="1319"/>
      <c r="BY280" s="1319"/>
      <c r="BZ280" s="1319"/>
      <c r="CA280" s="1369"/>
      <c r="CB280" s="1319"/>
      <c r="CC280" s="1319"/>
      <c r="CD280" s="1319"/>
      <c r="CE280" s="1320"/>
      <c r="CF280" s="1319"/>
      <c r="CG280" s="1319"/>
      <c r="CH280" s="1319"/>
      <c r="CI280" s="1319"/>
      <c r="CJ280" s="1320"/>
      <c r="CK280" s="1370"/>
      <c r="CL280" s="1324"/>
      <c r="CM280" s="1324"/>
      <c r="CN280" s="1324"/>
      <c r="CO280" s="1325"/>
      <c r="CP280" s="1370"/>
      <c r="CQ280" s="1324"/>
      <c r="CR280" s="1324"/>
      <c r="CS280" s="1324"/>
      <c r="CT280" s="1325"/>
      <c r="CU280" s="1467"/>
      <c r="CV280" s="1458"/>
      <c r="CW280" s="1458"/>
      <c r="CX280" s="1663"/>
      <c r="CY280" s="1458"/>
      <c r="CZ280" s="1458"/>
      <c r="DA280" s="1458"/>
      <c r="DB280" s="1663"/>
      <c r="DC280" s="1328"/>
      <c r="DD280" s="1664"/>
      <c r="DE280" s="1669"/>
    </row>
    <row r="281" spans="1:109" ht="15.75" hidden="1" customHeight="1">
      <c r="A281" s="741" t="s">
        <v>1185</v>
      </c>
      <c r="B281" s="742">
        <v>275</v>
      </c>
      <c r="C281" s="758" t="s">
        <v>1312</v>
      </c>
      <c r="D281" s="742" t="s">
        <v>3126</v>
      </c>
      <c r="E281" s="742" t="s">
        <v>3127</v>
      </c>
      <c r="F281" s="754" t="s">
        <v>3137</v>
      </c>
      <c r="G281" s="759" t="s">
        <v>3138</v>
      </c>
      <c r="H281" s="760" t="s">
        <v>3139</v>
      </c>
      <c r="I281" s="761"/>
      <c r="J281" s="762">
        <v>1</v>
      </c>
      <c r="K281" s="762"/>
      <c r="L281" s="762"/>
      <c r="M281" s="762"/>
      <c r="N281" s="762"/>
      <c r="O281" s="762"/>
      <c r="P281" s="763"/>
      <c r="Q281" s="764">
        <f t="shared" si="4"/>
        <v>1</v>
      </c>
      <c r="R281" s="758" t="s">
        <v>1852</v>
      </c>
      <c r="S281" s="742" t="s">
        <v>1826</v>
      </c>
      <c r="T281" s="830" t="s">
        <v>1827</v>
      </c>
      <c r="U281" s="742" t="s">
        <v>3140</v>
      </c>
      <c r="V281" s="742" t="s">
        <v>1857</v>
      </c>
      <c r="W281" s="742" t="s">
        <v>3141</v>
      </c>
      <c r="X281" s="798">
        <v>2</v>
      </c>
      <c r="Y281" s="790" t="s">
        <v>1838</v>
      </c>
      <c r="Z281" s="759" t="s">
        <v>2309</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210</v>
      </c>
      <c r="BM281" s="754" t="s">
        <v>210</v>
      </c>
      <c r="BN281" s="754" t="s">
        <v>210</v>
      </c>
      <c r="BO281" s="754" t="s">
        <v>210</v>
      </c>
      <c r="BP281" s="765" t="s">
        <v>210</v>
      </c>
      <c r="BQ281" s="777" t="s">
        <v>2260</v>
      </c>
      <c r="BR281" s="769" t="s">
        <v>2260</v>
      </c>
      <c r="BS281" s="769" t="s">
        <v>2260</v>
      </c>
      <c r="BT281" s="769" t="s">
        <v>2260</v>
      </c>
      <c r="BU281" s="774" t="s">
        <v>2260</v>
      </c>
      <c r="BV281" s="777" t="s">
        <v>2260</v>
      </c>
      <c r="BW281" s="769" t="s">
        <v>2260</v>
      </c>
      <c r="BX281" s="769" t="s">
        <v>2260</v>
      </c>
      <c r="BY281" s="769" t="s">
        <v>2260</v>
      </c>
      <c r="BZ281" s="769" t="s">
        <v>2260</v>
      </c>
      <c r="CA281" s="777" t="s">
        <v>2260</v>
      </c>
      <c r="CB281" s="769" t="s">
        <v>2260</v>
      </c>
      <c r="CC281" s="769" t="s">
        <v>2260</v>
      </c>
      <c r="CD281" s="769" t="s">
        <v>2260</v>
      </c>
      <c r="CE281" s="774" t="s">
        <v>2260</v>
      </c>
      <c r="CF281" s="769" t="s">
        <v>2260</v>
      </c>
      <c r="CG281" s="769" t="s">
        <v>2260</v>
      </c>
      <c r="CH281" s="769" t="s">
        <v>2260</v>
      </c>
      <c r="CI281" s="769" t="s">
        <v>2260</v>
      </c>
      <c r="CJ281" s="774" t="s">
        <v>2260</v>
      </c>
      <c r="CK281" s="777" t="s">
        <v>2260</v>
      </c>
      <c r="CL281" s="769" t="s">
        <v>2260</v>
      </c>
      <c r="CM281" s="769" t="s">
        <v>2260</v>
      </c>
      <c r="CN281" s="769" t="s">
        <v>2260</v>
      </c>
      <c r="CO281" s="774" t="s">
        <v>2260</v>
      </c>
      <c r="CP281" s="777" t="s">
        <v>2260</v>
      </c>
      <c r="CQ281" s="769" t="s">
        <v>2260</v>
      </c>
      <c r="CR281" s="769" t="s">
        <v>2260</v>
      </c>
      <c r="CS281" s="769" t="s">
        <v>2260</v>
      </c>
      <c r="CT281" s="774" t="s">
        <v>2260</v>
      </c>
      <c r="CU281" s="1253">
        <v>-4.62</v>
      </c>
      <c r="CV281" s="1252" t="s">
        <v>2260</v>
      </c>
      <c r="CW281" s="1252" t="s">
        <v>2260</v>
      </c>
      <c r="CX281" s="1254" t="s">
        <v>2260</v>
      </c>
      <c r="CY281" s="1252">
        <v>3.85</v>
      </c>
      <c r="CZ281" s="1252" t="s">
        <v>2260</v>
      </c>
      <c r="DA281" s="1252" t="s">
        <v>2260</v>
      </c>
      <c r="DB281" s="1254" t="s">
        <v>2260</v>
      </c>
      <c r="DC281" s="754"/>
      <c r="DD281" s="782">
        <v>1</v>
      </c>
      <c r="DE281" s="783"/>
    </row>
    <row r="282" spans="1:109" ht="15.75" hidden="1" customHeight="1">
      <c r="A282" s="741" t="s">
        <v>1185</v>
      </c>
      <c r="B282" s="742">
        <v>276</v>
      </c>
      <c r="C282" s="758" t="s">
        <v>1329</v>
      </c>
      <c r="D282" s="742" t="s">
        <v>3126</v>
      </c>
      <c r="E282" s="742" t="s">
        <v>3142</v>
      </c>
      <c r="F282" s="754" t="s">
        <v>3143</v>
      </c>
      <c r="G282" s="759" t="s">
        <v>3144</v>
      </c>
      <c r="H282" s="760" t="s">
        <v>3145</v>
      </c>
      <c r="I282" s="761"/>
      <c r="J282" s="762">
        <v>1</v>
      </c>
      <c r="K282" s="762"/>
      <c r="L282" s="762"/>
      <c r="M282" s="762"/>
      <c r="N282" s="762"/>
      <c r="O282" s="762"/>
      <c r="P282" s="763"/>
      <c r="Q282" s="764">
        <f t="shared" si="4"/>
        <v>1</v>
      </c>
      <c r="R282" s="758" t="s">
        <v>1852</v>
      </c>
      <c r="S282" s="742" t="s">
        <v>1826</v>
      </c>
      <c r="T282" s="830" t="s">
        <v>1827</v>
      </c>
      <c r="U282" s="742" t="s">
        <v>3140</v>
      </c>
      <c r="V282" s="742" t="s">
        <v>1857</v>
      </c>
      <c r="W282" s="742" t="s">
        <v>3141</v>
      </c>
      <c r="X282" s="798">
        <v>2</v>
      </c>
      <c r="Y282" s="790" t="s">
        <v>1838</v>
      </c>
      <c r="Z282" s="759" t="s">
        <v>2309</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210</v>
      </c>
      <c r="BM282" s="754" t="s">
        <v>210</v>
      </c>
      <c r="BN282" s="754" t="s">
        <v>210</v>
      </c>
      <c r="BO282" s="754" t="s">
        <v>210</v>
      </c>
      <c r="BP282" s="765" t="s">
        <v>210</v>
      </c>
      <c r="BQ282" s="777" t="s">
        <v>2260</v>
      </c>
      <c r="BR282" s="769" t="s">
        <v>2260</v>
      </c>
      <c r="BS282" s="769" t="s">
        <v>2260</v>
      </c>
      <c r="BT282" s="769" t="s">
        <v>2260</v>
      </c>
      <c r="BU282" s="774" t="s">
        <v>2260</v>
      </c>
      <c r="BV282" s="777" t="s">
        <v>2260</v>
      </c>
      <c r="BW282" s="769" t="s">
        <v>2260</v>
      </c>
      <c r="BX282" s="769" t="s">
        <v>2260</v>
      </c>
      <c r="BY282" s="769" t="s">
        <v>2260</v>
      </c>
      <c r="BZ282" s="769" t="s">
        <v>2260</v>
      </c>
      <c r="CA282" s="777" t="s">
        <v>2260</v>
      </c>
      <c r="CB282" s="769" t="s">
        <v>2260</v>
      </c>
      <c r="CC282" s="769" t="s">
        <v>2260</v>
      </c>
      <c r="CD282" s="769" t="s">
        <v>2260</v>
      </c>
      <c r="CE282" s="774" t="s">
        <v>2260</v>
      </c>
      <c r="CF282" s="769" t="s">
        <v>2260</v>
      </c>
      <c r="CG282" s="769" t="s">
        <v>2260</v>
      </c>
      <c r="CH282" s="769" t="s">
        <v>2260</v>
      </c>
      <c r="CI282" s="769" t="s">
        <v>2260</v>
      </c>
      <c r="CJ282" s="774" t="s">
        <v>2260</v>
      </c>
      <c r="CK282" s="777">
        <v>0.17</v>
      </c>
      <c r="CL282" s="769">
        <v>0.17</v>
      </c>
      <c r="CM282" s="769">
        <v>0.16</v>
      </c>
      <c r="CN282" s="769">
        <v>0.16</v>
      </c>
      <c r="CO282" s="774">
        <v>0.15</v>
      </c>
      <c r="CP282" s="777" t="s">
        <v>2260</v>
      </c>
      <c r="CQ282" s="769" t="s">
        <v>2260</v>
      </c>
      <c r="CR282" s="769" t="s">
        <v>2260</v>
      </c>
      <c r="CS282" s="769" t="s">
        <v>2260</v>
      </c>
      <c r="CT282" s="774" t="s">
        <v>2260</v>
      </c>
      <c r="CU282" s="1253">
        <v>-4.62</v>
      </c>
      <c r="CV282" s="1252" t="s">
        <v>2260</v>
      </c>
      <c r="CW282" s="1252" t="s">
        <v>2260</v>
      </c>
      <c r="CX282" s="1254" t="s">
        <v>2260</v>
      </c>
      <c r="CY282" s="1252">
        <v>3.85</v>
      </c>
      <c r="CZ282" s="1252" t="s">
        <v>2260</v>
      </c>
      <c r="DA282" s="1252" t="s">
        <v>2260</v>
      </c>
      <c r="DB282" s="1254" t="s">
        <v>2260</v>
      </c>
      <c r="DC282" s="754"/>
      <c r="DD282" s="782">
        <v>1</v>
      </c>
      <c r="DE282" s="783"/>
    </row>
    <row r="283" spans="1:109" ht="15.75" hidden="1" customHeight="1">
      <c r="A283" s="741" t="s">
        <v>1185</v>
      </c>
      <c r="B283" s="742">
        <v>277</v>
      </c>
      <c r="C283" s="758" t="s">
        <v>1498</v>
      </c>
      <c r="D283" s="742" t="s">
        <v>3146</v>
      </c>
      <c r="E283" s="742" t="s">
        <v>3142</v>
      </c>
      <c r="F283" s="754" t="s">
        <v>3147</v>
      </c>
      <c r="G283" s="759" t="s">
        <v>3148</v>
      </c>
      <c r="H283" s="760" t="s">
        <v>3149</v>
      </c>
      <c r="I283" s="761"/>
      <c r="J283" s="762"/>
      <c r="K283" s="762">
        <v>1</v>
      </c>
      <c r="L283" s="762"/>
      <c r="M283" s="762"/>
      <c r="N283" s="762"/>
      <c r="O283" s="762"/>
      <c r="P283" s="763"/>
      <c r="Q283" s="764">
        <f t="shared" si="4"/>
        <v>1</v>
      </c>
      <c r="R283" s="758" t="s">
        <v>1835</v>
      </c>
      <c r="S283" s="742" t="s">
        <v>1826</v>
      </c>
      <c r="T283" s="830" t="s">
        <v>1827</v>
      </c>
      <c r="U283" s="742" t="s">
        <v>3150</v>
      </c>
      <c r="V283" s="742" t="s">
        <v>1857</v>
      </c>
      <c r="W283" s="742" t="s">
        <v>3151</v>
      </c>
      <c r="X283" s="798">
        <v>0</v>
      </c>
      <c r="Y283" s="790" t="s">
        <v>1828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210</v>
      </c>
      <c r="BM283" s="754" t="s">
        <v>210</v>
      </c>
      <c r="BN283" s="754" t="s">
        <v>210</v>
      </c>
      <c r="BO283" s="754" t="s">
        <v>210</v>
      </c>
      <c r="BP283" s="765" t="s">
        <v>210</v>
      </c>
      <c r="BQ283" s="777" t="s">
        <v>2260</v>
      </c>
      <c r="BR283" s="769" t="s">
        <v>2260</v>
      </c>
      <c r="BS283" s="769" t="s">
        <v>2260</v>
      </c>
      <c r="BT283" s="769" t="s">
        <v>2260</v>
      </c>
      <c r="BU283" s="774" t="s">
        <v>2260</v>
      </c>
      <c r="BV283" s="777" t="s">
        <v>2260</v>
      </c>
      <c r="BW283" s="769" t="s">
        <v>2260</v>
      </c>
      <c r="BX283" s="769" t="s">
        <v>2260</v>
      </c>
      <c r="BY283" s="769" t="s">
        <v>2260</v>
      </c>
      <c r="BZ283" s="769" t="s">
        <v>2260</v>
      </c>
      <c r="CA283" s="777" t="s">
        <v>2260</v>
      </c>
      <c r="CB283" s="769" t="s">
        <v>2260</v>
      </c>
      <c r="CC283" s="769" t="s">
        <v>2260</v>
      </c>
      <c r="CD283" s="769" t="s">
        <v>2260</v>
      </c>
      <c r="CE283" s="774" t="s">
        <v>2260</v>
      </c>
      <c r="CF283" s="769">
        <v>0</v>
      </c>
      <c r="CG283" s="769">
        <v>0</v>
      </c>
      <c r="CH283" s="769">
        <v>0</v>
      </c>
      <c r="CI283" s="769">
        <v>0</v>
      </c>
      <c r="CJ283" s="769">
        <v>0</v>
      </c>
      <c r="CK283" s="777">
        <v>5070</v>
      </c>
      <c r="CL283" s="769">
        <v>5070</v>
      </c>
      <c r="CM283" s="769">
        <v>5070</v>
      </c>
      <c r="CN283" s="769">
        <v>5070</v>
      </c>
      <c r="CO283" s="774">
        <v>5070</v>
      </c>
      <c r="CP283" s="777" t="s">
        <v>2260</v>
      </c>
      <c r="CQ283" s="769" t="s">
        <v>2260</v>
      </c>
      <c r="CR283" s="769" t="s">
        <v>2260</v>
      </c>
      <c r="CS283" s="769" t="s">
        <v>2260</v>
      </c>
      <c r="CT283" s="774" t="s">
        <v>2260</v>
      </c>
      <c r="CU283" s="1253" t="s">
        <v>2260</v>
      </c>
      <c r="CV283" s="1252" t="s">
        <v>2260</v>
      </c>
      <c r="CW283" s="1252" t="s">
        <v>2260</v>
      </c>
      <c r="CX283" s="1254" t="s">
        <v>2260</v>
      </c>
      <c r="CY283" s="1252">
        <v>3.2899999999999998E-6</v>
      </c>
      <c r="CZ283" s="1252" t="s">
        <v>2260</v>
      </c>
      <c r="DA283" s="1252" t="s">
        <v>2260</v>
      </c>
      <c r="DB283" s="1254" t="s">
        <v>2260</v>
      </c>
      <c r="DC283" s="754"/>
      <c r="DD283" s="782">
        <v>1</v>
      </c>
      <c r="DE283" s="783"/>
    </row>
    <row r="284" spans="1:109" ht="15.75" hidden="1" customHeight="1">
      <c r="A284" s="741" t="s">
        <v>1185</v>
      </c>
      <c r="B284" s="742">
        <v>278</v>
      </c>
      <c r="C284" s="758" t="s">
        <v>1509</v>
      </c>
      <c r="D284" s="742" t="s">
        <v>3146</v>
      </c>
      <c r="E284" s="742" t="s">
        <v>3127</v>
      </c>
      <c r="F284" s="754" t="s">
        <v>3152</v>
      </c>
      <c r="G284" s="759" t="s">
        <v>3153</v>
      </c>
      <c r="H284" s="760" t="s">
        <v>3154</v>
      </c>
      <c r="I284" s="761"/>
      <c r="J284" s="762">
        <v>0.03</v>
      </c>
      <c r="K284" s="762"/>
      <c r="L284" s="762">
        <v>0.97</v>
      </c>
      <c r="M284" s="762"/>
      <c r="N284" s="762"/>
      <c r="O284" s="762"/>
      <c r="P284" s="763"/>
      <c r="Q284" s="764">
        <f t="shared" si="4"/>
        <v>1</v>
      </c>
      <c r="R284" s="758" t="s">
        <v>1852</v>
      </c>
      <c r="S284" s="742" t="s">
        <v>1826</v>
      </c>
      <c r="T284" s="830" t="s">
        <v>1827</v>
      </c>
      <c r="U284" s="742" t="s">
        <v>3155</v>
      </c>
      <c r="V284" s="742" t="s">
        <v>321</v>
      </c>
      <c r="W284" s="742" t="s">
        <v>3156</v>
      </c>
      <c r="X284" s="798">
        <v>2</v>
      </c>
      <c r="Y284" s="790" t="s">
        <v>1828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210</v>
      </c>
      <c r="BM284" s="754" t="s">
        <v>210</v>
      </c>
      <c r="BN284" s="754" t="s">
        <v>210</v>
      </c>
      <c r="BO284" s="754" t="s">
        <v>210</v>
      </c>
      <c r="BP284" s="765" t="s">
        <v>210</v>
      </c>
      <c r="BQ284" s="777" t="s">
        <v>2260</v>
      </c>
      <c r="BR284" s="769" t="s">
        <v>2260</v>
      </c>
      <c r="BS284" s="769" t="s">
        <v>2260</v>
      </c>
      <c r="BT284" s="769" t="s">
        <v>2260</v>
      </c>
      <c r="BU284" s="774" t="s">
        <v>2260</v>
      </c>
      <c r="BV284" s="777">
        <v>18.2</v>
      </c>
      <c r="BW284" s="769">
        <v>18.3</v>
      </c>
      <c r="BX284" s="769">
        <v>21</v>
      </c>
      <c r="BY284" s="769">
        <v>21</v>
      </c>
      <c r="BZ284" s="769">
        <v>21</v>
      </c>
      <c r="CA284" s="777" t="s">
        <v>2260</v>
      </c>
      <c r="CB284" s="769" t="s">
        <v>2260</v>
      </c>
      <c r="CC284" s="769" t="s">
        <v>2260</v>
      </c>
      <c r="CD284" s="769" t="s">
        <v>2260</v>
      </c>
      <c r="CE284" s="774" t="s">
        <v>2260</v>
      </c>
      <c r="CF284" s="769" t="s">
        <v>2260</v>
      </c>
      <c r="CG284" s="769" t="s">
        <v>2260</v>
      </c>
      <c r="CH284" s="769" t="s">
        <v>2260</v>
      </c>
      <c r="CI284" s="769" t="s">
        <v>2260</v>
      </c>
      <c r="CJ284" s="774" t="s">
        <v>2260</v>
      </c>
      <c r="CK284" s="777">
        <v>24.2</v>
      </c>
      <c r="CL284" s="769">
        <v>24.3</v>
      </c>
      <c r="CM284" s="769">
        <v>27</v>
      </c>
      <c r="CN284" s="769">
        <v>27</v>
      </c>
      <c r="CO284" s="774">
        <v>27</v>
      </c>
      <c r="CP284" s="777" t="s">
        <v>2260</v>
      </c>
      <c r="CQ284" s="769" t="s">
        <v>2260</v>
      </c>
      <c r="CR284" s="769" t="s">
        <v>2260</v>
      </c>
      <c r="CS284" s="769" t="s">
        <v>2260</v>
      </c>
      <c r="CT284" s="774" t="s">
        <v>2260</v>
      </c>
      <c r="CU284" s="1253">
        <v>-0.442</v>
      </c>
      <c r="CV284" s="1252" t="s">
        <v>2260</v>
      </c>
      <c r="CW284" s="1252" t="s">
        <v>2260</v>
      </c>
      <c r="CX284" s="1254" t="s">
        <v>2260</v>
      </c>
      <c r="CY284" s="1252">
        <v>0.221</v>
      </c>
      <c r="CZ284" s="1252" t="s">
        <v>2260</v>
      </c>
      <c r="DA284" s="1252" t="s">
        <v>2260</v>
      </c>
      <c r="DB284" s="1254" t="s">
        <v>2260</v>
      </c>
      <c r="DC284" s="754"/>
      <c r="DD284" s="782">
        <v>1</v>
      </c>
      <c r="DE284" s="783"/>
    </row>
    <row r="285" spans="1:109" ht="15.75" hidden="1" customHeight="1">
      <c r="A285" s="741" t="s">
        <v>1185</v>
      </c>
      <c r="B285" s="742">
        <v>279</v>
      </c>
      <c r="C285" s="758" t="s">
        <v>1520</v>
      </c>
      <c r="D285" s="742" t="s">
        <v>3146</v>
      </c>
      <c r="E285" s="742" t="s">
        <v>3142</v>
      </c>
      <c r="F285" s="754" t="s">
        <v>3157</v>
      </c>
      <c r="G285" s="759" t="s">
        <v>3158</v>
      </c>
      <c r="H285" s="760" t="s">
        <v>3159</v>
      </c>
      <c r="I285" s="761"/>
      <c r="J285" s="762"/>
      <c r="K285" s="762"/>
      <c r="L285" s="762">
        <v>1</v>
      </c>
      <c r="M285" s="762"/>
      <c r="N285" s="762"/>
      <c r="O285" s="762"/>
      <c r="P285" s="763"/>
      <c r="Q285" s="764">
        <f t="shared" si="4"/>
        <v>1</v>
      </c>
      <c r="R285" s="758" t="s">
        <v>1846</v>
      </c>
      <c r="S285" s="742" t="s">
        <v>1826</v>
      </c>
      <c r="T285" s="830" t="s">
        <v>1827</v>
      </c>
      <c r="U285" s="742" t="s">
        <v>3160</v>
      </c>
      <c r="V285" s="742" t="s">
        <v>321</v>
      </c>
      <c r="W285" s="742" t="s">
        <v>3161</v>
      </c>
      <c r="X285" s="798">
        <v>2</v>
      </c>
      <c r="Y285" s="790" t="s">
        <v>1828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210</v>
      </c>
      <c r="BM285" s="754" t="s">
        <v>210</v>
      </c>
      <c r="BN285" s="754" t="s">
        <v>210</v>
      </c>
      <c r="BO285" s="754" t="s">
        <v>210</v>
      </c>
      <c r="BP285" s="765" t="s">
        <v>210</v>
      </c>
      <c r="BQ285" s="777" t="s">
        <v>2260</v>
      </c>
      <c r="BR285" s="769" t="s">
        <v>2260</v>
      </c>
      <c r="BS285" s="769" t="s">
        <v>2260</v>
      </c>
      <c r="BT285" s="769" t="s">
        <v>2260</v>
      </c>
      <c r="BU285" s="774" t="s">
        <v>2260</v>
      </c>
      <c r="BV285" s="777" t="s">
        <v>2260</v>
      </c>
      <c r="BW285" s="769" t="s">
        <v>2260</v>
      </c>
      <c r="BX285" s="769" t="s">
        <v>2260</v>
      </c>
      <c r="BY285" s="769" t="s">
        <v>2260</v>
      </c>
      <c r="BZ285" s="769" t="s">
        <v>2260</v>
      </c>
      <c r="CA285" s="777" t="s">
        <v>2260</v>
      </c>
      <c r="CB285" s="769" t="s">
        <v>2260</v>
      </c>
      <c r="CC285" s="769" t="s">
        <v>2260</v>
      </c>
      <c r="CD285" s="769" t="s">
        <v>2260</v>
      </c>
      <c r="CE285" s="774" t="s">
        <v>2260</v>
      </c>
      <c r="CF285" s="769" t="s">
        <v>2260</v>
      </c>
      <c r="CG285" s="769" t="s">
        <v>2260</v>
      </c>
      <c r="CH285" s="769" t="s">
        <v>2260</v>
      </c>
      <c r="CI285" s="769" t="s">
        <v>2260</v>
      </c>
      <c r="CJ285" s="774" t="s">
        <v>2260</v>
      </c>
      <c r="CK285" s="777" t="s">
        <v>2260</v>
      </c>
      <c r="CL285" s="769" t="s">
        <v>2260</v>
      </c>
      <c r="CM285" s="769" t="s">
        <v>2260</v>
      </c>
      <c r="CN285" s="769" t="s">
        <v>2260</v>
      </c>
      <c r="CO285" s="774" t="s">
        <v>2260</v>
      </c>
      <c r="CP285" s="777" t="s">
        <v>2260</v>
      </c>
      <c r="CQ285" s="769" t="s">
        <v>2260</v>
      </c>
      <c r="CR285" s="769" t="s">
        <v>2260</v>
      </c>
      <c r="CS285" s="769" t="s">
        <v>2260</v>
      </c>
      <c r="CT285" s="774" t="s">
        <v>2260</v>
      </c>
      <c r="CU285" s="1253">
        <v>-0.41699999999999998</v>
      </c>
      <c r="CV285" s="1252" t="s">
        <v>2260</v>
      </c>
      <c r="CW285" s="1252" t="s">
        <v>2260</v>
      </c>
      <c r="CX285" s="1254" t="s">
        <v>2260</v>
      </c>
      <c r="CY285" s="1252" t="s">
        <v>2260</v>
      </c>
      <c r="CZ285" s="1252" t="s">
        <v>2260</v>
      </c>
      <c r="DA285" s="1252" t="s">
        <v>2260</v>
      </c>
      <c r="DB285" s="1254" t="s">
        <v>2260</v>
      </c>
      <c r="DC285" s="754"/>
      <c r="DD285" s="782">
        <v>1</v>
      </c>
      <c r="DE285" s="783"/>
    </row>
    <row r="286" spans="1:109" ht="15.75" hidden="1" customHeight="1">
      <c r="A286" s="741" t="s">
        <v>1185</v>
      </c>
      <c r="B286" s="742">
        <v>280</v>
      </c>
      <c r="C286" s="758" t="s">
        <v>1530</v>
      </c>
      <c r="D286" s="742" t="s">
        <v>3162</v>
      </c>
      <c r="E286" s="742" t="s">
        <v>3142</v>
      </c>
      <c r="F286" s="754" t="s">
        <v>3163</v>
      </c>
      <c r="G286" s="759" t="s">
        <v>3164</v>
      </c>
      <c r="H286" s="760" t="s">
        <v>3165</v>
      </c>
      <c r="I286" s="761"/>
      <c r="J286" s="762"/>
      <c r="K286" s="762">
        <v>1</v>
      </c>
      <c r="L286" s="762"/>
      <c r="M286" s="762"/>
      <c r="N286" s="762"/>
      <c r="O286" s="762"/>
      <c r="P286" s="763"/>
      <c r="Q286" s="764">
        <f t="shared" si="4"/>
        <v>1</v>
      </c>
      <c r="R286" s="758" t="s">
        <v>1846</v>
      </c>
      <c r="S286" s="742" t="s">
        <v>1826</v>
      </c>
      <c r="T286" s="830" t="s">
        <v>1827</v>
      </c>
      <c r="U286" s="742" t="s">
        <v>3150</v>
      </c>
      <c r="V286" s="742" t="s">
        <v>1857</v>
      </c>
      <c r="W286" s="742" t="s">
        <v>3166</v>
      </c>
      <c r="X286" s="1243">
        <v>2</v>
      </c>
      <c r="Y286" s="790" t="s">
        <v>1828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35" t="s">
        <v>210</v>
      </c>
      <c r="BM286" s="1836" t="s">
        <v>210</v>
      </c>
      <c r="BN286" s="1836" t="s">
        <v>210</v>
      </c>
      <c r="BO286" s="1836" t="s">
        <v>210</v>
      </c>
      <c r="BP286" s="841" t="s">
        <v>210</v>
      </c>
      <c r="BQ286" s="775" t="s">
        <v>2260</v>
      </c>
      <c r="BR286" s="776" t="s">
        <v>2260</v>
      </c>
      <c r="BS286" s="776" t="s">
        <v>2260</v>
      </c>
      <c r="BT286" s="776" t="s">
        <v>2260</v>
      </c>
      <c r="BU286" s="789" t="s">
        <v>2260</v>
      </c>
      <c r="BV286" s="777" t="s">
        <v>2260</v>
      </c>
      <c r="BW286" s="769" t="s">
        <v>2260</v>
      </c>
      <c r="BX286" s="769" t="s">
        <v>2260</v>
      </c>
      <c r="BY286" s="769" t="s">
        <v>2260</v>
      </c>
      <c r="BZ286" s="769" t="s">
        <v>2260</v>
      </c>
      <c r="CA286" s="775" t="s">
        <v>2260</v>
      </c>
      <c r="CB286" s="776" t="s">
        <v>2260</v>
      </c>
      <c r="CC286" s="776" t="s">
        <v>2260</v>
      </c>
      <c r="CD286" s="776" t="s">
        <v>2260</v>
      </c>
      <c r="CE286" s="789" t="s">
        <v>2260</v>
      </c>
      <c r="CF286" s="776" t="s">
        <v>2260</v>
      </c>
      <c r="CG286" s="776" t="s">
        <v>2260</v>
      </c>
      <c r="CH286" s="776" t="s">
        <v>2260</v>
      </c>
      <c r="CI286" s="776" t="s">
        <v>2260</v>
      </c>
      <c r="CJ286" s="789" t="s">
        <v>2260</v>
      </c>
      <c r="CK286" s="775" t="s">
        <v>2260</v>
      </c>
      <c r="CL286" s="776" t="s">
        <v>2260</v>
      </c>
      <c r="CM286" s="776" t="s">
        <v>2260</v>
      </c>
      <c r="CN286" s="776" t="s">
        <v>2260</v>
      </c>
      <c r="CO286" s="789" t="s">
        <v>2260</v>
      </c>
      <c r="CP286" s="775" t="s">
        <v>2260</v>
      </c>
      <c r="CQ286" s="776" t="s">
        <v>2260</v>
      </c>
      <c r="CR286" s="776" t="s">
        <v>2260</v>
      </c>
      <c r="CS286" s="776" t="s">
        <v>2260</v>
      </c>
      <c r="CT286" s="789" t="s">
        <v>2260</v>
      </c>
      <c r="CU286" s="1253">
        <v>-0.248</v>
      </c>
      <c r="CV286" s="1252" t="s">
        <v>2260</v>
      </c>
      <c r="CW286" s="1252" t="s">
        <v>2260</v>
      </c>
      <c r="CX286" s="1254" t="s">
        <v>2260</v>
      </c>
      <c r="CY286" s="1252" t="s">
        <v>2260</v>
      </c>
      <c r="CZ286" s="1252" t="s">
        <v>2260</v>
      </c>
      <c r="DA286" s="1252" t="s">
        <v>2260</v>
      </c>
      <c r="DB286" s="1254" t="s">
        <v>2260</v>
      </c>
      <c r="DC286" s="754" t="s">
        <v>2282</v>
      </c>
      <c r="DD286" s="782">
        <v>1</v>
      </c>
      <c r="DE286" s="783"/>
    </row>
    <row r="287" spans="1:109" ht="15" hidden="1" customHeight="1">
      <c r="A287" s="741" t="s">
        <v>1185</v>
      </c>
      <c r="B287" s="742">
        <v>281</v>
      </c>
      <c r="C287" s="758" t="s">
        <v>1346</v>
      </c>
      <c r="D287" s="742" t="s">
        <v>3162</v>
      </c>
      <c r="E287" s="742" t="s">
        <v>3127</v>
      </c>
      <c r="F287" s="754" t="s">
        <v>3167</v>
      </c>
      <c r="G287" s="759" t="s">
        <v>2390</v>
      </c>
      <c r="H287" s="760" t="s">
        <v>3168</v>
      </c>
      <c r="I287" s="761">
        <v>1</v>
      </c>
      <c r="J287" s="762"/>
      <c r="K287" s="762"/>
      <c r="L287" s="762"/>
      <c r="M287" s="762"/>
      <c r="N287" s="762"/>
      <c r="O287" s="762"/>
      <c r="P287" s="763"/>
      <c r="Q287" s="764">
        <f t="shared" si="4"/>
        <v>1</v>
      </c>
      <c r="R287" s="758" t="s">
        <v>1852</v>
      </c>
      <c r="S287" s="742" t="s">
        <v>1826</v>
      </c>
      <c r="T287" s="830" t="s">
        <v>1827</v>
      </c>
      <c r="U287" s="742" t="s">
        <v>3169</v>
      </c>
      <c r="V287" s="742" t="s">
        <v>1857</v>
      </c>
      <c r="W287" s="742" t="s">
        <v>3170</v>
      </c>
      <c r="X287" s="798">
        <v>0</v>
      </c>
      <c r="Y287" s="790" t="s">
        <v>1838</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210</v>
      </c>
      <c r="BM287" s="754" t="s">
        <v>210</v>
      </c>
      <c r="BN287" s="754" t="s">
        <v>210</v>
      </c>
      <c r="BO287" s="754" t="s">
        <v>210</v>
      </c>
      <c r="BP287" s="765" t="s">
        <v>210</v>
      </c>
      <c r="BQ287" s="777" t="s">
        <v>2260</v>
      </c>
      <c r="BR287" s="769" t="s">
        <v>2260</v>
      </c>
      <c r="BS287" s="769" t="s">
        <v>2260</v>
      </c>
      <c r="BT287" s="769" t="s">
        <v>2260</v>
      </c>
      <c r="BU287" s="799" t="s">
        <v>2260</v>
      </c>
      <c r="BV287" s="777">
        <v>-14</v>
      </c>
      <c r="BW287" s="769">
        <v>-14</v>
      </c>
      <c r="BX287" s="769">
        <v>-14</v>
      </c>
      <c r="BY287" s="769">
        <v>-14</v>
      </c>
      <c r="BZ287" s="769">
        <v>-14</v>
      </c>
      <c r="CA287" s="777" t="s">
        <v>2260</v>
      </c>
      <c r="CB287" s="769" t="s">
        <v>2260</v>
      </c>
      <c r="CC287" s="769" t="s">
        <v>2260</v>
      </c>
      <c r="CD287" s="769" t="s">
        <v>2260</v>
      </c>
      <c r="CE287" s="774" t="s">
        <v>2260</v>
      </c>
      <c r="CF287" s="769" t="s">
        <v>2260</v>
      </c>
      <c r="CG287" s="769" t="s">
        <v>2260</v>
      </c>
      <c r="CH287" s="769" t="s">
        <v>2260</v>
      </c>
      <c r="CI287" s="769" t="s">
        <v>2260</v>
      </c>
      <c r="CJ287" s="774" t="s">
        <v>2260</v>
      </c>
      <c r="CK287" s="797">
        <v>-16</v>
      </c>
      <c r="CL287" s="798">
        <v>-16</v>
      </c>
      <c r="CM287" s="798">
        <v>-16</v>
      </c>
      <c r="CN287" s="798">
        <v>-16</v>
      </c>
      <c r="CO287" s="799">
        <v>-16</v>
      </c>
      <c r="CP287" s="777" t="s">
        <v>2260</v>
      </c>
      <c r="CQ287" s="769" t="s">
        <v>2260</v>
      </c>
      <c r="CR287" s="769" t="s">
        <v>2260</v>
      </c>
      <c r="CS287" s="769" t="s">
        <v>2260</v>
      </c>
      <c r="CT287" s="774" t="s">
        <v>2260</v>
      </c>
      <c r="CU287" s="1253">
        <v>-0.63400000000000001</v>
      </c>
      <c r="CV287" s="1252" t="s">
        <v>2260</v>
      </c>
      <c r="CW287" s="1252" t="s">
        <v>2260</v>
      </c>
      <c r="CX287" s="1254" t="s">
        <v>2260</v>
      </c>
      <c r="CY287" s="1252">
        <v>0.51100000000000001</v>
      </c>
      <c r="CZ287" s="1252" t="s">
        <v>2260</v>
      </c>
      <c r="DA287" s="1252" t="s">
        <v>2260</v>
      </c>
      <c r="DB287" s="1254" t="s">
        <v>2260</v>
      </c>
      <c r="DC287" s="754"/>
      <c r="DD287" s="782">
        <v>1</v>
      </c>
      <c r="DE287" s="783"/>
    </row>
    <row r="288" spans="1:109" ht="15.75" hidden="1" customHeight="1">
      <c r="A288" s="741" t="s">
        <v>1185</v>
      </c>
      <c r="B288" s="742">
        <v>282</v>
      </c>
      <c r="C288" s="758" t="s">
        <v>1540</v>
      </c>
      <c r="D288" s="742" t="s">
        <v>3162</v>
      </c>
      <c r="E288" s="742" t="s">
        <v>3127</v>
      </c>
      <c r="F288" s="754" t="s">
        <v>3171</v>
      </c>
      <c r="G288" s="759" t="s">
        <v>3172</v>
      </c>
      <c r="H288" s="760" t="s">
        <v>3173</v>
      </c>
      <c r="I288" s="761"/>
      <c r="J288" s="762"/>
      <c r="K288" s="762">
        <v>1</v>
      </c>
      <c r="L288" s="762"/>
      <c r="M288" s="762"/>
      <c r="N288" s="762"/>
      <c r="O288" s="762"/>
      <c r="P288" s="763"/>
      <c r="Q288" s="764">
        <f t="shared" si="4"/>
        <v>1</v>
      </c>
      <c r="R288" s="758" t="s">
        <v>1846</v>
      </c>
      <c r="S288" s="742" t="s">
        <v>1826</v>
      </c>
      <c r="T288" s="830" t="s">
        <v>1827</v>
      </c>
      <c r="U288" s="742" t="s">
        <v>3150</v>
      </c>
      <c r="V288" s="742" t="s">
        <v>1857</v>
      </c>
      <c r="W288" s="742" t="s">
        <v>3174</v>
      </c>
      <c r="X288" s="798">
        <v>0</v>
      </c>
      <c r="Y288" s="790" t="s">
        <v>1828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210</v>
      </c>
      <c r="BM288" s="754" t="s">
        <v>210</v>
      </c>
      <c r="BN288" s="754" t="s">
        <v>210</v>
      </c>
      <c r="BO288" s="754" t="s">
        <v>210</v>
      </c>
      <c r="BP288" s="765" t="s">
        <v>210</v>
      </c>
      <c r="BQ288" s="777" t="s">
        <v>2260</v>
      </c>
      <c r="BR288" s="769" t="s">
        <v>2260</v>
      </c>
      <c r="BS288" s="769" t="s">
        <v>2260</v>
      </c>
      <c r="BT288" s="769" t="s">
        <v>2260</v>
      </c>
      <c r="BU288" s="799" t="s">
        <v>2260</v>
      </c>
      <c r="BV288" s="777" t="s">
        <v>2260</v>
      </c>
      <c r="BW288" s="769" t="s">
        <v>2260</v>
      </c>
      <c r="BX288" s="769" t="s">
        <v>2260</v>
      </c>
      <c r="BY288" s="769" t="s">
        <v>2260</v>
      </c>
      <c r="BZ288" s="769" t="s">
        <v>2260</v>
      </c>
      <c r="CA288" s="777" t="s">
        <v>2260</v>
      </c>
      <c r="CB288" s="769" t="s">
        <v>2260</v>
      </c>
      <c r="CC288" s="769" t="s">
        <v>2260</v>
      </c>
      <c r="CD288" s="769" t="s">
        <v>2260</v>
      </c>
      <c r="CE288" s="774" t="s">
        <v>2260</v>
      </c>
      <c r="CF288" s="769" t="s">
        <v>2260</v>
      </c>
      <c r="CG288" s="769" t="s">
        <v>2260</v>
      </c>
      <c r="CH288" s="769" t="s">
        <v>2260</v>
      </c>
      <c r="CI288" s="769" t="s">
        <v>2260</v>
      </c>
      <c r="CJ288" s="774" t="s">
        <v>2260</v>
      </c>
      <c r="CK288" s="777" t="s">
        <v>2260</v>
      </c>
      <c r="CL288" s="769" t="s">
        <v>2260</v>
      </c>
      <c r="CM288" s="769" t="s">
        <v>2260</v>
      </c>
      <c r="CN288" s="769" t="s">
        <v>2260</v>
      </c>
      <c r="CO288" s="774" t="s">
        <v>2260</v>
      </c>
      <c r="CP288" s="777" t="s">
        <v>2260</v>
      </c>
      <c r="CQ288" s="769" t="s">
        <v>2260</v>
      </c>
      <c r="CR288" s="769" t="s">
        <v>2260</v>
      </c>
      <c r="CS288" s="769" t="s">
        <v>2260</v>
      </c>
      <c r="CT288" s="774" t="s">
        <v>2260</v>
      </c>
      <c r="CU288" s="1253">
        <v>-0.45</v>
      </c>
      <c r="CV288" s="1252" t="s">
        <v>2260</v>
      </c>
      <c r="CW288" s="1252" t="s">
        <v>2260</v>
      </c>
      <c r="CX288" s="1254" t="s">
        <v>2260</v>
      </c>
      <c r="CY288" s="1252" t="s">
        <v>2260</v>
      </c>
      <c r="CZ288" s="1252" t="s">
        <v>2260</v>
      </c>
      <c r="DA288" s="1252" t="s">
        <v>2260</v>
      </c>
      <c r="DB288" s="1254" t="s">
        <v>2260</v>
      </c>
      <c r="DC288" s="754"/>
      <c r="DD288" s="782">
        <v>1</v>
      </c>
      <c r="DE288" s="783"/>
    </row>
    <row r="289" spans="1:109" ht="15.75" hidden="1" customHeight="1">
      <c r="A289" s="741" t="s">
        <v>1185</v>
      </c>
      <c r="B289" s="742">
        <v>283</v>
      </c>
      <c r="C289" s="758" t="s">
        <v>1549</v>
      </c>
      <c r="D289" s="742" t="s">
        <v>3162</v>
      </c>
      <c r="E289" s="742" t="s">
        <v>3127</v>
      </c>
      <c r="F289" s="754" t="s">
        <v>3175</v>
      </c>
      <c r="G289" s="759" t="s">
        <v>3176</v>
      </c>
      <c r="H289" s="760" t="s">
        <v>3177</v>
      </c>
      <c r="I289" s="761"/>
      <c r="J289" s="762"/>
      <c r="K289" s="762">
        <v>1</v>
      </c>
      <c r="L289" s="762"/>
      <c r="M289" s="762"/>
      <c r="N289" s="762"/>
      <c r="O289" s="762"/>
      <c r="P289" s="763"/>
      <c r="Q289" s="764">
        <f t="shared" si="4"/>
        <v>1</v>
      </c>
      <c r="R289" s="758" t="s">
        <v>1852</v>
      </c>
      <c r="S289" s="742" t="s">
        <v>1826</v>
      </c>
      <c r="T289" s="830" t="s">
        <v>1827</v>
      </c>
      <c r="U289" s="742" t="s">
        <v>3150</v>
      </c>
      <c r="V289" s="742" t="s">
        <v>1857</v>
      </c>
      <c r="W289" s="742" t="s">
        <v>3178</v>
      </c>
      <c r="X289" s="798">
        <v>0</v>
      </c>
      <c r="Y289" s="788" t="s">
        <v>1828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210</v>
      </c>
      <c r="BQ289" s="777" t="s">
        <v>2260</v>
      </c>
      <c r="BR289" s="769" t="s">
        <v>2260</v>
      </c>
      <c r="BS289" s="769" t="s">
        <v>2260</v>
      </c>
      <c r="BT289" s="769" t="s">
        <v>2260</v>
      </c>
      <c r="BU289" s="774" t="s">
        <v>2260</v>
      </c>
      <c r="BV289" s="777" t="s">
        <v>2260</v>
      </c>
      <c r="BW289" s="769" t="s">
        <v>2260</v>
      </c>
      <c r="BX289" s="769" t="s">
        <v>2260</v>
      </c>
      <c r="BY289" s="769" t="s">
        <v>2260</v>
      </c>
      <c r="BZ289" s="769" t="s">
        <v>2260</v>
      </c>
      <c r="CA289" s="777" t="s">
        <v>2260</v>
      </c>
      <c r="CB289" s="769" t="s">
        <v>2260</v>
      </c>
      <c r="CC289" s="769" t="s">
        <v>2260</v>
      </c>
      <c r="CD289" s="769" t="s">
        <v>2260</v>
      </c>
      <c r="CE289" s="774" t="s">
        <v>2260</v>
      </c>
      <c r="CF289" s="769" t="s">
        <v>2260</v>
      </c>
      <c r="CG289" s="769" t="s">
        <v>2260</v>
      </c>
      <c r="CH289" s="769" t="s">
        <v>2260</v>
      </c>
      <c r="CI289" s="769" t="s">
        <v>2260</v>
      </c>
      <c r="CJ289" s="774" t="s">
        <v>2260</v>
      </c>
      <c r="CK289" s="777" t="s">
        <v>2260</v>
      </c>
      <c r="CL289" s="769" t="s">
        <v>2260</v>
      </c>
      <c r="CM289" s="769" t="s">
        <v>2260</v>
      </c>
      <c r="CN289" s="769" t="s">
        <v>2260</v>
      </c>
      <c r="CO289" s="774" t="s">
        <v>2260</v>
      </c>
      <c r="CP289" s="777" t="s">
        <v>2260</v>
      </c>
      <c r="CQ289" s="769" t="s">
        <v>2260</v>
      </c>
      <c r="CR289" s="769" t="s">
        <v>2260</v>
      </c>
      <c r="CS289" s="769" t="s">
        <v>2260</v>
      </c>
      <c r="CT289" s="774" t="s">
        <v>2260</v>
      </c>
      <c r="CU289" s="1253">
        <v>-1.8520000000000001</v>
      </c>
      <c r="CV289" s="1252" t="s">
        <v>2260</v>
      </c>
      <c r="CW289" s="1252" t="s">
        <v>2260</v>
      </c>
      <c r="CX289" s="1254" t="s">
        <v>2260</v>
      </c>
      <c r="CY289" s="1252">
        <v>1.1910000000000001</v>
      </c>
      <c r="CZ289" s="1252" t="s">
        <v>2260</v>
      </c>
      <c r="DA289" s="1252" t="s">
        <v>2260</v>
      </c>
      <c r="DB289" s="1254" t="s">
        <v>2260</v>
      </c>
      <c r="DC289" s="754" t="s">
        <v>2282</v>
      </c>
      <c r="DD289" s="782">
        <v>1</v>
      </c>
      <c r="DE289" s="783"/>
    </row>
    <row r="290" spans="1:109" ht="15.75" hidden="1" customHeight="1">
      <c r="A290" s="741" t="s">
        <v>1185</v>
      </c>
      <c r="B290" s="742">
        <v>284</v>
      </c>
      <c r="C290" s="758" t="s">
        <v>1595</v>
      </c>
      <c r="D290" s="742" t="s">
        <v>3132</v>
      </c>
      <c r="E290" s="742" t="s">
        <v>3142</v>
      </c>
      <c r="F290" s="754" t="s">
        <v>3179</v>
      </c>
      <c r="G290" s="759" t="s">
        <v>3180</v>
      </c>
      <c r="H290" s="760" t="s">
        <v>3181</v>
      </c>
      <c r="I290" s="761"/>
      <c r="J290" s="762">
        <v>1</v>
      </c>
      <c r="K290" s="762"/>
      <c r="L290" s="762"/>
      <c r="M290" s="762"/>
      <c r="N290" s="762"/>
      <c r="O290" s="762"/>
      <c r="P290" s="763"/>
      <c r="Q290" s="764">
        <f t="shared" si="4"/>
        <v>1</v>
      </c>
      <c r="R290" s="758" t="s">
        <v>1825</v>
      </c>
      <c r="S290" s="742"/>
      <c r="T290" s="830"/>
      <c r="U290" s="742" t="s">
        <v>3135</v>
      </c>
      <c r="V290" s="742" t="s">
        <v>321</v>
      </c>
      <c r="W290" s="742" t="s">
        <v>3182</v>
      </c>
      <c r="X290" s="798">
        <v>0</v>
      </c>
      <c r="Y290" s="788" t="s">
        <v>1828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2260</v>
      </c>
      <c r="BR290" s="769" t="s">
        <v>2260</v>
      </c>
      <c r="BS290" s="769" t="s">
        <v>2260</v>
      </c>
      <c r="BT290" s="769" t="s">
        <v>2260</v>
      </c>
      <c r="BU290" s="799" t="s">
        <v>2260</v>
      </c>
      <c r="BV290" s="797" t="s">
        <v>2260</v>
      </c>
      <c r="BW290" s="798" t="s">
        <v>2260</v>
      </c>
      <c r="BX290" s="798" t="s">
        <v>2260</v>
      </c>
      <c r="BY290" s="798" t="s">
        <v>2260</v>
      </c>
      <c r="BZ290" s="798" t="s">
        <v>2260</v>
      </c>
      <c r="CA290" s="777" t="s">
        <v>2260</v>
      </c>
      <c r="CB290" s="769" t="s">
        <v>2260</v>
      </c>
      <c r="CC290" s="769" t="s">
        <v>2260</v>
      </c>
      <c r="CD290" s="769" t="s">
        <v>2260</v>
      </c>
      <c r="CE290" s="774" t="s">
        <v>2260</v>
      </c>
      <c r="CF290" s="769" t="s">
        <v>2260</v>
      </c>
      <c r="CG290" s="769" t="s">
        <v>2260</v>
      </c>
      <c r="CH290" s="769" t="s">
        <v>2260</v>
      </c>
      <c r="CI290" s="769" t="s">
        <v>2260</v>
      </c>
      <c r="CJ290" s="774" t="s">
        <v>2260</v>
      </c>
      <c r="CK290" s="777" t="s">
        <v>2260</v>
      </c>
      <c r="CL290" s="769" t="s">
        <v>2260</v>
      </c>
      <c r="CM290" s="769" t="s">
        <v>2260</v>
      </c>
      <c r="CN290" s="769" t="s">
        <v>2260</v>
      </c>
      <c r="CO290" s="774" t="s">
        <v>2260</v>
      </c>
      <c r="CP290" s="777" t="s">
        <v>2260</v>
      </c>
      <c r="CQ290" s="769" t="s">
        <v>2260</v>
      </c>
      <c r="CR290" s="769" t="s">
        <v>2260</v>
      </c>
      <c r="CS290" s="769" t="s">
        <v>2260</v>
      </c>
      <c r="CT290" s="774" t="s">
        <v>2260</v>
      </c>
      <c r="CU290" s="1253" t="s">
        <v>2260</v>
      </c>
      <c r="CV290" s="1252" t="s">
        <v>2260</v>
      </c>
      <c r="CW290" s="1252" t="s">
        <v>2260</v>
      </c>
      <c r="CX290" s="1254" t="s">
        <v>2260</v>
      </c>
      <c r="CY290" s="1252" t="s">
        <v>2260</v>
      </c>
      <c r="CZ290" s="1252" t="s">
        <v>2260</v>
      </c>
      <c r="DA290" s="1252" t="s">
        <v>2260</v>
      </c>
      <c r="DB290" s="1254" t="s">
        <v>2260</v>
      </c>
      <c r="DC290" s="754"/>
      <c r="DD290" s="782">
        <v>1</v>
      </c>
      <c r="DE290" s="783"/>
    </row>
    <row r="291" spans="1:109" ht="15.75" hidden="1" customHeight="1">
      <c r="A291" s="741" t="s">
        <v>1185</v>
      </c>
      <c r="B291" s="742">
        <v>285</v>
      </c>
      <c r="C291" s="758" t="s">
        <v>1612</v>
      </c>
      <c r="D291" s="742" t="s">
        <v>3132</v>
      </c>
      <c r="E291" s="742" t="s">
        <v>3142</v>
      </c>
      <c r="F291" s="754" t="s">
        <v>3183</v>
      </c>
      <c r="G291" s="759" t="s">
        <v>3184</v>
      </c>
      <c r="H291" s="760" t="s">
        <v>3185</v>
      </c>
      <c r="I291" s="761"/>
      <c r="J291" s="762">
        <v>1</v>
      </c>
      <c r="K291" s="762"/>
      <c r="L291" s="762"/>
      <c r="M291" s="762"/>
      <c r="N291" s="762"/>
      <c r="O291" s="762"/>
      <c r="P291" s="763"/>
      <c r="Q291" s="764">
        <f t="shared" si="4"/>
        <v>1</v>
      </c>
      <c r="R291" s="758" t="s">
        <v>1825</v>
      </c>
      <c r="S291" s="742"/>
      <c r="T291" s="830"/>
      <c r="U291" s="742" t="s">
        <v>3135</v>
      </c>
      <c r="V291" s="742" t="s">
        <v>1857</v>
      </c>
      <c r="W291" s="742" t="s">
        <v>3186</v>
      </c>
      <c r="X291" s="798">
        <v>0</v>
      </c>
      <c r="Y291" s="795" t="s">
        <v>1828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2260</v>
      </c>
      <c r="BR291" s="769" t="s">
        <v>2260</v>
      </c>
      <c r="BS291" s="769" t="s">
        <v>2260</v>
      </c>
      <c r="BT291" s="769" t="s">
        <v>2260</v>
      </c>
      <c r="BU291" s="774" t="s">
        <v>2260</v>
      </c>
      <c r="BV291" s="797" t="s">
        <v>2260</v>
      </c>
      <c r="BW291" s="798" t="s">
        <v>2260</v>
      </c>
      <c r="BX291" s="798" t="s">
        <v>2260</v>
      </c>
      <c r="BY291" s="798" t="s">
        <v>2260</v>
      </c>
      <c r="BZ291" s="798" t="s">
        <v>2260</v>
      </c>
      <c r="CA291" s="797" t="s">
        <v>2260</v>
      </c>
      <c r="CB291" s="798" t="s">
        <v>2260</v>
      </c>
      <c r="CC291" s="798" t="s">
        <v>2260</v>
      </c>
      <c r="CD291" s="798" t="s">
        <v>2260</v>
      </c>
      <c r="CE291" s="799" t="s">
        <v>2260</v>
      </c>
      <c r="CF291" s="798" t="s">
        <v>2260</v>
      </c>
      <c r="CG291" s="798" t="s">
        <v>2260</v>
      </c>
      <c r="CH291" s="798" t="s">
        <v>2260</v>
      </c>
      <c r="CI291" s="798" t="s">
        <v>2260</v>
      </c>
      <c r="CJ291" s="799" t="s">
        <v>2260</v>
      </c>
      <c r="CK291" s="797" t="s">
        <v>2260</v>
      </c>
      <c r="CL291" s="798" t="s">
        <v>2260</v>
      </c>
      <c r="CM291" s="798" t="s">
        <v>2260</v>
      </c>
      <c r="CN291" s="798" t="s">
        <v>2260</v>
      </c>
      <c r="CO291" s="799" t="s">
        <v>2260</v>
      </c>
      <c r="CP291" s="777" t="s">
        <v>2260</v>
      </c>
      <c r="CQ291" s="769" t="s">
        <v>2260</v>
      </c>
      <c r="CR291" s="769" t="s">
        <v>2260</v>
      </c>
      <c r="CS291" s="769" t="s">
        <v>2260</v>
      </c>
      <c r="CT291" s="774" t="s">
        <v>2260</v>
      </c>
      <c r="CU291" s="1253" t="s">
        <v>2260</v>
      </c>
      <c r="CV291" s="1252" t="s">
        <v>2260</v>
      </c>
      <c r="CW291" s="1252" t="s">
        <v>2260</v>
      </c>
      <c r="CX291" s="1254" t="s">
        <v>2260</v>
      </c>
      <c r="CY291" s="1252" t="s">
        <v>2260</v>
      </c>
      <c r="CZ291" s="1252" t="s">
        <v>2260</v>
      </c>
      <c r="DA291" s="1252" t="s">
        <v>2260</v>
      </c>
      <c r="DB291" s="1254" t="s">
        <v>2260</v>
      </c>
      <c r="DC291" s="754"/>
      <c r="DD291" s="782">
        <v>1</v>
      </c>
      <c r="DE291" s="783"/>
    </row>
    <row r="292" spans="1:109" ht="15.75" hidden="1" customHeight="1">
      <c r="A292" s="741" t="s">
        <v>1185</v>
      </c>
      <c r="B292" s="742">
        <v>286</v>
      </c>
      <c r="C292" s="758" t="s">
        <v>1363</v>
      </c>
      <c r="D292" s="742" t="s">
        <v>3132</v>
      </c>
      <c r="E292" s="742" t="s">
        <v>3142</v>
      </c>
      <c r="F292" s="754" t="s">
        <v>3187</v>
      </c>
      <c r="G292" s="759" t="s">
        <v>3188</v>
      </c>
      <c r="H292" s="760" t="s">
        <v>3189</v>
      </c>
      <c r="I292" s="761"/>
      <c r="J292" s="762">
        <v>1</v>
      </c>
      <c r="K292" s="762"/>
      <c r="L292" s="762"/>
      <c r="M292" s="762"/>
      <c r="N292" s="762"/>
      <c r="O292" s="762"/>
      <c r="P292" s="763"/>
      <c r="Q292" s="764">
        <f t="shared" si="4"/>
        <v>1</v>
      </c>
      <c r="R292" s="758" t="s">
        <v>1835</v>
      </c>
      <c r="S292" s="742" t="s">
        <v>1826</v>
      </c>
      <c r="T292" s="830" t="s">
        <v>1827</v>
      </c>
      <c r="U292" s="742" t="s">
        <v>3135</v>
      </c>
      <c r="V292" s="742" t="s">
        <v>1857</v>
      </c>
      <c r="W292" s="742" t="s">
        <v>3190</v>
      </c>
      <c r="X292" s="798">
        <v>0</v>
      </c>
      <c r="Y292" s="790" t="s">
        <v>1828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210</v>
      </c>
      <c r="BM292" s="754" t="s">
        <v>210</v>
      </c>
      <c r="BN292" s="754" t="s">
        <v>210</v>
      </c>
      <c r="BO292" s="754" t="s">
        <v>210</v>
      </c>
      <c r="BP292" s="765" t="s">
        <v>210</v>
      </c>
      <c r="BQ292" s="777" t="s">
        <v>2260</v>
      </c>
      <c r="BR292" s="769" t="s">
        <v>2260</v>
      </c>
      <c r="BS292" s="769" t="s">
        <v>2260</v>
      </c>
      <c r="BT292" s="769" t="s">
        <v>2260</v>
      </c>
      <c r="BU292" s="774" t="s">
        <v>2260</v>
      </c>
      <c r="BV292" s="777" t="s">
        <v>2260</v>
      </c>
      <c r="BW292" s="769" t="s">
        <v>2260</v>
      </c>
      <c r="BX292" s="769" t="s">
        <v>2260</v>
      </c>
      <c r="BY292" s="769" t="s">
        <v>2260</v>
      </c>
      <c r="BZ292" s="769" t="s">
        <v>2260</v>
      </c>
      <c r="CA292" s="775" t="s">
        <v>2260</v>
      </c>
      <c r="CB292" s="776" t="s">
        <v>2260</v>
      </c>
      <c r="CC292" s="776" t="s">
        <v>2260</v>
      </c>
      <c r="CD292" s="776" t="s">
        <v>2260</v>
      </c>
      <c r="CE292" s="789" t="s">
        <v>2260</v>
      </c>
      <c r="CF292" s="769">
        <v>0</v>
      </c>
      <c r="CG292" s="769">
        <v>0</v>
      </c>
      <c r="CH292" s="769">
        <v>0</v>
      </c>
      <c r="CI292" s="769">
        <v>0</v>
      </c>
      <c r="CJ292" s="774">
        <v>0</v>
      </c>
      <c r="CK292" s="777">
        <v>17644</v>
      </c>
      <c r="CL292" s="769">
        <v>17644</v>
      </c>
      <c r="CM292" s="769">
        <v>17644</v>
      </c>
      <c r="CN292" s="769">
        <v>17644</v>
      </c>
      <c r="CO292" s="774">
        <v>17644</v>
      </c>
      <c r="CP292" s="777" t="s">
        <v>2260</v>
      </c>
      <c r="CQ292" s="769" t="s">
        <v>2260</v>
      </c>
      <c r="CR292" s="769" t="s">
        <v>2260</v>
      </c>
      <c r="CS292" s="769" t="s">
        <v>2260</v>
      </c>
      <c r="CT292" s="774" t="s">
        <v>2260</v>
      </c>
      <c r="CU292" s="1252" t="s">
        <v>2260</v>
      </c>
      <c r="CV292" s="1252" t="s">
        <v>2260</v>
      </c>
      <c r="CW292" s="1252" t="s">
        <v>2260</v>
      </c>
      <c r="CX292" s="1254" t="s">
        <v>2260</v>
      </c>
      <c r="CY292" s="1252">
        <v>3.63E-6</v>
      </c>
      <c r="CZ292" s="1252" t="s">
        <v>2260</v>
      </c>
      <c r="DA292" s="1252" t="s">
        <v>2260</v>
      </c>
      <c r="DB292" s="1254" t="s">
        <v>2260</v>
      </c>
      <c r="DC292" s="754"/>
      <c r="DD292" s="782">
        <v>1</v>
      </c>
      <c r="DE292" s="783"/>
    </row>
    <row r="293" spans="1:109" ht="16.5" hidden="1" customHeight="1">
      <c r="A293" s="741" t="s">
        <v>1185</v>
      </c>
      <c r="B293" s="742">
        <v>287</v>
      </c>
      <c r="C293" s="758" t="s">
        <v>1784</v>
      </c>
      <c r="D293" s="742" t="s">
        <v>3191</v>
      </c>
      <c r="E293" s="742" t="s">
        <v>3142</v>
      </c>
      <c r="F293" s="754" t="s">
        <v>3192</v>
      </c>
      <c r="G293" s="759" t="s">
        <v>2254</v>
      </c>
      <c r="H293" s="760" t="s">
        <v>3193</v>
      </c>
      <c r="I293" s="761"/>
      <c r="J293" s="762">
        <v>0.433</v>
      </c>
      <c r="K293" s="762">
        <v>0.56699999999999995</v>
      </c>
      <c r="L293" s="762"/>
      <c r="M293" s="762"/>
      <c r="N293" s="762"/>
      <c r="O293" s="762"/>
      <c r="P293" s="763"/>
      <c r="Q293" s="764">
        <f t="shared" si="4"/>
        <v>1</v>
      </c>
      <c r="R293" s="758" t="s">
        <v>1852</v>
      </c>
      <c r="S293" s="742" t="s">
        <v>1826</v>
      </c>
      <c r="T293" s="830" t="s">
        <v>1827</v>
      </c>
      <c r="U293" s="742" t="s">
        <v>3194</v>
      </c>
      <c r="V293" s="742" t="s">
        <v>1897</v>
      </c>
      <c r="W293" s="742" t="s">
        <v>3195</v>
      </c>
      <c r="X293" s="1243">
        <v>2</v>
      </c>
      <c r="Y293" s="790" t="s">
        <v>1828</v>
      </c>
      <c r="Z293" s="759" t="s">
        <v>2254</v>
      </c>
      <c r="AA293" s="754"/>
      <c r="AB293" s="754"/>
      <c r="AC293" s="754"/>
      <c r="AD293" s="754"/>
      <c r="AE293" s="754"/>
      <c r="AF293" s="768"/>
      <c r="AG293" s="769"/>
      <c r="AH293" s="769"/>
      <c r="AI293" s="769"/>
      <c r="AJ293" s="769"/>
      <c r="AK293" s="769"/>
      <c r="AL293" s="769"/>
      <c r="AM293" s="769"/>
      <c r="AN293" s="769"/>
      <c r="AO293" s="769"/>
      <c r="AP293" s="769"/>
      <c r="AQ293" s="1369"/>
      <c r="AR293" s="1319"/>
      <c r="AS293" s="1319"/>
      <c r="AT293" s="1319"/>
      <c r="AU293" s="1320"/>
      <c r="AV293" s="777"/>
      <c r="AW293" s="769"/>
      <c r="AX293" s="769"/>
      <c r="AY293" s="769"/>
      <c r="AZ293" s="769"/>
      <c r="BA293" s="769"/>
      <c r="BB293" s="769"/>
      <c r="BC293" s="769"/>
      <c r="BD293" s="769"/>
      <c r="BE293" s="769"/>
      <c r="BF293" s="769"/>
      <c r="BG293" s="769"/>
      <c r="BH293" s="769"/>
      <c r="BI293" s="769"/>
      <c r="BJ293" s="769"/>
      <c r="BK293" s="774"/>
      <c r="BL293" s="1327"/>
      <c r="BM293" s="1328"/>
      <c r="BN293" s="1328"/>
      <c r="BO293" s="1328"/>
      <c r="BP293" s="1389"/>
      <c r="BQ293" s="1369"/>
      <c r="BR293" s="1319"/>
      <c r="BS293" s="1319"/>
      <c r="BT293" s="1319"/>
      <c r="BU293" s="1691"/>
      <c r="BV293" s="1370"/>
      <c r="BW293" s="1324"/>
      <c r="BX293" s="1324"/>
      <c r="BY293" s="1324"/>
      <c r="BZ293" s="1324"/>
      <c r="CA293" s="1370"/>
      <c r="CB293" s="1324"/>
      <c r="CC293" s="1324"/>
      <c r="CD293" s="1324"/>
      <c r="CE293" s="1325"/>
      <c r="CF293" s="1324"/>
      <c r="CG293" s="1324"/>
      <c r="CH293" s="1324"/>
      <c r="CI293" s="1324"/>
      <c r="CJ293" s="1325"/>
      <c r="CK293" s="1370"/>
      <c r="CL293" s="1324"/>
      <c r="CM293" s="1324"/>
      <c r="CN293" s="1324"/>
      <c r="CO293" s="1325"/>
      <c r="CP293" s="1370"/>
      <c r="CQ293" s="1324"/>
      <c r="CR293" s="1324"/>
      <c r="CS293" s="1324"/>
      <c r="CT293" s="1325"/>
      <c r="CU293" s="1467"/>
      <c r="CV293" s="1458"/>
      <c r="CW293" s="1458"/>
      <c r="CX293" s="1663"/>
      <c r="CY293" s="1458"/>
      <c r="CZ293" s="1458"/>
      <c r="DA293" s="1458"/>
      <c r="DB293" s="1663"/>
      <c r="DC293" s="1328"/>
      <c r="DD293" s="1664"/>
      <c r="DE293" s="1669"/>
    </row>
    <row r="294" spans="1:109" ht="15.75" hidden="1" customHeight="1">
      <c r="A294" s="741" t="s">
        <v>1185</v>
      </c>
      <c r="B294" s="742">
        <v>288</v>
      </c>
      <c r="C294" s="758" t="s">
        <v>1558</v>
      </c>
      <c r="D294" s="742" t="s">
        <v>3191</v>
      </c>
      <c r="E294" s="742" t="s">
        <v>3142</v>
      </c>
      <c r="F294" s="754" t="s">
        <v>3196</v>
      </c>
      <c r="G294" s="759" t="s">
        <v>3197</v>
      </c>
      <c r="H294" s="760" t="s">
        <v>3198</v>
      </c>
      <c r="I294" s="761"/>
      <c r="J294" s="762"/>
      <c r="K294" s="762">
        <v>1</v>
      </c>
      <c r="L294" s="762"/>
      <c r="M294" s="762"/>
      <c r="N294" s="762"/>
      <c r="O294" s="762"/>
      <c r="P294" s="763"/>
      <c r="Q294" s="764">
        <f t="shared" si="4"/>
        <v>1</v>
      </c>
      <c r="R294" s="758" t="s">
        <v>1852</v>
      </c>
      <c r="S294" s="742" t="s">
        <v>1826</v>
      </c>
      <c r="T294" s="830" t="s">
        <v>1827</v>
      </c>
      <c r="U294" s="742" t="s">
        <v>3150</v>
      </c>
      <c r="V294" s="742" t="s">
        <v>1857</v>
      </c>
      <c r="W294" s="742" t="s">
        <v>3199</v>
      </c>
      <c r="X294" s="798">
        <v>0</v>
      </c>
      <c r="Y294" s="790" t="s">
        <v>1828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210</v>
      </c>
      <c r="BQ294" s="777" t="s">
        <v>2260</v>
      </c>
      <c r="BR294" s="769" t="s">
        <v>2260</v>
      </c>
      <c r="BS294" s="769" t="s">
        <v>2260</v>
      </c>
      <c r="BT294" s="769" t="s">
        <v>2260</v>
      </c>
      <c r="BU294" s="774" t="s">
        <v>2260</v>
      </c>
      <c r="BV294" s="777" t="s">
        <v>2260</v>
      </c>
      <c r="BW294" s="769" t="s">
        <v>2260</v>
      </c>
      <c r="BX294" s="769" t="s">
        <v>2260</v>
      </c>
      <c r="BY294" s="769" t="s">
        <v>2260</v>
      </c>
      <c r="BZ294" s="769" t="s">
        <v>2260</v>
      </c>
      <c r="CA294" s="775" t="s">
        <v>2260</v>
      </c>
      <c r="CB294" s="776" t="s">
        <v>2260</v>
      </c>
      <c r="CC294" s="776" t="s">
        <v>2260</v>
      </c>
      <c r="CD294" s="776" t="s">
        <v>2260</v>
      </c>
      <c r="CE294" s="789" t="s">
        <v>2260</v>
      </c>
      <c r="CF294" s="769" t="s">
        <v>2260</v>
      </c>
      <c r="CG294" s="769" t="s">
        <v>2260</v>
      </c>
      <c r="CH294" s="769" t="s">
        <v>2260</v>
      </c>
      <c r="CI294" s="769" t="s">
        <v>2260</v>
      </c>
      <c r="CJ294" s="774" t="s">
        <v>2260</v>
      </c>
      <c r="CK294" s="777" t="s">
        <v>2260</v>
      </c>
      <c r="CL294" s="769" t="s">
        <v>2260</v>
      </c>
      <c r="CM294" s="769" t="s">
        <v>2260</v>
      </c>
      <c r="CN294" s="769" t="s">
        <v>2260</v>
      </c>
      <c r="CO294" s="774" t="s">
        <v>2260</v>
      </c>
      <c r="CP294" s="777" t="s">
        <v>2260</v>
      </c>
      <c r="CQ294" s="769" t="s">
        <v>2260</v>
      </c>
      <c r="CR294" s="769" t="s">
        <v>2260</v>
      </c>
      <c r="CS294" s="769" t="s">
        <v>2260</v>
      </c>
      <c r="CT294" s="774" t="s">
        <v>2260</v>
      </c>
      <c r="CU294" s="1253">
        <v>-1.7</v>
      </c>
      <c r="CV294" s="1252" t="s">
        <v>2260</v>
      </c>
      <c r="CW294" s="1252" t="s">
        <v>2260</v>
      </c>
      <c r="CX294" s="1254" t="s">
        <v>2260</v>
      </c>
      <c r="CY294" s="1252">
        <v>1.1910000000000001</v>
      </c>
      <c r="CZ294" s="1252" t="s">
        <v>2260</v>
      </c>
      <c r="DA294" s="1252" t="s">
        <v>2260</v>
      </c>
      <c r="DB294" s="1254" t="s">
        <v>2260</v>
      </c>
      <c r="DC294" s="754"/>
      <c r="DD294" s="782">
        <v>1</v>
      </c>
      <c r="DE294" s="783"/>
    </row>
    <row r="295" spans="1:109" ht="15.75" hidden="1" customHeight="1">
      <c r="A295" s="741" t="s">
        <v>1185</v>
      </c>
      <c r="B295" s="742">
        <v>289</v>
      </c>
      <c r="C295" s="758" t="s">
        <v>1767</v>
      </c>
      <c r="D295" s="742" t="s">
        <v>3200</v>
      </c>
      <c r="E295" s="742" t="s">
        <v>3142</v>
      </c>
      <c r="F295" s="754" t="s">
        <v>3201</v>
      </c>
      <c r="G295" s="759" t="s">
        <v>2251</v>
      </c>
      <c r="H295" s="760" t="s">
        <v>3202</v>
      </c>
      <c r="I295" s="761"/>
      <c r="J295" s="762"/>
      <c r="K295" s="762"/>
      <c r="L295" s="762"/>
      <c r="M295" s="762">
        <v>1</v>
      </c>
      <c r="N295" s="762"/>
      <c r="O295" s="762"/>
      <c r="P295" s="763"/>
      <c r="Q295" s="764">
        <f t="shared" si="4"/>
        <v>1</v>
      </c>
      <c r="R295" s="758" t="s">
        <v>1852</v>
      </c>
      <c r="S295" s="742" t="s">
        <v>1826</v>
      </c>
      <c r="T295" s="830" t="s">
        <v>1827</v>
      </c>
      <c r="U295" s="742" t="s">
        <v>3203</v>
      </c>
      <c r="V295" s="742" t="s">
        <v>1897</v>
      </c>
      <c r="W295" s="742" t="s">
        <v>3204</v>
      </c>
      <c r="X295" s="1243">
        <v>2</v>
      </c>
      <c r="Y295" s="790" t="s">
        <v>1828</v>
      </c>
      <c r="Z295" s="759" t="s">
        <v>2251</v>
      </c>
      <c r="AA295" s="754"/>
      <c r="AB295" s="754"/>
      <c r="AC295" s="754"/>
      <c r="AD295" s="754"/>
      <c r="AE295" s="754"/>
      <c r="AF295" s="768"/>
      <c r="AG295" s="769"/>
      <c r="AH295" s="769"/>
      <c r="AI295" s="769"/>
      <c r="AJ295" s="769"/>
      <c r="AK295" s="769"/>
      <c r="AL295" s="769"/>
      <c r="AM295" s="769"/>
      <c r="AN295" s="769"/>
      <c r="AO295" s="769"/>
      <c r="AP295" s="769"/>
      <c r="AQ295" s="1369"/>
      <c r="AR295" s="1319"/>
      <c r="AS295" s="1319"/>
      <c r="AT295" s="1319"/>
      <c r="AU295" s="1320"/>
      <c r="AV295" s="777"/>
      <c r="AW295" s="769"/>
      <c r="AX295" s="769"/>
      <c r="AY295" s="769"/>
      <c r="AZ295" s="769"/>
      <c r="BA295" s="769"/>
      <c r="BB295" s="769"/>
      <c r="BC295" s="769"/>
      <c r="BD295" s="769"/>
      <c r="BE295" s="769"/>
      <c r="BF295" s="769"/>
      <c r="BG295" s="769"/>
      <c r="BH295" s="769"/>
      <c r="BI295" s="769"/>
      <c r="BJ295" s="769"/>
      <c r="BK295" s="774"/>
      <c r="BL295" s="1327"/>
      <c r="BM295" s="1328"/>
      <c r="BN295" s="1328"/>
      <c r="BO295" s="1328"/>
      <c r="BP295" s="1389"/>
      <c r="BQ295" s="1369"/>
      <c r="BR295" s="1319"/>
      <c r="BS295" s="1319"/>
      <c r="BT295" s="1319"/>
      <c r="BU295" s="1320"/>
      <c r="BV295" s="1369"/>
      <c r="BW295" s="1319"/>
      <c r="BX295" s="1319"/>
      <c r="BY295" s="1319"/>
      <c r="BZ295" s="1319"/>
      <c r="CA295" s="1369"/>
      <c r="CB295" s="1319"/>
      <c r="CC295" s="1319"/>
      <c r="CD295" s="1319"/>
      <c r="CE295" s="1320"/>
      <c r="CF295" s="1319"/>
      <c r="CG295" s="1319"/>
      <c r="CH295" s="1319"/>
      <c r="CI295" s="1319"/>
      <c r="CJ295" s="1319"/>
      <c r="CK295" s="1369"/>
      <c r="CL295" s="1319"/>
      <c r="CM295" s="1319"/>
      <c r="CN295" s="1319"/>
      <c r="CO295" s="1320"/>
      <c r="CP295" s="1369"/>
      <c r="CQ295" s="1319"/>
      <c r="CR295" s="1319"/>
      <c r="CS295" s="1319"/>
      <c r="CT295" s="1320"/>
      <c r="CU295" s="1467"/>
      <c r="CV295" s="1458"/>
      <c r="CW295" s="1458"/>
      <c r="CX295" s="1663"/>
      <c r="CY295" s="1458"/>
      <c r="CZ295" s="1458"/>
      <c r="DA295" s="1458"/>
      <c r="DB295" s="1663"/>
      <c r="DC295" s="1328"/>
      <c r="DD295" s="1664"/>
      <c r="DE295" s="1669"/>
    </row>
    <row r="296" spans="1:109" ht="15.75" hidden="1" customHeight="1">
      <c r="A296" s="741" t="s">
        <v>1185</v>
      </c>
      <c r="B296" s="742">
        <v>290</v>
      </c>
      <c r="C296" s="758" t="s">
        <v>1380</v>
      </c>
      <c r="D296" s="742" t="s">
        <v>3205</v>
      </c>
      <c r="E296" s="742" t="s">
        <v>3142</v>
      </c>
      <c r="F296" s="754" t="s">
        <v>3206</v>
      </c>
      <c r="G296" s="759" t="s">
        <v>2502</v>
      </c>
      <c r="H296" s="760" t="s">
        <v>3207</v>
      </c>
      <c r="I296" s="761"/>
      <c r="J296" s="762"/>
      <c r="K296" s="762"/>
      <c r="L296" s="762"/>
      <c r="M296" s="762">
        <v>1</v>
      </c>
      <c r="N296" s="762"/>
      <c r="O296" s="762"/>
      <c r="P296" s="763"/>
      <c r="Q296" s="764">
        <f t="shared" si="4"/>
        <v>1</v>
      </c>
      <c r="R296" s="758" t="s">
        <v>1852</v>
      </c>
      <c r="S296" s="742" t="s">
        <v>1826</v>
      </c>
      <c r="T296" s="830" t="s">
        <v>1827</v>
      </c>
      <c r="U296" s="742" t="s">
        <v>3208</v>
      </c>
      <c r="V296" s="742" t="s">
        <v>321</v>
      </c>
      <c r="W296" s="742" t="s">
        <v>3209</v>
      </c>
      <c r="X296" s="798">
        <v>2</v>
      </c>
      <c r="Y296" s="790" t="s">
        <v>1838</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210</v>
      </c>
      <c r="BM296" s="754" t="s">
        <v>210</v>
      </c>
      <c r="BN296" s="754" t="s">
        <v>210</v>
      </c>
      <c r="BO296" s="754" t="s">
        <v>210</v>
      </c>
      <c r="BP296" s="765" t="s">
        <v>210</v>
      </c>
      <c r="BQ296" s="777" t="s">
        <v>2260</v>
      </c>
      <c r="BR296" s="769" t="s">
        <v>2260</v>
      </c>
      <c r="BS296" s="769" t="s">
        <v>2260</v>
      </c>
      <c r="BT296" s="769" t="s">
        <v>2260</v>
      </c>
      <c r="BU296" s="774" t="s">
        <v>2260</v>
      </c>
      <c r="BV296" s="775">
        <v>2.88</v>
      </c>
      <c r="BW296" s="776">
        <v>2.78</v>
      </c>
      <c r="BX296" s="776">
        <v>2.68</v>
      </c>
      <c r="BY296" s="776">
        <v>2.62</v>
      </c>
      <c r="BZ296" s="776">
        <v>2.56</v>
      </c>
      <c r="CA296" s="777" t="s">
        <v>2260</v>
      </c>
      <c r="CB296" s="769" t="s">
        <v>2260</v>
      </c>
      <c r="CC296" s="769" t="s">
        <v>2260</v>
      </c>
      <c r="CD296" s="769" t="s">
        <v>2260</v>
      </c>
      <c r="CE296" s="774" t="s">
        <v>2260</v>
      </c>
      <c r="CF296" s="779" t="s">
        <v>2260</v>
      </c>
      <c r="CG296" s="779" t="s">
        <v>2260</v>
      </c>
      <c r="CH296" s="779" t="s">
        <v>2260</v>
      </c>
      <c r="CI296" s="779" t="s">
        <v>2260</v>
      </c>
      <c r="CJ296" s="780" t="s">
        <v>2260</v>
      </c>
      <c r="CK296" s="777">
        <v>1.88</v>
      </c>
      <c r="CL296" s="769">
        <v>1.78</v>
      </c>
      <c r="CM296" s="769">
        <v>1.68</v>
      </c>
      <c r="CN296" s="769">
        <v>1.62</v>
      </c>
      <c r="CO296" s="774">
        <v>1.56</v>
      </c>
      <c r="CP296" s="777" t="s">
        <v>2260</v>
      </c>
      <c r="CQ296" s="769" t="s">
        <v>2260</v>
      </c>
      <c r="CR296" s="769" t="s">
        <v>2260</v>
      </c>
      <c r="CS296" s="769" t="s">
        <v>2260</v>
      </c>
      <c r="CT296" s="774" t="s">
        <v>2260</v>
      </c>
      <c r="CU296" s="1253">
        <v>-1.2</v>
      </c>
      <c r="CV296" s="1252" t="s">
        <v>2260</v>
      </c>
      <c r="CW296" s="1252" t="s">
        <v>2260</v>
      </c>
      <c r="CX296" s="1254" t="s">
        <v>2260</v>
      </c>
      <c r="CY296" s="1252">
        <v>1.2</v>
      </c>
      <c r="CZ296" s="1252" t="s">
        <v>2260</v>
      </c>
      <c r="DA296" s="1252" t="s">
        <v>2260</v>
      </c>
      <c r="DB296" s="1254" t="s">
        <v>2260</v>
      </c>
      <c r="DC296" s="754"/>
      <c r="DD296" s="782">
        <v>1</v>
      </c>
      <c r="DE296" s="783"/>
    </row>
    <row r="297" spans="1:109" ht="15.75" hidden="1" customHeight="1">
      <c r="A297" s="741" t="s">
        <v>1185</v>
      </c>
      <c r="B297" s="742">
        <v>291</v>
      </c>
      <c r="C297" s="758" t="s">
        <v>1629</v>
      </c>
      <c r="D297" s="742" t="s">
        <v>3205</v>
      </c>
      <c r="E297" s="742" t="s">
        <v>3142</v>
      </c>
      <c r="F297" s="754" t="s">
        <v>3210</v>
      </c>
      <c r="G297" s="759" t="s">
        <v>3211</v>
      </c>
      <c r="H297" s="760" t="s">
        <v>3212</v>
      </c>
      <c r="I297" s="761"/>
      <c r="J297" s="762"/>
      <c r="K297" s="762"/>
      <c r="L297" s="762"/>
      <c r="M297" s="762">
        <v>1</v>
      </c>
      <c r="N297" s="762"/>
      <c r="O297" s="762"/>
      <c r="P297" s="763"/>
      <c r="Q297" s="764">
        <f t="shared" si="4"/>
        <v>1</v>
      </c>
      <c r="R297" s="758" t="s">
        <v>1825</v>
      </c>
      <c r="S297" s="742"/>
      <c r="T297" s="830"/>
      <c r="U297" s="742" t="s">
        <v>3213</v>
      </c>
      <c r="V297" s="742" t="s">
        <v>321</v>
      </c>
      <c r="W297" s="742" t="s">
        <v>3214</v>
      </c>
      <c r="X297" s="798">
        <v>0</v>
      </c>
      <c r="Y297" s="790" t="s">
        <v>1828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2260</v>
      </c>
      <c r="BR297" s="769" t="s">
        <v>2260</v>
      </c>
      <c r="BS297" s="769" t="s">
        <v>2260</v>
      </c>
      <c r="BT297" s="769" t="s">
        <v>2260</v>
      </c>
      <c r="BU297" s="774" t="s">
        <v>2260</v>
      </c>
      <c r="BV297" s="777" t="s">
        <v>2260</v>
      </c>
      <c r="BW297" s="769" t="s">
        <v>2260</v>
      </c>
      <c r="BX297" s="769" t="s">
        <v>2260</v>
      </c>
      <c r="BY297" s="769" t="s">
        <v>2260</v>
      </c>
      <c r="BZ297" s="769" t="s">
        <v>2260</v>
      </c>
      <c r="CA297" s="777" t="s">
        <v>2260</v>
      </c>
      <c r="CB297" s="769" t="s">
        <v>2260</v>
      </c>
      <c r="CC297" s="769" t="s">
        <v>2260</v>
      </c>
      <c r="CD297" s="769" t="s">
        <v>2260</v>
      </c>
      <c r="CE297" s="774" t="s">
        <v>2260</v>
      </c>
      <c r="CF297" s="769" t="s">
        <v>2260</v>
      </c>
      <c r="CG297" s="769" t="s">
        <v>2260</v>
      </c>
      <c r="CH297" s="769" t="s">
        <v>2260</v>
      </c>
      <c r="CI297" s="769" t="s">
        <v>2260</v>
      </c>
      <c r="CJ297" s="774" t="s">
        <v>2260</v>
      </c>
      <c r="CK297" s="777" t="s">
        <v>2260</v>
      </c>
      <c r="CL297" s="769" t="s">
        <v>2260</v>
      </c>
      <c r="CM297" s="769" t="s">
        <v>2260</v>
      </c>
      <c r="CN297" s="769" t="s">
        <v>2260</v>
      </c>
      <c r="CO297" s="774" t="s">
        <v>2260</v>
      </c>
      <c r="CP297" s="777" t="s">
        <v>2260</v>
      </c>
      <c r="CQ297" s="769" t="s">
        <v>2260</v>
      </c>
      <c r="CR297" s="769" t="s">
        <v>2260</v>
      </c>
      <c r="CS297" s="769" t="s">
        <v>2260</v>
      </c>
      <c r="CT297" s="774" t="s">
        <v>2260</v>
      </c>
      <c r="CU297" s="1253" t="s">
        <v>2260</v>
      </c>
      <c r="CV297" s="1252" t="s">
        <v>2260</v>
      </c>
      <c r="CW297" s="1252" t="s">
        <v>2260</v>
      </c>
      <c r="CX297" s="1254" t="s">
        <v>2260</v>
      </c>
      <c r="CY297" s="1252" t="s">
        <v>2260</v>
      </c>
      <c r="CZ297" s="1252" t="s">
        <v>2260</v>
      </c>
      <c r="DA297" s="1252" t="s">
        <v>2260</v>
      </c>
      <c r="DB297" s="1254" t="s">
        <v>2260</v>
      </c>
      <c r="DC297" s="754"/>
      <c r="DD297" s="782">
        <v>1</v>
      </c>
      <c r="DE297" s="783"/>
    </row>
    <row r="298" spans="1:109" ht="15.75" hidden="1" customHeight="1">
      <c r="A298" s="741" t="s">
        <v>1185</v>
      </c>
      <c r="B298" s="742">
        <v>292</v>
      </c>
      <c r="C298" s="758" t="s">
        <v>1646</v>
      </c>
      <c r="D298" s="742" t="s">
        <v>3215</v>
      </c>
      <c r="E298" s="742" t="s">
        <v>3142</v>
      </c>
      <c r="F298" s="754" t="s">
        <v>3216</v>
      </c>
      <c r="G298" s="759" t="s">
        <v>3217</v>
      </c>
      <c r="H298" s="760" t="s">
        <v>3218</v>
      </c>
      <c r="I298" s="761"/>
      <c r="J298" s="762"/>
      <c r="K298" s="762"/>
      <c r="L298" s="762"/>
      <c r="M298" s="762">
        <v>1</v>
      </c>
      <c r="N298" s="762"/>
      <c r="O298" s="762"/>
      <c r="P298" s="763"/>
      <c r="Q298" s="764">
        <f t="shared" si="4"/>
        <v>1</v>
      </c>
      <c r="R298" s="758" t="s">
        <v>1825</v>
      </c>
      <c r="S298" s="742"/>
      <c r="T298" s="830"/>
      <c r="U298" s="742" t="s">
        <v>3213</v>
      </c>
      <c r="V298" s="742" t="s">
        <v>321</v>
      </c>
      <c r="W298" s="742" t="s">
        <v>3219</v>
      </c>
      <c r="X298" s="798">
        <v>0</v>
      </c>
      <c r="Y298" s="790" t="s">
        <v>1828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2260</v>
      </c>
      <c r="BR298" s="769" t="s">
        <v>2260</v>
      </c>
      <c r="BS298" s="769" t="s">
        <v>2260</v>
      </c>
      <c r="BT298" s="769" t="s">
        <v>2260</v>
      </c>
      <c r="BU298" s="774" t="s">
        <v>2260</v>
      </c>
      <c r="BV298" s="777" t="s">
        <v>2260</v>
      </c>
      <c r="BW298" s="769" t="s">
        <v>2260</v>
      </c>
      <c r="BX298" s="769" t="s">
        <v>2260</v>
      </c>
      <c r="BY298" s="769" t="s">
        <v>2260</v>
      </c>
      <c r="BZ298" s="769" t="s">
        <v>2260</v>
      </c>
      <c r="CA298" s="777" t="s">
        <v>2260</v>
      </c>
      <c r="CB298" s="769" t="s">
        <v>2260</v>
      </c>
      <c r="CC298" s="769" t="s">
        <v>2260</v>
      </c>
      <c r="CD298" s="769" t="s">
        <v>2260</v>
      </c>
      <c r="CE298" s="774" t="s">
        <v>2260</v>
      </c>
      <c r="CF298" s="769" t="s">
        <v>2260</v>
      </c>
      <c r="CG298" s="769" t="s">
        <v>2260</v>
      </c>
      <c r="CH298" s="769" t="s">
        <v>2260</v>
      </c>
      <c r="CI298" s="769" t="s">
        <v>2260</v>
      </c>
      <c r="CJ298" s="774" t="s">
        <v>2260</v>
      </c>
      <c r="CK298" s="777" t="s">
        <v>2260</v>
      </c>
      <c r="CL298" s="769" t="s">
        <v>2260</v>
      </c>
      <c r="CM298" s="769" t="s">
        <v>2260</v>
      </c>
      <c r="CN298" s="769" t="s">
        <v>2260</v>
      </c>
      <c r="CO298" s="774" t="s">
        <v>2260</v>
      </c>
      <c r="CP298" s="777" t="s">
        <v>2260</v>
      </c>
      <c r="CQ298" s="769" t="s">
        <v>2260</v>
      </c>
      <c r="CR298" s="769" t="s">
        <v>2260</v>
      </c>
      <c r="CS298" s="769" t="s">
        <v>2260</v>
      </c>
      <c r="CT298" s="774" t="s">
        <v>2260</v>
      </c>
      <c r="CU298" s="1253" t="s">
        <v>2260</v>
      </c>
      <c r="CV298" s="1252" t="s">
        <v>2260</v>
      </c>
      <c r="CW298" s="1252" t="s">
        <v>2260</v>
      </c>
      <c r="CX298" s="1254" t="s">
        <v>2260</v>
      </c>
      <c r="CY298" s="1252" t="s">
        <v>2260</v>
      </c>
      <c r="CZ298" s="1252" t="s">
        <v>2260</v>
      </c>
      <c r="DA298" s="1252" t="s">
        <v>2260</v>
      </c>
      <c r="DB298" s="1254" t="s">
        <v>2260</v>
      </c>
      <c r="DC298" s="754"/>
      <c r="DD298" s="782">
        <v>1</v>
      </c>
      <c r="DE298" s="783"/>
    </row>
    <row r="299" spans="1:109" ht="15.75" hidden="1" customHeight="1">
      <c r="A299" s="741" t="s">
        <v>1185</v>
      </c>
      <c r="B299" s="742">
        <v>293</v>
      </c>
      <c r="C299" s="758" t="s">
        <v>1397</v>
      </c>
      <c r="D299" s="742" t="s">
        <v>3126</v>
      </c>
      <c r="E299" s="742" t="s">
        <v>3142</v>
      </c>
      <c r="F299" s="754" t="s">
        <v>3220</v>
      </c>
      <c r="G299" s="759" t="s">
        <v>3221</v>
      </c>
      <c r="H299" s="760" t="s">
        <v>3222</v>
      </c>
      <c r="I299" s="761"/>
      <c r="J299" s="762">
        <v>1</v>
      </c>
      <c r="K299" s="762"/>
      <c r="L299" s="762"/>
      <c r="M299" s="762"/>
      <c r="N299" s="762"/>
      <c r="O299" s="762"/>
      <c r="P299" s="763"/>
      <c r="Q299" s="764">
        <f t="shared" si="4"/>
        <v>1</v>
      </c>
      <c r="R299" s="758" t="s">
        <v>1835</v>
      </c>
      <c r="S299" s="742" t="s">
        <v>1826</v>
      </c>
      <c r="T299" s="830" t="s">
        <v>1827</v>
      </c>
      <c r="U299" s="742" t="s">
        <v>3223</v>
      </c>
      <c r="V299" s="742" t="s">
        <v>1857</v>
      </c>
      <c r="W299" s="742" t="s">
        <v>3224</v>
      </c>
      <c r="X299" s="798">
        <v>0</v>
      </c>
      <c r="Y299" s="790" t="s">
        <v>1828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210</v>
      </c>
      <c r="BM299" s="754" t="s">
        <v>210</v>
      </c>
      <c r="BN299" s="754" t="s">
        <v>210</v>
      </c>
      <c r="BO299" s="754" t="s">
        <v>210</v>
      </c>
      <c r="BP299" s="765" t="s">
        <v>210</v>
      </c>
      <c r="BQ299" s="777" t="s">
        <v>2260</v>
      </c>
      <c r="BR299" s="769" t="s">
        <v>2260</v>
      </c>
      <c r="BS299" s="769" t="s">
        <v>2260</v>
      </c>
      <c r="BT299" s="769" t="s">
        <v>2260</v>
      </c>
      <c r="BU299" s="774" t="s">
        <v>2260</v>
      </c>
      <c r="BV299" s="777" t="s">
        <v>2260</v>
      </c>
      <c r="BW299" s="769" t="s">
        <v>2260</v>
      </c>
      <c r="BX299" s="769" t="s">
        <v>2260</v>
      </c>
      <c r="BY299" s="769" t="s">
        <v>2260</v>
      </c>
      <c r="BZ299" s="769" t="s">
        <v>2260</v>
      </c>
      <c r="CA299" s="777" t="s">
        <v>2260</v>
      </c>
      <c r="CB299" s="769" t="s">
        <v>2260</v>
      </c>
      <c r="CC299" s="769" t="s">
        <v>2260</v>
      </c>
      <c r="CD299" s="769" t="s">
        <v>2260</v>
      </c>
      <c r="CE299" s="774" t="s">
        <v>2260</v>
      </c>
      <c r="CF299" s="769" t="s">
        <v>2260</v>
      </c>
      <c r="CG299" s="769" t="s">
        <v>2260</v>
      </c>
      <c r="CH299" s="769" t="s">
        <v>2260</v>
      </c>
      <c r="CI299" s="769" t="s">
        <v>2260</v>
      </c>
      <c r="CJ299" s="774" t="s">
        <v>2260</v>
      </c>
      <c r="CK299" s="777">
        <v>2158</v>
      </c>
      <c r="CL299" s="769">
        <v>2158</v>
      </c>
      <c r="CM299" s="769">
        <v>2158</v>
      </c>
      <c r="CN299" s="769">
        <v>2158</v>
      </c>
      <c r="CO299" s="774">
        <v>2158</v>
      </c>
      <c r="CP299" s="777" t="s">
        <v>2260</v>
      </c>
      <c r="CQ299" s="769" t="s">
        <v>2260</v>
      </c>
      <c r="CR299" s="769" t="s">
        <v>2260</v>
      </c>
      <c r="CS299" s="769" t="s">
        <v>2260</v>
      </c>
      <c r="CT299" s="774" t="s">
        <v>2260</v>
      </c>
      <c r="CU299" s="1253" t="s">
        <v>2260</v>
      </c>
      <c r="CV299" s="1252" t="s">
        <v>2260</v>
      </c>
      <c r="CW299" s="1252" t="s">
        <v>2260</v>
      </c>
      <c r="CX299" s="1254" t="s">
        <v>2260</v>
      </c>
      <c r="CY299" s="1252">
        <v>2.5000000000000001E-5</v>
      </c>
      <c r="CZ299" s="1252" t="s">
        <v>2260</v>
      </c>
      <c r="DA299" s="1252" t="s">
        <v>2260</v>
      </c>
      <c r="DB299" s="1254" t="s">
        <v>2260</v>
      </c>
      <c r="DC299" s="754"/>
      <c r="DD299" s="782">
        <v>1</v>
      </c>
      <c r="DE299" s="783"/>
    </row>
    <row r="300" spans="1:109" ht="15.75" hidden="1" customHeight="1">
      <c r="A300" s="741" t="s">
        <v>1185</v>
      </c>
      <c r="B300" s="742">
        <v>294</v>
      </c>
      <c r="C300" s="758" t="s">
        <v>1566</v>
      </c>
      <c r="D300" s="742" t="s">
        <v>3225</v>
      </c>
      <c r="E300" s="742" t="s">
        <v>3142</v>
      </c>
      <c r="F300" s="754" t="s">
        <v>3226</v>
      </c>
      <c r="G300" s="759" t="s">
        <v>3227</v>
      </c>
      <c r="H300" s="760" t="s">
        <v>3228</v>
      </c>
      <c r="I300" s="761"/>
      <c r="J300" s="762"/>
      <c r="K300" s="762">
        <v>1</v>
      </c>
      <c r="L300" s="762"/>
      <c r="M300" s="762"/>
      <c r="N300" s="762"/>
      <c r="O300" s="762"/>
      <c r="P300" s="763"/>
      <c r="Q300" s="764">
        <f t="shared" si="4"/>
        <v>1</v>
      </c>
      <c r="R300" s="758" t="s">
        <v>1852</v>
      </c>
      <c r="S300" s="742" t="s">
        <v>1826</v>
      </c>
      <c r="T300" s="830" t="s">
        <v>1827</v>
      </c>
      <c r="U300" s="742" t="s">
        <v>3229</v>
      </c>
      <c r="V300" s="742" t="s">
        <v>1870</v>
      </c>
      <c r="W300" s="742" t="s">
        <v>3230</v>
      </c>
      <c r="X300" s="798">
        <v>0</v>
      </c>
      <c r="Y300" s="790" t="s">
        <v>1828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210</v>
      </c>
      <c r="BM300" s="754" t="s">
        <v>210</v>
      </c>
      <c r="BN300" s="754" t="s">
        <v>210</v>
      </c>
      <c r="BO300" s="754" t="s">
        <v>210</v>
      </c>
      <c r="BP300" s="765" t="s">
        <v>210</v>
      </c>
      <c r="BQ300" s="777" t="s">
        <v>2260</v>
      </c>
      <c r="BR300" s="769" t="s">
        <v>2260</v>
      </c>
      <c r="BS300" s="769" t="s">
        <v>2260</v>
      </c>
      <c r="BT300" s="769" t="s">
        <v>2260</v>
      </c>
      <c r="BU300" s="774" t="s">
        <v>2260</v>
      </c>
      <c r="BV300" s="812">
        <v>8496</v>
      </c>
      <c r="BW300" s="769">
        <v>14625</v>
      </c>
      <c r="BX300" s="769">
        <v>14625</v>
      </c>
      <c r="BY300" s="769">
        <v>14625</v>
      </c>
      <c r="BZ300" s="769">
        <v>14625</v>
      </c>
      <c r="CA300" s="777" t="s">
        <v>2260</v>
      </c>
      <c r="CB300" s="769" t="s">
        <v>2260</v>
      </c>
      <c r="CC300" s="769" t="s">
        <v>2260</v>
      </c>
      <c r="CD300" s="769" t="s">
        <v>2260</v>
      </c>
      <c r="CE300" s="774" t="s">
        <v>2260</v>
      </c>
      <c r="CF300" s="769" t="s">
        <v>2260</v>
      </c>
      <c r="CG300" s="769" t="s">
        <v>2260</v>
      </c>
      <c r="CH300" s="769" t="s">
        <v>2260</v>
      </c>
      <c r="CI300" s="769" t="s">
        <v>2260</v>
      </c>
      <c r="CJ300" s="774" t="s">
        <v>2260</v>
      </c>
      <c r="CK300" s="812">
        <v>37664</v>
      </c>
      <c r="CL300" s="769">
        <v>64835</v>
      </c>
      <c r="CM300" s="769">
        <v>64835</v>
      </c>
      <c r="CN300" s="769">
        <v>64835</v>
      </c>
      <c r="CO300" s="774">
        <v>64835</v>
      </c>
      <c r="CP300" s="777" t="s">
        <v>2260</v>
      </c>
      <c r="CQ300" s="769" t="s">
        <v>2260</v>
      </c>
      <c r="CR300" s="769" t="s">
        <v>2260</v>
      </c>
      <c r="CS300" s="769" t="s">
        <v>2260</v>
      </c>
      <c r="CT300" s="774" t="s">
        <v>2260</v>
      </c>
      <c r="CU300" s="1253">
        <v>-2.08E-6</v>
      </c>
      <c r="CV300" s="1252" t="s">
        <v>2260</v>
      </c>
      <c r="CW300" s="1252" t="s">
        <v>2260</v>
      </c>
      <c r="CX300" s="1254" t="s">
        <v>2260</v>
      </c>
      <c r="CY300" s="1252">
        <v>2.08E-6</v>
      </c>
      <c r="CZ300" s="1252" t="s">
        <v>2260</v>
      </c>
      <c r="DA300" s="1252" t="s">
        <v>2260</v>
      </c>
      <c r="DB300" s="1254" t="s">
        <v>2260</v>
      </c>
      <c r="DC300" s="754"/>
      <c r="DD300" s="782">
        <v>1</v>
      </c>
      <c r="DE300" s="783"/>
    </row>
    <row r="301" spans="1:109" ht="15" hidden="1" customHeight="1">
      <c r="A301" s="741" t="s">
        <v>1185</v>
      </c>
      <c r="B301" s="742">
        <v>295</v>
      </c>
      <c r="C301" s="758" t="s">
        <v>1662</v>
      </c>
      <c r="D301" s="742" t="s">
        <v>3225</v>
      </c>
      <c r="E301" s="742" t="s">
        <v>3142</v>
      </c>
      <c r="F301" s="754" t="s">
        <v>3231</v>
      </c>
      <c r="G301" s="759" t="s">
        <v>3232</v>
      </c>
      <c r="H301" s="760" t="s">
        <v>3233</v>
      </c>
      <c r="I301" s="761"/>
      <c r="J301" s="762">
        <v>0.5</v>
      </c>
      <c r="K301" s="762">
        <v>0.5</v>
      </c>
      <c r="L301" s="762"/>
      <c r="M301" s="762"/>
      <c r="N301" s="762"/>
      <c r="O301" s="762"/>
      <c r="P301" s="763"/>
      <c r="Q301" s="764">
        <f t="shared" si="4"/>
        <v>1</v>
      </c>
      <c r="R301" s="758" t="s">
        <v>1825</v>
      </c>
      <c r="S301" s="742"/>
      <c r="T301" s="830"/>
      <c r="U301" s="742" t="s">
        <v>3234</v>
      </c>
      <c r="V301" s="742" t="s">
        <v>1902</v>
      </c>
      <c r="W301" s="742" t="s">
        <v>3235</v>
      </c>
      <c r="X301" s="798">
        <v>0</v>
      </c>
      <c r="Y301" s="790" t="s">
        <v>1828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2260</v>
      </c>
      <c r="BR301" s="769" t="s">
        <v>2260</v>
      </c>
      <c r="BS301" s="769" t="s">
        <v>2260</v>
      </c>
      <c r="BT301" s="769" t="s">
        <v>2260</v>
      </c>
      <c r="BU301" s="774" t="s">
        <v>2260</v>
      </c>
      <c r="BV301" s="777" t="s">
        <v>2260</v>
      </c>
      <c r="BW301" s="769" t="s">
        <v>2260</v>
      </c>
      <c r="BX301" s="769" t="s">
        <v>2260</v>
      </c>
      <c r="BY301" s="769" t="s">
        <v>2260</v>
      </c>
      <c r="BZ301" s="769" t="s">
        <v>2260</v>
      </c>
      <c r="CA301" s="777" t="s">
        <v>2260</v>
      </c>
      <c r="CB301" s="769" t="s">
        <v>2260</v>
      </c>
      <c r="CC301" s="769" t="s">
        <v>2260</v>
      </c>
      <c r="CD301" s="769" t="s">
        <v>2260</v>
      </c>
      <c r="CE301" s="774" t="s">
        <v>2260</v>
      </c>
      <c r="CF301" s="769" t="s">
        <v>2260</v>
      </c>
      <c r="CG301" s="769" t="s">
        <v>2260</v>
      </c>
      <c r="CH301" s="769" t="s">
        <v>2260</v>
      </c>
      <c r="CI301" s="769" t="s">
        <v>2260</v>
      </c>
      <c r="CJ301" s="774" t="s">
        <v>2260</v>
      </c>
      <c r="CK301" s="777" t="s">
        <v>2260</v>
      </c>
      <c r="CL301" s="769" t="s">
        <v>2260</v>
      </c>
      <c r="CM301" s="769" t="s">
        <v>2260</v>
      </c>
      <c r="CN301" s="769" t="s">
        <v>2260</v>
      </c>
      <c r="CO301" s="774" t="s">
        <v>2260</v>
      </c>
      <c r="CP301" s="777" t="s">
        <v>2260</v>
      </c>
      <c r="CQ301" s="769" t="s">
        <v>2260</v>
      </c>
      <c r="CR301" s="769" t="s">
        <v>2260</v>
      </c>
      <c r="CS301" s="769" t="s">
        <v>2260</v>
      </c>
      <c r="CT301" s="774" t="s">
        <v>2260</v>
      </c>
      <c r="CU301" s="1253" t="s">
        <v>2260</v>
      </c>
      <c r="CV301" s="1252" t="s">
        <v>2260</v>
      </c>
      <c r="CW301" s="1252" t="s">
        <v>2260</v>
      </c>
      <c r="CX301" s="1254" t="s">
        <v>2260</v>
      </c>
      <c r="CY301" s="1252" t="s">
        <v>2260</v>
      </c>
      <c r="CZ301" s="1252" t="s">
        <v>2260</v>
      </c>
      <c r="DA301" s="1252" t="s">
        <v>2260</v>
      </c>
      <c r="DB301" s="1254" t="s">
        <v>2260</v>
      </c>
      <c r="DC301" s="754"/>
      <c r="DD301" s="782">
        <v>1</v>
      </c>
      <c r="DE301" s="783"/>
    </row>
    <row r="302" spans="1:109" ht="15.75" hidden="1" customHeight="1">
      <c r="A302" s="741" t="s">
        <v>1185</v>
      </c>
      <c r="B302" s="742">
        <v>296</v>
      </c>
      <c r="C302" s="758" t="s">
        <v>1676</v>
      </c>
      <c r="D302" s="742" t="s">
        <v>3225</v>
      </c>
      <c r="E302" s="742" t="s">
        <v>3142</v>
      </c>
      <c r="F302" s="754" t="s">
        <v>3236</v>
      </c>
      <c r="G302" s="759" t="s">
        <v>3237</v>
      </c>
      <c r="H302" s="760" t="s">
        <v>3238</v>
      </c>
      <c r="I302" s="761"/>
      <c r="J302" s="762">
        <v>0.5</v>
      </c>
      <c r="K302" s="762">
        <v>0.5</v>
      </c>
      <c r="L302" s="762"/>
      <c r="M302" s="762"/>
      <c r="N302" s="762"/>
      <c r="O302" s="762"/>
      <c r="P302" s="763"/>
      <c r="Q302" s="764">
        <f t="shared" si="4"/>
        <v>1</v>
      </c>
      <c r="R302" s="758" t="s">
        <v>1825</v>
      </c>
      <c r="S302" s="742"/>
      <c r="T302" s="830"/>
      <c r="U302" s="742" t="s">
        <v>2537</v>
      </c>
      <c r="V302" s="742" t="s">
        <v>321</v>
      </c>
      <c r="W302" s="742" t="s">
        <v>3239</v>
      </c>
      <c r="X302" s="798">
        <v>0</v>
      </c>
      <c r="Y302" s="790" t="s">
        <v>1828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2260</v>
      </c>
      <c r="BR302" s="769" t="s">
        <v>2260</v>
      </c>
      <c r="BS302" s="769" t="s">
        <v>2260</v>
      </c>
      <c r="BT302" s="769" t="s">
        <v>2260</v>
      </c>
      <c r="BU302" s="774" t="s">
        <v>2260</v>
      </c>
      <c r="BV302" s="777" t="s">
        <v>2260</v>
      </c>
      <c r="BW302" s="769" t="s">
        <v>2260</v>
      </c>
      <c r="BX302" s="769" t="s">
        <v>2260</v>
      </c>
      <c r="BY302" s="769" t="s">
        <v>2260</v>
      </c>
      <c r="BZ302" s="769" t="s">
        <v>2260</v>
      </c>
      <c r="CA302" s="777" t="s">
        <v>2260</v>
      </c>
      <c r="CB302" s="769" t="s">
        <v>2260</v>
      </c>
      <c r="CC302" s="769" t="s">
        <v>2260</v>
      </c>
      <c r="CD302" s="769" t="s">
        <v>2260</v>
      </c>
      <c r="CE302" s="774" t="s">
        <v>2260</v>
      </c>
      <c r="CF302" s="769" t="s">
        <v>2260</v>
      </c>
      <c r="CG302" s="769" t="s">
        <v>2260</v>
      </c>
      <c r="CH302" s="769" t="s">
        <v>2260</v>
      </c>
      <c r="CI302" s="769" t="s">
        <v>2260</v>
      </c>
      <c r="CJ302" s="774" t="s">
        <v>2260</v>
      </c>
      <c r="CK302" s="777" t="s">
        <v>2260</v>
      </c>
      <c r="CL302" s="769" t="s">
        <v>2260</v>
      </c>
      <c r="CM302" s="769" t="s">
        <v>2260</v>
      </c>
      <c r="CN302" s="769" t="s">
        <v>2260</v>
      </c>
      <c r="CO302" s="774" t="s">
        <v>2260</v>
      </c>
      <c r="CP302" s="777" t="s">
        <v>2260</v>
      </c>
      <c r="CQ302" s="769" t="s">
        <v>2260</v>
      </c>
      <c r="CR302" s="769" t="s">
        <v>2260</v>
      </c>
      <c r="CS302" s="769" t="s">
        <v>2260</v>
      </c>
      <c r="CT302" s="774" t="s">
        <v>2260</v>
      </c>
      <c r="CU302" s="1253" t="s">
        <v>2260</v>
      </c>
      <c r="CV302" s="1252" t="s">
        <v>2260</v>
      </c>
      <c r="CW302" s="1252" t="s">
        <v>2260</v>
      </c>
      <c r="CX302" s="1254" t="s">
        <v>2260</v>
      </c>
      <c r="CY302" s="1252" t="s">
        <v>2260</v>
      </c>
      <c r="CZ302" s="1252" t="s">
        <v>2260</v>
      </c>
      <c r="DA302" s="1252" t="s">
        <v>2260</v>
      </c>
      <c r="DB302" s="1254" t="s">
        <v>2260</v>
      </c>
      <c r="DC302" s="754"/>
      <c r="DD302" s="782">
        <v>1</v>
      </c>
      <c r="DE302" s="783"/>
    </row>
    <row r="303" spans="1:109" ht="15.75" hidden="1" customHeight="1">
      <c r="A303" s="741" t="s">
        <v>1185</v>
      </c>
      <c r="B303" s="742">
        <v>297</v>
      </c>
      <c r="C303" s="758" t="s">
        <v>1201</v>
      </c>
      <c r="D303" s="742" t="s">
        <v>3240</v>
      </c>
      <c r="E303" s="742" t="s">
        <v>3127</v>
      </c>
      <c r="F303" s="754" t="s">
        <v>3241</v>
      </c>
      <c r="G303" s="759" t="s">
        <v>179</v>
      </c>
      <c r="H303" s="760" t="s">
        <v>3242</v>
      </c>
      <c r="I303" s="761"/>
      <c r="J303" s="762">
        <v>1</v>
      </c>
      <c r="K303" s="762"/>
      <c r="L303" s="762"/>
      <c r="M303" s="762"/>
      <c r="N303" s="762"/>
      <c r="O303" s="762"/>
      <c r="P303" s="763"/>
      <c r="Q303" s="764">
        <f t="shared" si="4"/>
        <v>1</v>
      </c>
      <c r="R303" s="758" t="s">
        <v>1852</v>
      </c>
      <c r="S303" s="742" t="s">
        <v>1826</v>
      </c>
      <c r="T303" s="830" t="s">
        <v>1827</v>
      </c>
      <c r="U303" s="742" t="s">
        <v>3243</v>
      </c>
      <c r="V303" s="742" t="s">
        <v>1851</v>
      </c>
      <c r="W303" s="742" t="s">
        <v>3244</v>
      </c>
      <c r="X303" s="1243">
        <v>0</v>
      </c>
      <c r="Y303" s="788" t="s">
        <v>1838</v>
      </c>
      <c r="Z303" s="759" t="s">
        <v>179</v>
      </c>
      <c r="AA303" s="754"/>
      <c r="AB303" s="754"/>
      <c r="AC303" s="754"/>
      <c r="AD303" s="754"/>
      <c r="AE303" s="754"/>
      <c r="AF303" s="768"/>
      <c r="AG303" s="769"/>
      <c r="AH303" s="769"/>
      <c r="AI303" s="769"/>
      <c r="AJ303" s="769"/>
      <c r="AK303" s="769"/>
      <c r="AL303" s="769"/>
      <c r="AM303" s="814"/>
      <c r="AN303" s="814"/>
      <c r="AO303" s="814"/>
      <c r="AP303" s="814"/>
      <c r="AQ303" s="1321"/>
      <c r="AR303" s="1322"/>
      <c r="AS303" s="1322"/>
      <c r="AT303" s="1322"/>
      <c r="AU303" s="1323"/>
      <c r="AV303" s="797"/>
      <c r="AW303" s="798"/>
      <c r="AX303" s="798"/>
      <c r="AY303" s="798"/>
      <c r="AZ303" s="798"/>
      <c r="BA303" s="798"/>
      <c r="BB303" s="798"/>
      <c r="BC303" s="798"/>
      <c r="BD303" s="798"/>
      <c r="BE303" s="798"/>
      <c r="BF303" s="798"/>
      <c r="BG303" s="798"/>
      <c r="BH303" s="798"/>
      <c r="BI303" s="798"/>
      <c r="BJ303" s="798"/>
      <c r="BK303" s="799"/>
      <c r="BL303" s="1327"/>
      <c r="BM303" s="1328"/>
      <c r="BN303" s="1328"/>
      <c r="BO303" s="1328"/>
      <c r="BP303" s="1389"/>
      <c r="BQ303" s="1369"/>
      <c r="BR303" s="1319"/>
      <c r="BS303" s="1319"/>
      <c r="BT303" s="1319"/>
      <c r="BU303" s="1320"/>
      <c r="BV303" s="1321"/>
      <c r="BW303" s="1322"/>
      <c r="BX303" s="1322"/>
      <c r="BY303" s="1322"/>
      <c r="BZ303" s="1322"/>
      <c r="CA303" s="1321"/>
      <c r="CB303" s="1322"/>
      <c r="CC303" s="1322"/>
      <c r="CD303" s="1322"/>
      <c r="CE303" s="1323"/>
      <c r="CF303" s="1322"/>
      <c r="CG303" s="1322"/>
      <c r="CH303" s="1322"/>
      <c r="CI303" s="1322"/>
      <c r="CJ303" s="1323"/>
      <c r="CK303" s="1321"/>
      <c r="CL303" s="1322"/>
      <c r="CM303" s="1322"/>
      <c r="CN303" s="1322"/>
      <c r="CO303" s="1323"/>
      <c r="CP303" s="1369"/>
      <c r="CQ303" s="1319"/>
      <c r="CR303" s="1319"/>
      <c r="CS303" s="1319"/>
      <c r="CT303" s="1320"/>
      <c r="CU303" s="1467"/>
      <c r="CV303" s="1458"/>
      <c r="CW303" s="1458"/>
      <c r="CX303" s="1663"/>
      <c r="CY303" s="1458"/>
      <c r="CZ303" s="1458"/>
      <c r="DA303" s="1458"/>
      <c r="DB303" s="1663"/>
      <c r="DC303" s="1328"/>
      <c r="DD303" s="1664"/>
      <c r="DE303" s="1669"/>
    </row>
    <row r="304" spans="1:109" ht="15.75" hidden="1" customHeight="1">
      <c r="A304" s="741" t="s">
        <v>1185</v>
      </c>
      <c r="B304" s="742">
        <v>298</v>
      </c>
      <c r="C304" s="758" t="s">
        <v>1137</v>
      </c>
      <c r="D304" s="742" t="s">
        <v>3240</v>
      </c>
      <c r="E304" s="742" t="s">
        <v>3127</v>
      </c>
      <c r="F304" s="754" t="s">
        <v>3245</v>
      </c>
      <c r="G304" s="759" t="s">
        <v>784</v>
      </c>
      <c r="H304" s="760" t="s">
        <v>3246</v>
      </c>
      <c r="I304" s="761"/>
      <c r="J304" s="762"/>
      <c r="K304" s="762">
        <v>1</v>
      </c>
      <c r="L304" s="762"/>
      <c r="M304" s="762"/>
      <c r="N304" s="762"/>
      <c r="O304" s="762"/>
      <c r="P304" s="763"/>
      <c r="Q304" s="764">
        <f t="shared" si="4"/>
        <v>1</v>
      </c>
      <c r="R304" s="758" t="s">
        <v>1852</v>
      </c>
      <c r="S304" s="742" t="s">
        <v>1826</v>
      </c>
      <c r="T304" s="765" t="s">
        <v>1827</v>
      </c>
      <c r="U304" s="742" t="s">
        <v>3229</v>
      </c>
      <c r="V304" s="742" t="s">
        <v>1857</v>
      </c>
      <c r="W304" s="742" t="s">
        <v>3247</v>
      </c>
      <c r="X304" s="798">
        <v>2</v>
      </c>
      <c r="Y304" s="767" t="s">
        <v>1838</v>
      </c>
      <c r="Z304" s="759" t="s">
        <v>784</v>
      </c>
      <c r="AA304" s="754"/>
      <c r="AB304" s="754"/>
      <c r="AC304" s="754"/>
      <c r="AD304" s="754"/>
      <c r="AE304" s="754"/>
      <c r="AF304" s="768"/>
      <c r="AG304" s="776"/>
      <c r="AH304" s="776"/>
      <c r="AI304" s="776"/>
      <c r="AJ304" s="776"/>
      <c r="AK304" s="776"/>
      <c r="AL304" s="776"/>
      <c r="AM304" s="776"/>
      <c r="AN304" s="776"/>
      <c r="AO304" s="776"/>
      <c r="AP304" s="776"/>
      <c r="AQ304" s="1370"/>
      <c r="AR304" s="1324"/>
      <c r="AS304" s="1324"/>
      <c r="AT304" s="1324"/>
      <c r="AU304" s="1325"/>
      <c r="AV304" s="775"/>
      <c r="AW304" s="776"/>
      <c r="AX304" s="776"/>
      <c r="AY304" s="776"/>
      <c r="AZ304" s="776"/>
      <c r="BA304" s="776"/>
      <c r="BB304" s="776"/>
      <c r="BC304" s="776"/>
      <c r="BD304" s="776"/>
      <c r="BE304" s="776"/>
      <c r="BF304" s="776"/>
      <c r="BG304" s="776"/>
      <c r="BH304" s="776"/>
      <c r="BI304" s="776"/>
      <c r="BJ304" s="776"/>
      <c r="BK304" s="789"/>
      <c r="BL304" s="1327"/>
      <c r="BM304" s="1328"/>
      <c r="BN304" s="1328"/>
      <c r="BO304" s="1328"/>
      <c r="BP304" s="1389"/>
      <c r="BQ304" s="1369"/>
      <c r="BR304" s="1319"/>
      <c r="BS304" s="1319"/>
      <c r="BT304" s="1319"/>
      <c r="BU304" s="1320"/>
      <c r="BV304" s="1370"/>
      <c r="BW304" s="1324"/>
      <c r="BX304" s="1324"/>
      <c r="BY304" s="1324"/>
      <c r="BZ304" s="1324"/>
      <c r="CA304" s="1369"/>
      <c r="CB304" s="1319"/>
      <c r="CC304" s="1319"/>
      <c r="CD304" s="1319"/>
      <c r="CE304" s="1320"/>
      <c r="CF304" s="1319"/>
      <c r="CG304" s="1319"/>
      <c r="CH304" s="1319"/>
      <c r="CI304" s="1319"/>
      <c r="CJ304" s="1320"/>
      <c r="CK304" s="1370"/>
      <c r="CL304" s="1324"/>
      <c r="CM304" s="1324"/>
      <c r="CN304" s="1324"/>
      <c r="CO304" s="1325"/>
      <c r="CP304" s="1369"/>
      <c r="CQ304" s="1319"/>
      <c r="CR304" s="1319"/>
      <c r="CS304" s="1319"/>
      <c r="CT304" s="1320"/>
      <c r="CU304" s="1467"/>
      <c r="CV304" s="1458"/>
      <c r="CW304" s="1458"/>
      <c r="CX304" s="1663"/>
      <c r="CY304" s="1458"/>
      <c r="CZ304" s="1458"/>
      <c r="DA304" s="1458"/>
      <c r="DB304" s="1663"/>
      <c r="DC304" s="1328"/>
      <c r="DD304" s="1664"/>
      <c r="DE304" s="1669"/>
    </row>
    <row r="305" spans="1:109" ht="15.75" hidden="1" customHeight="1">
      <c r="A305" s="741" t="s">
        <v>1185</v>
      </c>
      <c r="B305" s="742">
        <v>299</v>
      </c>
      <c r="C305" s="758" t="s">
        <v>1151</v>
      </c>
      <c r="D305" s="742" t="s">
        <v>3240</v>
      </c>
      <c r="E305" s="742" t="s">
        <v>3127</v>
      </c>
      <c r="F305" s="754" t="s">
        <v>3248</v>
      </c>
      <c r="G305" s="759" t="s">
        <v>788</v>
      </c>
      <c r="H305" s="760" t="s">
        <v>3249</v>
      </c>
      <c r="I305" s="761"/>
      <c r="J305" s="762"/>
      <c r="K305" s="762">
        <v>1</v>
      </c>
      <c r="L305" s="762"/>
      <c r="M305" s="762"/>
      <c r="N305" s="762"/>
      <c r="O305" s="762"/>
      <c r="P305" s="763"/>
      <c r="Q305" s="764">
        <f t="shared" si="4"/>
        <v>1</v>
      </c>
      <c r="R305" s="758" t="s">
        <v>1852</v>
      </c>
      <c r="S305" s="742" t="s">
        <v>1826</v>
      </c>
      <c r="T305" s="765" t="s">
        <v>1827</v>
      </c>
      <c r="U305" s="742" t="s">
        <v>3250</v>
      </c>
      <c r="V305" s="742" t="s">
        <v>1857</v>
      </c>
      <c r="W305" s="742" t="s">
        <v>3251</v>
      </c>
      <c r="X305" s="1243">
        <v>2</v>
      </c>
      <c r="Y305" s="767" t="s">
        <v>1838</v>
      </c>
      <c r="Z305" s="759" t="s">
        <v>788</v>
      </c>
      <c r="AA305" s="754"/>
      <c r="AB305" s="754"/>
      <c r="AC305" s="754"/>
      <c r="AD305" s="754"/>
      <c r="AE305" s="754"/>
      <c r="AF305" s="768"/>
      <c r="AG305" s="779"/>
      <c r="AH305" s="779"/>
      <c r="AI305" s="779"/>
      <c r="AJ305" s="779"/>
      <c r="AK305" s="779"/>
      <c r="AL305" s="779"/>
      <c r="AM305" s="779"/>
      <c r="AN305" s="779"/>
      <c r="AO305" s="779"/>
      <c r="AP305" s="779"/>
      <c r="AQ305" s="1370"/>
      <c r="AR305" s="1324"/>
      <c r="AS305" s="1324"/>
      <c r="AT305" s="1324"/>
      <c r="AU305" s="1325"/>
      <c r="AV305" s="778"/>
      <c r="AW305" s="779"/>
      <c r="AX305" s="779"/>
      <c r="AY305" s="779"/>
      <c r="AZ305" s="779"/>
      <c r="BA305" s="779"/>
      <c r="BB305" s="779"/>
      <c r="BC305" s="779"/>
      <c r="BD305" s="779"/>
      <c r="BE305" s="779"/>
      <c r="BF305" s="779"/>
      <c r="BG305" s="779"/>
      <c r="BH305" s="779"/>
      <c r="BI305" s="779"/>
      <c r="BJ305" s="779"/>
      <c r="BK305" s="780"/>
      <c r="BL305" s="1327"/>
      <c r="BM305" s="1328"/>
      <c r="BN305" s="1328"/>
      <c r="BO305" s="1328"/>
      <c r="BP305" s="1389"/>
      <c r="BQ305" s="1659"/>
      <c r="BR305" s="1319"/>
      <c r="BS305" s="1319"/>
      <c r="BT305" s="1319"/>
      <c r="BU305" s="1320"/>
      <c r="BV305" s="1370"/>
      <c r="BW305" s="1324"/>
      <c r="BX305" s="1324"/>
      <c r="BY305" s="1324"/>
      <c r="BZ305" s="1324"/>
      <c r="CA305" s="1369"/>
      <c r="CB305" s="1319"/>
      <c r="CC305" s="1319"/>
      <c r="CD305" s="1319"/>
      <c r="CE305" s="1320"/>
      <c r="CF305" s="1319"/>
      <c r="CG305" s="1319"/>
      <c r="CH305" s="1319"/>
      <c r="CI305" s="1319"/>
      <c r="CJ305" s="1320"/>
      <c r="CK305" s="1369"/>
      <c r="CL305" s="1319"/>
      <c r="CM305" s="1319"/>
      <c r="CN305" s="1319"/>
      <c r="CO305" s="1320"/>
      <c r="CP305" s="1369"/>
      <c r="CQ305" s="1319"/>
      <c r="CR305" s="1319"/>
      <c r="CS305" s="1319"/>
      <c r="CT305" s="1320"/>
      <c r="CU305" s="1467"/>
      <c r="CV305" s="1458"/>
      <c r="CW305" s="1458"/>
      <c r="CX305" s="1663"/>
      <c r="CY305" s="1458"/>
      <c r="CZ305" s="1458"/>
      <c r="DA305" s="1458"/>
      <c r="DB305" s="1663"/>
      <c r="DC305" s="1328"/>
      <c r="DD305" s="1664"/>
      <c r="DE305" s="1669"/>
    </row>
    <row r="306" spans="1:109" ht="15.75" hidden="1" customHeight="1">
      <c r="A306" s="741" t="s">
        <v>1185</v>
      </c>
      <c r="B306" s="742">
        <v>300</v>
      </c>
      <c r="C306" s="758" t="s">
        <v>1210</v>
      </c>
      <c r="D306" s="742" t="s">
        <v>3240</v>
      </c>
      <c r="E306" s="742" t="s">
        <v>3142</v>
      </c>
      <c r="F306" s="754" t="s">
        <v>3252</v>
      </c>
      <c r="G306" s="759" t="s">
        <v>567</v>
      </c>
      <c r="H306" s="760" t="s">
        <v>3253</v>
      </c>
      <c r="I306" s="761">
        <v>1</v>
      </c>
      <c r="J306" s="762"/>
      <c r="K306" s="762"/>
      <c r="L306" s="762"/>
      <c r="M306" s="762"/>
      <c r="N306" s="762"/>
      <c r="O306" s="762"/>
      <c r="P306" s="763"/>
      <c r="Q306" s="764">
        <f t="shared" si="4"/>
        <v>1</v>
      </c>
      <c r="R306" s="758" t="s">
        <v>1825</v>
      </c>
      <c r="S306" s="742"/>
      <c r="T306" s="765"/>
      <c r="U306" s="742" t="s">
        <v>3254</v>
      </c>
      <c r="V306" s="742" t="s">
        <v>321</v>
      </c>
      <c r="W306" s="742" t="s">
        <v>3255</v>
      </c>
      <c r="X306" s="1243">
        <v>1</v>
      </c>
      <c r="Y306" s="767" t="s">
        <v>1838</v>
      </c>
      <c r="Z306" s="759" t="s">
        <v>567</v>
      </c>
      <c r="AA306" s="754"/>
      <c r="AB306" s="754"/>
      <c r="AC306" s="754"/>
      <c r="AD306" s="754"/>
      <c r="AE306" s="754"/>
      <c r="AF306" s="768"/>
      <c r="AG306" s="769"/>
      <c r="AH306" s="769"/>
      <c r="AI306" s="769"/>
      <c r="AJ306" s="769"/>
      <c r="AK306" s="769"/>
      <c r="AL306" s="769"/>
      <c r="AM306" s="769"/>
      <c r="AN306" s="769"/>
      <c r="AO306" s="769"/>
      <c r="AP306" s="769"/>
      <c r="AQ306" s="1460"/>
      <c r="AR306" s="1665"/>
      <c r="AS306" s="1665"/>
      <c r="AT306" s="1665"/>
      <c r="AU306" s="1466"/>
      <c r="AV306" s="786"/>
      <c r="AW306" s="785"/>
      <c r="AX306" s="785"/>
      <c r="AY306" s="785"/>
      <c r="AZ306" s="785"/>
      <c r="BA306" s="785"/>
      <c r="BB306" s="785"/>
      <c r="BC306" s="785"/>
      <c r="BD306" s="785"/>
      <c r="BE306" s="785"/>
      <c r="BF306" s="785"/>
      <c r="BG306" s="785"/>
      <c r="BH306" s="785"/>
      <c r="BI306" s="785"/>
      <c r="BJ306" s="785"/>
      <c r="BK306" s="787"/>
      <c r="BL306" s="1327"/>
      <c r="BM306" s="1328"/>
      <c r="BN306" s="1328"/>
      <c r="BO306" s="1328"/>
      <c r="BP306" s="1389"/>
      <c r="BQ306" s="1369"/>
      <c r="BR306" s="1319"/>
      <c r="BS306" s="1319"/>
      <c r="BT306" s="1319"/>
      <c r="BU306" s="1320"/>
      <c r="BV306" s="1369"/>
      <c r="BW306" s="1319"/>
      <c r="BX306" s="1319"/>
      <c r="BY306" s="1319"/>
      <c r="BZ306" s="1319"/>
      <c r="CA306" s="1369"/>
      <c r="CB306" s="1319"/>
      <c r="CC306" s="1319"/>
      <c r="CD306" s="1319"/>
      <c r="CE306" s="1320"/>
      <c r="CF306" s="1319"/>
      <c r="CG306" s="1319"/>
      <c r="CH306" s="1319"/>
      <c r="CI306" s="1319"/>
      <c r="CJ306" s="1320"/>
      <c r="CK306" s="1369"/>
      <c r="CL306" s="1319"/>
      <c r="CM306" s="1319"/>
      <c r="CN306" s="1319"/>
      <c r="CO306" s="1320"/>
      <c r="CP306" s="1369"/>
      <c r="CQ306" s="1319"/>
      <c r="CR306" s="1319"/>
      <c r="CS306" s="1319"/>
      <c r="CT306" s="1320"/>
      <c r="CU306" s="1467"/>
      <c r="CV306" s="1458"/>
      <c r="CW306" s="1458"/>
      <c r="CX306" s="1663"/>
      <c r="CY306" s="1458"/>
      <c r="CZ306" s="1458"/>
      <c r="DA306" s="1458"/>
      <c r="DB306" s="1663"/>
      <c r="DC306" s="1328"/>
      <c r="DD306" s="1664"/>
      <c r="DE306" s="1669"/>
    </row>
    <row r="307" spans="1:109" ht="15.75" hidden="1" customHeight="1">
      <c r="A307" s="741" t="s">
        <v>1185</v>
      </c>
      <c r="B307" s="742">
        <v>301</v>
      </c>
      <c r="C307" s="758" t="s">
        <v>1142</v>
      </c>
      <c r="D307" s="742" t="s">
        <v>3240</v>
      </c>
      <c r="E307" s="742" t="s">
        <v>3142</v>
      </c>
      <c r="F307" s="754" t="s">
        <v>3256</v>
      </c>
      <c r="G307" s="759" t="s">
        <v>891</v>
      </c>
      <c r="H307" s="760" t="s">
        <v>3257</v>
      </c>
      <c r="I307" s="761"/>
      <c r="J307" s="762"/>
      <c r="K307" s="762">
        <v>1</v>
      </c>
      <c r="L307" s="762"/>
      <c r="M307" s="762"/>
      <c r="N307" s="762"/>
      <c r="O307" s="762"/>
      <c r="P307" s="763"/>
      <c r="Q307" s="764">
        <f t="shared" si="4"/>
        <v>1</v>
      </c>
      <c r="R307" s="758" t="s">
        <v>1825</v>
      </c>
      <c r="S307" s="742"/>
      <c r="T307" s="765"/>
      <c r="U307" s="742" t="s">
        <v>3254</v>
      </c>
      <c r="V307" s="742" t="s">
        <v>321</v>
      </c>
      <c r="W307" s="742" t="s">
        <v>3258</v>
      </c>
      <c r="X307" s="798">
        <v>2</v>
      </c>
      <c r="Y307" s="767" t="s">
        <v>1838</v>
      </c>
      <c r="Z307" s="759" t="s">
        <v>891</v>
      </c>
      <c r="AA307" s="754"/>
      <c r="AB307" s="754"/>
      <c r="AC307" s="754"/>
      <c r="AD307" s="754"/>
      <c r="AE307" s="754"/>
      <c r="AF307" s="768"/>
      <c r="AG307" s="842"/>
      <c r="AH307" s="842"/>
      <c r="AI307" s="842"/>
      <c r="AJ307" s="842"/>
      <c r="AK307" s="842"/>
      <c r="AL307" s="842"/>
      <c r="AM307" s="842"/>
      <c r="AN307" s="842"/>
      <c r="AO307" s="842"/>
      <c r="AP307" s="842"/>
      <c r="AQ307" s="1660"/>
      <c r="AR307" s="1661"/>
      <c r="AS307" s="1661"/>
      <c r="AT307" s="1661"/>
      <c r="AU307" s="1662"/>
      <c r="AV307" s="843"/>
      <c r="AW307" s="842"/>
      <c r="AX307" s="842"/>
      <c r="AY307" s="842"/>
      <c r="AZ307" s="842"/>
      <c r="BA307" s="842"/>
      <c r="BB307" s="842"/>
      <c r="BC307" s="842"/>
      <c r="BD307" s="842"/>
      <c r="BE307" s="842"/>
      <c r="BF307" s="842"/>
      <c r="BG307" s="842"/>
      <c r="BH307" s="842"/>
      <c r="BI307" s="842"/>
      <c r="BJ307" s="842"/>
      <c r="BK307" s="844"/>
      <c r="BL307" s="1327"/>
      <c r="BM307" s="1328"/>
      <c r="BN307" s="1328"/>
      <c r="BO307" s="1328"/>
      <c r="BP307" s="1389"/>
      <c r="BQ307" s="1369"/>
      <c r="BR307" s="1319"/>
      <c r="BS307" s="1319"/>
      <c r="BT307" s="1319"/>
      <c r="BU307" s="1320"/>
      <c r="BV307" s="1369"/>
      <c r="BW307" s="1319"/>
      <c r="BX307" s="1319"/>
      <c r="BY307" s="1319"/>
      <c r="BZ307" s="1319"/>
      <c r="CA307" s="1369"/>
      <c r="CB307" s="1319"/>
      <c r="CC307" s="1319"/>
      <c r="CD307" s="1319"/>
      <c r="CE307" s="1320"/>
      <c r="CF307" s="1319"/>
      <c r="CG307" s="1319"/>
      <c r="CH307" s="1319"/>
      <c r="CI307" s="1319"/>
      <c r="CJ307" s="1319"/>
      <c r="CK307" s="1369"/>
      <c r="CL307" s="1319"/>
      <c r="CM307" s="1319"/>
      <c r="CN307" s="1319"/>
      <c r="CO307" s="1320"/>
      <c r="CP307" s="1369"/>
      <c r="CQ307" s="1319"/>
      <c r="CR307" s="1319"/>
      <c r="CS307" s="1319"/>
      <c r="CT307" s="1320"/>
      <c r="CU307" s="1467"/>
      <c r="CV307" s="1458"/>
      <c r="CW307" s="1458"/>
      <c r="CX307" s="1663"/>
      <c r="CY307" s="1458"/>
      <c r="CZ307" s="1458"/>
      <c r="DA307" s="1458"/>
      <c r="DB307" s="1663"/>
      <c r="DC307" s="1328"/>
      <c r="DD307" s="1664"/>
      <c r="DE307" s="1669"/>
    </row>
    <row r="308" spans="1:109" ht="15.75" hidden="1" customHeight="1">
      <c r="A308" s="741" t="s">
        <v>1185</v>
      </c>
      <c r="B308" s="742">
        <v>302</v>
      </c>
      <c r="C308" s="758" t="s">
        <v>1204</v>
      </c>
      <c r="D308" s="742" t="s">
        <v>3240</v>
      </c>
      <c r="E308" s="742" t="s">
        <v>3127</v>
      </c>
      <c r="F308" s="754" t="s">
        <v>3259</v>
      </c>
      <c r="G308" s="759" t="s">
        <v>203</v>
      </c>
      <c r="H308" s="760" t="s">
        <v>3260</v>
      </c>
      <c r="I308" s="761"/>
      <c r="J308" s="762">
        <v>1</v>
      </c>
      <c r="K308" s="762"/>
      <c r="L308" s="762"/>
      <c r="M308" s="762"/>
      <c r="N308" s="762"/>
      <c r="O308" s="762"/>
      <c r="P308" s="763"/>
      <c r="Q308" s="764">
        <f t="shared" si="4"/>
        <v>1</v>
      </c>
      <c r="R308" s="758" t="s">
        <v>1852</v>
      </c>
      <c r="S308" s="742" t="s">
        <v>1826</v>
      </c>
      <c r="T308" s="765" t="s">
        <v>1827</v>
      </c>
      <c r="U308" s="742" t="s">
        <v>3261</v>
      </c>
      <c r="V308" s="742" t="s">
        <v>1857</v>
      </c>
      <c r="W308" s="742" t="s">
        <v>3262</v>
      </c>
      <c r="X308" s="1243">
        <v>1</v>
      </c>
      <c r="Y308" s="788" t="s">
        <v>1838</v>
      </c>
      <c r="Z308" s="759" t="s">
        <v>203</v>
      </c>
      <c r="AA308" s="754"/>
      <c r="AB308" s="754"/>
      <c r="AC308" s="754"/>
      <c r="AD308" s="754"/>
      <c r="AE308" s="754"/>
      <c r="AF308" s="768"/>
      <c r="AG308" s="769"/>
      <c r="AH308" s="769"/>
      <c r="AI308" s="769"/>
      <c r="AJ308" s="769"/>
      <c r="AK308" s="769"/>
      <c r="AL308" s="769"/>
      <c r="AM308" s="769"/>
      <c r="AN308" s="769"/>
      <c r="AO308" s="769"/>
      <c r="AP308" s="769"/>
      <c r="AQ308" s="1370"/>
      <c r="AR308" s="1324"/>
      <c r="AS308" s="1324"/>
      <c r="AT308" s="1324"/>
      <c r="AU308" s="1325"/>
      <c r="AV308" s="777"/>
      <c r="AW308" s="769"/>
      <c r="AX308" s="769"/>
      <c r="AY308" s="769"/>
      <c r="AZ308" s="769"/>
      <c r="BA308" s="769"/>
      <c r="BB308" s="769"/>
      <c r="BC308" s="769"/>
      <c r="BD308" s="769"/>
      <c r="BE308" s="769"/>
      <c r="BF308" s="769"/>
      <c r="BG308" s="769"/>
      <c r="BH308" s="769"/>
      <c r="BI308" s="769"/>
      <c r="BJ308" s="769"/>
      <c r="BK308" s="774"/>
      <c r="BL308" s="1327"/>
      <c r="BM308" s="1328"/>
      <c r="BN308" s="1328"/>
      <c r="BO308" s="1328"/>
      <c r="BP308" s="1389"/>
      <c r="BQ308" s="1369"/>
      <c r="BR308" s="1319"/>
      <c r="BS308" s="1319"/>
      <c r="BT308" s="1319"/>
      <c r="BU308" s="1320"/>
      <c r="BV308" s="1370"/>
      <c r="BW308" s="1324"/>
      <c r="BX308" s="1324"/>
      <c r="BY308" s="1324"/>
      <c r="BZ308" s="1324"/>
      <c r="CA308" s="1369"/>
      <c r="CB308" s="1319"/>
      <c r="CC308" s="1319"/>
      <c r="CD308" s="1319"/>
      <c r="CE308" s="1320"/>
      <c r="CF308" s="1319"/>
      <c r="CG308" s="1319"/>
      <c r="CH308" s="1319"/>
      <c r="CI308" s="1319"/>
      <c r="CJ308" s="1320"/>
      <c r="CK308" s="1369"/>
      <c r="CL308" s="1319"/>
      <c r="CM308" s="1319"/>
      <c r="CN308" s="1319"/>
      <c r="CO308" s="1320"/>
      <c r="CP308" s="1369"/>
      <c r="CQ308" s="1319"/>
      <c r="CR308" s="1319"/>
      <c r="CS308" s="1319"/>
      <c r="CT308" s="1320"/>
      <c r="CU308" s="1467"/>
      <c r="CV308" s="1458"/>
      <c r="CW308" s="1458"/>
      <c r="CX308" s="1663"/>
      <c r="CY308" s="1458"/>
      <c r="CZ308" s="1458"/>
      <c r="DA308" s="1458"/>
      <c r="DB308" s="1663"/>
      <c r="DC308" s="1328"/>
      <c r="DD308" s="1664"/>
      <c r="DE308" s="1669"/>
    </row>
    <row r="309" spans="1:109" ht="15.75" hidden="1" customHeight="1">
      <c r="A309" s="741" t="s">
        <v>1185</v>
      </c>
      <c r="B309" s="742">
        <v>303</v>
      </c>
      <c r="C309" s="758" t="s">
        <v>1205</v>
      </c>
      <c r="D309" s="742" t="s">
        <v>3240</v>
      </c>
      <c r="E309" s="742" t="s">
        <v>3142</v>
      </c>
      <c r="F309" s="754" t="s">
        <v>3263</v>
      </c>
      <c r="G309" s="759" t="s">
        <v>209</v>
      </c>
      <c r="H309" s="760" t="s">
        <v>3264</v>
      </c>
      <c r="I309" s="761"/>
      <c r="J309" s="762">
        <v>1</v>
      </c>
      <c r="K309" s="762"/>
      <c r="L309" s="762"/>
      <c r="M309" s="762"/>
      <c r="N309" s="762"/>
      <c r="O309" s="762"/>
      <c r="P309" s="763"/>
      <c r="Q309" s="764">
        <f t="shared" si="4"/>
        <v>1</v>
      </c>
      <c r="R309" s="758" t="s">
        <v>1846</v>
      </c>
      <c r="S309" s="742" t="s">
        <v>1826</v>
      </c>
      <c r="T309" s="765" t="s">
        <v>1827</v>
      </c>
      <c r="U309" s="742" t="s">
        <v>3265</v>
      </c>
      <c r="V309" s="742" t="s">
        <v>321</v>
      </c>
      <c r="W309" s="742" t="s">
        <v>2397</v>
      </c>
      <c r="X309" s="1243">
        <v>2</v>
      </c>
      <c r="Y309" s="788" t="s">
        <v>1838</v>
      </c>
      <c r="Z309" s="759" t="s">
        <v>209</v>
      </c>
      <c r="AA309" s="754"/>
      <c r="AB309" s="754"/>
      <c r="AC309" s="754"/>
      <c r="AD309" s="754"/>
      <c r="AE309" s="754"/>
      <c r="AF309" s="768"/>
      <c r="AG309" s="769"/>
      <c r="AH309" s="769"/>
      <c r="AI309" s="769"/>
      <c r="AJ309" s="769"/>
      <c r="AK309" s="769"/>
      <c r="AL309" s="769"/>
      <c r="AM309" s="769"/>
      <c r="AN309" s="769"/>
      <c r="AO309" s="769"/>
      <c r="AP309" s="769"/>
      <c r="AQ309" s="1370"/>
      <c r="AR309" s="1324"/>
      <c r="AS309" s="1324"/>
      <c r="AT309" s="1324"/>
      <c r="AU309" s="1325"/>
      <c r="AV309" s="777"/>
      <c r="AW309" s="769"/>
      <c r="AX309" s="769"/>
      <c r="AY309" s="769"/>
      <c r="AZ309" s="769"/>
      <c r="BA309" s="769"/>
      <c r="BB309" s="769"/>
      <c r="BC309" s="769"/>
      <c r="BD309" s="769"/>
      <c r="BE309" s="769"/>
      <c r="BF309" s="769"/>
      <c r="BG309" s="769"/>
      <c r="BH309" s="769"/>
      <c r="BI309" s="769"/>
      <c r="BJ309" s="769"/>
      <c r="BK309" s="774"/>
      <c r="BL309" s="1327"/>
      <c r="BM309" s="1328"/>
      <c r="BN309" s="1328"/>
      <c r="BO309" s="1328"/>
      <c r="BP309" s="1389"/>
      <c r="BQ309" s="1369"/>
      <c r="BR309" s="1319"/>
      <c r="BS309" s="1319"/>
      <c r="BT309" s="1319"/>
      <c r="BU309" s="1320"/>
      <c r="BV309" s="1369"/>
      <c r="BW309" s="1319"/>
      <c r="BX309" s="1319"/>
      <c r="BY309" s="1319"/>
      <c r="BZ309" s="1319"/>
      <c r="CA309" s="1369"/>
      <c r="CB309" s="1319"/>
      <c r="CC309" s="1319"/>
      <c r="CD309" s="1319"/>
      <c r="CE309" s="1320"/>
      <c r="CF309" s="1319"/>
      <c r="CG309" s="1319"/>
      <c r="CH309" s="1319"/>
      <c r="CI309" s="1319"/>
      <c r="CJ309" s="1320"/>
      <c r="CK309" s="1369"/>
      <c r="CL309" s="1319"/>
      <c r="CM309" s="1319"/>
      <c r="CN309" s="1319"/>
      <c r="CO309" s="1320"/>
      <c r="CP309" s="1369"/>
      <c r="CQ309" s="1319"/>
      <c r="CR309" s="1319"/>
      <c r="CS309" s="1319"/>
      <c r="CT309" s="1320"/>
      <c r="CU309" s="1467"/>
      <c r="CV309" s="1458"/>
      <c r="CW309" s="1458"/>
      <c r="CX309" s="1663"/>
      <c r="CY309" s="1458"/>
      <c r="CZ309" s="1458"/>
      <c r="DA309" s="1458"/>
      <c r="DB309" s="1663"/>
      <c r="DC309" s="1328"/>
      <c r="DD309" s="1664"/>
      <c r="DE309" s="1669"/>
    </row>
    <row r="310" spans="1:109" ht="15.75" hidden="1" customHeight="1">
      <c r="A310" s="741" t="s">
        <v>1185</v>
      </c>
      <c r="B310" s="742">
        <v>304</v>
      </c>
      <c r="C310" s="758" t="s">
        <v>1138</v>
      </c>
      <c r="D310" s="742" t="s">
        <v>3240</v>
      </c>
      <c r="E310" s="742" t="s">
        <v>3127</v>
      </c>
      <c r="F310" s="754" t="s">
        <v>3266</v>
      </c>
      <c r="G310" s="759" t="s">
        <v>795</v>
      </c>
      <c r="H310" s="760" t="s">
        <v>3267</v>
      </c>
      <c r="I310" s="761"/>
      <c r="J310" s="762"/>
      <c r="K310" s="762">
        <v>1</v>
      </c>
      <c r="L310" s="762"/>
      <c r="M310" s="762"/>
      <c r="N310" s="762"/>
      <c r="O310" s="762"/>
      <c r="P310" s="763"/>
      <c r="Q310" s="764">
        <f t="shared" si="4"/>
        <v>1</v>
      </c>
      <c r="R310" s="758" t="s">
        <v>1846</v>
      </c>
      <c r="S310" s="742" t="s">
        <v>1826</v>
      </c>
      <c r="T310" s="765" t="s">
        <v>1827</v>
      </c>
      <c r="U310" s="742" t="s">
        <v>3268</v>
      </c>
      <c r="V310" s="742" t="s">
        <v>1857</v>
      </c>
      <c r="W310" s="742" t="s">
        <v>3269</v>
      </c>
      <c r="X310" s="798">
        <v>2</v>
      </c>
      <c r="Y310" s="788" t="s">
        <v>1838</v>
      </c>
      <c r="Z310" s="759" t="s">
        <v>795</v>
      </c>
      <c r="AA310" s="754"/>
      <c r="AB310" s="754"/>
      <c r="AC310" s="754"/>
      <c r="AD310" s="754"/>
      <c r="AE310" s="754"/>
      <c r="AF310" s="768"/>
      <c r="AG310" s="776"/>
      <c r="AH310" s="776"/>
      <c r="AI310" s="776"/>
      <c r="AJ310" s="776"/>
      <c r="AK310" s="776"/>
      <c r="AL310" s="776"/>
      <c r="AM310" s="776"/>
      <c r="AN310" s="776"/>
      <c r="AO310" s="776"/>
      <c r="AP310" s="776"/>
      <c r="AQ310" s="1370"/>
      <c r="AR310" s="1324"/>
      <c r="AS310" s="1324"/>
      <c r="AT310" s="1324"/>
      <c r="AU310" s="1325"/>
      <c r="AV310" s="775"/>
      <c r="AW310" s="776"/>
      <c r="AX310" s="776"/>
      <c r="AY310" s="776"/>
      <c r="AZ310" s="776"/>
      <c r="BA310" s="776"/>
      <c r="BB310" s="776"/>
      <c r="BC310" s="776"/>
      <c r="BD310" s="776"/>
      <c r="BE310" s="776"/>
      <c r="BF310" s="776"/>
      <c r="BG310" s="776"/>
      <c r="BH310" s="776"/>
      <c r="BI310" s="776"/>
      <c r="BJ310" s="776"/>
      <c r="BK310" s="789"/>
      <c r="BL310" s="1327"/>
      <c r="BM310" s="1328"/>
      <c r="BN310" s="1328"/>
      <c r="BO310" s="1328"/>
      <c r="BP310" s="1389"/>
      <c r="BQ310" s="1369"/>
      <c r="BR310" s="1319"/>
      <c r="BS310" s="1319"/>
      <c r="BT310" s="1319"/>
      <c r="BU310" s="1320"/>
      <c r="BV310" s="1369"/>
      <c r="BW310" s="1319"/>
      <c r="BX310" s="1319"/>
      <c r="BY310" s="1319"/>
      <c r="BZ310" s="1319"/>
      <c r="CA310" s="1369"/>
      <c r="CB310" s="1319"/>
      <c r="CC310" s="1319"/>
      <c r="CD310" s="1319"/>
      <c r="CE310" s="1320"/>
      <c r="CF310" s="1319"/>
      <c r="CG310" s="1319"/>
      <c r="CH310" s="1319"/>
      <c r="CI310" s="1319"/>
      <c r="CJ310" s="1320"/>
      <c r="CK310" s="1369"/>
      <c r="CL310" s="1319"/>
      <c r="CM310" s="1319"/>
      <c r="CN310" s="1319"/>
      <c r="CO310" s="1320"/>
      <c r="CP310" s="1369"/>
      <c r="CQ310" s="1319"/>
      <c r="CR310" s="1319"/>
      <c r="CS310" s="1319"/>
      <c r="CT310" s="1320"/>
      <c r="CU310" s="1467"/>
      <c r="CV310" s="1458"/>
      <c r="CW310" s="1458"/>
      <c r="CX310" s="1663"/>
      <c r="CY310" s="1458"/>
      <c r="CZ310" s="1458"/>
      <c r="DA310" s="1458"/>
      <c r="DB310" s="1663"/>
      <c r="DC310" s="1328"/>
      <c r="DD310" s="1664"/>
      <c r="DE310" s="1669"/>
    </row>
    <row r="311" spans="1:109" ht="15.75" hidden="1" customHeight="1">
      <c r="A311" s="741" t="s">
        <v>1185</v>
      </c>
      <c r="B311" s="742">
        <v>305</v>
      </c>
      <c r="C311" s="758" t="s">
        <v>1139</v>
      </c>
      <c r="D311" s="742" t="s">
        <v>3240</v>
      </c>
      <c r="E311" s="742" t="s">
        <v>3127</v>
      </c>
      <c r="F311" s="754" t="s">
        <v>3270</v>
      </c>
      <c r="G311" s="759" t="s">
        <v>1085</v>
      </c>
      <c r="H311" s="760" t="s">
        <v>3271</v>
      </c>
      <c r="I311" s="761"/>
      <c r="J311" s="762"/>
      <c r="K311" s="762">
        <v>1</v>
      </c>
      <c r="L311" s="762"/>
      <c r="M311" s="762"/>
      <c r="N311" s="762"/>
      <c r="O311" s="762"/>
      <c r="P311" s="763"/>
      <c r="Q311" s="764">
        <f t="shared" si="4"/>
        <v>1</v>
      </c>
      <c r="R311" s="758" t="s">
        <v>1846</v>
      </c>
      <c r="S311" s="742" t="s">
        <v>1826</v>
      </c>
      <c r="T311" s="765" t="s">
        <v>1827</v>
      </c>
      <c r="U311" s="742" t="s">
        <v>3272</v>
      </c>
      <c r="V311" s="742" t="s">
        <v>321</v>
      </c>
      <c r="W311" s="742" t="s">
        <v>3273</v>
      </c>
      <c r="X311" s="798">
        <v>2</v>
      </c>
      <c r="Y311" s="790" t="s">
        <v>1828</v>
      </c>
      <c r="Z311" s="759" t="s">
        <v>1085</v>
      </c>
      <c r="AA311" s="754"/>
      <c r="AB311" s="754"/>
      <c r="AC311" s="754"/>
      <c r="AD311" s="754"/>
      <c r="AE311" s="754"/>
      <c r="AF311" s="768"/>
      <c r="AG311" s="769"/>
      <c r="AH311" s="769"/>
      <c r="AI311" s="769"/>
      <c r="AJ311" s="769"/>
      <c r="AK311" s="769"/>
      <c r="AL311" s="769"/>
      <c r="AM311" s="769"/>
      <c r="AN311" s="769"/>
      <c r="AO311" s="769"/>
      <c r="AP311" s="769"/>
      <c r="AQ311" s="1369"/>
      <c r="AR311" s="1319"/>
      <c r="AS311" s="1319"/>
      <c r="AT311" s="1319"/>
      <c r="AU311" s="1320"/>
      <c r="AV311" s="777"/>
      <c r="AW311" s="769"/>
      <c r="AX311" s="769"/>
      <c r="AY311" s="769"/>
      <c r="AZ311" s="769"/>
      <c r="BA311" s="769"/>
      <c r="BB311" s="769"/>
      <c r="BC311" s="769"/>
      <c r="BD311" s="769"/>
      <c r="BE311" s="769"/>
      <c r="BF311" s="769"/>
      <c r="BG311" s="769"/>
      <c r="BH311" s="769"/>
      <c r="BI311" s="769"/>
      <c r="BJ311" s="769"/>
      <c r="BK311" s="774"/>
      <c r="BL311" s="1327"/>
      <c r="BM311" s="1328"/>
      <c r="BN311" s="1328"/>
      <c r="BO311" s="1328"/>
      <c r="BP311" s="1389"/>
      <c r="BQ311" s="1369"/>
      <c r="BR311" s="1319"/>
      <c r="BS311" s="1319"/>
      <c r="BT311" s="1319"/>
      <c r="BU311" s="1320"/>
      <c r="BV311" s="1369"/>
      <c r="BW311" s="1319"/>
      <c r="BX311" s="1319"/>
      <c r="BY311" s="1319"/>
      <c r="BZ311" s="1319"/>
      <c r="CA311" s="1369"/>
      <c r="CB311" s="1319"/>
      <c r="CC311" s="1319"/>
      <c r="CD311" s="1319"/>
      <c r="CE311" s="1320"/>
      <c r="CF311" s="1319"/>
      <c r="CG311" s="1319"/>
      <c r="CH311" s="1319"/>
      <c r="CI311" s="1319"/>
      <c r="CJ311" s="1320"/>
      <c r="CK311" s="1369"/>
      <c r="CL311" s="1319"/>
      <c r="CM311" s="1319"/>
      <c r="CN311" s="1319"/>
      <c r="CO311" s="1320"/>
      <c r="CP311" s="1369"/>
      <c r="CQ311" s="1319"/>
      <c r="CR311" s="1319"/>
      <c r="CS311" s="1319"/>
      <c r="CT311" s="1320"/>
      <c r="CU311" s="1467"/>
      <c r="CV311" s="1458"/>
      <c r="CW311" s="1458"/>
      <c r="CX311" s="1663"/>
      <c r="CY311" s="1458"/>
      <c r="CZ311" s="1458"/>
      <c r="DA311" s="1458"/>
      <c r="DB311" s="1663"/>
      <c r="DC311" s="1328"/>
      <c r="DD311" s="1664"/>
      <c r="DE311" s="1669"/>
    </row>
    <row r="312" spans="1:109" ht="15.75" hidden="1" customHeight="1">
      <c r="A312" s="741" t="s">
        <v>1185</v>
      </c>
      <c r="B312" s="742">
        <v>306</v>
      </c>
      <c r="C312" s="758" t="s">
        <v>1688</v>
      </c>
      <c r="D312" s="742" t="s">
        <v>3240</v>
      </c>
      <c r="E312" s="742" t="s">
        <v>3142</v>
      </c>
      <c r="F312" s="754" t="s">
        <v>3274</v>
      </c>
      <c r="G312" s="759" t="s">
        <v>3275</v>
      </c>
      <c r="H312" s="760" t="s">
        <v>3276</v>
      </c>
      <c r="I312" s="761"/>
      <c r="J312" s="762">
        <v>1</v>
      </c>
      <c r="K312" s="762"/>
      <c r="L312" s="762"/>
      <c r="M312" s="762"/>
      <c r="N312" s="762"/>
      <c r="O312" s="762"/>
      <c r="P312" s="763"/>
      <c r="Q312" s="764">
        <f t="shared" si="4"/>
        <v>1</v>
      </c>
      <c r="R312" s="758" t="s">
        <v>1825</v>
      </c>
      <c r="S312" s="742"/>
      <c r="T312" s="765"/>
      <c r="U312" s="742" t="s">
        <v>3254</v>
      </c>
      <c r="V312" s="742" t="s">
        <v>1857</v>
      </c>
      <c r="W312" s="742" t="s">
        <v>3277</v>
      </c>
      <c r="X312" s="798">
        <v>0</v>
      </c>
      <c r="Y312" s="788" t="s">
        <v>1838</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2260</v>
      </c>
      <c r="BR312" s="769" t="s">
        <v>2260</v>
      </c>
      <c r="BS312" s="769" t="s">
        <v>2260</v>
      </c>
      <c r="BT312" s="769" t="s">
        <v>2260</v>
      </c>
      <c r="BU312" s="774" t="s">
        <v>2260</v>
      </c>
      <c r="BV312" s="777" t="s">
        <v>2260</v>
      </c>
      <c r="BW312" s="769" t="s">
        <v>2260</v>
      </c>
      <c r="BX312" s="769" t="s">
        <v>2260</v>
      </c>
      <c r="BY312" s="769" t="s">
        <v>2260</v>
      </c>
      <c r="BZ312" s="769" t="s">
        <v>2260</v>
      </c>
      <c r="CA312" s="777" t="s">
        <v>2260</v>
      </c>
      <c r="CB312" s="769" t="s">
        <v>2260</v>
      </c>
      <c r="CC312" s="769" t="s">
        <v>2260</v>
      </c>
      <c r="CD312" s="769" t="s">
        <v>2260</v>
      </c>
      <c r="CE312" s="774" t="s">
        <v>2260</v>
      </c>
      <c r="CF312" s="769" t="s">
        <v>2260</v>
      </c>
      <c r="CG312" s="769" t="s">
        <v>2260</v>
      </c>
      <c r="CH312" s="769" t="s">
        <v>2260</v>
      </c>
      <c r="CI312" s="769" t="s">
        <v>2260</v>
      </c>
      <c r="CJ312" s="774" t="s">
        <v>2260</v>
      </c>
      <c r="CK312" s="777" t="s">
        <v>2260</v>
      </c>
      <c r="CL312" s="769" t="s">
        <v>2260</v>
      </c>
      <c r="CM312" s="769" t="s">
        <v>2260</v>
      </c>
      <c r="CN312" s="769" t="s">
        <v>2260</v>
      </c>
      <c r="CO312" s="774" t="s">
        <v>2260</v>
      </c>
      <c r="CP312" s="777" t="s">
        <v>2260</v>
      </c>
      <c r="CQ312" s="769" t="s">
        <v>2260</v>
      </c>
      <c r="CR312" s="769" t="s">
        <v>2260</v>
      </c>
      <c r="CS312" s="769" t="s">
        <v>2260</v>
      </c>
      <c r="CT312" s="774" t="s">
        <v>2260</v>
      </c>
      <c r="CU312" s="1253" t="s">
        <v>2260</v>
      </c>
      <c r="CV312" s="1252" t="s">
        <v>2260</v>
      </c>
      <c r="CW312" s="1252" t="s">
        <v>2260</v>
      </c>
      <c r="CX312" s="1254" t="s">
        <v>2260</v>
      </c>
      <c r="CY312" s="1252" t="s">
        <v>2260</v>
      </c>
      <c r="CZ312" s="1252" t="s">
        <v>2260</v>
      </c>
      <c r="DA312" s="1252" t="s">
        <v>2260</v>
      </c>
      <c r="DB312" s="1254" t="s">
        <v>2260</v>
      </c>
      <c r="DC312" s="754"/>
      <c r="DD312" s="782">
        <v>1</v>
      </c>
      <c r="DE312" s="783"/>
    </row>
    <row r="313" spans="1:109" ht="15.75" hidden="1" customHeight="1">
      <c r="A313" s="741" t="s">
        <v>1185</v>
      </c>
      <c r="B313" s="742">
        <v>307</v>
      </c>
      <c r="C313" s="758" t="s">
        <v>1414</v>
      </c>
      <c r="D313" s="742" t="s">
        <v>3240</v>
      </c>
      <c r="E313" s="742" t="s">
        <v>3278</v>
      </c>
      <c r="F313" s="754" t="s">
        <v>3279</v>
      </c>
      <c r="G313" s="759" t="s">
        <v>2293</v>
      </c>
      <c r="H313" s="760" t="s">
        <v>3280</v>
      </c>
      <c r="I313" s="761"/>
      <c r="J313" s="762">
        <v>1</v>
      </c>
      <c r="K313" s="762"/>
      <c r="L313" s="762"/>
      <c r="M313" s="762"/>
      <c r="N313" s="762"/>
      <c r="O313" s="762"/>
      <c r="P313" s="763"/>
      <c r="Q313" s="764">
        <f t="shared" si="4"/>
        <v>1</v>
      </c>
      <c r="R313" s="758" t="s">
        <v>1846</v>
      </c>
      <c r="S313" s="742" t="s">
        <v>1826</v>
      </c>
      <c r="T313" s="765" t="s">
        <v>1827</v>
      </c>
      <c r="U313" s="742" t="s">
        <v>3281</v>
      </c>
      <c r="V313" s="742" t="s">
        <v>1857</v>
      </c>
      <c r="W313" s="742" t="s">
        <v>3282</v>
      </c>
      <c r="X313" s="798">
        <v>0</v>
      </c>
      <c r="Y313" s="791" t="s">
        <v>1838</v>
      </c>
      <c r="Z313" s="759" t="s">
        <v>2297</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210</v>
      </c>
      <c r="BM313" s="754" t="s">
        <v>210</v>
      </c>
      <c r="BN313" s="754" t="s">
        <v>210</v>
      </c>
      <c r="BO313" s="754" t="s">
        <v>210</v>
      </c>
      <c r="BP313" s="765" t="s">
        <v>210</v>
      </c>
      <c r="BQ313" s="777" t="s">
        <v>2260</v>
      </c>
      <c r="BR313" s="769" t="s">
        <v>2260</v>
      </c>
      <c r="BS313" s="769" t="s">
        <v>2260</v>
      </c>
      <c r="BT313" s="769" t="s">
        <v>2260</v>
      </c>
      <c r="BU313" s="774" t="s">
        <v>2260</v>
      </c>
      <c r="BV313" s="777" t="s">
        <v>2260</v>
      </c>
      <c r="BW313" s="769" t="s">
        <v>2260</v>
      </c>
      <c r="BX313" s="769" t="s">
        <v>2260</v>
      </c>
      <c r="BY313" s="769" t="s">
        <v>2260</v>
      </c>
      <c r="BZ313" s="769" t="s">
        <v>2260</v>
      </c>
      <c r="CA313" s="777" t="s">
        <v>2260</v>
      </c>
      <c r="CB313" s="769" t="s">
        <v>2260</v>
      </c>
      <c r="CC313" s="769" t="s">
        <v>2260</v>
      </c>
      <c r="CD313" s="769" t="s">
        <v>2260</v>
      </c>
      <c r="CE313" s="774" t="s">
        <v>2260</v>
      </c>
      <c r="CF313" s="769" t="s">
        <v>2260</v>
      </c>
      <c r="CG313" s="769" t="s">
        <v>2260</v>
      </c>
      <c r="CH313" s="769" t="s">
        <v>2260</v>
      </c>
      <c r="CI313" s="769" t="s">
        <v>2260</v>
      </c>
      <c r="CJ313" s="774" t="s">
        <v>2260</v>
      </c>
      <c r="CK313" s="777" t="s">
        <v>2260</v>
      </c>
      <c r="CL313" s="769" t="s">
        <v>2260</v>
      </c>
      <c r="CM313" s="769" t="s">
        <v>2260</v>
      </c>
      <c r="CN313" s="769" t="s">
        <v>2260</v>
      </c>
      <c r="CO313" s="774" t="s">
        <v>2260</v>
      </c>
      <c r="CP313" s="777" t="s">
        <v>2260</v>
      </c>
      <c r="CQ313" s="769" t="s">
        <v>2260</v>
      </c>
      <c r="CR313" s="769" t="s">
        <v>2260</v>
      </c>
      <c r="CS313" s="769" t="s">
        <v>2260</v>
      </c>
      <c r="CT313" s="774" t="s">
        <v>2260</v>
      </c>
      <c r="CU313" s="1253">
        <v>-1.73E-3</v>
      </c>
      <c r="CV313" s="1252" t="s">
        <v>2260</v>
      </c>
      <c r="CW313" s="1252" t="s">
        <v>2260</v>
      </c>
      <c r="CX313" s="1254" t="s">
        <v>2260</v>
      </c>
      <c r="CY313" s="1252" t="s">
        <v>2260</v>
      </c>
      <c r="CZ313" s="1252" t="s">
        <v>2260</v>
      </c>
      <c r="DA313" s="1252" t="s">
        <v>2260</v>
      </c>
      <c r="DB313" s="1254" t="s">
        <v>2260</v>
      </c>
      <c r="DC313" s="754"/>
      <c r="DD313" s="782">
        <v>1</v>
      </c>
      <c r="DE313" s="783"/>
    </row>
    <row r="314" spans="1:109" ht="15.75" hidden="1" customHeight="1">
      <c r="A314" s="741" t="s">
        <v>1185</v>
      </c>
      <c r="B314" s="742">
        <v>308</v>
      </c>
      <c r="C314" s="758" t="s">
        <v>1574</v>
      </c>
      <c r="D314" s="742" t="s">
        <v>3240</v>
      </c>
      <c r="E314" s="742" t="s">
        <v>3127</v>
      </c>
      <c r="F314" s="754" t="s">
        <v>3283</v>
      </c>
      <c r="G314" s="759" t="s">
        <v>2381</v>
      </c>
      <c r="H314" s="760" t="s">
        <v>3284</v>
      </c>
      <c r="I314" s="761"/>
      <c r="J314" s="762"/>
      <c r="K314" s="762">
        <v>1</v>
      </c>
      <c r="L314" s="762"/>
      <c r="M314" s="762"/>
      <c r="N314" s="762"/>
      <c r="O314" s="762"/>
      <c r="P314" s="763"/>
      <c r="Q314" s="764">
        <f t="shared" si="4"/>
        <v>1</v>
      </c>
      <c r="R314" s="758" t="s">
        <v>1852</v>
      </c>
      <c r="S314" s="742" t="s">
        <v>1826</v>
      </c>
      <c r="T314" s="765" t="s">
        <v>1827</v>
      </c>
      <c r="U314" s="742" t="s">
        <v>3229</v>
      </c>
      <c r="V314" s="742" t="s">
        <v>1857</v>
      </c>
      <c r="W314" s="742" t="s">
        <v>3285</v>
      </c>
      <c r="X314" s="798">
        <v>0</v>
      </c>
      <c r="Y314" s="795" t="s">
        <v>1838</v>
      </c>
      <c r="Z314" s="759" t="s">
        <v>2381</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210</v>
      </c>
      <c r="BM314" s="754" t="s">
        <v>210</v>
      </c>
      <c r="BN314" s="754" t="s">
        <v>210</v>
      </c>
      <c r="BO314" s="754" t="s">
        <v>210</v>
      </c>
      <c r="BP314" s="765" t="s">
        <v>210</v>
      </c>
      <c r="BQ314" s="777" t="s">
        <v>2260</v>
      </c>
      <c r="BR314" s="769" t="s">
        <v>2260</v>
      </c>
      <c r="BS314" s="769" t="s">
        <v>2260</v>
      </c>
      <c r="BT314" s="769" t="s">
        <v>2260</v>
      </c>
      <c r="BU314" s="774" t="s">
        <v>2260</v>
      </c>
      <c r="BV314" s="777">
        <v>6618</v>
      </c>
      <c r="BW314" s="769">
        <v>6618</v>
      </c>
      <c r="BX314" s="769">
        <v>6618</v>
      </c>
      <c r="BY314" s="769">
        <v>6618</v>
      </c>
      <c r="BZ314" s="769">
        <v>6618</v>
      </c>
      <c r="CA314" s="777" t="s">
        <v>2260</v>
      </c>
      <c r="CB314" s="769" t="s">
        <v>2260</v>
      </c>
      <c r="CC314" s="769" t="s">
        <v>2260</v>
      </c>
      <c r="CD314" s="769" t="s">
        <v>2260</v>
      </c>
      <c r="CE314" s="774" t="s">
        <v>2260</v>
      </c>
      <c r="CF314" s="769" t="s">
        <v>2260</v>
      </c>
      <c r="CG314" s="769" t="s">
        <v>2260</v>
      </c>
      <c r="CH314" s="769" t="s">
        <v>2260</v>
      </c>
      <c r="CI314" s="769" t="s">
        <v>2260</v>
      </c>
      <c r="CJ314" s="774" t="s">
        <v>2260</v>
      </c>
      <c r="CK314" s="777">
        <v>4010</v>
      </c>
      <c r="CL314" s="769">
        <v>3776</v>
      </c>
      <c r="CM314" s="769">
        <v>3533</v>
      </c>
      <c r="CN314" s="769">
        <v>3348</v>
      </c>
      <c r="CO314" s="774">
        <v>3171</v>
      </c>
      <c r="CP314" s="777" t="s">
        <v>2260</v>
      </c>
      <c r="CQ314" s="769" t="s">
        <v>2260</v>
      </c>
      <c r="CR314" s="769" t="s">
        <v>2260</v>
      </c>
      <c r="CS314" s="769" t="s">
        <v>2260</v>
      </c>
      <c r="CT314" s="774" t="s">
        <v>2260</v>
      </c>
      <c r="CU314" s="1253">
        <v>-7.2700000000000004E-3</v>
      </c>
      <c r="CV314" s="1252" t="s">
        <v>2260</v>
      </c>
      <c r="CW314" s="1252" t="s">
        <v>2260</v>
      </c>
      <c r="CX314" s="1254" t="s">
        <v>2260</v>
      </c>
      <c r="CY314" s="1252">
        <v>4.81E-3</v>
      </c>
      <c r="CZ314" s="1252" t="s">
        <v>2260</v>
      </c>
      <c r="DA314" s="1252" t="s">
        <v>2260</v>
      </c>
      <c r="DB314" s="1254" t="s">
        <v>2260</v>
      </c>
      <c r="DC314" s="754"/>
      <c r="DD314" s="782">
        <v>1</v>
      </c>
      <c r="DE314" s="783"/>
    </row>
    <row r="315" spans="1:109" ht="15.75" hidden="1" customHeight="1">
      <c r="A315" s="741" t="s">
        <v>1185</v>
      </c>
      <c r="B315" s="742">
        <v>309</v>
      </c>
      <c r="C315" s="758" t="s">
        <v>1699</v>
      </c>
      <c r="D315" s="742" t="s">
        <v>3162</v>
      </c>
      <c r="E315" s="742" t="s">
        <v>3142</v>
      </c>
      <c r="F315" s="754" t="s">
        <v>3286</v>
      </c>
      <c r="G315" s="759" t="s">
        <v>3287</v>
      </c>
      <c r="H315" s="760" t="s">
        <v>3288</v>
      </c>
      <c r="I315" s="761"/>
      <c r="J315" s="762"/>
      <c r="K315" s="762">
        <v>1</v>
      </c>
      <c r="L315" s="762"/>
      <c r="M315" s="762"/>
      <c r="N315" s="762"/>
      <c r="O315" s="762"/>
      <c r="P315" s="763"/>
      <c r="Q315" s="764">
        <f t="shared" si="4"/>
        <v>1</v>
      </c>
      <c r="R315" s="758" t="s">
        <v>1825</v>
      </c>
      <c r="S315" s="742"/>
      <c r="T315" s="765"/>
      <c r="U315" s="742" t="s">
        <v>3254</v>
      </c>
      <c r="V315" s="742" t="s">
        <v>321</v>
      </c>
      <c r="W315" s="742" t="s">
        <v>3289</v>
      </c>
      <c r="X315" s="798">
        <v>2</v>
      </c>
      <c r="Y315" s="790" t="s">
        <v>1828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2260</v>
      </c>
      <c r="BR315" s="769" t="s">
        <v>2260</v>
      </c>
      <c r="BS315" s="769" t="s">
        <v>2260</v>
      </c>
      <c r="BT315" s="769" t="s">
        <v>2260</v>
      </c>
      <c r="BU315" s="774" t="s">
        <v>2260</v>
      </c>
      <c r="BV315" s="777" t="s">
        <v>2260</v>
      </c>
      <c r="BW315" s="769" t="s">
        <v>2260</v>
      </c>
      <c r="BX315" s="769" t="s">
        <v>2260</v>
      </c>
      <c r="BY315" s="769" t="s">
        <v>2260</v>
      </c>
      <c r="BZ315" s="769" t="s">
        <v>2260</v>
      </c>
      <c r="CA315" s="777" t="s">
        <v>2260</v>
      </c>
      <c r="CB315" s="769" t="s">
        <v>2260</v>
      </c>
      <c r="CC315" s="769" t="s">
        <v>2260</v>
      </c>
      <c r="CD315" s="769" t="s">
        <v>2260</v>
      </c>
      <c r="CE315" s="774" t="s">
        <v>2260</v>
      </c>
      <c r="CF315" s="769" t="s">
        <v>2260</v>
      </c>
      <c r="CG315" s="769" t="s">
        <v>2260</v>
      </c>
      <c r="CH315" s="769" t="s">
        <v>2260</v>
      </c>
      <c r="CI315" s="769" t="s">
        <v>2260</v>
      </c>
      <c r="CJ315" s="774" t="s">
        <v>2260</v>
      </c>
      <c r="CK315" s="777" t="s">
        <v>2260</v>
      </c>
      <c r="CL315" s="769" t="s">
        <v>2260</v>
      </c>
      <c r="CM315" s="769" t="s">
        <v>2260</v>
      </c>
      <c r="CN315" s="769" t="s">
        <v>2260</v>
      </c>
      <c r="CO315" s="774" t="s">
        <v>2260</v>
      </c>
      <c r="CP315" s="777" t="s">
        <v>2260</v>
      </c>
      <c r="CQ315" s="769" t="s">
        <v>2260</v>
      </c>
      <c r="CR315" s="769" t="s">
        <v>2260</v>
      </c>
      <c r="CS315" s="769" t="s">
        <v>2260</v>
      </c>
      <c r="CT315" s="774" t="s">
        <v>2260</v>
      </c>
      <c r="CU315" s="1253" t="s">
        <v>2260</v>
      </c>
      <c r="CV315" s="1252" t="s">
        <v>2260</v>
      </c>
      <c r="CW315" s="1252" t="s">
        <v>2260</v>
      </c>
      <c r="CX315" s="1254" t="s">
        <v>2260</v>
      </c>
      <c r="CY315" s="1252" t="s">
        <v>2260</v>
      </c>
      <c r="CZ315" s="1252" t="s">
        <v>2260</v>
      </c>
      <c r="DA315" s="1252" t="s">
        <v>2260</v>
      </c>
      <c r="DB315" s="1254" t="s">
        <v>2260</v>
      </c>
      <c r="DC315" s="754"/>
      <c r="DD315" s="782">
        <v>1</v>
      </c>
      <c r="DE315" s="783"/>
    </row>
    <row r="316" spans="1:109" ht="15.75" hidden="1" customHeight="1">
      <c r="A316" s="741" t="s">
        <v>1185</v>
      </c>
      <c r="B316" s="742">
        <v>310</v>
      </c>
      <c r="C316" s="758" t="s">
        <v>1709</v>
      </c>
      <c r="D316" s="742" t="s">
        <v>3162</v>
      </c>
      <c r="E316" s="742" t="s">
        <v>3142</v>
      </c>
      <c r="F316" s="754" t="s">
        <v>3290</v>
      </c>
      <c r="G316" s="759" t="s">
        <v>3291</v>
      </c>
      <c r="H316" s="760" t="s">
        <v>3292</v>
      </c>
      <c r="I316" s="761"/>
      <c r="J316" s="762">
        <v>0.5</v>
      </c>
      <c r="K316" s="762">
        <v>0.5</v>
      </c>
      <c r="L316" s="762"/>
      <c r="M316" s="762"/>
      <c r="N316" s="762"/>
      <c r="O316" s="762"/>
      <c r="P316" s="763"/>
      <c r="Q316" s="764">
        <f t="shared" si="4"/>
        <v>1</v>
      </c>
      <c r="R316" s="758" t="s">
        <v>1825</v>
      </c>
      <c r="S316" s="742"/>
      <c r="T316" s="765"/>
      <c r="U316" s="742" t="s">
        <v>3150</v>
      </c>
      <c r="V316" s="742" t="s">
        <v>1857</v>
      </c>
      <c r="W316" s="742" t="s">
        <v>3293</v>
      </c>
      <c r="X316" s="798">
        <v>0</v>
      </c>
      <c r="Y316" s="795" t="s">
        <v>1828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2260</v>
      </c>
      <c r="BR316" s="769" t="s">
        <v>2260</v>
      </c>
      <c r="BS316" s="769" t="s">
        <v>2260</v>
      </c>
      <c r="BT316" s="769" t="s">
        <v>2260</v>
      </c>
      <c r="BU316" s="774" t="s">
        <v>2260</v>
      </c>
      <c r="BV316" s="777" t="s">
        <v>2260</v>
      </c>
      <c r="BW316" s="769" t="s">
        <v>2260</v>
      </c>
      <c r="BX316" s="769" t="s">
        <v>2260</v>
      </c>
      <c r="BY316" s="769" t="s">
        <v>2260</v>
      </c>
      <c r="BZ316" s="769" t="s">
        <v>2260</v>
      </c>
      <c r="CA316" s="777" t="s">
        <v>2260</v>
      </c>
      <c r="CB316" s="769" t="s">
        <v>2260</v>
      </c>
      <c r="CC316" s="769" t="s">
        <v>2260</v>
      </c>
      <c r="CD316" s="769" t="s">
        <v>2260</v>
      </c>
      <c r="CE316" s="774" t="s">
        <v>2260</v>
      </c>
      <c r="CF316" s="769" t="s">
        <v>2260</v>
      </c>
      <c r="CG316" s="769" t="s">
        <v>2260</v>
      </c>
      <c r="CH316" s="769" t="s">
        <v>2260</v>
      </c>
      <c r="CI316" s="769" t="s">
        <v>2260</v>
      </c>
      <c r="CJ316" s="774" t="s">
        <v>2260</v>
      </c>
      <c r="CK316" s="777" t="s">
        <v>2260</v>
      </c>
      <c r="CL316" s="769" t="s">
        <v>2260</v>
      </c>
      <c r="CM316" s="769" t="s">
        <v>2260</v>
      </c>
      <c r="CN316" s="769" t="s">
        <v>2260</v>
      </c>
      <c r="CO316" s="774" t="s">
        <v>2260</v>
      </c>
      <c r="CP316" s="777" t="s">
        <v>2260</v>
      </c>
      <c r="CQ316" s="769" t="s">
        <v>2260</v>
      </c>
      <c r="CR316" s="769" t="s">
        <v>2260</v>
      </c>
      <c r="CS316" s="769" t="s">
        <v>2260</v>
      </c>
      <c r="CT316" s="774" t="s">
        <v>2260</v>
      </c>
      <c r="CU316" s="1253" t="s">
        <v>2260</v>
      </c>
      <c r="CV316" s="1252" t="s">
        <v>2260</v>
      </c>
      <c r="CW316" s="1252" t="s">
        <v>2260</v>
      </c>
      <c r="CX316" s="1254" t="s">
        <v>2260</v>
      </c>
      <c r="CY316" s="1252" t="s">
        <v>2260</v>
      </c>
      <c r="CZ316" s="1252" t="s">
        <v>2260</v>
      </c>
      <c r="DA316" s="1252" t="s">
        <v>2260</v>
      </c>
      <c r="DB316" s="1254" t="s">
        <v>2260</v>
      </c>
      <c r="DC316" s="754"/>
      <c r="DD316" s="782">
        <v>1</v>
      </c>
      <c r="DE316" s="783"/>
    </row>
    <row r="317" spans="1:109" ht="15.75" hidden="1" customHeight="1">
      <c r="A317" s="741" t="s">
        <v>1185</v>
      </c>
      <c r="B317" s="742">
        <v>311</v>
      </c>
      <c r="C317" s="758" t="s">
        <v>1718</v>
      </c>
      <c r="D317" s="742" t="s">
        <v>3294</v>
      </c>
      <c r="E317" s="742" t="s">
        <v>3142</v>
      </c>
      <c r="F317" s="754" t="s">
        <v>3295</v>
      </c>
      <c r="G317" s="759" t="s">
        <v>3296</v>
      </c>
      <c r="H317" s="760" t="s">
        <v>3297</v>
      </c>
      <c r="I317" s="761"/>
      <c r="J317" s="762"/>
      <c r="K317" s="762"/>
      <c r="L317" s="762"/>
      <c r="M317" s="762">
        <v>1</v>
      </c>
      <c r="N317" s="762"/>
      <c r="O317" s="762"/>
      <c r="P317" s="763"/>
      <c r="Q317" s="764">
        <f t="shared" si="4"/>
        <v>1</v>
      </c>
      <c r="R317" s="758" t="s">
        <v>1825</v>
      </c>
      <c r="S317" s="742"/>
      <c r="T317" s="765"/>
      <c r="U317" s="742" t="s">
        <v>3208</v>
      </c>
      <c r="V317" s="742" t="s">
        <v>1857</v>
      </c>
      <c r="W317" s="742" t="s">
        <v>3298</v>
      </c>
      <c r="X317" s="798">
        <v>0</v>
      </c>
      <c r="Y317" s="795" t="s">
        <v>1828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2260</v>
      </c>
      <c r="BR317" s="769" t="s">
        <v>2260</v>
      </c>
      <c r="BS317" s="769" t="s">
        <v>2260</v>
      </c>
      <c r="BT317" s="769" t="s">
        <v>2260</v>
      </c>
      <c r="BU317" s="774" t="s">
        <v>2260</v>
      </c>
      <c r="BV317" s="777" t="s">
        <v>2260</v>
      </c>
      <c r="BW317" s="769" t="s">
        <v>2260</v>
      </c>
      <c r="BX317" s="769" t="s">
        <v>2260</v>
      </c>
      <c r="BY317" s="769" t="s">
        <v>2260</v>
      </c>
      <c r="BZ317" s="769" t="s">
        <v>2260</v>
      </c>
      <c r="CA317" s="777" t="s">
        <v>2260</v>
      </c>
      <c r="CB317" s="769" t="s">
        <v>2260</v>
      </c>
      <c r="CC317" s="769" t="s">
        <v>2260</v>
      </c>
      <c r="CD317" s="769" t="s">
        <v>2260</v>
      </c>
      <c r="CE317" s="774" t="s">
        <v>2260</v>
      </c>
      <c r="CF317" s="769" t="s">
        <v>2260</v>
      </c>
      <c r="CG317" s="769" t="s">
        <v>2260</v>
      </c>
      <c r="CH317" s="769" t="s">
        <v>2260</v>
      </c>
      <c r="CI317" s="769" t="s">
        <v>2260</v>
      </c>
      <c r="CJ317" s="769" t="s">
        <v>2260</v>
      </c>
      <c r="CK317" s="777" t="s">
        <v>2260</v>
      </c>
      <c r="CL317" s="769" t="s">
        <v>2260</v>
      </c>
      <c r="CM317" s="769" t="s">
        <v>2260</v>
      </c>
      <c r="CN317" s="769" t="s">
        <v>2260</v>
      </c>
      <c r="CO317" s="774" t="s">
        <v>2260</v>
      </c>
      <c r="CP317" s="777" t="s">
        <v>2260</v>
      </c>
      <c r="CQ317" s="769" t="s">
        <v>2260</v>
      </c>
      <c r="CR317" s="769" t="s">
        <v>2260</v>
      </c>
      <c r="CS317" s="769" t="s">
        <v>2260</v>
      </c>
      <c r="CT317" s="774" t="s">
        <v>2260</v>
      </c>
      <c r="CU317" s="1253" t="s">
        <v>2260</v>
      </c>
      <c r="CV317" s="1252" t="s">
        <v>2260</v>
      </c>
      <c r="CW317" s="1252" t="s">
        <v>2260</v>
      </c>
      <c r="CX317" s="1254" t="s">
        <v>2260</v>
      </c>
      <c r="CY317" s="1252" t="s">
        <v>2260</v>
      </c>
      <c r="CZ317" s="1252" t="s">
        <v>2260</v>
      </c>
      <c r="DA317" s="1252" t="s">
        <v>2260</v>
      </c>
      <c r="DB317" s="1254" t="s">
        <v>2260</v>
      </c>
      <c r="DC317" s="754"/>
      <c r="DD317" s="782">
        <v>1</v>
      </c>
      <c r="DE317" s="783"/>
    </row>
    <row r="318" spans="1:109" ht="15.75" hidden="1" customHeight="1">
      <c r="A318" s="741" t="s">
        <v>1185</v>
      </c>
      <c r="B318" s="742">
        <v>312</v>
      </c>
      <c r="C318" s="758" t="s">
        <v>1580</v>
      </c>
      <c r="D318" s="742" t="s">
        <v>3162</v>
      </c>
      <c r="E318" s="742" t="s">
        <v>3142</v>
      </c>
      <c r="F318" s="754" t="s">
        <v>3299</v>
      </c>
      <c r="G318" s="759" t="s">
        <v>2086</v>
      </c>
      <c r="H318" s="760" t="s">
        <v>3300</v>
      </c>
      <c r="I318" s="761"/>
      <c r="J318" s="762"/>
      <c r="K318" s="762">
        <v>1</v>
      </c>
      <c r="L318" s="762"/>
      <c r="M318" s="762"/>
      <c r="N318" s="762"/>
      <c r="O318" s="762"/>
      <c r="P318" s="763"/>
      <c r="Q318" s="764">
        <f t="shared" si="4"/>
        <v>1</v>
      </c>
      <c r="R318" s="758" t="s">
        <v>1846</v>
      </c>
      <c r="S318" s="742" t="s">
        <v>1826</v>
      </c>
      <c r="T318" s="765" t="s">
        <v>1837</v>
      </c>
      <c r="U318" s="742" t="s">
        <v>3254</v>
      </c>
      <c r="V318" s="742" t="s">
        <v>2844</v>
      </c>
      <c r="W318" s="742"/>
      <c r="X318" s="798">
        <v>0</v>
      </c>
      <c r="Y318" s="795" t="s">
        <v>1828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28" t="s">
        <v>210</v>
      </c>
      <c r="BM318" s="1829" t="s">
        <v>210</v>
      </c>
      <c r="BN318" s="1829" t="s">
        <v>210</v>
      </c>
      <c r="BO318" s="1829" t="s">
        <v>210</v>
      </c>
      <c r="BP318" s="765" t="s">
        <v>210</v>
      </c>
      <c r="BQ318" s="777" t="s">
        <v>2260</v>
      </c>
      <c r="BR318" s="769" t="s">
        <v>2260</v>
      </c>
      <c r="BS318" s="769" t="s">
        <v>2260</v>
      </c>
      <c r="BT318" s="769" t="s">
        <v>2260</v>
      </c>
      <c r="BU318" s="774" t="s">
        <v>2260</v>
      </c>
      <c r="BV318" s="777" t="s">
        <v>2260</v>
      </c>
      <c r="BW318" s="769" t="s">
        <v>2260</v>
      </c>
      <c r="BX318" s="769" t="s">
        <v>2260</v>
      </c>
      <c r="BY318" s="769" t="s">
        <v>2260</v>
      </c>
      <c r="BZ318" s="769" t="s">
        <v>2260</v>
      </c>
      <c r="CA318" s="777" t="s">
        <v>2260</v>
      </c>
      <c r="CB318" s="769" t="s">
        <v>2260</v>
      </c>
      <c r="CC318" s="769" t="s">
        <v>2260</v>
      </c>
      <c r="CD318" s="769" t="s">
        <v>2260</v>
      </c>
      <c r="CE318" s="774" t="s">
        <v>2260</v>
      </c>
      <c r="CF318" s="769" t="s">
        <v>2260</v>
      </c>
      <c r="CG318" s="769" t="s">
        <v>2260</v>
      </c>
      <c r="CH318" s="769" t="s">
        <v>2260</v>
      </c>
      <c r="CI318" s="769" t="s">
        <v>2260</v>
      </c>
      <c r="CJ318" s="774" t="s">
        <v>2260</v>
      </c>
      <c r="CK318" s="777" t="s">
        <v>2260</v>
      </c>
      <c r="CL318" s="769" t="s">
        <v>2260</v>
      </c>
      <c r="CM318" s="769" t="s">
        <v>2260</v>
      </c>
      <c r="CN318" s="769" t="s">
        <v>2260</v>
      </c>
      <c r="CO318" s="774" t="s">
        <v>2260</v>
      </c>
      <c r="CP318" s="777" t="s">
        <v>2260</v>
      </c>
      <c r="CQ318" s="769" t="s">
        <v>2260</v>
      </c>
      <c r="CR318" s="769" t="s">
        <v>2260</v>
      </c>
      <c r="CS318" s="769" t="s">
        <v>2260</v>
      </c>
      <c r="CT318" s="774" t="s">
        <v>2260</v>
      </c>
      <c r="CU318" s="1253">
        <v>-0.1807</v>
      </c>
      <c r="CV318" s="1252" t="s">
        <v>2260</v>
      </c>
      <c r="CW318" s="1252" t="s">
        <v>2260</v>
      </c>
      <c r="CX318" s="1254" t="s">
        <v>2260</v>
      </c>
      <c r="CY318" s="1252" t="s">
        <v>2260</v>
      </c>
      <c r="CZ318" s="1252" t="s">
        <v>2260</v>
      </c>
      <c r="DA318" s="1252" t="s">
        <v>2260</v>
      </c>
      <c r="DB318" s="1254" t="s">
        <v>2260</v>
      </c>
      <c r="DC318" s="754"/>
      <c r="DD318" s="782">
        <v>1</v>
      </c>
      <c r="DE318" s="783"/>
    </row>
    <row r="319" spans="1:109" ht="15.75" hidden="1" customHeight="1">
      <c r="A319" s="741" t="s">
        <v>1185</v>
      </c>
      <c r="B319" s="742">
        <v>313</v>
      </c>
      <c r="C319" s="758" t="s">
        <v>1726</v>
      </c>
      <c r="D319" s="742" t="s">
        <v>3162</v>
      </c>
      <c r="E319" s="742" t="s">
        <v>3278</v>
      </c>
      <c r="F319" s="754" t="s">
        <v>3301</v>
      </c>
      <c r="G319" s="759" t="s">
        <v>3302</v>
      </c>
      <c r="H319" s="760" t="s">
        <v>3303</v>
      </c>
      <c r="I319" s="761">
        <v>1</v>
      </c>
      <c r="J319" s="762"/>
      <c r="K319" s="762"/>
      <c r="L319" s="762"/>
      <c r="M319" s="762"/>
      <c r="N319" s="762"/>
      <c r="O319" s="762"/>
      <c r="P319" s="763"/>
      <c r="Q319" s="764">
        <f t="shared" si="4"/>
        <v>1</v>
      </c>
      <c r="R319" s="758" t="s">
        <v>1825</v>
      </c>
      <c r="S319" s="742"/>
      <c r="T319" s="765"/>
      <c r="U319" s="742" t="s">
        <v>2387</v>
      </c>
      <c r="V319" s="742" t="s">
        <v>1857</v>
      </c>
      <c r="W319" s="742" t="s">
        <v>3131</v>
      </c>
      <c r="X319" s="798">
        <v>0</v>
      </c>
      <c r="Y319" s="788" t="s">
        <v>1838</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2260</v>
      </c>
      <c r="BR319" s="769" t="s">
        <v>2260</v>
      </c>
      <c r="BS319" s="769" t="s">
        <v>2260</v>
      </c>
      <c r="BT319" s="769" t="s">
        <v>2260</v>
      </c>
      <c r="BU319" s="774" t="s">
        <v>2260</v>
      </c>
      <c r="BV319" s="815" t="s">
        <v>2260</v>
      </c>
      <c r="BW319" s="814" t="s">
        <v>2260</v>
      </c>
      <c r="BX319" s="814" t="s">
        <v>2260</v>
      </c>
      <c r="BY319" s="814" t="s">
        <v>2260</v>
      </c>
      <c r="BZ319" s="814" t="s">
        <v>2260</v>
      </c>
      <c r="CA319" s="777" t="s">
        <v>2260</v>
      </c>
      <c r="CB319" s="769" t="s">
        <v>2260</v>
      </c>
      <c r="CC319" s="769" t="s">
        <v>2260</v>
      </c>
      <c r="CD319" s="769" t="s">
        <v>2260</v>
      </c>
      <c r="CE319" s="774" t="s">
        <v>2260</v>
      </c>
      <c r="CF319" s="769" t="s">
        <v>2260</v>
      </c>
      <c r="CG319" s="769" t="s">
        <v>2260</v>
      </c>
      <c r="CH319" s="769" t="s">
        <v>2260</v>
      </c>
      <c r="CI319" s="769" t="s">
        <v>2260</v>
      </c>
      <c r="CJ319" s="774" t="s">
        <v>2260</v>
      </c>
      <c r="CK319" s="777" t="s">
        <v>2260</v>
      </c>
      <c r="CL319" s="769" t="s">
        <v>2260</v>
      </c>
      <c r="CM319" s="769" t="s">
        <v>2260</v>
      </c>
      <c r="CN319" s="769" t="s">
        <v>2260</v>
      </c>
      <c r="CO319" s="774" t="s">
        <v>2260</v>
      </c>
      <c r="CP319" s="777" t="s">
        <v>2260</v>
      </c>
      <c r="CQ319" s="769" t="s">
        <v>2260</v>
      </c>
      <c r="CR319" s="769" t="s">
        <v>2260</v>
      </c>
      <c r="CS319" s="769" t="s">
        <v>2260</v>
      </c>
      <c r="CT319" s="774" t="s">
        <v>2260</v>
      </c>
      <c r="CU319" s="1253" t="s">
        <v>2260</v>
      </c>
      <c r="CV319" s="1252" t="s">
        <v>2260</v>
      </c>
      <c r="CW319" s="1252" t="s">
        <v>2260</v>
      </c>
      <c r="CX319" s="1254" t="s">
        <v>2260</v>
      </c>
      <c r="CY319" s="1252" t="s">
        <v>2260</v>
      </c>
      <c r="CZ319" s="1252" t="s">
        <v>2260</v>
      </c>
      <c r="DA319" s="1252" t="s">
        <v>2260</v>
      </c>
      <c r="DB319" s="1254" t="s">
        <v>2260</v>
      </c>
      <c r="DC319" s="754"/>
      <c r="DD319" s="782">
        <v>1</v>
      </c>
      <c r="DE319" s="783"/>
    </row>
    <row r="320" spans="1:109" ht="15.75" hidden="1" customHeight="1">
      <c r="A320" s="741" t="s">
        <v>1185</v>
      </c>
      <c r="B320" s="742">
        <v>314</v>
      </c>
      <c r="C320" s="758" t="s">
        <v>1733</v>
      </c>
      <c r="D320" s="742" t="s">
        <v>3294</v>
      </c>
      <c r="E320" s="742" t="s">
        <v>3278</v>
      </c>
      <c r="F320" s="754" t="s">
        <v>3304</v>
      </c>
      <c r="G320" s="759" t="s">
        <v>2436</v>
      </c>
      <c r="H320" s="760" t="s">
        <v>3305</v>
      </c>
      <c r="I320" s="761"/>
      <c r="J320" s="762"/>
      <c r="K320" s="762"/>
      <c r="L320" s="762"/>
      <c r="M320" s="762">
        <v>1</v>
      </c>
      <c r="N320" s="762"/>
      <c r="O320" s="762"/>
      <c r="P320" s="763"/>
      <c r="Q320" s="764">
        <f t="shared" si="4"/>
        <v>1</v>
      </c>
      <c r="R320" s="758" t="s">
        <v>1825</v>
      </c>
      <c r="S320" s="742"/>
      <c r="T320" s="765"/>
      <c r="U320" s="742" t="s">
        <v>2610</v>
      </c>
      <c r="V320" s="742" t="s">
        <v>321</v>
      </c>
      <c r="W320" s="742" t="s">
        <v>3306</v>
      </c>
      <c r="X320" s="798">
        <v>0</v>
      </c>
      <c r="Y320" s="795" t="s">
        <v>1828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2260</v>
      </c>
      <c r="BR320" s="769" t="s">
        <v>2260</v>
      </c>
      <c r="BS320" s="769" t="s">
        <v>2260</v>
      </c>
      <c r="BT320" s="769" t="s">
        <v>2260</v>
      </c>
      <c r="BU320" s="774" t="s">
        <v>2260</v>
      </c>
      <c r="BV320" s="777" t="s">
        <v>2260</v>
      </c>
      <c r="BW320" s="769" t="s">
        <v>2260</v>
      </c>
      <c r="BX320" s="769" t="s">
        <v>2260</v>
      </c>
      <c r="BY320" s="769" t="s">
        <v>2260</v>
      </c>
      <c r="BZ320" s="769" t="s">
        <v>2260</v>
      </c>
      <c r="CA320" s="777" t="s">
        <v>2260</v>
      </c>
      <c r="CB320" s="769" t="s">
        <v>2260</v>
      </c>
      <c r="CC320" s="769" t="s">
        <v>2260</v>
      </c>
      <c r="CD320" s="769" t="s">
        <v>2260</v>
      </c>
      <c r="CE320" s="774" t="s">
        <v>2260</v>
      </c>
      <c r="CF320" s="769" t="s">
        <v>2260</v>
      </c>
      <c r="CG320" s="769" t="s">
        <v>2260</v>
      </c>
      <c r="CH320" s="769" t="s">
        <v>2260</v>
      </c>
      <c r="CI320" s="769" t="s">
        <v>2260</v>
      </c>
      <c r="CJ320" s="774" t="s">
        <v>2260</v>
      </c>
      <c r="CK320" s="777" t="s">
        <v>2260</v>
      </c>
      <c r="CL320" s="769" t="s">
        <v>2260</v>
      </c>
      <c r="CM320" s="769" t="s">
        <v>2260</v>
      </c>
      <c r="CN320" s="769" t="s">
        <v>2260</v>
      </c>
      <c r="CO320" s="774" t="s">
        <v>2260</v>
      </c>
      <c r="CP320" s="777" t="s">
        <v>2260</v>
      </c>
      <c r="CQ320" s="769" t="s">
        <v>2260</v>
      </c>
      <c r="CR320" s="769" t="s">
        <v>2260</v>
      </c>
      <c r="CS320" s="769" t="s">
        <v>2260</v>
      </c>
      <c r="CT320" s="774" t="s">
        <v>2260</v>
      </c>
      <c r="CU320" s="1253" t="s">
        <v>2260</v>
      </c>
      <c r="CV320" s="1252" t="s">
        <v>2260</v>
      </c>
      <c r="CW320" s="1252" t="s">
        <v>2260</v>
      </c>
      <c r="CX320" s="1254" t="s">
        <v>2260</v>
      </c>
      <c r="CY320" s="1252" t="s">
        <v>2260</v>
      </c>
      <c r="CZ320" s="1252" t="s">
        <v>2260</v>
      </c>
      <c r="DA320" s="1252" t="s">
        <v>2260</v>
      </c>
      <c r="DB320" s="1254" t="s">
        <v>2260</v>
      </c>
      <c r="DC320" s="754"/>
      <c r="DD320" s="782">
        <v>1</v>
      </c>
      <c r="DE320" s="783"/>
    </row>
    <row r="321" spans="1:109" ht="15.75" hidden="1" customHeight="1">
      <c r="A321" s="741" t="s">
        <v>1185</v>
      </c>
      <c r="B321" s="742">
        <v>315</v>
      </c>
      <c r="C321" s="758" t="s">
        <v>1211</v>
      </c>
      <c r="D321" s="742" t="s">
        <v>3215</v>
      </c>
      <c r="E321" s="742" t="s">
        <v>3142</v>
      </c>
      <c r="F321" s="754" t="s">
        <v>3307</v>
      </c>
      <c r="G321" s="759" t="s">
        <v>755</v>
      </c>
      <c r="H321" s="760" t="s">
        <v>3308</v>
      </c>
      <c r="I321" s="761"/>
      <c r="J321" s="762"/>
      <c r="K321" s="762"/>
      <c r="L321" s="762"/>
      <c r="M321" s="762">
        <v>1</v>
      </c>
      <c r="N321" s="762"/>
      <c r="O321" s="762"/>
      <c r="P321" s="763"/>
      <c r="Q321" s="764">
        <f t="shared" si="4"/>
        <v>1</v>
      </c>
      <c r="R321" s="758" t="s">
        <v>1825</v>
      </c>
      <c r="S321" s="742"/>
      <c r="T321" s="765"/>
      <c r="U321" s="742" t="s">
        <v>2264</v>
      </c>
      <c r="V321" s="742" t="s">
        <v>321</v>
      </c>
      <c r="W321" s="742" t="s">
        <v>3309</v>
      </c>
      <c r="X321" s="1282">
        <v>1</v>
      </c>
      <c r="Y321" s="795" t="s">
        <v>1828</v>
      </c>
      <c r="Z321" s="759" t="s">
        <v>755</v>
      </c>
      <c r="AA321" s="754"/>
      <c r="AB321" s="754"/>
      <c r="AC321" s="754"/>
      <c r="AD321" s="754"/>
      <c r="AE321" s="754"/>
      <c r="AF321" s="768"/>
      <c r="AG321" s="769"/>
      <c r="AH321" s="769"/>
      <c r="AI321" s="769"/>
      <c r="AJ321" s="769"/>
      <c r="AK321" s="769"/>
      <c r="AL321" s="769"/>
      <c r="AM321" s="769"/>
      <c r="AN321" s="769"/>
      <c r="AO321" s="769"/>
      <c r="AP321" s="769"/>
      <c r="AQ321" s="1369"/>
      <c r="AR321" s="1319"/>
      <c r="AS321" s="1319"/>
      <c r="AT321" s="1319"/>
      <c r="AU321" s="1320"/>
      <c r="AV321" s="777"/>
      <c r="AW321" s="769"/>
      <c r="AX321" s="769"/>
      <c r="AY321" s="769"/>
      <c r="AZ321" s="769"/>
      <c r="BA321" s="769"/>
      <c r="BB321" s="769"/>
      <c r="BC321" s="769"/>
      <c r="BD321" s="769"/>
      <c r="BE321" s="769"/>
      <c r="BF321" s="769"/>
      <c r="BG321" s="769"/>
      <c r="BH321" s="769"/>
      <c r="BI321" s="769"/>
      <c r="BJ321" s="769"/>
      <c r="BK321" s="774"/>
      <c r="BL321" s="1327"/>
      <c r="BM321" s="1328"/>
      <c r="BN321" s="1328"/>
      <c r="BO321" s="1328"/>
      <c r="BP321" s="1389"/>
      <c r="BQ321" s="1369"/>
      <c r="BR321" s="1319"/>
      <c r="BS321" s="1319"/>
      <c r="BT321" s="1319"/>
      <c r="BU321" s="1320"/>
      <c r="BV321" s="1369"/>
      <c r="BW321" s="1319"/>
      <c r="BX321" s="1319"/>
      <c r="BY321" s="1319"/>
      <c r="BZ321" s="1319"/>
      <c r="CA321" s="1369"/>
      <c r="CB321" s="1319"/>
      <c r="CC321" s="1319"/>
      <c r="CD321" s="1319"/>
      <c r="CE321" s="1320"/>
      <c r="CF321" s="1319"/>
      <c r="CG321" s="1319"/>
      <c r="CH321" s="1319"/>
      <c r="CI321" s="1319"/>
      <c r="CJ321" s="1320"/>
      <c r="CK321" s="1369"/>
      <c r="CL321" s="1319"/>
      <c r="CM321" s="1319"/>
      <c r="CN321" s="1319"/>
      <c r="CO321" s="1320"/>
      <c r="CP321" s="1369"/>
      <c r="CQ321" s="1319"/>
      <c r="CR321" s="1319"/>
      <c r="CS321" s="1319"/>
      <c r="CT321" s="1320"/>
      <c r="CU321" s="1467"/>
      <c r="CV321" s="1458"/>
      <c r="CW321" s="1458"/>
      <c r="CX321" s="1663"/>
      <c r="CY321" s="1458"/>
      <c r="CZ321" s="1458"/>
      <c r="DA321" s="1458"/>
      <c r="DB321" s="1663"/>
      <c r="DC321" s="1328"/>
      <c r="DD321" s="1664"/>
      <c r="DE321" s="1669"/>
    </row>
    <row r="322" spans="1:109" ht="15.75" hidden="1" customHeight="1">
      <c r="A322" s="741" t="s">
        <v>1185</v>
      </c>
      <c r="B322" s="742">
        <v>316</v>
      </c>
      <c r="C322" s="758" t="s">
        <v>1430</v>
      </c>
      <c r="D322" s="742" t="s">
        <v>3191</v>
      </c>
      <c r="E322" s="742" t="s">
        <v>3142</v>
      </c>
      <c r="F322" s="754" t="s">
        <v>3310</v>
      </c>
      <c r="G322" s="759" t="s">
        <v>3311</v>
      </c>
      <c r="H322" s="760" t="s">
        <v>3312</v>
      </c>
      <c r="I322" s="761"/>
      <c r="J322" s="762">
        <v>1</v>
      </c>
      <c r="K322" s="762"/>
      <c r="L322" s="762"/>
      <c r="M322" s="762"/>
      <c r="N322" s="762"/>
      <c r="O322" s="762"/>
      <c r="P322" s="763"/>
      <c r="Q322" s="764">
        <f t="shared" si="4"/>
        <v>1</v>
      </c>
      <c r="R322" s="758" t="s">
        <v>1846</v>
      </c>
      <c r="S322" s="742" t="s">
        <v>1826</v>
      </c>
      <c r="T322" s="765" t="s">
        <v>1837</v>
      </c>
      <c r="U322" s="742" t="s">
        <v>2234</v>
      </c>
      <c r="V322" s="742" t="s">
        <v>2844</v>
      </c>
      <c r="W322" s="742" t="s">
        <v>2548</v>
      </c>
      <c r="X322" s="798">
        <v>0</v>
      </c>
      <c r="Y322" s="795" t="s">
        <v>1838</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210</v>
      </c>
      <c r="BQ322" s="777" t="s">
        <v>2260</v>
      </c>
      <c r="BR322" s="769" t="s">
        <v>2260</v>
      </c>
      <c r="BS322" s="769" t="s">
        <v>2260</v>
      </c>
      <c r="BT322" s="769" t="s">
        <v>2260</v>
      </c>
      <c r="BU322" s="774" t="s">
        <v>2260</v>
      </c>
      <c r="BV322" s="777" t="s">
        <v>2260</v>
      </c>
      <c r="BW322" s="769" t="s">
        <v>2260</v>
      </c>
      <c r="BX322" s="769" t="s">
        <v>2260</v>
      </c>
      <c r="BY322" s="769" t="s">
        <v>2260</v>
      </c>
      <c r="BZ322" s="769" t="s">
        <v>2260</v>
      </c>
      <c r="CA322" s="777" t="s">
        <v>2260</v>
      </c>
      <c r="CB322" s="769" t="s">
        <v>2260</v>
      </c>
      <c r="CC322" s="769" t="s">
        <v>2260</v>
      </c>
      <c r="CD322" s="769" t="s">
        <v>2260</v>
      </c>
      <c r="CE322" s="774" t="s">
        <v>2260</v>
      </c>
      <c r="CF322" s="769" t="s">
        <v>2260</v>
      </c>
      <c r="CG322" s="769" t="s">
        <v>2260</v>
      </c>
      <c r="CH322" s="769" t="s">
        <v>2260</v>
      </c>
      <c r="CI322" s="769" t="s">
        <v>2260</v>
      </c>
      <c r="CJ322" s="774" t="s">
        <v>2260</v>
      </c>
      <c r="CK322" s="777" t="s">
        <v>2260</v>
      </c>
      <c r="CL322" s="769" t="s">
        <v>2260</v>
      </c>
      <c r="CM322" s="769" t="s">
        <v>2260</v>
      </c>
      <c r="CN322" s="769" t="s">
        <v>2260</v>
      </c>
      <c r="CO322" s="774" t="s">
        <v>2260</v>
      </c>
      <c r="CP322" s="777" t="s">
        <v>2260</v>
      </c>
      <c r="CQ322" s="769" t="s">
        <v>2260</v>
      </c>
      <c r="CR322" s="769" t="s">
        <v>2260</v>
      </c>
      <c r="CS322" s="769" t="s">
        <v>2260</v>
      </c>
      <c r="CT322" s="774" t="s">
        <v>2260</v>
      </c>
      <c r="CU322" s="1253">
        <v>-0.70430000000000004</v>
      </c>
      <c r="CV322" s="1252" t="s">
        <v>2260</v>
      </c>
      <c r="CW322" s="1252" t="s">
        <v>2260</v>
      </c>
      <c r="CX322" s="1254" t="s">
        <v>2260</v>
      </c>
      <c r="CY322" s="1252" t="s">
        <v>2260</v>
      </c>
      <c r="CZ322" s="1252" t="s">
        <v>2260</v>
      </c>
      <c r="DA322" s="1252" t="s">
        <v>2260</v>
      </c>
      <c r="DB322" s="1254" t="s">
        <v>2260</v>
      </c>
      <c r="DC322" s="754"/>
      <c r="DD322" s="782">
        <v>1</v>
      </c>
      <c r="DE322" s="783"/>
    </row>
    <row r="323" spans="1:109" ht="15.75" hidden="1" customHeight="1">
      <c r="A323" s="741" t="s">
        <v>1185</v>
      </c>
      <c r="B323" s="742">
        <v>317</v>
      </c>
      <c r="C323" s="758" t="s">
        <v>1445</v>
      </c>
      <c r="D323" s="742"/>
      <c r="E323" s="742"/>
      <c r="F323" s="754" t="s">
        <v>3313</v>
      </c>
      <c r="G323" s="759" t="s">
        <v>3314</v>
      </c>
      <c r="H323" s="760"/>
      <c r="I323" s="761">
        <v>1</v>
      </c>
      <c r="J323" s="762"/>
      <c r="K323" s="762"/>
      <c r="L323" s="762"/>
      <c r="M323" s="762"/>
      <c r="N323" s="762"/>
      <c r="O323" s="762"/>
      <c r="P323" s="763"/>
      <c r="Q323" s="764">
        <f t="shared" si="4"/>
        <v>1</v>
      </c>
      <c r="R323" s="758" t="s">
        <v>1846</v>
      </c>
      <c r="S323" s="742" t="s">
        <v>1826</v>
      </c>
      <c r="T323" s="765" t="s">
        <v>1827</v>
      </c>
      <c r="U323" s="742"/>
      <c r="V323" s="742" t="s">
        <v>321</v>
      </c>
      <c r="W323" s="742" t="s">
        <v>3315</v>
      </c>
      <c r="X323" s="798">
        <v>1</v>
      </c>
      <c r="Y323" s="795" t="s">
        <v>1828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210</v>
      </c>
      <c r="BQ323" s="777" t="s">
        <v>2260</v>
      </c>
      <c r="BR323" s="769" t="s">
        <v>2260</v>
      </c>
      <c r="BS323" s="769" t="s">
        <v>2260</v>
      </c>
      <c r="BT323" s="769" t="s">
        <v>2260</v>
      </c>
      <c r="BU323" s="774" t="s">
        <v>2260</v>
      </c>
      <c r="BV323" s="777" t="s">
        <v>2260</v>
      </c>
      <c r="BW323" s="769" t="s">
        <v>2260</v>
      </c>
      <c r="BX323" s="769" t="s">
        <v>2260</v>
      </c>
      <c r="BY323" s="769" t="s">
        <v>2260</v>
      </c>
      <c r="BZ323" s="769" t="s">
        <v>2260</v>
      </c>
      <c r="CA323" s="777" t="s">
        <v>2260</v>
      </c>
      <c r="CB323" s="769" t="s">
        <v>2260</v>
      </c>
      <c r="CC323" s="769" t="s">
        <v>2260</v>
      </c>
      <c r="CD323" s="769" t="s">
        <v>2260</v>
      </c>
      <c r="CE323" s="774" t="s">
        <v>2260</v>
      </c>
      <c r="CF323" s="769" t="s">
        <v>2260</v>
      </c>
      <c r="CG323" s="769" t="s">
        <v>2260</v>
      </c>
      <c r="CH323" s="769" t="s">
        <v>2260</v>
      </c>
      <c r="CI323" s="769" t="s">
        <v>2260</v>
      </c>
      <c r="CJ323" s="774" t="s">
        <v>2260</v>
      </c>
      <c r="CK323" s="777" t="s">
        <v>2260</v>
      </c>
      <c r="CL323" s="769" t="s">
        <v>2260</v>
      </c>
      <c r="CM323" s="769" t="s">
        <v>2260</v>
      </c>
      <c r="CN323" s="769" t="s">
        <v>2260</v>
      </c>
      <c r="CO323" s="774" t="s">
        <v>2260</v>
      </c>
      <c r="CP323" s="777" t="s">
        <v>2260</v>
      </c>
      <c r="CQ323" s="769" t="s">
        <v>2260</v>
      </c>
      <c r="CR323" s="769" t="s">
        <v>2260</v>
      </c>
      <c r="CS323" s="769" t="s">
        <v>2260</v>
      </c>
      <c r="CT323" s="774" t="s">
        <v>2260</v>
      </c>
      <c r="CU323" s="1253">
        <v>-6.6299999999999996E-3</v>
      </c>
      <c r="CV323" s="1252" t="s">
        <v>2260</v>
      </c>
      <c r="CW323" s="1252" t="s">
        <v>2260</v>
      </c>
      <c r="CX323" s="1254" t="s">
        <v>2260</v>
      </c>
      <c r="CY323" s="1252" t="s">
        <v>2260</v>
      </c>
      <c r="CZ323" s="1252" t="s">
        <v>2260</v>
      </c>
      <c r="DA323" s="1252" t="s">
        <v>2260</v>
      </c>
      <c r="DB323" s="1254" t="s">
        <v>2260</v>
      </c>
      <c r="DC323" s="754"/>
      <c r="DD323" s="782">
        <v>1</v>
      </c>
      <c r="DE323" s="783"/>
    </row>
    <row r="324" spans="1:109" ht="15.75" hidden="1" customHeight="1">
      <c r="A324" s="741" t="s">
        <v>1185</v>
      </c>
      <c r="B324" s="742">
        <v>318</v>
      </c>
      <c r="C324" s="758" t="s">
        <v>1740</v>
      </c>
      <c r="D324" s="742"/>
      <c r="E324" s="742"/>
      <c r="F324" s="754" t="s">
        <v>2331</v>
      </c>
      <c r="G324" s="759" t="s">
        <v>2332</v>
      </c>
      <c r="H324" s="760"/>
      <c r="I324" s="761"/>
      <c r="J324" s="762"/>
      <c r="K324" s="762"/>
      <c r="L324" s="762"/>
      <c r="M324" s="762"/>
      <c r="N324" s="762"/>
      <c r="O324" s="762"/>
      <c r="P324" s="763"/>
      <c r="Q324" s="764">
        <f t="shared" si="4"/>
        <v>0</v>
      </c>
      <c r="R324" s="758" t="s">
        <v>1825</v>
      </c>
      <c r="S324" s="742"/>
      <c r="T324" s="765"/>
      <c r="U324" s="742"/>
      <c r="V324" s="742" t="s">
        <v>1890</v>
      </c>
      <c r="W324" s="742" t="s">
        <v>2333</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2334</v>
      </c>
      <c r="AR324" s="769" t="s">
        <v>2334</v>
      </c>
      <c r="AS324" s="769" t="s">
        <v>2334</v>
      </c>
      <c r="AT324" s="769" t="s">
        <v>2334</v>
      </c>
      <c r="AU324" s="774" t="s">
        <v>2334</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2260</v>
      </c>
      <c r="BR324" s="769" t="s">
        <v>2260</v>
      </c>
      <c r="BS324" s="769" t="s">
        <v>2260</v>
      </c>
      <c r="BT324" s="769" t="s">
        <v>2260</v>
      </c>
      <c r="BU324" s="774" t="s">
        <v>2260</v>
      </c>
      <c r="BV324" s="777" t="s">
        <v>2260</v>
      </c>
      <c r="BW324" s="769" t="s">
        <v>2260</v>
      </c>
      <c r="BX324" s="769" t="s">
        <v>2260</v>
      </c>
      <c r="BY324" s="769" t="s">
        <v>2260</v>
      </c>
      <c r="BZ324" s="769" t="s">
        <v>2260</v>
      </c>
      <c r="CA324" s="777" t="s">
        <v>2260</v>
      </c>
      <c r="CB324" s="769" t="s">
        <v>2260</v>
      </c>
      <c r="CC324" s="769" t="s">
        <v>2260</v>
      </c>
      <c r="CD324" s="769" t="s">
        <v>2260</v>
      </c>
      <c r="CE324" s="774" t="s">
        <v>2260</v>
      </c>
      <c r="CF324" s="769" t="s">
        <v>2260</v>
      </c>
      <c r="CG324" s="769" t="s">
        <v>2260</v>
      </c>
      <c r="CH324" s="769" t="s">
        <v>2260</v>
      </c>
      <c r="CI324" s="769" t="s">
        <v>2260</v>
      </c>
      <c r="CJ324" s="774" t="s">
        <v>2260</v>
      </c>
      <c r="CK324" s="777" t="s">
        <v>2260</v>
      </c>
      <c r="CL324" s="769" t="s">
        <v>2260</v>
      </c>
      <c r="CM324" s="769" t="s">
        <v>2260</v>
      </c>
      <c r="CN324" s="769" t="s">
        <v>2260</v>
      </c>
      <c r="CO324" s="774" t="s">
        <v>2260</v>
      </c>
      <c r="CP324" s="777" t="s">
        <v>2260</v>
      </c>
      <c r="CQ324" s="769" t="s">
        <v>2260</v>
      </c>
      <c r="CR324" s="769" t="s">
        <v>2260</v>
      </c>
      <c r="CS324" s="769" t="s">
        <v>2260</v>
      </c>
      <c r="CT324" s="774" t="s">
        <v>2260</v>
      </c>
      <c r="CU324" s="1253" t="s">
        <v>2260</v>
      </c>
      <c r="CV324" s="1252" t="s">
        <v>2260</v>
      </c>
      <c r="CW324" s="1252" t="s">
        <v>2260</v>
      </c>
      <c r="CX324" s="1254" t="s">
        <v>2260</v>
      </c>
      <c r="CY324" s="1252" t="s">
        <v>2260</v>
      </c>
      <c r="CZ324" s="1252" t="s">
        <v>2260</v>
      </c>
      <c r="DA324" s="1252" t="s">
        <v>2260</v>
      </c>
      <c r="DB324" s="1254" t="s">
        <v>2260</v>
      </c>
      <c r="DC324" s="754"/>
      <c r="DD324" s="782"/>
      <c r="DE324" s="783"/>
    </row>
    <row r="325" spans="1:109" ht="15.75" hidden="1" customHeight="1">
      <c r="A325" s="741" t="s">
        <v>1287</v>
      </c>
      <c r="B325" s="742">
        <v>319</v>
      </c>
      <c r="C325" s="758" t="s">
        <v>1768</v>
      </c>
      <c r="D325" s="742" t="s">
        <v>3316</v>
      </c>
      <c r="E325" s="742" t="s">
        <v>2231</v>
      </c>
      <c r="F325" s="754" t="s">
        <v>2558</v>
      </c>
      <c r="G325" s="759" t="s">
        <v>2251</v>
      </c>
      <c r="H325" s="760" t="s">
        <v>3317</v>
      </c>
      <c r="I325" s="761">
        <v>0</v>
      </c>
      <c r="J325" s="762">
        <v>0</v>
      </c>
      <c r="K325" s="762"/>
      <c r="L325" s="762"/>
      <c r="M325" s="762">
        <v>1</v>
      </c>
      <c r="N325" s="762"/>
      <c r="O325" s="762"/>
      <c r="P325" s="763"/>
      <c r="Q325" s="764">
        <f t="shared" si="4"/>
        <v>1</v>
      </c>
      <c r="R325" s="758" t="s">
        <v>1852</v>
      </c>
      <c r="S325" s="742" t="s">
        <v>1826</v>
      </c>
      <c r="T325" s="765" t="s">
        <v>1827</v>
      </c>
      <c r="U325" s="742" t="s">
        <v>1888</v>
      </c>
      <c r="V325" s="742" t="s">
        <v>1897</v>
      </c>
      <c r="W325" s="742" t="s">
        <v>3318</v>
      </c>
      <c r="X325" s="1280">
        <v>2</v>
      </c>
      <c r="Y325" s="790" t="s">
        <v>1828</v>
      </c>
      <c r="Z325" s="759" t="s">
        <v>2251</v>
      </c>
      <c r="AA325" s="754"/>
      <c r="AB325" s="754"/>
      <c r="AC325" s="754"/>
      <c r="AD325" s="754"/>
      <c r="AE325" s="754"/>
      <c r="AF325" s="768"/>
      <c r="AG325" s="769"/>
      <c r="AH325" s="769"/>
      <c r="AI325" s="769"/>
      <c r="AJ325" s="769"/>
      <c r="AK325" s="769"/>
      <c r="AL325" s="769"/>
      <c r="AM325" s="769"/>
      <c r="AN325" s="769"/>
      <c r="AO325" s="769"/>
      <c r="AP325" s="769"/>
      <c r="AQ325" s="1369"/>
      <c r="AR325" s="1319"/>
      <c r="AS325" s="1319"/>
      <c r="AT325" s="1319"/>
      <c r="AU325" s="1320"/>
      <c r="AV325" s="777"/>
      <c r="AW325" s="769"/>
      <c r="AX325" s="769"/>
      <c r="AY325" s="769"/>
      <c r="AZ325" s="769"/>
      <c r="BA325" s="769"/>
      <c r="BB325" s="769"/>
      <c r="BC325" s="769"/>
      <c r="BD325" s="769"/>
      <c r="BE325" s="769"/>
      <c r="BF325" s="769"/>
      <c r="BG325" s="769"/>
      <c r="BH325" s="769"/>
      <c r="BI325" s="769"/>
      <c r="BJ325" s="769"/>
      <c r="BK325" s="774"/>
      <c r="BL325" s="1327"/>
      <c r="BM325" s="1328"/>
      <c r="BN325" s="1328"/>
      <c r="BO325" s="1328"/>
      <c r="BP325" s="1389"/>
      <c r="BQ325" s="1369"/>
      <c r="BR325" s="1319"/>
      <c r="BS325" s="1319"/>
      <c r="BT325" s="1319"/>
      <c r="BU325" s="1320"/>
      <c r="BV325" s="1369"/>
      <c r="BW325" s="1319"/>
      <c r="BX325" s="1319"/>
      <c r="BY325" s="1319"/>
      <c r="BZ325" s="1319"/>
      <c r="CA325" s="1369"/>
      <c r="CB325" s="1319"/>
      <c r="CC325" s="1319"/>
      <c r="CD325" s="1319"/>
      <c r="CE325" s="1320"/>
      <c r="CF325" s="1319"/>
      <c r="CG325" s="1319"/>
      <c r="CH325" s="1319"/>
      <c r="CI325" s="1319"/>
      <c r="CJ325" s="1320"/>
      <c r="CK325" s="1369"/>
      <c r="CL325" s="1319"/>
      <c r="CM325" s="1319"/>
      <c r="CN325" s="1319"/>
      <c r="CO325" s="1320"/>
      <c r="CP325" s="1369"/>
      <c r="CQ325" s="1319"/>
      <c r="CR325" s="1319"/>
      <c r="CS325" s="1319"/>
      <c r="CT325" s="1320"/>
      <c r="CU325" s="1467"/>
      <c r="CV325" s="1458"/>
      <c r="CW325" s="1458"/>
      <c r="CX325" s="1663"/>
      <c r="CY325" s="1458"/>
      <c r="CZ325" s="1458"/>
      <c r="DA325" s="1458"/>
      <c r="DB325" s="1663"/>
      <c r="DC325" s="1328"/>
      <c r="DD325" s="1664"/>
      <c r="DE325" s="1669"/>
    </row>
    <row r="326" spans="1:109" ht="15.75" hidden="1" customHeight="1">
      <c r="A326" s="741" t="s">
        <v>1287</v>
      </c>
      <c r="B326" s="742">
        <v>320</v>
      </c>
      <c r="C326" s="758" t="s">
        <v>1785</v>
      </c>
      <c r="D326" s="742" t="s">
        <v>3316</v>
      </c>
      <c r="E326" s="742" t="s">
        <v>2231</v>
      </c>
      <c r="F326" s="754" t="s">
        <v>2561</v>
      </c>
      <c r="G326" s="759" t="s">
        <v>2254</v>
      </c>
      <c r="H326" s="760" t="s">
        <v>3319</v>
      </c>
      <c r="I326" s="761">
        <v>0</v>
      </c>
      <c r="J326" s="762">
        <v>1</v>
      </c>
      <c r="K326" s="762"/>
      <c r="L326" s="762"/>
      <c r="M326" s="762">
        <v>0</v>
      </c>
      <c r="N326" s="762"/>
      <c r="O326" s="762"/>
      <c r="P326" s="763"/>
      <c r="Q326" s="764">
        <f t="shared" si="4"/>
        <v>1</v>
      </c>
      <c r="R326" s="758" t="s">
        <v>1852</v>
      </c>
      <c r="S326" s="742" t="s">
        <v>1826</v>
      </c>
      <c r="T326" s="765" t="s">
        <v>1827</v>
      </c>
      <c r="U326" s="742" t="s">
        <v>1891</v>
      </c>
      <c r="V326" s="742" t="s">
        <v>1897</v>
      </c>
      <c r="W326" s="742" t="s">
        <v>3320</v>
      </c>
      <c r="X326" s="1280">
        <v>2</v>
      </c>
      <c r="Y326" s="790" t="s">
        <v>1828</v>
      </c>
      <c r="Z326" s="759" t="s">
        <v>2254</v>
      </c>
      <c r="AA326" s="754"/>
      <c r="AB326" s="754"/>
      <c r="AC326" s="754"/>
      <c r="AD326" s="754"/>
      <c r="AE326" s="754"/>
      <c r="AF326" s="768"/>
      <c r="AG326" s="769"/>
      <c r="AH326" s="769"/>
      <c r="AI326" s="769"/>
      <c r="AJ326" s="769"/>
      <c r="AK326" s="769"/>
      <c r="AL326" s="769"/>
      <c r="AM326" s="769"/>
      <c r="AN326" s="769"/>
      <c r="AO326" s="769"/>
      <c r="AP326" s="769"/>
      <c r="AQ326" s="1369"/>
      <c r="AR326" s="1319"/>
      <c r="AS326" s="1319"/>
      <c r="AT326" s="1319"/>
      <c r="AU326" s="1320"/>
      <c r="AV326" s="777"/>
      <c r="AW326" s="769"/>
      <c r="AX326" s="769"/>
      <c r="AY326" s="769"/>
      <c r="AZ326" s="769"/>
      <c r="BA326" s="769"/>
      <c r="BB326" s="769"/>
      <c r="BC326" s="769"/>
      <c r="BD326" s="769"/>
      <c r="BE326" s="769"/>
      <c r="BF326" s="769"/>
      <c r="BG326" s="769"/>
      <c r="BH326" s="769"/>
      <c r="BI326" s="769"/>
      <c r="BJ326" s="769"/>
      <c r="BK326" s="774"/>
      <c r="BL326" s="1327"/>
      <c r="BM326" s="1328"/>
      <c r="BN326" s="1328"/>
      <c r="BO326" s="1328"/>
      <c r="BP326" s="1389"/>
      <c r="BQ326" s="1369"/>
      <c r="BR326" s="1319"/>
      <c r="BS326" s="1319"/>
      <c r="BT326" s="1319"/>
      <c r="BU326" s="1320"/>
      <c r="BV326" s="1369"/>
      <c r="BW326" s="1319"/>
      <c r="BX326" s="1319"/>
      <c r="BY326" s="1319"/>
      <c r="BZ326" s="1319"/>
      <c r="CA326" s="1369"/>
      <c r="CB326" s="1319"/>
      <c r="CC326" s="1319"/>
      <c r="CD326" s="1319"/>
      <c r="CE326" s="1320"/>
      <c r="CF326" s="1319"/>
      <c r="CG326" s="1319"/>
      <c r="CH326" s="1319"/>
      <c r="CI326" s="1319"/>
      <c r="CJ326" s="1320"/>
      <c r="CK326" s="1369"/>
      <c r="CL326" s="1319"/>
      <c r="CM326" s="1319"/>
      <c r="CN326" s="1319"/>
      <c r="CO326" s="1320"/>
      <c r="CP326" s="1369"/>
      <c r="CQ326" s="1319"/>
      <c r="CR326" s="1319"/>
      <c r="CS326" s="1319"/>
      <c r="CT326" s="1320"/>
      <c r="CU326" s="1467"/>
      <c r="CV326" s="1458"/>
      <c r="CW326" s="1458"/>
      <c r="CX326" s="1663"/>
      <c r="CY326" s="1458"/>
      <c r="CZ326" s="1458"/>
      <c r="DA326" s="1458"/>
      <c r="DB326" s="1663"/>
      <c r="DC326" s="1328"/>
      <c r="DD326" s="1664"/>
      <c r="DE326" s="1669"/>
    </row>
    <row r="327" spans="1:109" ht="15.75" hidden="1" customHeight="1">
      <c r="A327" s="741" t="s">
        <v>1287</v>
      </c>
      <c r="B327" s="742">
        <v>321</v>
      </c>
      <c r="C327" s="758" t="s">
        <v>1596</v>
      </c>
      <c r="D327" s="742" t="s">
        <v>3316</v>
      </c>
      <c r="E327" s="742" t="s">
        <v>2231</v>
      </c>
      <c r="F327" s="754" t="s">
        <v>2565</v>
      </c>
      <c r="G327" s="759" t="s">
        <v>3321</v>
      </c>
      <c r="H327" s="760" t="s">
        <v>3322</v>
      </c>
      <c r="I327" s="761">
        <v>0</v>
      </c>
      <c r="J327" s="762">
        <v>1</v>
      </c>
      <c r="K327" s="762"/>
      <c r="L327" s="762"/>
      <c r="M327" s="762">
        <v>0</v>
      </c>
      <c r="N327" s="762"/>
      <c r="O327" s="762"/>
      <c r="P327" s="763"/>
      <c r="Q327" s="764">
        <f t="shared" si="4"/>
        <v>1</v>
      </c>
      <c r="R327" s="758" t="s">
        <v>1825</v>
      </c>
      <c r="S327" s="742"/>
      <c r="T327" s="765"/>
      <c r="U327" s="742" t="s">
        <v>2568</v>
      </c>
      <c r="V327" s="742" t="s">
        <v>321</v>
      </c>
      <c r="W327" s="742" t="s">
        <v>2016</v>
      </c>
      <c r="X327" s="1279">
        <v>1</v>
      </c>
      <c r="Y327" s="790" t="s">
        <v>1828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2260</v>
      </c>
      <c r="BR327" s="769" t="s">
        <v>2260</v>
      </c>
      <c r="BS327" s="769" t="s">
        <v>2260</v>
      </c>
      <c r="BT327" s="769" t="s">
        <v>2260</v>
      </c>
      <c r="BU327" s="774" t="s">
        <v>2260</v>
      </c>
      <c r="BV327" s="777" t="s">
        <v>2260</v>
      </c>
      <c r="BW327" s="769" t="s">
        <v>2260</v>
      </c>
      <c r="BX327" s="769" t="s">
        <v>2260</v>
      </c>
      <c r="BY327" s="769" t="s">
        <v>2260</v>
      </c>
      <c r="BZ327" s="769" t="s">
        <v>2260</v>
      </c>
      <c r="CA327" s="777" t="s">
        <v>2260</v>
      </c>
      <c r="CB327" s="769" t="s">
        <v>2260</v>
      </c>
      <c r="CC327" s="769" t="s">
        <v>2260</v>
      </c>
      <c r="CD327" s="769" t="s">
        <v>2260</v>
      </c>
      <c r="CE327" s="774" t="s">
        <v>2260</v>
      </c>
      <c r="CF327" s="769" t="s">
        <v>2260</v>
      </c>
      <c r="CG327" s="769" t="s">
        <v>2260</v>
      </c>
      <c r="CH327" s="769" t="s">
        <v>2260</v>
      </c>
      <c r="CI327" s="769" t="s">
        <v>2260</v>
      </c>
      <c r="CJ327" s="769" t="s">
        <v>2260</v>
      </c>
      <c r="CK327" s="777" t="s">
        <v>2260</v>
      </c>
      <c r="CL327" s="769" t="s">
        <v>2260</v>
      </c>
      <c r="CM327" s="769" t="s">
        <v>2260</v>
      </c>
      <c r="CN327" s="769" t="s">
        <v>2260</v>
      </c>
      <c r="CO327" s="774" t="s">
        <v>2260</v>
      </c>
      <c r="CP327" s="777" t="s">
        <v>2260</v>
      </c>
      <c r="CQ327" s="769" t="s">
        <v>2260</v>
      </c>
      <c r="CR327" s="769" t="s">
        <v>2260</v>
      </c>
      <c r="CS327" s="769" t="s">
        <v>2260</v>
      </c>
      <c r="CT327" s="774" t="s">
        <v>2260</v>
      </c>
      <c r="CU327" s="1253" t="s">
        <v>2260</v>
      </c>
      <c r="CV327" s="1252" t="s">
        <v>2260</v>
      </c>
      <c r="CW327" s="1252" t="s">
        <v>2260</v>
      </c>
      <c r="CX327" s="1254" t="s">
        <v>2260</v>
      </c>
      <c r="CY327" s="1252" t="s">
        <v>2260</v>
      </c>
      <c r="CZ327" s="1252" t="s">
        <v>2260</v>
      </c>
      <c r="DA327" s="1252" t="s">
        <v>2260</v>
      </c>
      <c r="DB327" s="1254" t="s">
        <v>2260</v>
      </c>
      <c r="DC327" s="754"/>
      <c r="DD327" s="782">
        <v>1</v>
      </c>
      <c r="DE327" s="783"/>
    </row>
    <row r="328" spans="1:109" ht="15.75" hidden="1" customHeight="1">
      <c r="A328" s="741" t="s">
        <v>1287</v>
      </c>
      <c r="B328" s="742">
        <v>322</v>
      </c>
      <c r="C328" s="758" t="s">
        <v>1313</v>
      </c>
      <c r="D328" s="742" t="s">
        <v>3323</v>
      </c>
      <c r="E328" s="742" t="s">
        <v>2223</v>
      </c>
      <c r="F328" s="754" t="s">
        <v>2571</v>
      </c>
      <c r="G328" s="759" t="s">
        <v>3324</v>
      </c>
      <c r="H328" s="760" t="s">
        <v>3325</v>
      </c>
      <c r="I328" s="761">
        <v>0</v>
      </c>
      <c r="J328" s="762">
        <v>0</v>
      </c>
      <c r="K328" s="762"/>
      <c r="L328" s="762"/>
      <c r="M328" s="762">
        <v>1</v>
      </c>
      <c r="N328" s="762"/>
      <c r="O328" s="762"/>
      <c r="P328" s="763"/>
      <c r="Q328" s="764">
        <f t="shared" si="4"/>
        <v>1</v>
      </c>
      <c r="R328" s="758" t="s">
        <v>1846</v>
      </c>
      <c r="S328" s="742" t="s">
        <v>1826</v>
      </c>
      <c r="T328" s="765" t="s">
        <v>1827</v>
      </c>
      <c r="U328" s="742" t="s">
        <v>2329</v>
      </c>
      <c r="V328" s="742" t="s">
        <v>1857</v>
      </c>
      <c r="W328" s="742" t="s">
        <v>3326</v>
      </c>
      <c r="X328" s="1279">
        <v>0</v>
      </c>
      <c r="Y328" s="790" t="s">
        <v>1828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210</v>
      </c>
      <c r="BM328" s="754" t="s">
        <v>210</v>
      </c>
      <c r="BN328" s="754" t="s">
        <v>210</v>
      </c>
      <c r="BO328" s="754" t="s">
        <v>210</v>
      </c>
      <c r="BP328" s="765" t="s">
        <v>210</v>
      </c>
      <c r="BQ328" s="777" t="s">
        <v>2260</v>
      </c>
      <c r="BR328" s="769" t="s">
        <v>2260</v>
      </c>
      <c r="BS328" s="769" t="s">
        <v>2260</v>
      </c>
      <c r="BT328" s="769" t="s">
        <v>2260</v>
      </c>
      <c r="BU328" s="774" t="s">
        <v>2260</v>
      </c>
      <c r="BV328" s="777" t="s">
        <v>2260</v>
      </c>
      <c r="BW328" s="769" t="s">
        <v>2260</v>
      </c>
      <c r="BX328" s="769" t="s">
        <v>2260</v>
      </c>
      <c r="BY328" s="769" t="s">
        <v>2260</v>
      </c>
      <c r="BZ328" s="769" t="s">
        <v>2260</v>
      </c>
      <c r="CA328" s="777" t="s">
        <v>2260</v>
      </c>
      <c r="CB328" s="769" t="s">
        <v>2260</v>
      </c>
      <c r="CC328" s="769" t="s">
        <v>2260</v>
      </c>
      <c r="CD328" s="769" t="s">
        <v>2260</v>
      </c>
      <c r="CE328" s="774" t="s">
        <v>2260</v>
      </c>
      <c r="CF328" s="769" t="s">
        <v>2260</v>
      </c>
      <c r="CG328" s="769" t="s">
        <v>2260</v>
      </c>
      <c r="CH328" s="769" t="s">
        <v>2260</v>
      </c>
      <c r="CI328" s="769" t="s">
        <v>2260</v>
      </c>
      <c r="CJ328" s="774" t="s">
        <v>2260</v>
      </c>
      <c r="CK328" s="777" t="s">
        <v>2260</v>
      </c>
      <c r="CL328" s="769" t="s">
        <v>2260</v>
      </c>
      <c r="CM328" s="769" t="s">
        <v>2260</v>
      </c>
      <c r="CN328" s="769" t="s">
        <v>2260</v>
      </c>
      <c r="CO328" s="774" t="s">
        <v>2260</v>
      </c>
      <c r="CP328" s="777" t="s">
        <v>2260</v>
      </c>
      <c r="CQ328" s="769" t="s">
        <v>2260</v>
      </c>
      <c r="CR328" s="769" t="s">
        <v>2260</v>
      </c>
      <c r="CS328" s="769" t="s">
        <v>2260</v>
      </c>
      <c r="CT328" s="774" t="s">
        <v>2260</v>
      </c>
      <c r="CU328" s="1253">
        <v>-6.0000000000000002E-6</v>
      </c>
      <c r="CV328" s="1252" t="s">
        <v>2260</v>
      </c>
      <c r="CW328" s="1252" t="s">
        <v>2260</v>
      </c>
      <c r="CX328" s="1254" t="s">
        <v>2260</v>
      </c>
      <c r="CY328" s="1252" t="s">
        <v>2260</v>
      </c>
      <c r="CZ328" s="1252" t="s">
        <v>2260</v>
      </c>
      <c r="DA328" s="1252" t="s">
        <v>2260</v>
      </c>
      <c r="DB328" s="1254" t="s">
        <v>2260</v>
      </c>
      <c r="DC328" s="754"/>
      <c r="DD328" s="782">
        <v>1</v>
      </c>
      <c r="DE328" s="783"/>
    </row>
    <row r="329" spans="1:109" ht="15.75" hidden="1" customHeight="1">
      <c r="A329" s="741" t="s">
        <v>1287</v>
      </c>
      <c r="B329" s="742">
        <v>323</v>
      </c>
      <c r="C329" s="758" t="s">
        <v>1330</v>
      </c>
      <c r="D329" s="742" t="s">
        <v>3323</v>
      </c>
      <c r="E329" s="742" t="s">
        <v>2231</v>
      </c>
      <c r="F329" s="754" t="s">
        <v>2574</v>
      </c>
      <c r="G329" s="759" t="s">
        <v>3327</v>
      </c>
      <c r="H329" s="760" t="s">
        <v>3328</v>
      </c>
      <c r="I329" s="761">
        <v>0</v>
      </c>
      <c r="J329" s="762">
        <v>0</v>
      </c>
      <c r="K329" s="762"/>
      <c r="L329" s="762"/>
      <c r="M329" s="762">
        <v>1</v>
      </c>
      <c r="N329" s="762"/>
      <c r="O329" s="762"/>
      <c r="P329" s="763"/>
      <c r="Q329" s="764">
        <f t="shared" ref="Q329:Q392" si="5">SUM(I329:P329)</f>
        <v>1</v>
      </c>
      <c r="R329" s="758" t="s">
        <v>1846</v>
      </c>
      <c r="S329" s="742" t="s">
        <v>1826</v>
      </c>
      <c r="T329" s="765" t="s">
        <v>1827</v>
      </c>
      <c r="U329" s="742" t="s">
        <v>2329</v>
      </c>
      <c r="V329" s="742" t="s">
        <v>321</v>
      </c>
      <c r="W329" s="742" t="s">
        <v>2016</v>
      </c>
      <c r="X329" s="1279">
        <v>1</v>
      </c>
      <c r="Y329" s="790" t="s">
        <v>1828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210</v>
      </c>
      <c r="BM329" s="754" t="s">
        <v>210</v>
      </c>
      <c r="BN329" s="754" t="s">
        <v>210</v>
      </c>
      <c r="BO329" s="754" t="s">
        <v>210</v>
      </c>
      <c r="BP329" s="765" t="s">
        <v>210</v>
      </c>
      <c r="BQ329" s="777" t="s">
        <v>2260</v>
      </c>
      <c r="BR329" s="769" t="s">
        <v>2260</v>
      </c>
      <c r="BS329" s="769" t="s">
        <v>2260</v>
      </c>
      <c r="BT329" s="769" t="s">
        <v>2260</v>
      </c>
      <c r="BU329" s="774" t="s">
        <v>2260</v>
      </c>
      <c r="BV329" s="777" t="s">
        <v>2260</v>
      </c>
      <c r="BW329" s="769" t="s">
        <v>2260</v>
      </c>
      <c r="BX329" s="769" t="s">
        <v>2260</v>
      </c>
      <c r="BY329" s="769" t="s">
        <v>2260</v>
      </c>
      <c r="BZ329" s="769" t="s">
        <v>2260</v>
      </c>
      <c r="CA329" s="777" t="s">
        <v>2260</v>
      </c>
      <c r="CB329" s="769" t="s">
        <v>2260</v>
      </c>
      <c r="CC329" s="769" t="s">
        <v>2260</v>
      </c>
      <c r="CD329" s="769" t="s">
        <v>2260</v>
      </c>
      <c r="CE329" s="774" t="s">
        <v>2260</v>
      </c>
      <c r="CF329" s="769" t="s">
        <v>2260</v>
      </c>
      <c r="CG329" s="769" t="s">
        <v>2260</v>
      </c>
      <c r="CH329" s="769" t="s">
        <v>2260</v>
      </c>
      <c r="CI329" s="769" t="s">
        <v>2260</v>
      </c>
      <c r="CJ329" s="774" t="s">
        <v>2260</v>
      </c>
      <c r="CK329" s="777" t="s">
        <v>2260</v>
      </c>
      <c r="CL329" s="769" t="s">
        <v>2260</v>
      </c>
      <c r="CM329" s="769" t="s">
        <v>2260</v>
      </c>
      <c r="CN329" s="769" t="s">
        <v>2260</v>
      </c>
      <c r="CO329" s="774" t="s">
        <v>2260</v>
      </c>
      <c r="CP329" s="777" t="s">
        <v>2260</v>
      </c>
      <c r="CQ329" s="769" t="s">
        <v>2260</v>
      </c>
      <c r="CR329" s="769" t="s">
        <v>2260</v>
      </c>
      <c r="CS329" s="769" t="s">
        <v>2260</v>
      </c>
      <c r="CT329" s="774" t="s">
        <v>2260</v>
      </c>
      <c r="CU329" s="1253">
        <v>-3.2231999999999997E-2</v>
      </c>
      <c r="CV329" s="1252" t="s">
        <v>2260</v>
      </c>
      <c r="CW329" s="1252" t="s">
        <v>2260</v>
      </c>
      <c r="CX329" s="1254" t="s">
        <v>2260</v>
      </c>
      <c r="CY329" s="1252" t="s">
        <v>2260</v>
      </c>
      <c r="CZ329" s="1252" t="s">
        <v>2260</v>
      </c>
      <c r="DA329" s="1252" t="s">
        <v>2260</v>
      </c>
      <c r="DB329" s="1254" t="s">
        <v>2260</v>
      </c>
      <c r="DC329" s="754"/>
      <c r="DD329" s="782">
        <v>1</v>
      </c>
      <c r="DE329" s="783"/>
    </row>
    <row r="330" spans="1:109" ht="15.75" hidden="1" customHeight="1">
      <c r="A330" s="741" t="s">
        <v>1287</v>
      </c>
      <c r="B330" s="742">
        <v>324</v>
      </c>
      <c r="C330" s="758" t="s">
        <v>1347</v>
      </c>
      <c r="D330" s="742" t="s">
        <v>3323</v>
      </c>
      <c r="E330" s="742" t="s">
        <v>2217</v>
      </c>
      <c r="F330" s="754" t="s">
        <v>2576</v>
      </c>
      <c r="G330" s="759" t="s">
        <v>3329</v>
      </c>
      <c r="H330" s="760" t="s">
        <v>3330</v>
      </c>
      <c r="I330" s="761">
        <v>8.1000000000000003E-2</v>
      </c>
      <c r="J330" s="762">
        <v>0.91900000000000004</v>
      </c>
      <c r="K330" s="762"/>
      <c r="L330" s="762"/>
      <c r="M330" s="762">
        <v>0</v>
      </c>
      <c r="N330" s="762"/>
      <c r="O330" s="762"/>
      <c r="P330" s="763"/>
      <c r="Q330" s="764">
        <f t="shared" si="5"/>
        <v>1</v>
      </c>
      <c r="R330" s="758" t="s">
        <v>1852</v>
      </c>
      <c r="S330" s="742" t="s">
        <v>1826</v>
      </c>
      <c r="T330" s="765" t="s">
        <v>1827</v>
      </c>
      <c r="U330" s="742" t="s">
        <v>2610</v>
      </c>
      <c r="V330" s="742" t="s">
        <v>1857</v>
      </c>
      <c r="W330" s="742" t="s">
        <v>2611</v>
      </c>
      <c r="X330" s="1279">
        <v>0</v>
      </c>
      <c r="Y330" s="790" t="s">
        <v>1828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210</v>
      </c>
      <c r="BM330" s="754" t="s">
        <v>210</v>
      </c>
      <c r="BN330" s="754" t="s">
        <v>210</v>
      </c>
      <c r="BO330" s="754" t="s">
        <v>210</v>
      </c>
      <c r="BP330" s="765" t="s">
        <v>210</v>
      </c>
      <c r="BQ330" s="777" t="s">
        <v>2260</v>
      </c>
      <c r="BR330" s="769" t="s">
        <v>2260</v>
      </c>
      <c r="BS330" s="769" t="s">
        <v>2260</v>
      </c>
      <c r="BT330" s="769" t="s">
        <v>2260</v>
      </c>
      <c r="BU330" s="774" t="s">
        <v>2260</v>
      </c>
      <c r="BV330" s="777" t="s">
        <v>2260</v>
      </c>
      <c r="BW330" s="769" t="s">
        <v>2260</v>
      </c>
      <c r="BX330" s="769" t="s">
        <v>2260</v>
      </c>
      <c r="BY330" s="769" t="s">
        <v>2260</v>
      </c>
      <c r="BZ330" s="769" t="s">
        <v>2260</v>
      </c>
      <c r="CA330" s="777" t="s">
        <v>2260</v>
      </c>
      <c r="CB330" s="769" t="s">
        <v>2260</v>
      </c>
      <c r="CC330" s="769" t="s">
        <v>2260</v>
      </c>
      <c r="CD330" s="769" t="s">
        <v>2260</v>
      </c>
      <c r="CE330" s="774" t="s">
        <v>2260</v>
      </c>
      <c r="CF330" s="769" t="s">
        <v>2260</v>
      </c>
      <c r="CG330" s="769" t="s">
        <v>2260</v>
      </c>
      <c r="CH330" s="769" t="s">
        <v>2260</v>
      </c>
      <c r="CI330" s="769" t="s">
        <v>2260</v>
      </c>
      <c r="CJ330" s="774" t="s">
        <v>2260</v>
      </c>
      <c r="CK330" s="777">
        <v>7000</v>
      </c>
      <c r="CL330" s="769">
        <v>7000</v>
      </c>
      <c r="CM330" s="769">
        <v>7000</v>
      </c>
      <c r="CN330" s="769">
        <v>7000</v>
      </c>
      <c r="CO330" s="774">
        <v>7000</v>
      </c>
      <c r="CP330" s="777" t="s">
        <v>2260</v>
      </c>
      <c r="CQ330" s="769" t="s">
        <v>2260</v>
      </c>
      <c r="CR330" s="769" t="s">
        <v>2260</v>
      </c>
      <c r="CS330" s="769" t="s">
        <v>2260</v>
      </c>
      <c r="CT330" s="774" t="s">
        <v>2260</v>
      </c>
      <c r="CU330" s="1253">
        <v>-1.5E-5</v>
      </c>
      <c r="CV330" s="1252" t="s">
        <v>2260</v>
      </c>
      <c r="CW330" s="1252" t="s">
        <v>2260</v>
      </c>
      <c r="CX330" s="1254" t="s">
        <v>2260</v>
      </c>
      <c r="CY330" s="1252">
        <v>7.9999999999999996E-6</v>
      </c>
      <c r="CZ330" s="1252" t="s">
        <v>2260</v>
      </c>
      <c r="DA330" s="1252" t="s">
        <v>2260</v>
      </c>
      <c r="DB330" s="1254" t="s">
        <v>2260</v>
      </c>
      <c r="DC330" s="754"/>
      <c r="DD330" s="782">
        <v>1</v>
      </c>
      <c r="DE330" s="783"/>
    </row>
    <row r="331" spans="1:109" ht="15.75" hidden="1" customHeight="1">
      <c r="A331" s="741" t="s">
        <v>1287</v>
      </c>
      <c r="B331" s="742">
        <v>325</v>
      </c>
      <c r="C331" s="758" t="s">
        <v>1225</v>
      </c>
      <c r="D331" s="742" t="s">
        <v>3323</v>
      </c>
      <c r="E331" s="742" t="s">
        <v>2231</v>
      </c>
      <c r="F331" s="754" t="s">
        <v>2579</v>
      </c>
      <c r="G331" s="759" t="s">
        <v>755</v>
      </c>
      <c r="H331" s="760" t="s">
        <v>3331</v>
      </c>
      <c r="I331" s="761">
        <v>0</v>
      </c>
      <c r="J331" s="762">
        <v>0</v>
      </c>
      <c r="K331" s="762"/>
      <c r="L331" s="762"/>
      <c r="M331" s="762">
        <v>1</v>
      </c>
      <c r="N331" s="762"/>
      <c r="O331" s="762"/>
      <c r="P331" s="763"/>
      <c r="Q331" s="764">
        <f t="shared" si="5"/>
        <v>1</v>
      </c>
      <c r="R331" s="758" t="s">
        <v>1825</v>
      </c>
      <c r="S331" s="742"/>
      <c r="T331" s="765"/>
      <c r="U331" s="742" t="s">
        <v>2329</v>
      </c>
      <c r="V331" s="742" t="s">
        <v>321</v>
      </c>
      <c r="W331" s="742" t="s">
        <v>3332</v>
      </c>
      <c r="X331" s="1279">
        <v>1</v>
      </c>
      <c r="Y331" s="790" t="s">
        <v>1828</v>
      </c>
      <c r="Z331" s="759" t="s">
        <v>755</v>
      </c>
      <c r="AA331" s="754"/>
      <c r="AB331" s="754"/>
      <c r="AC331" s="754"/>
      <c r="AD331" s="754"/>
      <c r="AE331" s="754"/>
      <c r="AF331" s="768"/>
      <c r="AG331" s="769"/>
      <c r="AH331" s="769"/>
      <c r="AI331" s="769"/>
      <c r="AJ331" s="769"/>
      <c r="AK331" s="769"/>
      <c r="AL331" s="769"/>
      <c r="AM331" s="769"/>
      <c r="AN331" s="769"/>
      <c r="AO331" s="769"/>
      <c r="AP331" s="769"/>
      <c r="AQ331" s="1369"/>
      <c r="AR331" s="1319"/>
      <c r="AS331" s="1319"/>
      <c r="AT331" s="1319"/>
      <c r="AU331" s="1320"/>
      <c r="AV331" s="777"/>
      <c r="AW331" s="769"/>
      <c r="AX331" s="769"/>
      <c r="AY331" s="769"/>
      <c r="AZ331" s="769"/>
      <c r="BA331" s="769"/>
      <c r="BB331" s="769"/>
      <c r="BC331" s="769"/>
      <c r="BD331" s="769"/>
      <c r="BE331" s="769"/>
      <c r="BF331" s="769"/>
      <c r="BG331" s="769"/>
      <c r="BH331" s="769"/>
      <c r="BI331" s="769"/>
      <c r="BJ331" s="769"/>
      <c r="BK331" s="774"/>
      <c r="BL331" s="1327"/>
      <c r="BM331" s="1328"/>
      <c r="BN331" s="1328"/>
      <c r="BO331" s="1328"/>
      <c r="BP331" s="1389"/>
      <c r="BQ331" s="1369"/>
      <c r="BR331" s="1319"/>
      <c r="BS331" s="1319"/>
      <c r="BT331" s="1319"/>
      <c r="BU331" s="1320"/>
      <c r="BV331" s="1369"/>
      <c r="BW331" s="1319"/>
      <c r="BX331" s="1319"/>
      <c r="BY331" s="1319"/>
      <c r="BZ331" s="1319"/>
      <c r="CA331" s="1369"/>
      <c r="CB331" s="1319"/>
      <c r="CC331" s="1319"/>
      <c r="CD331" s="1319"/>
      <c r="CE331" s="1320"/>
      <c r="CF331" s="1319"/>
      <c r="CG331" s="1319"/>
      <c r="CH331" s="1319"/>
      <c r="CI331" s="1319"/>
      <c r="CJ331" s="1320"/>
      <c r="CK331" s="1369"/>
      <c r="CL331" s="1319"/>
      <c r="CM331" s="1319"/>
      <c r="CN331" s="1319"/>
      <c r="CO331" s="1320"/>
      <c r="CP331" s="1369"/>
      <c r="CQ331" s="1319"/>
      <c r="CR331" s="1319"/>
      <c r="CS331" s="1319"/>
      <c r="CT331" s="1320"/>
      <c r="CU331" s="1467"/>
      <c r="CV331" s="1458"/>
      <c r="CW331" s="1458"/>
      <c r="CX331" s="1663"/>
      <c r="CY331" s="1458"/>
      <c r="CZ331" s="1458"/>
      <c r="DA331" s="1458"/>
      <c r="DB331" s="1663"/>
      <c r="DC331" s="1328"/>
      <c r="DD331" s="1664"/>
      <c r="DE331" s="1669"/>
    </row>
    <row r="332" spans="1:109" ht="15.75" hidden="1" customHeight="1">
      <c r="A332" s="741" t="s">
        <v>1287</v>
      </c>
      <c r="B332" s="742">
        <v>326</v>
      </c>
      <c r="C332" s="758" t="s">
        <v>1230</v>
      </c>
      <c r="D332" s="742" t="s">
        <v>3333</v>
      </c>
      <c r="E332" s="742" t="s">
        <v>2223</v>
      </c>
      <c r="F332" s="754" t="s">
        <v>2592</v>
      </c>
      <c r="G332" s="759" t="s">
        <v>3334</v>
      </c>
      <c r="H332" s="760" t="s">
        <v>3335</v>
      </c>
      <c r="I332" s="761">
        <v>0</v>
      </c>
      <c r="J332" s="762">
        <v>1</v>
      </c>
      <c r="K332" s="762"/>
      <c r="L332" s="762"/>
      <c r="M332" s="762">
        <v>0</v>
      </c>
      <c r="N332" s="762"/>
      <c r="O332" s="762"/>
      <c r="P332" s="763"/>
      <c r="Q332" s="764">
        <f t="shared" si="5"/>
        <v>1</v>
      </c>
      <c r="R332" s="758" t="s">
        <v>1852</v>
      </c>
      <c r="S332" s="742" t="s">
        <v>1826</v>
      </c>
      <c r="T332" s="765" t="s">
        <v>1827</v>
      </c>
      <c r="U332" s="742" t="s">
        <v>705</v>
      </c>
      <c r="V332" s="742" t="s">
        <v>1857</v>
      </c>
      <c r="W332" s="742" t="s">
        <v>3336</v>
      </c>
      <c r="X332" s="1279">
        <v>1</v>
      </c>
      <c r="Y332" s="790" t="s">
        <v>1838</v>
      </c>
      <c r="Z332" s="759" t="s">
        <v>705</v>
      </c>
      <c r="AA332" s="754"/>
      <c r="AB332" s="754"/>
      <c r="AC332" s="754"/>
      <c r="AD332" s="754"/>
      <c r="AE332" s="754"/>
      <c r="AF332" s="768"/>
      <c r="AG332" s="769"/>
      <c r="AH332" s="769"/>
      <c r="AI332" s="769"/>
      <c r="AJ332" s="769"/>
      <c r="AK332" s="769"/>
      <c r="AL332" s="769"/>
      <c r="AM332" s="769"/>
      <c r="AN332" s="769"/>
      <c r="AO332" s="769"/>
      <c r="AP332" s="811"/>
      <c r="AQ332" s="1370"/>
      <c r="AR332" s="1324"/>
      <c r="AS332" s="1324"/>
      <c r="AT332" s="1324"/>
      <c r="AU332" s="1325"/>
      <c r="AV332" s="777"/>
      <c r="AW332" s="769"/>
      <c r="AX332" s="769"/>
      <c r="AY332" s="769"/>
      <c r="AZ332" s="769"/>
      <c r="BA332" s="769"/>
      <c r="BB332" s="769"/>
      <c r="BC332" s="769"/>
      <c r="BD332" s="769"/>
      <c r="BE332" s="769"/>
      <c r="BF332" s="769"/>
      <c r="BG332" s="769"/>
      <c r="BH332" s="769"/>
      <c r="BI332" s="769"/>
      <c r="BJ332" s="769"/>
      <c r="BK332" s="774"/>
      <c r="BL332" s="1327"/>
      <c r="BM332" s="1328"/>
      <c r="BN332" s="1328"/>
      <c r="BO332" s="1328"/>
      <c r="BP332" s="1389"/>
      <c r="BQ332" s="1369"/>
      <c r="BR332" s="1319"/>
      <c r="BS332" s="1319"/>
      <c r="BT332" s="1319"/>
      <c r="BU332" s="1320"/>
      <c r="BV332" s="1370"/>
      <c r="BW332" s="1324"/>
      <c r="BX332" s="1324"/>
      <c r="BY332" s="1324"/>
      <c r="BZ332" s="1324"/>
      <c r="CA332" s="1369"/>
      <c r="CB332" s="1319"/>
      <c r="CC332" s="1319"/>
      <c r="CD332" s="1319"/>
      <c r="CE332" s="1320"/>
      <c r="CF332" s="1319"/>
      <c r="CG332" s="1319"/>
      <c r="CH332" s="1319"/>
      <c r="CI332" s="1319"/>
      <c r="CJ332" s="1320"/>
      <c r="CK332" s="1369"/>
      <c r="CL332" s="1319"/>
      <c r="CM332" s="1319"/>
      <c r="CN332" s="1319"/>
      <c r="CO332" s="1320"/>
      <c r="CP332" s="1369"/>
      <c r="CQ332" s="1319"/>
      <c r="CR332" s="1319"/>
      <c r="CS332" s="1319"/>
      <c r="CT332" s="1320"/>
      <c r="CU332" s="1467"/>
      <c r="CV332" s="1458"/>
      <c r="CW332" s="1458"/>
      <c r="CX332" s="1663"/>
      <c r="CY332" s="1458"/>
      <c r="CZ332" s="1458"/>
      <c r="DA332" s="1458"/>
      <c r="DB332" s="1663"/>
      <c r="DC332" s="1328"/>
      <c r="DD332" s="1664"/>
      <c r="DE332" s="1669"/>
    </row>
    <row r="333" spans="1:109" ht="15.75" hidden="1" customHeight="1">
      <c r="A333" s="741" t="s">
        <v>1287</v>
      </c>
      <c r="B333" s="742">
        <v>327</v>
      </c>
      <c r="C333" s="758" t="s">
        <v>1244</v>
      </c>
      <c r="D333" s="742" t="s">
        <v>3333</v>
      </c>
      <c r="E333" s="742" t="s">
        <v>2223</v>
      </c>
      <c r="F333" s="754" t="s">
        <v>2595</v>
      </c>
      <c r="G333" s="759" t="s">
        <v>3337</v>
      </c>
      <c r="H333" s="760" t="s">
        <v>3338</v>
      </c>
      <c r="I333" s="761">
        <v>0</v>
      </c>
      <c r="J333" s="762">
        <v>1</v>
      </c>
      <c r="K333" s="762"/>
      <c r="L333" s="762"/>
      <c r="M333" s="762">
        <v>0</v>
      </c>
      <c r="N333" s="762"/>
      <c r="O333" s="762"/>
      <c r="P333" s="763"/>
      <c r="Q333" s="764">
        <f t="shared" si="5"/>
        <v>1</v>
      </c>
      <c r="R333" s="758" t="s">
        <v>1852</v>
      </c>
      <c r="S333" s="742" t="s">
        <v>1826</v>
      </c>
      <c r="T333" s="765" t="s">
        <v>1827</v>
      </c>
      <c r="U333" s="742" t="s">
        <v>705</v>
      </c>
      <c r="V333" s="742" t="s">
        <v>1857</v>
      </c>
      <c r="W333" s="742" t="s">
        <v>3336</v>
      </c>
      <c r="X333" s="1279">
        <v>1</v>
      </c>
      <c r="Y333" s="767" t="s">
        <v>1838</v>
      </c>
      <c r="Z333" s="759" t="s">
        <v>705</v>
      </c>
      <c r="AA333" s="754"/>
      <c r="AB333" s="754"/>
      <c r="AC333" s="754"/>
      <c r="AD333" s="754"/>
      <c r="AE333" s="754"/>
      <c r="AF333" s="768"/>
      <c r="AG333" s="769"/>
      <c r="AH333" s="769"/>
      <c r="AI333" s="769"/>
      <c r="AJ333" s="769"/>
      <c r="AK333" s="766"/>
      <c r="AL333" s="766"/>
      <c r="AM333" s="766"/>
      <c r="AN333" s="766"/>
      <c r="AO333" s="766"/>
      <c r="AP333" s="766"/>
      <c r="AQ333" s="1370"/>
      <c r="AR333" s="1324"/>
      <c r="AS333" s="1324"/>
      <c r="AT333" s="1324"/>
      <c r="AU333" s="1325"/>
      <c r="AV333" s="796"/>
      <c r="AW333" s="766"/>
      <c r="AX333" s="766"/>
      <c r="AY333" s="766"/>
      <c r="AZ333" s="766"/>
      <c r="BA333" s="766"/>
      <c r="BB333" s="766"/>
      <c r="BC333" s="766"/>
      <c r="BD333" s="766"/>
      <c r="BE333" s="766"/>
      <c r="BF333" s="766"/>
      <c r="BG333" s="766"/>
      <c r="BH333" s="766"/>
      <c r="BI333" s="766"/>
      <c r="BJ333" s="766"/>
      <c r="BK333" s="810"/>
      <c r="BL333" s="1327"/>
      <c r="BM333" s="1328"/>
      <c r="BN333" s="1328"/>
      <c r="BO333" s="1328"/>
      <c r="BP333" s="1389"/>
      <c r="BQ333" s="1369"/>
      <c r="BR333" s="1319"/>
      <c r="BS333" s="1319"/>
      <c r="BT333" s="1319"/>
      <c r="BU333" s="1320"/>
      <c r="BV333" s="1370"/>
      <c r="BW333" s="1324"/>
      <c r="BX333" s="1324"/>
      <c r="BY333" s="1324"/>
      <c r="BZ333" s="1324"/>
      <c r="CA333" s="1369"/>
      <c r="CB333" s="1319"/>
      <c r="CC333" s="1319"/>
      <c r="CD333" s="1319"/>
      <c r="CE333" s="1320"/>
      <c r="CF333" s="1319"/>
      <c r="CG333" s="1319"/>
      <c r="CH333" s="1319"/>
      <c r="CI333" s="1319"/>
      <c r="CJ333" s="1320"/>
      <c r="CK333" s="1369"/>
      <c r="CL333" s="1319"/>
      <c r="CM333" s="1319"/>
      <c r="CN333" s="1319"/>
      <c r="CO333" s="1320"/>
      <c r="CP333" s="1369"/>
      <c r="CQ333" s="1319"/>
      <c r="CR333" s="1319"/>
      <c r="CS333" s="1319"/>
      <c r="CT333" s="1320"/>
      <c r="CU333" s="1467"/>
      <c r="CV333" s="1458"/>
      <c r="CW333" s="1458"/>
      <c r="CX333" s="1663"/>
      <c r="CY333" s="1458"/>
      <c r="CZ333" s="1458"/>
      <c r="DA333" s="1458"/>
      <c r="DB333" s="1663"/>
      <c r="DC333" s="1328"/>
      <c r="DD333" s="1664"/>
      <c r="DE333" s="1669"/>
    </row>
    <row r="334" spans="1:109" ht="15.75" hidden="1" customHeight="1">
      <c r="A334" s="741" t="s">
        <v>1287</v>
      </c>
      <c r="B334" s="742">
        <v>328</v>
      </c>
      <c r="C334" s="758" t="s">
        <v>1217</v>
      </c>
      <c r="D334" s="742" t="s">
        <v>3333</v>
      </c>
      <c r="E334" s="742" t="s">
        <v>2223</v>
      </c>
      <c r="F334" s="754" t="s">
        <v>2599</v>
      </c>
      <c r="G334" s="759" t="s">
        <v>2092</v>
      </c>
      <c r="H334" s="760" t="s">
        <v>3339</v>
      </c>
      <c r="I334" s="761">
        <v>0</v>
      </c>
      <c r="J334" s="762">
        <v>1</v>
      </c>
      <c r="K334" s="762"/>
      <c r="L334" s="762"/>
      <c r="M334" s="762">
        <v>0</v>
      </c>
      <c r="N334" s="762"/>
      <c r="O334" s="762"/>
      <c r="P334" s="763"/>
      <c r="Q334" s="764">
        <f t="shared" si="5"/>
        <v>1</v>
      </c>
      <c r="R334" s="758" t="s">
        <v>1852</v>
      </c>
      <c r="S334" s="742" t="s">
        <v>1826</v>
      </c>
      <c r="T334" s="1389" t="s">
        <v>1837</v>
      </c>
      <c r="U334" s="742" t="s">
        <v>2348</v>
      </c>
      <c r="V334" s="742" t="s">
        <v>1857</v>
      </c>
      <c r="W334" s="742" t="s">
        <v>3340</v>
      </c>
      <c r="X334" s="1280">
        <v>1</v>
      </c>
      <c r="Y334" s="767" t="s">
        <v>1838</v>
      </c>
      <c r="Z334" s="759" t="s">
        <v>1084</v>
      </c>
      <c r="AA334" s="754"/>
      <c r="AB334" s="754"/>
      <c r="AC334" s="754"/>
      <c r="AD334" s="754"/>
      <c r="AE334" s="754"/>
      <c r="AF334" s="768"/>
      <c r="AG334" s="769"/>
      <c r="AH334" s="769"/>
      <c r="AI334" s="769"/>
      <c r="AJ334" s="769"/>
      <c r="AK334" s="769"/>
      <c r="AL334" s="769"/>
      <c r="AM334" s="769"/>
      <c r="AN334" s="769"/>
      <c r="AO334" s="769"/>
      <c r="AP334" s="769"/>
      <c r="AQ334" s="1369"/>
      <c r="AR334" s="1319"/>
      <c r="AS334" s="1319"/>
      <c r="AT334" s="1319"/>
      <c r="AU334" s="1320"/>
      <c r="AV334" s="777"/>
      <c r="AW334" s="769"/>
      <c r="AX334" s="769"/>
      <c r="AY334" s="769"/>
      <c r="AZ334" s="769"/>
      <c r="BA334" s="769"/>
      <c r="BB334" s="769"/>
      <c r="BC334" s="769"/>
      <c r="BD334" s="769"/>
      <c r="BE334" s="769"/>
      <c r="BF334" s="769"/>
      <c r="BG334" s="769"/>
      <c r="BH334" s="769"/>
      <c r="BI334" s="769"/>
      <c r="BJ334" s="769"/>
      <c r="BK334" s="774"/>
      <c r="BL334" s="1327"/>
      <c r="BM334" s="1328"/>
      <c r="BN334" s="1328"/>
      <c r="BO334" s="1328"/>
      <c r="BP334" s="1389"/>
      <c r="BQ334" s="1659"/>
      <c r="BR334" s="1319"/>
      <c r="BS334" s="1319"/>
      <c r="BT334" s="1319"/>
      <c r="BU334" s="1320"/>
      <c r="BV334" s="1659"/>
      <c r="BW334" s="1319"/>
      <c r="BX334" s="1319"/>
      <c r="BY334" s="1319"/>
      <c r="BZ334" s="1319"/>
      <c r="CA334" s="1369"/>
      <c r="CB334" s="1319"/>
      <c r="CC334" s="1319"/>
      <c r="CD334" s="1319"/>
      <c r="CE334" s="1320"/>
      <c r="CF334" s="1319"/>
      <c r="CG334" s="1319"/>
      <c r="CH334" s="1319"/>
      <c r="CI334" s="1319"/>
      <c r="CJ334" s="1320"/>
      <c r="CK334" s="1369"/>
      <c r="CL334" s="1319"/>
      <c r="CM334" s="1319"/>
      <c r="CN334" s="1319"/>
      <c r="CO334" s="1320"/>
      <c r="CP334" s="1369"/>
      <c r="CQ334" s="1319"/>
      <c r="CR334" s="1319"/>
      <c r="CS334" s="1319"/>
      <c r="CT334" s="1320"/>
      <c r="CU334" s="1467"/>
      <c r="CV334" s="1458"/>
      <c r="CW334" s="1458"/>
      <c r="CX334" s="1663"/>
      <c r="CY334" s="1458"/>
      <c r="CZ334" s="1458"/>
      <c r="DA334" s="1458"/>
      <c r="DB334" s="1663"/>
      <c r="DC334" s="1328"/>
      <c r="DD334" s="1664"/>
      <c r="DE334" s="1669"/>
    </row>
    <row r="335" spans="1:109" ht="15.75" hidden="1" customHeight="1">
      <c r="A335" s="741" t="s">
        <v>1287</v>
      </c>
      <c r="B335" s="742">
        <v>329</v>
      </c>
      <c r="C335" s="758" t="s">
        <v>1231</v>
      </c>
      <c r="D335" s="742" t="s">
        <v>3333</v>
      </c>
      <c r="E335" s="742" t="s">
        <v>2223</v>
      </c>
      <c r="F335" s="754" t="s">
        <v>2603</v>
      </c>
      <c r="G335" s="759" t="s">
        <v>2093</v>
      </c>
      <c r="H335" s="760" t="s">
        <v>3341</v>
      </c>
      <c r="I335" s="761">
        <v>0</v>
      </c>
      <c r="J335" s="762">
        <v>1</v>
      </c>
      <c r="K335" s="762"/>
      <c r="L335" s="762"/>
      <c r="M335" s="762">
        <v>0</v>
      </c>
      <c r="N335" s="762"/>
      <c r="O335" s="762"/>
      <c r="P335" s="763"/>
      <c r="Q335" s="764">
        <f t="shared" si="5"/>
        <v>1</v>
      </c>
      <c r="R335" s="758" t="s">
        <v>1852</v>
      </c>
      <c r="S335" s="742" t="s">
        <v>1826</v>
      </c>
      <c r="T335" s="1389" t="s">
        <v>1837</v>
      </c>
      <c r="U335" s="742" t="s">
        <v>2348</v>
      </c>
      <c r="V335" s="742" t="s">
        <v>1857</v>
      </c>
      <c r="W335" s="742" t="s">
        <v>3340</v>
      </c>
      <c r="X335" s="1280">
        <v>1</v>
      </c>
      <c r="Y335" s="767" t="s">
        <v>1838</v>
      </c>
      <c r="Z335" s="759" t="s">
        <v>1084</v>
      </c>
      <c r="AA335" s="754"/>
      <c r="AB335" s="754"/>
      <c r="AC335" s="754"/>
      <c r="AD335" s="754"/>
      <c r="AE335" s="754"/>
      <c r="AF335" s="768"/>
      <c r="AG335" s="769"/>
      <c r="AH335" s="769"/>
      <c r="AI335" s="769"/>
      <c r="AJ335" s="769"/>
      <c r="AK335" s="769"/>
      <c r="AL335" s="769"/>
      <c r="AM335" s="769"/>
      <c r="AN335" s="769"/>
      <c r="AO335" s="769"/>
      <c r="AP335" s="769"/>
      <c r="AQ335" s="1369"/>
      <c r="AR335" s="1319"/>
      <c r="AS335" s="1319"/>
      <c r="AT335" s="1319"/>
      <c r="AU335" s="1320"/>
      <c r="AV335" s="796"/>
      <c r="AW335" s="769"/>
      <c r="AX335" s="769"/>
      <c r="AY335" s="769"/>
      <c r="AZ335" s="769"/>
      <c r="BA335" s="769"/>
      <c r="BB335" s="769"/>
      <c r="BC335" s="769"/>
      <c r="BD335" s="769"/>
      <c r="BE335" s="769"/>
      <c r="BF335" s="769"/>
      <c r="BG335" s="769"/>
      <c r="BH335" s="769"/>
      <c r="BI335" s="769"/>
      <c r="BJ335" s="769"/>
      <c r="BK335" s="774"/>
      <c r="BL335" s="1327"/>
      <c r="BM335" s="1328"/>
      <c r="BN335" s="1328"/>
      <c r="BO335" s="1328"/>
      <c r="BP335" s="1389"/>
      <c r="BQ335" s="1369"/>
      <c r="BR335" s="1319"/>
      <c r="BS335" s="1319"/>
      <c r="BT335" s="1319"/>
      <c r="BU335" s="1320"/>
      <c r="BV335" s="1369"/>
      <c r="BW335" s="1319"/>
      <c r="BX335" s="1319"/>
      <c r="BY335" s="1319"/>
      <c r="BZ335" s="1319"/>
      <c r="CA335" s="1369"/>
      <c r="CB335" s="1319"/>
      <c r="CC335" s="1319"/>
      <c r="CD335" s="1319"/>
      <c r="CE335" s="1320"/>
      <c r="CF335" s="1319"/>
      <c r="CG335" s="1319"/>
      <c r="CH335" s="1319"/>
      <c r="CI335" s="1319"/>
      <c r="CJ335" s="1320"/>
      <c r="CK335" s="1369"/>
      <c r="CL335" s="1319"/>
      <c r="CM335" s="1319"/>
      <c r="CN335" s="1319"/>
      <c r="CO335" s="1320"/>
      <c r="CP335" s="1369"/>
      <c r="CQ335" s="1319"/>
      <c r="CR335" s="1319"/>
      <c r="CS335" s="1319"/>
      <c r="CT335" s="1320"/>
      <c r="CU335" s="1467"/>
      <c r="CV335" s="1458"/>
      <c r="CW335" s="1458"/>
      <c r="CX335" s="1663"/>
      <c r="CY335" s="1458"/>
      <c r="CZ335" s="1458"/>
      <c r="DA335" s="1458"/>
      <c r="DB335" s="1663"/>
      <c r="DC335" s="1328"/>
      <c r="DD335" s="1664"/>
      <c r="DE335" s="1669"/>
    </row>
    <row r="336" spans="1:109" ht="15.75" hidden="1" customHeight="1">
      <c r="A336" s="741" t="s">
        <v>1287</v>
      </c>
      <c r="B336" s="742">
        <v>330</v>
      </c>
      <c r="C336" s="897" t="s">
        <v>1364</v>
      </c>
      <c r="D336" s="742" t="s">
        <v>3333</v>
      </c>
      <c r="E336" s="742" t="s">
        <v>2231</v>
      </c>
      <c r="F336" s="754" t="s">
        <v>3342</v>
      </c>
      <c r="G336" s="759" t="s">
        <v>3343</v>
      </c>
      <c r="H336" s="760" t="s">
        <v>3344</v>
      </c>
      <c r="I336" s="761">
        <v>1</v>
      </c>
      <c r="J336" s="762">
        <v>0</v>
      </c>
      <c r="K336" s="762"/>
      <c r="L336" s="762"/>
      <c r="M336" s="762">
        <v>0</v>
      </c>
      <c r="N336" s="762"/>
      <c r="O336" s="762"/>
      <c r="P336" s="763"/>
      <c r="Q336" s="764">
        <f t="shared" si="5"/>
        <v>1</v>
      </c>
      <c r="R336" s="758" t="s">
        <v>1852</v>
      </c>
      <c r="S336" s="742" t="s">
        <v>1826</v>
      </c>
      <c r="T336" s="765" t="s">
        <v>1827</v>
      </c>
      <c r="U336" s="742" t="s">
        <v>2290</v>
      </c>
      <c r="V336" s="825" t="s">
        <v>2439</v>
      </c>
      <c r="W336" s="742" t="s">
        <v>3345</v>
      </c>
      <c r="X336" s="1279">
        <v>2</v>
      </c>
      <c r="Y336" s="1799" t="s">
        <v>1838</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210</v>
      </c>
      <c r="BM336" s="754" t="s">
        <v>210</v>
      </c>
      <c r="BN336" s="754" t="s">
        <v>210</v>
      </c>
      <c r="BO336" s="754" t="s">
        <v>210</v>
      </c>
      <c r="BP336" s="765" t="s">
        <v>210</v>
      </c>
      <c r="BQ336" s="777" t="s">
        <v>2260</v>
      </c>
      <c r="BR336" s="769" t="s">
        <v>2260</v>
      </c>
      <c r="BS336" s="769" t="s">
        <v>2260</v>
      </c>
      <c r="BT336" s="769" t="s">
        <v>2260</v>
      </c>
      <c r="BU336" s="774" t="s">
        <v>2260</v>
      </c>
      <c r="BV336" s="777" t="s">
        <v>2260</v>
      </c>
      <c r="BW336" s="769" t="s">
        <v>2260</v>
      </c>
      <c r="BX336" s="769" t="s">
        <v>2260</v>
      </c>
      <c r="BY336" s="769" t="s">
        <v>2260</v>
      </c>
      <c r="BZ336" s="769" t="s">
        <v>2260</v>
      </c>
      <c r="CA336" s="777" t="s">
        <v>2260</v>
      </c>
      <c r="CB336" s="769" t="s">
        <v>2260</v>
      </c>
      <c r="CC336" s="769" t="s">
        <v>2260</v>
      </c>
      <c r="CD336" s="769" t="s">
        <v>2260</v>
      </c>
      <c r="CE336" s="774" t="s">
        <v>2260</v>
      </c>
      <c r="CF336" s="769" t="s">
        <v>2260</v>
      </c>
      <c r="CG336" s="769" t="s">
        <v>2260</v>
      </c>
      <c r="CH336" s="769" t="s">
        <v>2260</v>
      </c>
      <c r="CI336" s="769" t="s">
        <v>2260</v>
      </c>
      <c r="CJ336" s="769" t="s">
        <v>2260</v>
      </c>
      <c r="CK336" s="777" t="s">
        <v>2260</v>
      </c>
      <c r="CL336" s="769" t="s">
        <v>2260</v>
      </c>
      <c r="CM336" s="769" t="s">
        <v>2260</v>
      </c>
      <c r="CN336" s="769" t="s">
        <v>2260</v>
      </c>
      <c r="CO336" s="774" t="s">
        <v>2260</v>
      </c>
      <c r="CP336" s="777" t="s">
        <v>2260</v>
      </c>
      <c r="CQ336" s="769" t="s">
        <v>2260</v>
      </c>
      <c r="CR336" s="769" t="s">
        <v>2260</v>
      </c>
      <c r="CS336" s="769" t="s">
        <v>2260</v>
      </c>
      <c r="CT336" s="774" t="s">
        <v>2260</v>
      </c>
      <c r="CU336" s="1253">
        <v>-9.8199999999999996E-2</v>
      </c>
      <c r="CV336" s="1252" t="s">
        <v>2260</v>
      </c>
      <c r="CW336" s="1252" t="s">
        <v>2260</v>
      </c>
      <c r="CX336" s="1254" t="s">
        <v>2260</v>
      </c>
      <c r="CY336" s="1252">
        <v>4.9099999999999998E-2</v>
      </c>
      <c r="CZ336" s="1252" t="s">
        <v>2260</v>
      </c>
      <c r="DA336" s="1252" t="s">
        <v>2260</v>
      </c>
      <c r="DB336" s="1254" t="s">
        <v>2260</v>
      </c>
      <c r="DC336" s="754" t="s">
        <v>173</v>
      </c>
      <c r="DD336" s="782">
        <v>1</v>
      </c>
      <c r="DE336" s="783"/>
    </row>
    <row r="337" spans="1:109" ht="15.75" hidden="1" customHeight="1">
      <c r="A337" s="845" t="s">
        <v>1287</v>
      </c>
      <c r="B337" s="742">
        <v>331</v>
      </c>
      <c r="C337" s="758" t="s">
        <v>1613</v>
      </c>
      <c r="D337" s="742" t="s">
        <v>3333</v>
      </c>
      <c r="E337" s="742" t="s">
        <v>2231</v>
      </c>
      <c r="F337" s="754" t="s">
        <v>3346</v>
      </c>
      <c r="G337" s="759" t="s">
        <v>3347</v>
      </c>
      <c r="H337" s="760" t="s">
        <v>3348</v>
      </c>
      <c r="I337" s="761">
        <v>0</v>
      </c>
      <c r="J337" s="762">
        <v>1</v>
      </c>
      <c r="K337" s="762"/>
      <c r="L337" s="762"/>
      <c r="M337" s="762">
        <v>0</v>
      </c>
      <c r="N337" s="762"/>
      <c r="O337" s="762"/>
      <c r="P337" s="763"/>
      <c r="Q337" s="764">
        <f t="shared" si="5"/>
        <v>1</v>
      </c>
      <c r="R337" s="758" t="s">
        <v>1825</v>
      </c>
      <c r="S337" s="742"/>
      <c r="T337" s="765"/>
      <c r="U337" s="742" t="s">
        <v>2348</v>
      </c>
      <c r="V337" s="742" t="s">
        <v>1857</v>
      </c>
      <c r="W337" s="742" t="s">
        <v>3349</v>
      </c>
      <c r="X337" s="1279">
        <v>1</v>
      </c>
      <c r="Y337" s="767" t="s">
        <v>1828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2260</v>
      </c>
      <c r="BR337" s="769" t="s">
        <v>2260</v>
      </c>
      <c r="BS337" s="769" t="s">
        <v>2260</v>
      </c>
      <c r="BT337" s="769" t="s">
        <v>2260</v>
      </c>
      <c r="BU337" s="774" t="s">
        <v>2260</v>
      </c>
      <c r="BV337" s="777" t="s">
        <v>2260</v>
      </c>
      <c r="BW337" s="769" t="s">
        <v>2260</v>
      </c>
      <c r="BX337" s="769" t="s">
        <v>2260</v>
      </c>
      <c r="BY337" s="769" t="s">
        <v>2260</v>
      </c>
      <c r="BZ337" s="769" t="s">
        <v>2260</v>
      </c>
      <c r="CA337" s="777" t="s">
        <v>2260</v>
      </c>
      <c r="CB337" s="769" t="s">
        <v>2260</v>
      </c>
      <c r="CC337" s="769" t="s">
        <v>2260</v>
      </c>
      <c r="CD337" s="769" t="s">
        <v>2260</v>
      </c>
      <c r="CE337" s="774" t="s">
        <v>2260</v>
      </c>
      <c r="CF337" s="769" t="s">
        <v>2260</v>
      </c>
      <c r="CG337" s="769" t="s">
        <v>2260</v>
      </c>
      <c r="CH337" s="769" t="s">
        <v>2260</v>
      </c>
      <c r="CI337" s="769" t="s">
        <v>2260</v>
      </c>
      <c r="CJ337" s="769" t="s">
        <v>2260</v>
      </c>
      <c r="CK337" s="777" t="s">
        <v>2260</v>
      </c>
      <c r="CL337" s="769" t="s">
        <v>2260</v>
      </c>
      <c r="CM337" s="769" t="s">
        <v>2260</v>
      </c>
      <c r="CN337" s="769" t="s">
        <v>2260</v>
      </c>
      <c r="CO337" s="774" t="s">
        <v>2260</v>
      </c>
      <c r="CP337" s="777" t="s">
        <v>2260</v>
      </c>
      <c r="CQ337" s="769" t="s">
        <v>2260</v>
      </c>
      <c r="CR337" s="769" t="s">
        <v>2260</v>
      </c>
      <c r="CS337" s="769" t="s">
        <v>2260</v>
      </c>
      <c r="CT337" s="774" t="s">
        <v>2260</v>
      </c>
      <c r="CU337" s="1253" t="s">
        <v>2260</v>
      </c>
      <c r="CV337" s="1252" t="s">
        <v>2260</v>
      </c>
      <c r="CW337" s="1252" t="s">
        <v>2260</v>
      </c>
      <c r="CX337" s="1254" t="s">
        <v>2260</v>
      </c>
      <c r="CY337" s="1252" t="s">
        <v>2260</v>
      </c>
      <c r="CZ337" s="1252" t="s">
        <v>2260</v>
      </c>
      <c r="DA337" s="1252" t="s">
        <v>2260</v>
      </c>
      <c r="DB337" s="1254" t="s">
        <v>2260</v>
      </c>
      <c r="DC337" s="754"/>
      <c r="DD337" s="782">
        <v>1</v>
      </c>
      <c r="DE337" s="783"/>
    </row>
    <row r="338" spans="1:109" ht="15.75" hidden="1" customHeight="1">
      <c r="A338" s="741" t="s">
        <v>1287</v>
      </c>
      <c r="B338" s="742">
        <v>332</v>
      </c>
      <c r="C338" s="758" t="s">
        <v>1381</v>
      </c>
      <c r="D338" s="742" t="s">
        <v>3333</v>
      </c>
      <c r="E338" s="742" t="s">
        <v>2217</v>
      </c>
      <c r="F338" s="754" t="s">
        <v>3350</v>
      </c>
      <c r="G338" s="759" t="s">
        <v>3351</v>
      </c>
      <c r="H338" s="760" t="s">
        <v>3352</v>
      </c>
      <c r="I338" s="761">
        <v>0.5</v>
      </c>
      <c r="J338" s="762">
        <v>0.5</v>
      </c>
      <c r="K338" s="762"/>
      <c r="L338" s="762"/>
      <c r="M338" s="762">
        <v>0</v>
      </c>
      <c r="N338" s="762"/>
      <c r="O338" s="762"/>
      <c r="P338" s="763"/>
      <c r="Q338" s="764">
        <f t="shared" si="5"/>
        <v>1</v>
      </c>
      <c r="R338" s="758" t="s">
        <v>1852</v>
      </c>
      <c r="S338" s="742" t="s">
        <v>1826</v>
      </c>
      <c r="T338" s="765" t="s">
        <v>1827</v>
      </c>
      <c r="U338" s="742" t="s">
        <v>2523</v>
      </c>
      <c r="V338" s="742" t="s">
        <v>1857</v>
      </c>
      <c r="W338" s="742" t="s">
        <v>3353</v>
      </c>
      <c r="X338" s="1279">
        <v>1</v>
      </c>
      <c r="Y338" s="788" t="s">
        <v>1828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210</v>
      </c>
      <c r="BM338" s="754" t="s">
        <v>210</v>
      </c>
      <c r="BN338" s="754" t="s">
        <v>210</v>
      </c>
      <c r="BO338" s="754" t="s">
        <v>210</v>
      </c>
      <c r="BP338" s="765" t="s">
        <v>210</v>
      </c>
      <c r="BQ338" s="777" t="s">
        <v>2260</v>
      </c>
      <c r="BR338" s="769" t="s">
        <v>2260</v>
      </c>
      <c r="BS338" s="769" t="s">
        <v>2260</v>
      </c>
      <c r="BT338" s="769" t="s">
        <v>2260</v>
      </c>
      <c r="BU338" s="774" t="s">
        <v>2260</v>
      </c>
      <c r="BV338" s="777" t="s">
        <v>2260</v>
      </c>
      <c r="BW338" s="769" t="s">
        <v>2260</v>
      </c>
      <c r="BX338" s="769" t="s">
        <v>2260</v>
      </c>
      <c r="BY338" s="769" t="s">
        <v>2260</v>
      </c>
      <c r="BZ338" s="769" t="s">
        <v>2260</v>
      </c>
      <c r="CA338" s="777" t="s">
        <v>2260</v>
      </c>
      <c r="CB338" s="769" t="s">
        <v>2260</v>
      </c>
      <c r="CC338" s="769" t="s">
        <v>2260</v>
      </c>
      <c r="CD338" s="769" t="s">
        <v>2260</v>
      </c>
      <c r="CE338" s="774" t="s">
        <v>2260</v>
      </c>
      <c r="CF338" s="769" t="s">
        <v>2260</v>
      </c>
      <c r="CG338" s="769" t="s">
        <v>2260</v>
      </c>
      <c r="CH338" s="769" t="s">
        <v>2260</v>
      </c>
      <c r="CI338" s="769" t="s">
        <v>2260</v>
      </c>
      <c r="CJ338" s="774" t="s">
        <v>2260</v>
      </c>
      <c r="CK338" s="777">
        <v>229</v>
      </c>
      <c r="CL338" s="769">
        <v>355</v>
      </c>
      <c r="CM338" s="769">
        <v>486</v>
      </c>
      <c r="CN338" s="769">
        <v>627</v>
      </c>
      <c r="CO338" s="774">
        <v>725</v>
      </c>
      <c r="CP338" s="777" t="s">
        <v>2260</v>
      </c>
      <c r="CQ338" s="769" t="s">
        <v>2260</v>
      </c>
      <c r="CR338" s="769" t="s">
        <v>2260</v>
      </c>
      <c r="CS338" s="769" t="s">
        <v>2260</v>
      </c>
      <c r="CT338" s="774" t="s">
        <v>2260</v>
      </c>
      <c r="CU338" s="1253">
        <v>-2.5000000000000001E-3</v>
      </c>
      <c r="CV338" s="1252" t="s">
        <v>2260</v>
      </c>
      <c r="CW338" s="1252" t="s">
        <v>2260</v>
      </c>
      <c r="CX338" s="1254" t="s">
        <v>2260</v>
      </c>
      <c r="CY338" s="1252">
        <v>1.25E-3</v>
      </c>
      <c r="CZ338" s="1252" t="s">
        <v>2260</v>
      </c>
      <c r="DA338" s="1252" t="s">
        <v>2260</v>
      </c>
      <c r="DB338" s="1254" t="s">
        <v>2260</v>
      </c>
      <c r="DC338" s="754"/>
      <c r="DD338" s="782">
        <v>1</v>
      </c>
      <c r="DE338" s="783"/>
    </row>
    <row r="339" spans="1:109" ht="15.75" hidden="1" customHeight="1">
      <c r="A339" s="741" t="s">
        <v>1287</v>
      </c>
      <c r="B339" s="742">
        <v>333</v>
      </c>
      <c r="C339" s="800" t="s">
        <v>1630</v>
      </c>
      <c r="D339" s="742" t="s">
        <v>3333</v>
      </c>
      <c r="E339" s="742" t="s">
        <v>2217</v>
      </c>
      <c r="F339" s="754" t="s">
        <v>3354</v>
      </c>
      <c r="G339" s="759" t="s">
        <v>3355</v>
      </c>
      <c r="H339" s="760" t="s">
        <v>3356</v>
      </c>
      <c r="I339" s="761">
        <v>0.16200000000000001</v>
      </c>
      <c r="J339" s="762">
        <v>0.83799999999999997</v>
      </c>
      <c r="K339" s="762"/>
      <c r="L339" s="762"/>
      <c r="M339" s="762">
        <v>0</v>
      </c>
      <c r="N339" s="762"/>
      <c r="O339" s="762"/>
      <c r="P339" s="763"/>
      <c r="Q339" s="764">
        <f t="shared" si="5"/>
        <v>1</v>
      </c>
      <c r="R339" s="758" t="s">
        <v>1825</v>
      </c>
      <c r="S339" s="742"/>
      <c r="T339" s="765"/>
      <c r="U339" s="742" t="s">
        <v>2408</v>
      </c>
      <c r="V339" s="742" t="s">
        <v>1857</v>
      </c>
      <c r="W339" s="742" t="s">
        <v>3357</v>
      </c>
      <c r="X339" s="1279">
        <v>1</v>
      </c>
      <c r="Y339" s="788" t="s">
        <v>1838</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2260</v>
      </c>
      <c r="BR339" s="769" t="s">
        <v>2260</v>
      </c>
      <c r="BS339" s="769" t="s">
        <v>2260</v>
      </c>
      <c r="BT339" s="769" t="s">
        <v>2260</v>
      </c>
      <c r="BU339" s="774" t="s">
        <v>2260</v>
      </c>
      <c r="BV339" s="777" t="s">
        <v>2260</v>
      </c>
      <c r="BW339" s="769" t="s">
        <v>2260</v>
      </c>
      <c r="BX339" s="769" t="s">
        <v>2260</v>
      </c>
      <c r="BY339" s="769" t="s">
        <v>2260</v>
      </c>
      <c r="BZ339" s="769" t="s">
        <v>2260</v>
      </c>
      <c r="CA339" s="777" t="s">
        <v>2260</v>
      </c>
      <c r="CB339" s="769" t="s">
        <v>2260</v>
      </c>
      <c r="CC339" s="769" t="s">
        <v>2260</v>
      </c>
      <c r="CD339" s="769" t="s">
        <v>2260</v>
      </c>
      <c r="CE339" s="774" t="s">
        <v>2260</v>
      </c>
      <c r="CF339" s="769" t="s">
        <v>2260</v>
      </c>
      <c r="CG339" s="769" t="s">
        <v>2260</v>
      </c>
      <c r="CH339" s="769" t="s">
        <v>2260</v>
      </c>
      <c r="CI339" s="769" t="s">
        <v>2260</v>
      </c>
      <c r="CJ339" s="774" t="s">
        <v>2260</v>
      </c>
      <c r="CK339" s="777" t="s">
        <v>2260</v>
      </c>
      <c r="CL339" s="769" t="s">
        <v>2260</v>
      </c>
      <c r="CM339" s="769" t="s">
        <v>2260</v>
      </c>
      <c r="CN339" s="769" t="s">
        <v>2260</v>
      </c>
      <c r="CO339" s="774" t="s">
        <v>2260</v>
      </c>
      <c r="CP339" s="777" t="s">
        <v>2260</v>
      </c>
      <c r="CQ339" s="769" t="s">
        <v>2260</v>
      </c>
      <c r="CR339" s="769" t="s">
        <v>2260</v>
      </c>
      <c r="CS339" s="769" t="s">
        <v>2260</v>
      </c>
      <c r="CT339" s="774" t="s">
        <v>2260</v>
      </c>
      <c r="CU339" s="1253" t="s">
        <v>2260</v>
      </c>
      <c r="CV339" s="1252" t="s">
        <v>2260</v>
      </c>
      <c r="CW339" s="1252" t="s">
        <v>2260</v>
      </c>
      <c r="CX339" s="1254" t="s">
        <v>2260</v>
      </c>
      <c r="CY339" s="1252" t="s">
        <v>2260</v>
      </c>
      <c r="CZ339" s="1252" t="s">
        <v>2260</v>
      </c>
      <c r="DA339" s="1252" t="s">
        <v>2260</v>
      </c>
      <c r="DB339" s="1254" t="s">
        <v>2260</v>
      </c>
      <c r="DC339" s="754"/>
      <c r="DD339" s="782">
        <v>1</v>
      </c>
      <c r="DE339" s="783"/>
    </row>
    <row r="340" spans="1:109" ht="15.75" hidden="1" customHeight="1">
      <c r="A340" s="741" t="s">
        <v>1287</v>
      </c>
      <c r="B340" s="742">
        <v>334</v>
      </c>
      <c r="C340" s="758" t="s">
        <v>1214</v>
      </c>
      <c r="D340" s="742" t="s">
        <v>3358</v>
      </c>
      <c r="E340" s="742" t="s">
        <v>2231</v>
      </c>
      <c r="F340" s="754" t="s">
        <v>2607</v>
      </c>
      <c r="G340" s="759" t="s">
        <v>172</v>
      </c>
      <c r="H340" s="760" t="s">
        <v>3359</v>
      </c>
      <c r="I340" s="761">
        <v>0</v>
      </c>
      <c r="J340" s="762">
        <v>1</v>
      </c>
      <c r="K340" s="762"/>
      <c r="L340" s="762"/>
      <c r="M340" s="762">
        <v>0</v>
      </c>
      <c r="N340" s="762"/>
      <c r="O340" s="762"/>
      <c r="P340" s="763"/>
      <c r="Q340" s="764">
        <f t="shared" si="5"/>
        <v>1</v>
      </c>
      <c r="R340" s="758" t="s">
        <v>1846</v>
      </c>
      <c r="S340" s="742" t="s">
        <v>1826</v>
      </c>
      <c r="T340" s="765" t="s">
        <v>1827</v>
      </c>
      <c r="U340" s="742" t="s">
        <v>2247</v>
      </c>
      <c r="V340" s="742" t="s">
        <v>1897</v>
      </c>
      <c r="W340" s="742" t="s">
        <v>3360</v>
      </c>
      <c r="X340" s="1279">
        <v>2</v>
      </c>
      <c r="Y340" s="788" t="s">
        <v>1838</v>
      </c>
      <c r="Z340" s="759" t="s">
        <v>172</v>
      </c>
      <c r="AA340" s="754"/>
      <c r="AB340" s="754"/>
      <c r="AC340" s="754"/>
      <c r="AD340" s="754"/>
      <c r="AE340" s="754"/>
      <c r="AF340" s="768"/>
      <c r="AG340" s="769"/>
      <c r="AH340" s="769"/>
      <c r="AI340" s="769"/>
      <c r="AJ340" s="769"/>
      <c r="AK340" s="769"/>
      <c r="AL340" s="769"/>
      <c r="AM340" s="769"/>
      <c r="AN340" s="769"/>
      <c r="AO340" s="769"/>
      <c r="AP340" s="769"/>
      <c r="AQ340" s="1460"/>
      <c r="AR340" s="1695"/>
      <c r="AS340" s="1665"/>
      <c r="AT340" s="1665"/>
      <c r="AU340" s="1466"/>
      <c r="AV340" s="777"/>
      <c r="AW340" s="769"/>
      <c r="AX340" s="769"/>
      <c r="AY340" s="769"/>
      <c r="AZ340" s="769"/>
      <c r="BA340" s="769"/>
      <c r="BB340" s="769"/>
      <c r="BC340" s="769"/>
      <c r="BD340" s="769"/>
      <c r="BE340" s="769"/>
      <c r="BF340" s="769"/>
      <c r="BG340" s="769"/>
      <c r="BH340" s="769"/>
      <c r="BI340" s="769"/>
      <c r="BJ340" s="769"/>
      <c r="BK340" s="774"/>
      <c r="BL340" s="1327"/>
      <c r="BM340" s="1328"/>
      <c r="BN340" s="1328"/>
      <c r="BO340" s="1328"/>
      <c r="BP340" s="1389"/>
      <c r="BQ340" s="1369"/>
      <c r="BR340" s="1319"/>
      <c r="BS340" s="1319"/>
      <c r="BT340" s="1319"/>
      <c r="BU340" s="1320"/>
      <c r="BV340" s="1369"/>
      <c r="BW340" s="1319"/>
      <c r="BX340" s="1319"/>
      <c r="BY340" s="1319"/>
      <c r="BZ340" s="1319"/>
      <c r="CA340" s="1369"/>
      <c r="CB340" s="1319"/>
      <c r="CC340" s="1319"/>
      <c r="CD340" s="1319"/>
      <c r="CE340" s="1320"/>
      <c r="CF340" s="1319"/>
      <c r="CG340" s="1319"/>
      <c r="CH340" s="1319"/>
      <c r="CI340" s="1319"/>
      <c r="CJ340" s="1320"/>
      <c r="CK340" s="1369"/>
      <c r="CL340" s="1319"/>
      <c r="CM340" s="1319"/>
      <c r="CN340" s="1319"/>
      <c r="CO340" s="1320"/>
      <c r="CP340" s="1369"/>
      <c r="CQ340" s="1319"/>
      <c r="CR340" s="1319"/>
      <c r="CS340" s="1319"/>
      <c r="CT340" s="1320"/>
      <c r="CU340" s="1467"/>
      <c r="CV340" s="1458"/>
      <c r="CW340" s="1458"/>
      <c r="CX340" s="1663"/>
      <c r="CY340" s="1458"/>
      <c r="CZ340" s="1458"/>
      <c r="DA340" s="1458"/>
      <c r="DB340" s="1663"/>
      <c r="DC340" s="1328"/>
      <c r="DD340" s="1664"/>
      <c r="DE340" s="1669"/>
    </row>
    <row r="341" spans="1:109" ht="15.75" hidden="1" customHeight="1">
      <c r="A341" s="741" t="s">
        <v>1287</v>
      </c>
      <c r="B341" s="742">
        <v>335</v>
      </c>
      <c r="C341" s="758" t="s">
        <v>1215</v>
      </c>
      <c r="D341" s="742" t="s">
        <v>3358</v>
      </c>
      <c r="E341" s="742" t="s">
        <v>2223</v>
      </c>
      <c r="F341" s="754" t="s">
        <v>3361</v>
      </c>
      <c r="G341" s="759" t="s">
        <v>179</v>
      </c>
      <c r="H341" s="760" t="s">
        <v>3362</v>
      </c>
      <c r="I341" s="761">
        <v>0</v>
      </c>
      <c r="J341" s="762">
        <v>1</v>
      </c>
      <c r="K341" s="762"/>
      <c r="L341" s="762"/>
      <c r="M341" s="762">
        <v>0</v>
      </c>
      <c r="N341" s="762"/>
      <c r="O341" s="762"/>
      <c r="P341" s="763"/>
      <c r="Q341" s="764">
        <f t="shared" si="5"/>
        <v>1</v>
      </c>
      <c r="R341" s="758" t="s">
        <v>1852</v>
      </c>
      <c r="S341" s="742" t="s">
        <v>1826</v>
      </c>
      <c r="T341" s="765" t="s">
        <v>1827</v>
      </c>
      <c r="U341" s="742" t="s">
        <v>2220</v>
      </c>
      <c r="V341" s="742" t="s">
        <v>1851</v>
      </c>
      <c r="W341" s="742" t="s">
        <v>3363</v>
      </c>
      <c r="X341" s="1280">
        <v>0</v>
      </c>
      <c r="Y341" s="790" t="s">
        <v>1838</v>
      </c>
      <c r="Z341" s="759" t="s">
        <v>179</v>
      </c>
      <c r="AA341" s="754"/>
      <c r="AB341" s="754"/>
      <c r="AC341" s="754"/>
      <c r="AD341" s="754"/>
      <c r="AE341" s="754"/>
      <c r="AF341" s="768"/>
      <c r="AG341" s="814"/>
      <c r="AH341" s="814"/>
      <c r="AI341" s="814"/>
      <c r="AJ341" s="814"/>
      <c r="AK341" s="814"/>
      <c r="AL341" s="814"/>
      <c r="AM341" s="814"/>
      <c r="AN341" s="814"/>
      <c r="AO341" s="814"/>
      <c r="AP341" s="814"/>
      <c r="AQ341" s="1321"/>
      <c r="AR341" s="1322"/>
      <c r="AS341" s="1322"/>
      <c r="AT341" s="1322"/>
      <c r="AU341" s="1323"/>
      <c r="AV341" s="815"/>
      <c r="AW341" s="814"/>
      <c r="AX341" s="814"/>
      <c r="AY341" s="814"/>
      <c r="AZ341" s="814"/>
      <c r="BA341" s="814"/>
      <c r="BB341" s="814"/>
      <c r="BC341" s="814"/>
      <c r="BD341" s="814"/>
      <c r="BE341" s="814"/>
      <c r="BF341" s="814"/>
      <c r="BG341" s="814"/>
      <c r="BH341" s="814"/>
      <c r="BI341" s="814"/>
      <c r="BJ341" s="814"/>
      <c r="BK341" s="816"/>
      <c r="BL341" s="1327"/>
      <c r="BM341" s="1328"/>
      <c r="BN341" s="1328"/>
      <c r="BO341" s="1328"/>
      <c r="BP341" s="1389"/>
      <c r="BQ341" s="1369"/>
      <c r="BR341" s="1319"/>
      <c r="BS341" s="1319"/>
      <c r="BT341" s="1319"/>
      <c r="BU341" s="1320"/>
      <c r="BV341" s="1321"/>
      <c r="BW341" s="1322"/>
      <c r="BX341" s="1322"/>
      <c r="BY341" s="1322"/>
      <c r="BZ341" s="1322"/>
      <c r="CA341" s="1321"/>
      <c r="CB341" s="1322"/>
      <c r="CC341" s="1322"/>
      <c r="CD341" s="1322"/>
      <c r="CE341" s="1323"/>
      <c r="CF341" s="1322"/>
      <c r="CG341" s="1322"/>
      <c r="CH341" s="1322"/>
      <c r="CI341" s="1322"/>
      <c r="CJ341" s="1323"/>
      <c r="CK341" s="1321"/>
      <c r="CL341" s="1322"/>
      <c r="CM341" s="1322"/>
      <c r="CN341" s="1322"/>
      <c r="CO341" s="1323"/>
      <c r="CP341" s="1369"/>
      <c r="CQ341" s="1319"/>
      <c r="CR341" s="1319"/>
      <c r="CS341" s="1319"/>
      <c r="CT341" s="1320"/>
      <c r="CU341" s="1467"/>
      <c r="CV341" s="1458"/>
      <c r="CW341" s="1458"/>
      <c r="CX341" s="1663"/>
      <c r="CY341" s="1458"/>
      <c r="CZ341" s="1458"/>
      <c r="DA341" s="1458"/>
      <c r="DB341" s="1663"/>
      <c r="DC341" s="1328"/>
      <c r="DD341" s="1664"/>
      <c r="DE341" s="1669"/>
    </row>
    <row r="342" spans="1:109" ht="15.75" hidden="1" customHeight="1">
      <c r="A342" s="741" t="s">
        <v>1287</v>
      </c>
      <c r="B342" s="742">
        <v>336</v>
      </c>
      <c r="C342" s="758" t="s">
        <v>1224</v>
      </c>
      <c r="D342" s="742" t="s">
        <v>3358</v>
      </c>
      <c r="E342" s="742" t="s">
        <v>2231</v>
      </c>
      <c r="F342" s="754" t="s">
        <v>3364</v>
      </c>
      <c r="G342" s="759" t="s">
        <v>567</v>
      </c>
      <c r="H342" s="760" t="s">
        <v>3365</v>
      </c>
      <c r="I342" s="761">
        <v>1</v>
      </c>
      <c r="J342" s="762">
        <v>0</v>
      </c>
      <c r="K342" s="762"/>
      <c r="L342" s="762"/>
      <c r="M342" s="762">
        <v>0</v>
      </c>
      <c r="N342" s="762"/>
      <c r="O342" s="762"/>
      <c r="P342" s="763"/>
      <c r="Q342" s="764">
        <f t="shared" si="5"/>
        <v>1</v>
      </c>
      <c r="R342" s="758" t="s">
        <v>1825</v>
      </c>
      <c r="S342" s="742"/>
      <c r="T342" s="765"/>
      <c r="U342" s="742" t="s">
        <v>3028</v>
      </c>
      <c r="V342" s="742" t="s">
        <v>321</v>
      </c>
      <c r="W342" s="742" t="s">
        <v>2016</v>
      </c>
      <c r="X342" s="1280">
        <v>1</v>
      </c>
      <c r="Y342" s="788" t="s">
        <v>1838</v>
      </c>
      <c r="Z342" s="759" t="s">
        <v>567</v>
      </c>
      <c r="AA342" s="754"/>
      <c r="AB342" s="754"/>
      <c r="AC342" s="754"/>
      <c r="AD342" s="754"/>
      <c r="AE342" s="754"/>
      <c r="AF342" s="768"/>
      <c r="AG342" s="769"/>
      <c r="AH342" s="769"/>
      <c r="AI342" s="769"/>
      <c r="AJ342" s="779"/>
      <c r="AK342" s="779"/>
      <c r="AL342" s="779"/>
      <c r="AM342" s="779"/>
      <c r="AN342" s="779"/>
      <c r="AO342" s="785"/>
      <c r="AP342" s="785"/>
      <c r="AQ342" s="1460"/>
      <c r="AR342" s="1665"/>
      <c r="AS342" s="1665"/>
      <c r="AT342" s="1665"/>
      <c r="AU342" s="1466"/>
      <c r="AV342" s="786"/>
      <c r="AW342" s="785"/>
      <c r="AX342" s="785"/>
      <c r="AY342" s="785"/>
      <c r="AZ342" s="785"/>
      <c r="BA342" s="785"/>
      <c r="BB342" s="785"/>
      <c r="BC342" s="785"/>
      <c r="BD342" s="785"/>
      <c r="BE342" s="785"/>
      <c r="BF342" s="785"/>
      <c r="BG342" s="785"/>
      <c r="BH342" s="785"/>
      <c r="BI342" s="785"/>
      <c r="BJ342" s="785"/>
      <c r="BK342" s="787"/>
      <c r="BL342" s="1327"/>
      <c r="BM342" s="1328"/>
      <c r="BN342" s="1328"/>
      <c r="BO342" s="1328"/>
      <c r="BP342" s="1389"/>
      <c r="BQ342" s="1369"/>
      <c r="BR342" s="1319"/>
      <c r="BS342" s="1319"/>
      <c r="BT342" s="1319"/>
      <c r="BU342" s="1320"/>
      <c r="BV342" s="1369"/>
      <c r="BW342" s="1319"/>
      <c r="BX342" s="1319"/>
      <c r="BY342" s="1319"/>
      <c r="BZ342" s="1319"/>
      <c r="CA342" s="1369"/>
      <c r="CB342" s="1319"/>
      <c r="CC342" s="1319"/>
      <c r="CD342" s="1319"/>
      <c r="CE342" s="1320"/>
      <c r="CF342" s="1319"/>
      <c r="CG342" s="1319"/>
      <c r="CH342" s="1319"/>
      <c r="CI342" s="1319"/>
      <c r="CJ342" s="1320"/>
      <c r="CK342" s="1369"/>
      <c r="CL342" s="1319"/>
      <c r="CM342" s="1319"/>
      <c r="CN342" s="1319"/>
      <c r="CO342" s="1320"/>
      <c r="CP342" s="1369"/>
      <c r="CQ342" s="1319"/>
      <c r="CR342" s="1319"/>
      <c r="CS342" s="1319"/>
      <c r="CT342" s="1320"/>
      <c r="CU342" s="1467"/>
      <c r="CV342" s="1458"/>
      <c r="CW342" s="1458"/>
      <c r="CX342" s="1663"/>
      <c r="CY342" s="1458"/>
      <c r="CZ342" s="1458"/>
      <c r="DA342" s="1458"/>
      <c r="DB342" s="1663"/>
      <c r="DC342" s="1328"/>
      <c r="DD342" s="1664"/>
      <c r="DE342" s="1669"/>
    </row>
    <row r="343" spans="1:109" ht="15.75" hidden="1" customHeight="1">
      <c r="A343" s="741" t="s">
        <v>1287</v>
      </c>
      <c r="B343" s="742">
        <v>337</v>
      </c>
      <c r="C343" s="758" t="s">
        <v>1218</v>
      </c>
      <c r="D343" s="742" t="s">
        <v>3358</v>
      </c>
      <c r="E343" s="742" t="s">
        <v>2231</v>
      </c>
      <c r="F343" s="754" t="s">
        <v>3366</v>
      </c>
      <c r="G343" s="759" t="s">
        <v>203</v>
      </c>
      <c r="H343" s="760" t="s">
        <v>3367</v>
      </c>
      <c r="I343" s="761">
        <v>0</v>
      </c>
      <c r="J343" s="762">
        <v>1</v>
      </c>
      <c r="K343" s="762"/>
      <c r="L343" s="762"/>
      <c r="M343" s="762">
        <v>0</v>
      </c>
      <c r="N343" s="762"/>
      <c r="O343" s="762"/>
      <c r="P343" s="763"/>
      <c r="Q343" s="764">
        <f t="shared" si="5"/>
        <v>1</v>
      </c>
      <c r="R343" s="758" t="s">
        <v>1852</v>
      </c>
      <c r="S343" s="742" t="s">
        <v>1826</v>
      </c>
      <c r="T343" s="765" t="s">
        <v>1827</v>
      </c>
      <c r="U343" s="742" t="s">
        <v>2242</v>
      </c>
      <c r="V343" s="742" t="s">
        <v>1857</v>
      </c>
      <c r="W343" s="742" t="s">
        <v>3368</v>
      </c>
      <c r="X343" s="1279">
        <v>1</v>
      </c>
      <c r="Y343" s="791" t="s">
        <v>1838</v>
      </c>
      <c r="Z343" s="759" t="s">
        <v>203</v>
      </c>
      <c r="AA343" s="754"/>
      <c r="AB343" s="754"/>
      <c r="AC343" s="754"/>
      <c r="AD343" s="754"/>
      <c r="AE343" s="754"/>
      <c r="AF343" s="768"/>
      <c r="AG343" s="769"/>
      <c r="AH343" s="769"/>
      <c r="AI343" s="769"/>
      <c r="AJ343" s="769"/>
      <c r="AK343" s="769"/>
      <c r="AL343" s="769"/>
      <c r="AM343" s="769"/>
      <c r="AN343" s="769"/>
      <c r="AO343" s="769"/>
      <c r="AP343" s="769"/>
      <c r="AQ343" s="1370"/>
      <c r="AR343" s="1324"/>
      <c r="AS343" s="1324"/>
      <c r="AT343" s="1324"/>
      <c r="AU343" s="1325"/>
      <c r="AV343" s="812"/>
      <c r="AW343" s="811"/>
      <c r="AX343" s="811"/>
      <c r="AY343" s="811"/>
      <c r="AZ343" s="811"/>
      <c r="BA343" s="811"/>
      <c r="BB343" s="811"/>
      <c r="BC343" s="811"/>
      <c r="BD343" s="811"/>
      <c r="BE343" s="811"/>
      <c r="BF343" s="811"/>
      <c r="BG343" s="811"/>
      <c r="BH343" s="811"/>
      <c r="BI343" s="811"/>
      <c r="BJ343" s="811"/>
      <c r="BK343" s="813"/>
      <c r="BL343" s="1327"/>
      <c r="BM343" s="1328"/>
      <c r="BN343" s="1328"/>
      <c r="BO343" s="1328"/>
      <c r="BP343" s="1389"/>
      <c r="BQ343" s="1369"/>
      <c r="BR343" s="1319"/>
      <c r="BS343" s="1319"/>
      <c r="BT343" s="1319"/>
      <c r="BU343" s="1320"/>
      <c r="BV343" s="1370"/>
      <c r="BW343" s="1324"/>
      <c r="BX343" s="1324"/>
      <c r="BY343" s="1324"/>
      <c r="BZ343" s="1324"/>
      <c r="CA343" s="1369"/>
      <c r="CB343" s="1319"/>
      <c r="CC343" s="1319"/>
      <c r="CD343" s="1319"/>
      <c r="CE343" s="1320"/>
      <c r="CF343" s="1319"/>
      <c r="CG343" s="1319"/>
      <c r="CH343" s="1319"/>
      <c r="CI343" s="1319"/>
      <c r="CJ343" s="1320"/>
      <c r="CK343" s="1369"/>
      <c r="CL343" s="1319"/>
      <c r="CM343" s="1319"/>
      <c r="CN343" s="1319"/>
      <c r="CO343" s="1320"/>
      <c r="CP343" s="1369"/>
      <c r="CQ343" s="1319"/>
      <c r="CR343" s="1319"/>
      <c r="CS343" s="1319"/>
      <c r="CT343" s="1320"/>
      <c r="CU343" s="1467"/>
      <c r="CV343" s="1458"/>
      <c r="CW343" s="1458"/>
      <c r="CX343" s="1663"/>
      <c r="CY343" s="1458"/>
      <c r="CZ343" s="1458"/>
      <c r="DA343" s="1458"/>
      <c r="DB343" s="1663"/>
      <c r="DC343" s="1328"/>
      <c r="DD343" s="1664"/>
      <c r="DE343" s="1669"/>
    </row>
    <row r="344" spans="1:109" ht="15.75" hidden="1" customHeight="1">
      <c r="A344" s="741" t="s">
        <v>1287</v>
      </c>
      <c r="B344" s="742">
        <v>338</v>
      </c>
      <c r="C344" s="758" t="s">
        <v>1219</v>
      </c>
      <c r="D344" s="742" t="s">
        <v>3358</v>
      </c>
      <c r="E344" s="742" t="s">
        <v>2231</v>
      </c>
      <c r="F344" s="754" t="s">
        <v>3369</v>
      </c>
      <c r="G344" s="759" t="s">
        <v>209</v>
      </c>
      <c r="H344" s="760" t="s">
        <v>3370</v>
      </c>
      <c r="I344" s="761">
        <v>0.10100000000000001</v>
      </c>
      <c r="J344" s="762">
        <v>0.89900000000000002</v>
      </c>
      <c r="K344" s="762"/>
      <c r="L344" s="762"/>
      <c r="M344" s="762">
        <v>0</v>
      </c>
      <c r="N344" s="762"/>
      <c r="O344" s="762"/>
      <c r="P344" s="763"/>
      <c r="Q344" s="764">
        <f t="shared" si="5"/>
        <v>1</v>
      </c>
      <c r="R344" s="758" t="s">
        <v>1852</v>
      </c>
      <c r="S344" s="742" t="s">
        <v>1826</v>
      </c>
      <c r="T344" s="765" t="s">
        <v>1827</v>
      </c>
      <c r="U344" s="742" t="s">
        <v>2242</v>
      </c>
      <c r="V344" s="742" t="s">
        <v>321</v>
      </c>
      <c r="W344" s="742" t="s">
        <v>2016</v>
      </c>
      <c r="X344" s="1279">
        <v>2</v>
      </c>
      <c r="Y344" s="795" t="s">
        <v>1838</v>
      </c>
      <c r="Z344" s="759" t="s">
        <v>209</v>
      </c>
      <c r="AA344" s="754"/>
      <c r="AB344" s="754"/>
      <c r="AC344" s="754"/>
      <c r="AD344" s="754"/>
      <c r="AE344" s="754"/>
      <c r="AF344" s="768"/>
      <c r="AG344" s="769"/>
      <c r="AH344" s="769"/>
      <c r="AI344" s="769"/>
      <c r="AJ344" s="769"/>
      <c r="AK344" s="769"/>
      <c r="AL344" s="769"/>
      <c r="AM344" s="769"/>
      <c r="AN344" s="769"/>
      <c r="AO344" s="769"/>
      <c r="AP344" s="769"/>
      <c r="AQ344" s="1370"/>
      <c r="AR344" s="1324"/>
      <c r="AS344" s="1324"/>
      <c r="AT344" s="1324"/>
      <c r="AU344" s="1325"/>
      <c r="AV344" s="812"/>
      <c r="AW344" s="811"/>
      <c r="AX344" s="811"/>
      <c r="AY344" s="811"/>
      <c r="AZ344" s="811"/>
      <c r="BA344" s="811"/>
      <c r="BB344" s="811"/>
      <c r="BC344" s="811"/>
      <c r="BD344" s="811"/>
      <c r="BE344" s="811"/>
      <c r="BF344" s="811"/>
      <c r="BG344" s="811"/>
      <c r="BH344" s="811"/>
      <c r="BI344" s="811"/>
      <c r="BJ344" s="811"/>
      <c r="BK344" s="813"/>
      <c r="BL344" s="1327"/>
      <c r="BM344" s="1328"/>
      <c r="BN344" s="1328"/>
      <c r="BO344" s="1328"/>
      <c r="BP344" s="1389"/>
      <c r="BQ344" s="1369"/>
      <c r="BR344" s="1319"/>
      <c r="BS344" s="1319"/>
      <c r="BT344" s="1319"/>
      <c r="BU344" s="1320"/>
      <c r="BV344" s="1369"/>
      <c r="BW344" s="1319"/>
      <c r="BX344" s="1319"/>
      <c r="BY344" s="1319"/>
      <c r="BZ344" s="1319"/>
      <c r="CA344" s="1369"/>
      <c r="CB344" s="1319"/>
      <c r="CC344" s="1319"/>
      <c r="CD344" s="1319"/>
      <c r="CE344" s="1320"/>
      <c r="CF344" s="1319"/>
      <c r="CG344" s="1319"/>
      <c r="CH344" s="1319"/>
      <c r="CI344" s="1319"/>
      <c r="CJ344" s="1320"/>
      <c r="CK344" s="1369"/>
      <c r="CL344" s="1319"/>
      <c r="CM344" s="1319"/>
      <c r="CN344" s="1319"/>
      <c r="CO344" s="1320"/>
      <c r="CP344" s="1369"/>
      <c r="CQ344" s="1319"/>
      <c r="CR344" s="1319"/>
      <c r="CS344" s="1319"/>
      <c r="CT344" s="1320"/>
      <c r="CU344" s="1467"/>
      <c r="CV344" s="1458"/>
      <c r="CW344" s="1458"/>
      <c r="CX344" s="1663"/>
      <c r="CY344" s="1458"/>
      <c r="CZ344" s="1458"/>
      <c r="DA344" s="1458"/>
      <c r="DB344" s="1663"/>
      <c r="DC344" s="1328"/>
      <c r="DD344" s="1664"/>
      <c r="DE344" s="1669"/>
    </row>
    <row r="345" spans="1:109" ht="15.75" hidden="1" customHeight="1">
      <c r="A345" s="741" t="s">
        <v>1287</v>
      </c>
      <c r="B345" s="742">
        <v>339</v>
      </c>
      <c r="C345" s="758" t="s">
        <v>1398</v>
      </c>
      <c r="D345" s="742" t="s">
        <v>3358</v>
      </c>
      <c r="E345" s="742" t="s">
        <v>2223</v>
      </c>
      <c r="F345" s="754" t="s">
        <v>3371</v>
      </c>
      <c r="G345" s="759" t="s">
        <v>3372</v>
      </c>
      <c r="H345" s="760" t="s">
        <v>3373</v>
      </c>
      <c r="I345" s="761">
        <v>0</v>
      </c>
      <c r="J345" s="762">
        <v>1</v>
      </c>
      <c r="K345" s="762"/>
      <c r="L345" s="762"/>
      <c r="M345" s="762">
        <v>0</v>
      </c>
      <c r="N345" s="762"/>
      <c r="O345" s="762"/>
      <c r="P345" s="763"/>
      <c r="Q345" s="764">
        <f t="shared" si="5"/>
        <v>1</v>
      </c>
      <c r="R345" s="758" t="s">
        <v>1852</v>
      </c>
      <c r="S345" s="742" t="s">
        <v>1826</v>
      </c>
      <c r="T345" s="765" t="s">
        <v>1827</v>
      </c>
      <c r="U345" s="742" t="s">
        <v>2421</v>
      </c>
      <c r="V345" s="742" t="s">
        <v>1857</v>
      </c>
      <c r="W345" s="742" t="s">
        <v>3374</v>
      </c>
      <c r="X345" s="1279">
        <v>2</v>
      </c>
      <c r="Y345" s="790" t="s">
        <v>1838</v>
      </c>
      <c r="Z345" s="759" t="s">
        <v>2309</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210</v>
      </c>
      <c r="BM345" s="754" t="s">
        <v>210</v>
      </c>
      <c r="BN345" s="754" t="s">
        <v>210</v>
      </c>
      <c r="BO345" s="754" t="s">
        <v>210</v>
      </c>
      <c r="BP345" s="765" t="s">
        <v>210</v>
      </c>
      <c r="BQ345" s="777" t="s">
        <v>2260</v>
      </c>
      <c r="BR345" s="769" t="s">
        <v>2260</v>
      </c>
      <c r="BS345" s="769" t="s">
        <v>2260</v>
      </c>
      <c r="BT345" s="769" t="s">
        <v>2260</v>
      </c>
      <c r="BU345" s="774" t="s">
        <v>2260</v>
      </c>
      <c r="BV345" s="777" t="s">
        <v>2260</v>
      </c>
      <c r="BW345" s="769" t="s">
        <v>2260</v>
      </c>
      <c r="BX345" s="769" t="s">
        <v>2260</v>
      </c>
      <c r="BY345" s="769" t="s">
        <v>2260</v>
      </c>
      <c r="BZ345" s="769" t="s">
        <v>2260</v>
      </c>
      <c r="CA345" s="777" t="s">
        <v>2260</v>
      </c>
      <c r="CB345" s="769" t="s">
        <v>2260</v>
      </c>
      <c r="CC345" s="769" t="s">
        <v>2260</v>
      </c>
      <c r="CD345" s="769" t="s">
        <v>2260</v>
      </c>
      <c r="CE345" s="774" t="s">
        <v>2260</v>
      </c>
      <c r="CF345" s="769" t="s">
        <v>2260</v>
      </c>
      <c r="CG345" s="769" t="s">
        <v>2260</v>
      </c>
      <c r="CH345" s="769" t="s">
        <v>2260</v>
      </c>
      <c r="CI345" s="769" t="s">
        <v>2260</v>
      </c>
      <c r="CJ345" s="774" t="s">
        <v>2260</v>
      </c>
      <c r="CK345" s="777" t="s">
        <v>2260</v>
      </c>
      <c r="CL345" s="769" t="s">
        <v>2260</v>
      </c>
      <c r="CM345" s="769" t="s">
        <v>2260</v>
      </c>
      <c r="CN345" s="769" t="s">
        <v>2260</v>
      </c>
      <c r="CO345" s="774" t="s">
        <v>2260</v>
      </c>
      <c r="CP345" s="777" t="s">
        <v>2260</v>
      </c>
      <c r="CQ345" s="769" t="s">
        <v>2260</v>
      </c>
      <c r="CR345" s="769" t="s">
        <v>2260</v>
      </c>
      <c r="CS345" s="769" t="s">
        <v>2260</v>
      </c>
      <c r="CT345" s="774" t="s">
        <v>2260</v>
      </c>
      <c r="CU345" s="1253">
        <v>-1.083</v>
      </c>
      <c r="CV345" s="1252" t="s">
        <v>2260</v>
      </c>
      <c r="CW345" s="1252" t="s">
        <v>2260</v>
      </c>
      <c r="CX345" s="1254" t="s">
        <v>2260</v>
      </c>
      <c r="CY345" s="1252">
        <v>0.90200000000000002</v>
      </c>
      <c r="CZ345" s="1252" t="s">
        <v>2260</v>
      </c>
      <c r="DA345" s="1252" t="s">
        <v>2260</v>
      </c>
      <c r="DB345" s="1254" t="s">
        <v>2260</v>
      </c>
      <c r="DC345" s="754"/>
      <c r="DD345" s="782">
        <v>1</v>
      </c>
      <c r="DE345" s="783"/>
    </row>
    <row r="346" spans="1:109" ht="15.75" hidden="1" customHeight="1">
      <c r="A346" s="741" t="s">
        <v>1287</v>
      </c>
      <c r="B346" s="742">
        <v>340</v>
      </c>
      <c r="C346" s="758" t="s">
        <v>1415</v>
      </c>
      <c r="D346" s="742" t="s">
        <v>3358</v>
      </c>
      <c r="E346" s="742" t="s">
        <v>2231</v>
      </c>
      <c r="F346" s="754" t="s">
        <v>3375</v>
      </c>
      <c r="G346" s="759" t="s">
        <v>2731</v>
      </c>
      <c r="H346" s="760" t="s">
        <v>3376</v>
      </c>
      <c r="I346" s="761">
        <v>0</v>
      </c>
      <c r="J346" s="762">
        <v>1</v>
      </c>
      <c r="K346" s="762"/>
      <c r="L346" s="762"/>
      <c r="M346" s="762">
        <v>0</v>
      </c>
      <c r="N346" s="762"/>
      <c r="O346" s="762"/>
      <c r="P346" s="763"/>
      <c r="Q346" s="764">
        <f t="shared" si="5"/>
        <v>1</v>
      </c>
      <c r="R346" s="758" t="s">
        <v>1852</v>
      </c>
      <c r="S346" s="742" t="s">
        <v>1826</v>
      </c>
      <c r="T346" s="765" t="s">
        <v>1827</v>
      </c>
      <c r="U346" s="742" t="s">
        <v>2482</v>
      </c>
      <c r="V346" s="742" t="s">
        <v>1890</v>
      </c>
      <c r="W346" s="742" t="s">
        <v>3377</v>
      </c>
      <c r="X346" s="1279">
        <v>0</v>
      </c>
      <c r="Y346" s="795" t="s">
        <v>1838</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210</v>
      </c>
      <c r="BM346" s="754" t="s">
        <v>210</v>
      </c>
      <c r="BN346" s="754" t="s">
        <v>210</v>
      </c>
      <c r="BO346" s="754" t="s">
        <v>210</v>
      </c>
      <c r="BP346" s="765" t="s">
        <v>210</v>
      </c>
      <c r="BQ346" s="777" t="s">
        <v>2260</v>
      </c>
      <c r="BR346" s="769" t="s">
        <v>2260</v>
      </c>
      <c r="BS346" s="769" t="s">
        <v>2260</v>
      </c>
      <c r="BT346" s="769" t="s">
        <v>2260</v>
      </c>
      <c r="BU346" s="774" t="s">
        <v>2260</v>
      </c>
      <c r="BV346" s="777" t="s">
        <v>2260</v>
      </c>
      <c r="BW346" s="769" t="s">
        <v>2260</v>
      </c>
      <c r="BX346" s="769" t="s">
        <v>2260</v>
      </c>
      <c r="BY346" s="769" t="s">
        <v>2260</v>
      </c>
      <c r="BZ346" s="769" t="s">
        <v>2260</v>
      </c>
      <c r="CA346" s="777" t="s">
        <v>2260</v>
      </c>
      <c r="CB346" s="769" t="s">
        <v>2260</v>
      </c>
      <c r="CC346" s="769" t="s">
        <v>2260</v>
      </c>
      <c r="CD346" s="769" t="s">
        <v>2260</v>
      </c>
      <c r="CE346" s="774" t="s">
        <v>2260</v>
      </c>
      <c r="CF346" s="769" t="s">
        <v>2260</v>
      </c>
      <c r="CG346" s="769" t="s">
        <v>2260</v>
      </c>
      <c r="CH346" s="769" t="s">
        <v>2260</v>
      </c>
      <c r="CI346" s="769" t="s">
        <v>2260</v>
      </c>
      <c r="CJ346" s="774" t="s">
        <v>2260</v>
      </c>
      <c r="CK346" s="777" t="s">
        <v>2260</v>
      </c>
      <c r="CL346" s="769" t="s">
        <v>2260</v>
      </c>
      <c r="CM346" s="769" t="s">
        <v>2260</v>
      </c>
      <c r="CN346" s="769" t="s">
        <v>2260</v>
      </c>
      <c r="CO346" s="774" t="s">
        <v>2260</v>
      </c>
      <c r="CP346" s="777" t="s">
        <v>2260</v>
      </c>
      <c r="CQ346" s="769" t="s">
        <v>2260</v>
      </c>
      <c r="CR346" s="769" t="s">
        <v>2260</v>
      </c>
      <c r="CS346" s="769" t="s">
        <v>2260</v>
      </c>
      <c r="CT346" s="774" t="s">
        <v>2260</v>
      </c>
      <c r="CU346" s="1253">
        <v>-0.129</v>
      </c>
      <c r="CV346" s="1252" t="s">
        <v>2260</v>
      </c>
      <c r="CW346" s="1252" t="s">
        <v>2260</v>
      </c>
      <c r="CX346" s="1254" t="s">
        <v>2260</v>
      </c>
      <c r="CY346" s="1252">
        <v>6.8000000000000005E-2</v>
      </c>
      <c r="CZ346" s="1252" t="s">
        <v>2260</v>
      </c>
      <c r="DA346" s="1252" t="s">
        <v>2260</v>
      </c>
      <c r="DB346" s="1254" t="s">
        <v>2260</v>
      </c>
      <c r="DC346" s="754"/>
      <c r="DD346" s="782">
        <v>1</v>
      </c>
      <c r="DE346" s="783"/>
    </row>
    <row r="347" spans="1:109" ht="15.75" hidden="1" customHeight="1">
      <c r="A347" s="741" t="s">
        <v>1287</v>
      </c>
      <c r="B347" s="742">
        <v>341</v>
      </c>
      <c r="C347" s="897" t="s">
        <v>1431</v>
      </c>
      <c r="D347" s="742" t="s">
        <v>3358</v>
      </c>
      <c r="E347" s="742" t="s">
        <v>2231</v>
      </c>
      <c r="F347" s="754" t="s">
        <v>3378</v>
      </c>
      <c r="G347" s="759" t="s">
        <v>3379</v>
      </c>
      <c r="H347" s="760" t="s">
        <v>3380</v>
      </c>
      <c r="I347" s="761">
        <v>0</v>
      </c>
      <c r="J347" s="762">
        <v>1</v>
      </c>
      <c r="K347" s="762"/>
      <c r="L347" s="762"/>
      <c r="M347" s="762">
        <v>0</v>
      </c>
      <c r="N347" s="762"/>
      <c r="O347" s="762"/>
      <c r="P347" s="763"/>
      <c r="Q347" s="764">
        <f t="shared" si="5"/>
        <v>1</v>
      </c>
      <c r="R347" s="758" t="s">
        <v>1846</v>
      </c>
      <c r="S347" s="742" t="s">
        <v>1826</v>
      </c>
      <c r="T347" s="765" t="s">
        <v>1827</v>
      </c>
      <c r="U347" s="742" t="s">
        <v>2371</v>
      </c>
      <c r="V347" s="742" t="s">
        <v>321</v>
      </c>
      <c r="W347" s="742" t="s">
        <v>3381</v>
      </c>
      <c r="X347" s="1279">
        <v>1</v>
      </c>
      <c r="Y347" s="788" t="s">
        <v>1828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75">
        <v>55.1</v>
      </c>
      <c r="AT347" s="1864">
        <v>55.1</v>
      </c>
      <c r="AU347" s="789">
        <v>100</v>
      </c>
      <c r="AV347" s="777"/>
      <c r="AW347" s="769"/>
      <c r="AX347" s="769"/>
      <c r="AY347" s="769"/>
      <c r="AZ347" s="769"/>
      <c r="BA347" s="769"/>
      <c r="BB347" s="769"/>
      <c r="BC347" s="769"/>
      <c r="BD347" s="769"/>
      <c r="BE347" s="769"/>
      <c r="BF347" s="769"/>
      <c r="BG347" s="769"/>
      <c r="BH347" s="769"/>
      <c r="BI347" s="769"/>
      <c r="BJ347" s="769"/>
      <c r="BK347" s="774"/>
      <c r="BL347" s="1828" t="s">
        <v>210</v>
      </c>
      <c r="BM347" s="1829" t="s">
        <v>210</v>
      </c>
      <c r="BN347" s="1829" t="s">
        <v>210</v>
      </c>
      <c r="BO347" s="1829" t="s">
        <v>210</v>
      </c>
      <c r="BP347" s="765" t="s">
        <v>210</v>
      </c>
      <c r="BQ347" s="777" t="s">
        <v>2260</v>
      </c>
      <c r="BR347" s="769" t="s">
        <v>2260</v>
      </c>
      <c r="BS347" s="769" t="s">
        <v>2260</v>
      </c>
      <c r="BT347" s="769" t="s">
        <v>2260</v>
      </c>
      <c r="BU347" s="774" t="s">
        <v>2260</v>
      </c>
      <c r="BV347" s="777" t="s">
        <v>2260</v>
      </c>
      <c r="BW347" s="769" t="s">
        <v>2260</v>
      </c>
      <c r="BX347" s="769" t="s">
        <v>2260</v>
      </c>
      <c r="BY347" s="769" t="s">
        <v>2260</v>
      </c>
      <c r="BZ347" s="769" t="s">
        <v>2260</v>
      </c>
      <c r="CA347" s="777" t="s">
        <v>2260</v>
      </c>
      <c r="CB347" s="769" t="s">
        <v>2260</v>
      </c>
      <c r="CC347" s="769" t="s">
        <v>2260</v>
      </c>
      <c r="CD347" s="769" t="s">
        <v>2260</v>
      </c>
      <c r="CE347" s="774" t="s">
        <v>2260</v>
      </c>
      <c r="CF347" s="769" t="s">
        <v>2260</v>
      </c>
      <c r="CG347" s="769" t="s">
        <v>2260</v>
      </c>
      <c r="CH347" s="769" t="s">
        <v>2260</v>
      </c>
      <c r="CI347" s="769" t="s">
        <v>2260</v>
      </c>
      <c r="CJ347" s="769" t="s">
        <v>2260</v>
      </c>
      <c r="CK347" s="777" t="s">
        <v>2260</v>
      </c>
      <c r="CL347" s="769" t="s">
        <v>2260</v>
      </c>
      <c r="CM347" s="769" t="s">
        <v>2260</v>
      </c>
      <c r="CN347" s="769" t="s">
        <v>2260</v>
      </c>
      <c r="CO347" s="774" t="s">
        <v>2260</v>
      </c>
      <c r="CP347" s="777" t="s">
        <v>2260</v>
      </c>
      <c r="CQ347" s="769" t="s">
        <v>2260</v>
      </c>
      <c r="CR347" s="769" t="s">
        <v>2260</v>
      </c>
      <c r="CS347" s="769" t="s">
        <v>2260</v>
      </c>
      <c r="CT347" s="774" t="s">
        <v>2260</v>
      </c>
      <c r="CU347" s="1253">
        <v>-5.8200000000000002E-2</v>
      </c>
      <c r="CV347" s="1252" t="s">
        <v>2260</v>
      </c>
      <c r="CW347" s="1252" t="s">
        <v>2260</v>
      </c>
      <c r="CX347" s="1254" t="s">
        <v>2260</v>
      </c>
      <c r="CY347" s="1252" t="s">
        <v>2260</v>
      </c>
      <c r="CZ347" s="1252" t="s">
        <v>2260</v>
      </c>
      <c r="DA347" s="1252" t="s">
        <v>2260</v>
      </c>
      <c r="DB347" s="1254" t="s">
        <v>2260</v>
      </c>
      <c r="DC347" s="754" t="s">
        <v>173</v>
      </c>
      <c r="DD347" s="782">
        <v>1</v>
      </c>
      <c r="DE347" s="783"/>
    </row>
    <row r="348" spans="1:109" ht="15.75" hidden="1" customHeight="1">
      <c r="A348" s="741" t="s">
        <v>1287</v>
      </c>
      <c r="B348" s="742">
        <v>342</v>
      </c>
      <c r="C348" s="758" t="s">
        <v>1647</v>
      </c>
      <c r="D348" s="742" t="s">
        <v>3382</v>
      </c>
      <c r="E348" s="742" t="s">
        <v>2231</v>
      </c>
      <c r="F348" s="754" t="s">
        <v>2613</v>
      </c>
      <c r="G348" s="759" t="s">
        <v>3383</v>
      </c>
      <c r="H348" s="760" t="s">
        <v>3384</v>
      </c>
      <c r="I348" s="761">
        <v>0</v>
      </c>
      <c r="J348" s="762">
        <v>0</v>
      </c>
      <c r="K348" s="762"/>
      <c r="L348" s="762"/>
      <c r="M348" s="762">
        <v>1</v>
      </c>
      <c r="N348" s="762"/>
      <c r="O348" s="762"/>
      <c r="P348" s="763"/>
      <c r="Q348" s="764">
        <f t="shared" si="5"/>
        <v>1</v>
      </c>
      <c r="R348" s="758" t="s">
        <v>1825</v>
      </c>
      <c r="S348" s="742"/>
      <c r="T348" s="765"/>
      <c r="U348" s="742" t="s">
        <v>2827</v>
      </c>
      <c r="V348" s="742" t="s">
        <v>321</v>
      </c>
      <c r="W348" s="742" t="s">
        <v>2016</v>
      </c>
      <c r="X348" s="1279">
        <v>2</v>
      </c>
      <c r="Y348" s="788" t="s">
        <v>1838</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2260</v>
      </c>
      <c r="BR348" s="769" t="s">
        <v>2260</v>
      </c>
      <c r="BS348" s="769" t="s">
        <v>2260</v>
      </c>
      <c r="BT348" s="769" t="s">
        <v>2260</v>
      </c>
      <c r="BU348" s="774" t="s">
        <v>2260</v>
      </c>
      <c r="BV348" s="777" t="s">
        <v>2260</v>
      </c>
      <c r="BW348" s="769" t="s">
        <v>2260</v>
      </c>
      <c r="BX348" s="769" t="s">
        <v>2260</v>
      </c>
      <c r="BY348" s="769" t="s">
        <v>2260</v>
      </c>
      <c r="BZ348" s="769" t="s">
        <v>2260</v>
      </c>
      <c r="CA348" s="777" t="s">
        <v>2260</v>
      </c>
      <c r="CB348" s="769" t="s">
        <v>2260</v>
      </c>
      <c r="CC348" s="769" t="s">
        <v>2260</v>
      </c>
      <c r="CD348" s="769" t="s">
        <v>2260</v>
      </c>
      <c r="CE348" s="774" t="s">
        <v>2260</v>
      </c>
      <c r="CF348" s="769" t="s">
        <v>2260</v>
      </c>
      <c r="CG348" s="769" t="s">
        <v>2260</v>
      </c>
      <c r="CH348" s="769" t="s">
        <v>2260</v>
      </c>
      <c r="CI348" s="769" t="s">
        <v>2260</v>
      </c>
      <c r="CJ348" s="774" t="s">
        <v>2260</v>
      </c>
      <c r="CK348" s="777" t="s">
        <v>2260</v>
      </c>
      <c r="CL348" s="769" t="s">
        <v>2260</v>
      </c>
      <c r="CM348" s="769" t="s">
        <v>2260</v>
      </c>
      <c r="CN348" s="769" t="s">
        <v>2260</v>
      </c>
      <c r="CO348" s="774" t="s">
        <v>2260</v>
      </c>
      <c r="CP348" s="777" t="s">
        <v>2260</v>
      </c>
      <c r="CQ348" s="769" t="s">
        <v>2260</v>
      </c>
      <c r="CR348" s="769" t="s">
        <v>2260</v>
      </c>
      <c r="CS348" s="769" t="s">
        <v>2260</v>
      </c>
      <c r="CT348" s="774" t="s">
        <v>2260</v>
      </c>
      <c r="CU348" s="1253" t="s">
        <v>2260</v>
      </c>
      <c r="CV348" s="1252" t="s">
        <v>2260</v>
      </c>
      <c r="CW348" s="1252" t="s">
        <v>2260</v>
      </c>
      <c r="CX348" s="1254" t="s">
        <v>2260</v>
      </c>
      <c r="CY348" s="1252" t="s">
        <v>2260</v>
      </c>
      <c r="CZ348" s="1252" t="s">
        <v>2260</v>
      </c>
      <c r="DA348" s="1252" t="s">
        <v>2260</v>
      </c>
      <c r="DB348" s="1254" t="s">
        <v>2260</v>
      </c>
      <c r="DC348" s="754"/>
      <c r="DD348" s="782">
        <v>1</v>
      </c>
      <c r="DE348" s="783"/>
    </row>
    <row r="349" spans="1:109" ht="15.75" hidden="1" customHeight="1">
      <c r="A349" s="741" t="s">
        <v>1287</v>
      </c>
      <c r="B349" s="742">
        <v>343</v>
      </c>
      <c r="C349" s="758" t="s">
        <v>1446</v>
      </c>
      <c r="D349" s="742" t="s">
        <v>3382</v>
      </c>
      <c r="E349" s="742" t="s">
        <v>2231</v>
      </c>
      <c r="F349" s="754" t="s">
        <v>2616</v>
      </c>
      <c r="G349" s="759" t="s">
        <v>3385</v>
      </c>
      <c r="H349" s="760" t="s">
        <v>3386</v>
      </c>
      <c r="I349" s="761">
        <v>0</v>
      </c>
      <c r="J349" s="762">
        <v>0</v>
      </c>
      <c r="K349" s="762"/>
      <c r="L349" s="762"/>
      <c r="M349" s="762">
        <v>1</v>
      </c>
      <c r="N349" s="762"/>
      <c r="O349" s="762"/>
      <c r="P349" s="763"/>
      <c r="Q349" s="764">
        <f t="shared" si="5"/>
        <v>1</v>
      </c>
      <c r="R349" s="758" t="s">
        <v>1846</v>
      </c>
      <c r="S349" s="742" t="s">
        <v>1826</v>
      </c>
      <c r="T349" s="765" t="s">
        <v>1827</v>
      </c>
      <c r="U349" s="742" t="s">
        <v>2892</v>
      </c>
      <c r="V349" s="742" t="s">
        <v>321</v>
      </c>
      <c r="W349" s="742" t="s">
        <v>2016</v>
      </c>
      <c r="X349" s="1279">
        <v>0</v>
      </c>
      <c r="Y349" s="788" t="s">
        <v>1828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210</v>
      </c>
      <c r="BM349" s="754" t="s">
        <v>210</v>
      </c>
      <c r="BN349" s="754" t="s">
        <v>210</v>
      </c>
      <c r="BO349" s="754" t="s">
        <v>210</v>
      </c>
      <c r="BP349" s="765" t="s">
        <v>210</v>
      </c>
      <c r="BQ349" s="777" t="s">
        <v>2260</v>
      </c>
      <c r="BR349" s="769" t="s">
        <v>2260</v>
      </c>
      <c r="BS349" s="769" t="s">
        <v>2260</v>
      </c>
      <c r="BT349" s="769" t="s">
        <v>2260</v>
      </c>
      <c r="BU349" s="774" t="s">
        <v>2260</v>
      </c>
      <c r="BV349" s="775" t="s">
        <v>2260</v>
      </c>
      <c r="BW349" s="776" t="s">
        <v>2260</v>
      </c>
      <c r="BX349" s="776" t="s">
        <v>2260</v>
      </c>
      <c r="BY349" s="776" t="s">
        <v>2260</v>
      </c>
      <c r="BZ349" s="776" t="s">
        <v>2260</v>
      </c>
      <c r="CA349" s="777" t="s">
        <v>2260</v>
      </c>
      <c r="CB349" s="769" t="s">
        <v>2260</v>
      </c>
      <c r="CC349" s="769" t="s">
        <v>2260</v>
      </c>
      <c r="CD349" s="769" t="s">
        <v>2260</v>
      </c>
      <c r="CE349" s="774" t="s">
        <v>2260</v>
      </c>
      <c r="CF349" s="769" t="s">
        <v>2260</v>
      </c>
      <c r="CG349" s="769" t="s">
        <v>2260</v>
      </c>
      <c r="CH349" s="769" t="s">
        <v>2260</v>
      </c>
      <c r="CI349" s="769" t="s">
        <v>2260</v>
      </c>
      <c r="CJ349" s="774" t="s">
        <v>2260</v>
      </c>
      <c r="CK349" s="777" t="s">
        <v>2260</v>
      </c>
      <c r="CL349" s="769" t="s">
        <v>2260</v>
      </c>
      <c r="CM349" s="769" t="s">
        <v>2260</v>
      </c>
      <c r="CN349" s="769" t="s">
        <v>2260</v>
      </c>
      <c r="CO349" s="774" t="s">
        <v>2260</v>
      </c>
      <c r="CP349" s="777" t="s">
        <v>2260</v>
      </c>
      <c r="CQ349" s="769" t="s">
        <v>2260</v>
      </c>
      <c r="CR349" s="769" t="s">
        <v>2260</v>
      </c>
      <c r="CS349" s="769" t="s">
        <v>2260</v>
      </c>
      <c r="CT349" s="774" t="s">
        <v>2260</v>
      </c>
      <c r="CU349" s="1253">
        <v>-6.7450000000000001E-3</v>
      </c>
      <c r="CV349" s="1252" t="s">
        <v>2260</v>
      </c>
      <c r="CW349" s="1252" t="s">
        <v>2260</v>
      </c>
      <c r="CX349" s="1254" t="s">
        <v>2260</v>
      </c>
      <c r="CY349" s="1252" t="s">
        <v>2260</v>
      </c>
      <c r="CZ349" s="1252" t="s">
        <v>2260</v>
      </c>
      <c r="DA349" s="1252" t="s">
        <v>2260</v>
      </c>
      <c r="DB349" s="1254" t="s">
        <v>2260</v>
      </c>
      <c r="DC349" s="754"/>
      <c r="DD349" s="782">
        <v>1</v>
      </c>
      <c r="DE349" s="783"/>
    </row>
    <row r="350" spans="1:109" ht="15.75" hidden="1" customHeight="1">
      <c r="A350" s="741" t="s">
        <v>1287</v>
      </c>
      <c r="B350" s="742">
        <v>344</v>
      </c>
      <c r="C350" s="758" t="s">
        <v>1663</v>
      </c>
      <c r="D350" s="742" t="s">
        <v>3382</v>
      </c>
      <c r="E350" s="742" t="s">
        <v>2231</v>
      </c>
      <c r="F350" s="754" t="s">
        <v>2619</v>
      </c>
      <c r="G350" s="759" t="s">
        <v>3387</v>
      </c>
      <c r="H350" s="760" t="s">
        <v>3388</v>
      </c>
      <c r="I350" s="761">
        <v>8.1000000000000003E-2</v>
      </c>
      <c r="J350" s="762">
        <v>0.91900000000000004</v>
      </c>
      <c r="K350" s="762"/>
      <c r="L350" s="762"/>
      <c r="M350" s="762">
        <v>0</v>
      </c>
      <c r="N350" s="762"/>
      <c r="O350" s="762"/>
      <c r="P350" s="763"/>
      <c r="Q350" s="764">
        <f t="shared" si="5"/>
        <v>1</v>
      </c>
      <c r="R350" s="758" t="s">
        <v>1825</v>
      </c>
      <c r="S350" s="742"/>
      <c r="T350" s="765"/>
      <c r="U350" s="742" t="s">
        <v>3389</v>
      </c>
      <c r="V350" s="742" t="s">
        <v>1897</v>
      </c>
      <c r="W350" s="742" t="s">
        <v>3390</v>
      </c>
      <c r="X350" s="1279">
        <v>0</v>
      </c>
      <c r="Y350" s="788" t="s">
        <v>1828</v>
      </c>
      <c r="Z350" s="759"/>
      <c r="AA350" s="754"/>
      <c r="AB350" s="754"/>
      <c r="AC350" s="754"/>
      <c r="AD350" s="754"/>
      <c r="AE350" s="754"/>
      <c r="AF350" s="768"/>
      <c r="AG350" s="769"/>
      <c r="AH350" s="769"/>
      <c r="AI350" s="769"/>
      <c r="AJ350" s="769"/>
      <c r="AK350" s="769"/>
      <c r="AL350" s="769"/>
      <c r="AM350" s="769"/>
      <c r="AN350" s="769"/>
      <c r="AO350" s="769"/>
      <c r="AP350" s="769"/>
      <c r="AQ350" s="777" t="s">
        <v>2334</v>
      </c>
      <c r="AR350" s="769" t="s">
        <v>2334</v>
      </c>
      <c r="AS350" s="769" t="s">
        <v>2334</v>
      </c>
      <c r="AT350" s="769" t="s">
        <v>2334</v>
      </c>
      <c r="AU350" s="774" t="s">
        <v>2334</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2260</v>
      </c>
      <c r="BR350" s="769" t="s">
        <v>2260</v>
      </c>
      <c r="BS350" s="769" t="s">
        <v>2260</v>
      </c>
      <c r="BT350" s="769" t="s">
        <v>2260</v>
      </c>
      <c r="BU350" s="774" t="s">
        <v>2260</v>
      </c>
      <c r="BV350" s="777" t="s">
        <v>2260</v>
      </c>
      <c r="BW350" s="769" t="s">
        <v>2260</v>
      </c>
      <c r="BX350" s="769" t="s">
        <v>2260</v>
      </c>
      <c r="BY350" s="769" t="s">
        <v>2260</v>
      </c>
      <c r="BZ350" s="769" t="s">
        <v>2260</v>
      </c>
      <c r="CA350" s="777" t="s">
        <v>2260</v>
      </c>
      <c r="CB350" s="769" t="s">
        <v>2260</v>
      </c>
      <c r="CC350" s="769" t="s">
        <v>2260</v>
      </c>
      <c r="CD350" s="769" t="s">
        <v>2260</v>
      </c>
      <c r="CE350" s="774" t="s">
        <v>2260</v>
      </c>
      <c r="CF350" s="769" t="s">
        <v>2260</v>
      </c>
      <c r="CG350" s="769" t="s">
        <v>2260</v>
      </c>
      <c r="CH350" s="769" t="s">
        <v>2260</v>
      </c>
      <c r="CI350" s="769" t="s">
        <v>2260</v>
      </c>
      <c r="CJ350" s="774" t="s">
        <v>2260</v>
      </c>
      <c r="CK350" s="777" t="s">
        <v>2260</v>
      </c>
      <c r="CL350" s="769" t="s">
        <v>2260</v>
      </c>
      <c r="CM350" s="769" t="s">
        <v>2260</v>
      </c>
      <c r="CN350" s="769" t="s">
        <v>2260</v>
      </c>
      <c r="CO350" s="774" t="s">
        <v>2260</v>
      </c>
      <c r="CP350" s="777" t="s">
        <v>2260</v>
      </c>
      <c r="CQ350" s="769" t="s">
        <v>2260</v>
      </c>
      <c r="CR350" s="769" t="s">
        <v>2260</v>
      </c>
      <c r="CS350" s="769" t="s">
        <v>2260</v>
      </c>
      <c r="CT350" s="774" t="s">
        <v>2260</v>
      </c>
      <c r="CU350" s="1253" t="s">
        <v>2260</v>
      </c>
      <c r="CV350" s="1252" t="s">
        <v>2260</v>
      </c>
      <c r="CW350" s="1252" t="s">
        <v>2260</v>
      </c>
      <c r="CX350" s="1254" t="s">
        <v>2260</v>
      </c>
      <c r="CY350" s="1252" t="s">
        <v>2260</v>
      </c>
      <c r="CZ350" s="1252" t="s">
        <v>2260</v>
      </c>
      <c r="DA350" s="1252" t="s">
        <v>2260</v>
      </c>
      <c r="DB350" s="1254" t="s">
        <v>2260</v>
      </c>
      <c r="DC350" s="754"/>
      <c r="DD350" s="782">
        <v>1</v>
      </c>
      <c r="DE350" s="783"/>
    </row>
    <row r="351" spans="1:109" ht="15.75" hidden="1" customHeight="1">
      <c r="A351" s="741" t="s">
        <v>1287</v>
      </c>
      <c r="B351" s="742">
        <v>345</v>
      </c>
      <c r="C351" s="758" t="s">
        <v>1677</v>
      </c>
      <c r="D351" s="742" t="s">
        <v>3382</v>
      </c>
      <c r="E351" s="742" t="s">
        <v>2231</v>
      </c>
      <c r="F351" s="754" t="s">
        <v>2624</v>
      </c>
      <c r="G351" s="759" t="s">
        <v>3391</v>
      </c>
      <c r="H351" s="760" t="s">
        <v>3392</v>
      </c>
      <c r="I351" s="761">
        <v>0.10100000000000001</v>
      </c>
      <c r="J351" s="762">
        <v>0.89900000000000002</v>
      </c>
      <c r="K351" s="762"/>
      <c r="L351" s="762"/>
      <c r="M351" s="762">
        <v>0</v>
      </c>
      <c r="N351" s="762"/>
      <c r="O351" s="762"/>
      <c r="P351" s="763"/>
      <c r="Q351" s="764">
        <f t="shared" si="5"/>
        <v>1</v>
      </c>
      <c r="R351" s="758" t="s">
        <v>1825</v>
      </c>
      <c r="S351" s="742"/>
      <c r="T351" s="765"/>
      <c r="U351" s="742" t="s">
        <v>3393</v>
      </c>
      <c r="V351" s="742" t="s">
        <v>321</v>
      </c>
      <c r="W351" s="742" t="s">
        <v>2016</v>
      </c>
      <c r="X351" s="1279">
        <v>0</v>
      </c>
      <c r="Y351" s="788" t="s">
        <v>1828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2260</v>
      </c>
      <c r="BR351" s="769" t="s">
        <v>2260</v>
      </c>
      <c r="BS351" s="769" t="s">
        <v>2260</v>
      </c>
      <c r="BT351" s="769" t="s">
        <v>2260</v>
      </c>
      <c r="BU351" s="774" t="s">
        <v>2260</v>
      </c>
      <c r="BV351" s="777" t="s">
        <v>2260</v>
      </c>
      <c r="BW351" s="769" t="s">
        <v>2260</v>
      </c>
      <c r="BX351" s="769" t="s">
        <v>2260</v>
      </c>
      <c r="BY351" s="769" t="s">
        <v>2260</v>
      </c>
      <c r="BZ351" s="769" t="s">
        <v>2260</v>
      </c>
      <c r="CA351" s="777" t="s">
        <v>2260</v>
      </c>
      <c r="CB351" s="769" t="s">
        <v>2260</v>
      </c>
      <c r="CC351" s="769" t="s">
        <v>2260</v>
      </c>
      <c r="CD351" s="769" t="s">
        <v>2260</v>
      </c>
      <c r="CE351" s="774" t="s">
        <v>2260</v>
      </c>
      <c r="CF351" s="769" t="s">
        <v>2260</v>
      </c>
      <c r="CG351" s="769" t="s">
        <v>2260</v>
      </c>
      <c r="CH351" s="769" t="s">
        <v>2260</v>
      </c>
      <c r="CI351" s="769" t="s">
        <v>2260</v>
      </c>
      <c r="CJ351" s="774" t="s">
        <v>2260</v>
      </c>
      <c r="CK351" s="777" t="s">
        <v>2260</v>
      </c>
      <c r="CL351" s="769" t="s">
        <v>2260</v>
      </c>
      <c r="CM351" s="769" t="s">
        <v>2260</v>
      </c>
      <c r="CN351" s="769" t="s">
        <v>2260</v>
      </c>
      <c r="CO351" s="774" t="s">
        <v>2260</v>
      </c>
      <c r="CP351" s="777" t="s">
        <v>2260</v>
      </c>
      <c r="CQ351" s="769" t="s">
        <v>2260</v>
      </c>
      <c r="CR351" s="769" t="s">
        <v>2260</v>
      </c>
      <c r="CS351" s="769" t="s">
        <v>2260</v>
      </c>
      <c r="CT351" s="774" t="s">
        <v>2260</v>
      </c>
      <c r="CU351" s="1253" t="s">
        <v>2260</v>
      </c>
      <c r="CV351" s="1252" t="s">
        <v>2260</v>
      </c>
      <c r="CW351" s="1252" t="s">
        <v>2260</v>
      </c>
      <c r="CX351" s="1254" t="s">
        <v>2260</v>
      </c>
      <c r="CY351" s="1252" t="s">
        <v>2260</v>
      </c>
      <c r="CZ351" s="1252" t="s">
        <v>2260</v>
      </c>
      <c r="DA351" s="1252" t="s">
        <v>2260</v>
      </c>
      <c r="DB351" s="1254" t="s">
        <v>2260</v>
      </c>
      <c r="DC351" s="754"/>
      <c r="DD351" s="782">
        <v>1</v>
      </c>
      <c r="DE351" s="783"/>
    </row>
    <row r="352" spans="1:109" ht="15.75" hidden="1" customHeight="1">
      <c r="A352" s="741" t="s">
        <v>1287</v>
      </c>
      <c r="B352" s="742">
        <v>346</v>
      </c>
      <c r="C352" s="758" t="s">
        <v>1689</v>
      </c>
      <c r="D352" s="742" t="s">
        <v>3394</v>
      </c>
      <c r="E352" s="742" t="s">
        <v>2231</v>
      </c>
      <c r="F352" s="754" t="s">
        <v>2631</v>
      </c>
      <c r="G352" s="759" t="s">
        <v>3395</v>
      </c>
      <c r="H352" s="760" t="s">
        <v>3396</v>
      </c>
      <c r="I352" s="761">
        <v>0</v>
      </c>
      <c r="J352" s="762">
        <v>0</v>
      </c>
      <c r="K352" s="762"/>
      <c r="L352" s="762"/>
      <c r="M352" s="762">
        <v>1</v>
      </c>
      <c r="N352" s="762"/>
      <c r="O352" s="762"/>
      <c r="P352" s="763"/>
      <c r="Q352" s="764">
        <f t="shared" si="5"/>
        <v>1</v>
      </c>
      <c r="R352" s="758" t="s">
        <v>1825</v>
      </c>
      <c r="S352" s="742"/>
      <c r="T352" s="765"/>
      <c r="U352" s="742" t="s">
        <v>2264</v>
      </c>
      <c r="V352" s="742" t="s">
        <v>1857</v>
      </c>
      <c r="W352" s="742" t="s">
        <v>3397</v>
      </c>
      <c r="X352" s="1279">
        <v>2</v>
      </c>
      <c r="Y352" s="790" t="s">
        <v>1828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2260</v>
      </c>
      <c r="BR352" s="769" t="s">
        <v>2260</v>
      </c>
      <c r="BS352" s="769" t="s">
        <v>2260</v>
      </c>
      <c r="BT352" s="769" t="s">
        <v>2260</v>
      </c>
      <c r="BU352" s="774" t="s">
        <v>2260</v>
      </c>
      <c r="BV352" s="777" t="s">
        <v>2260</v>
      </c>
      <c r="BW352" s="769" t="s">
        <v>2260</v>
      </c>
      <c r="BX352" s="769" t="s">
        <v>2260</v>
      </c>
      <c r="BY352" s="769" t="s">
        <v>2260</v>
      </c>
      <c r="BZ352" s="769" t="s">
        <v>2260</v>
      </c>
      <c r="CA352" s="777" t="s">
        <v>2260</v>
      </c>
      <c r="CB352" s="769" t="s">
        <v>2260</v>
      </c>
      <c r="CC352" s="769" t="s">
        <v>2260</v>
      </c>
      <c r="CD352" s="769" t="s">
        <v>2260</v>
      </c>
      <c r="CE352" s="774" t="s">
        <v>2260</v>
      </c>
      <c r="CF352" s="769" t="s">
        <v>2260</v>
      </c>
      <c r="CG352" s="769" t="s">
        <v>2260</v>
      </c>
      <c r="CH352" s="769" t="s">
        <v>2260</v>
      </c>
      <c r="CI352" s="769" t="s">
        <v>2260</v>
      </c>
      <c r="CJ352" s="774" t="s">
        <v>2260</v>
      </c>
      <c r="CK352" s="777" t="s">
        <v>2260</v>
      </c>
      <c r="CL352" s="769" t="s">
        <v>2260</v>
      </c>
      <c r="CM352" s="769" t="s">
        <v>2260</v>
      </c>
      <c r="CN352" s="769" t="s">
        <v>2260</v>
      </c>
      <c r="CO352" s="774" t="s">
        <v>2260</v>
      </c>
      <c r="CP352" s="777" t="s">
        <v>2260</v>
      </c>
      <c r="CQ352" s="769" t="s">
        <v>2260</v>
      </c>
      <c r="CR352" s="769" t="s">
        <v>2260</v>
      </c>
      <c r="CS352" s="769" t="s">
        <v>2260</v>
      </c>
      <c r="CT352" s="774" t="s">
        <v>2260</v>
      </c>
      <c r="CU352" s="1253" t="s">
        <v>2260</v>
      </c>
      <c r="CV352" s="1252" t="s">
        <v>2260</v>
      </c>
      <c r="CW352" s="1252" t="s">
        <v>2260</v>
      </c>
      <c r="CX352" s="1254" t="s">
        <v>2260</v>
      </c>
      <c r="CY352" s="1252" t="s">
        <v>2260</v>
      </c>
      <c r="CZ352" s="1252" t="s">
        <v>2260</v>
      </c>
      <c r="DA352" s="1252" t="s">
        <v>2260</v>
      </c>
      <c r="DB352" s="1254" t="s">
        <v>2260</v>
      </c>
      <c r="DC352" s="754"/>
      <c r="DD352" s="782">
        <v>1</v>
      </c>
      <c r="DE352" s="783"/>
    </row>
    <row r="353" spans="1:109" ht="15.75" hidden="1" customHeight="1">
      <c r="A353" s="741" t="s">
        <v>1287</v>
      </c>
      <c r="B353" s="742">
        <v>347</v>
      </c>
      <c r="C353" s="758" t="s">
        <v>1700</v>
      </c>
      <c r="D353" s="742" t="s">
        <v>3394</v>
      </c>
      <c r="E353" s="742" t="s">
        <v>2217</v>
      </c>
      <c r="F353" s="754" t="s">
        <v>3398</v>
      </c>
      <c r="G353" s="759" t="s">
        <v>2494</v>
      </c>
      <c r="H353" s="760" t="s">
        <v>3399</v>
      </c>
      <c r="I353" s="761">
        <v>0</v>
      </c>
      <c r="J353" s="762">
        <v>0</v>
      </c>
      <c r="K353" s="762"/>
      <c r="L353" s="762"/>
      <c r="M353" s="762">
        <v>1</v>
      </c>
      <c r="N353" s="762"/>
      <c r="O353" s="762"/>
      <c r="P353" s="763"/>
      <c r="Q353" s="764">
        <f t="shared" si="5"/>
        <v>1</v>
      </c>
      <c r="R353" s="758" t="s">
        <v>1825</v>
      </c>
      <c r="S353" s="742"/>
      <c r="T353" s="765"/>
      <c r="U353" s="742" t="s">
        <v>2827</v>
      </c>
      <c r="V353" s="742" t="s">
        <v>321</v>
      </c>
      <c r="W353" s="742" t="s">
        <v>2016</v>
      </c>
      <c r="X353" s="1279">
        <v>0</v>
      </c>
      <c r="Y353" s="790" t="s">
        <v>1828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2260</v>
      </c>
      <c r="BR353" s="769" t="s">
        <v>2260</v>
      </c>
      <c r="BS353" s="769" t="s">
        <v>2260</v>
      </c>
      <c r="BT353" s="769" t="s">
        <v>2260</v>
      </c>
      <c r="BU353" s="774" t="s">
        <v>2260</v>
      </c>
      <c r="BV353" s="777" t="s">
        <v>2260</v>
      </c>
      <c r="BW353" s="769" t="s">
        <v>2260</v>
      </c>
      <c r="BX353" s="769" t="s">
        <v>2260</v>
      </c>
      <c r="BY353" s="769" t="s">
        <v>2260</v>
      </c>
      <c r="BZ353" s="769" t="s">
        <v>2260</v>
      </c>
      <c r="CA353" s="777" t="s">
        <v>2260</v>
      </c>
      <c r="CB353" s="769" t="s">
        <v>2260</v>
      </c>
      <c r="CC353" s="769" t="s">
        <v>2260</v>
      </c>
      <c r="CD353" s="769" t="s">
        <v>2260</v>
      </c>
      <c r="CE353" s="774" t="s">
        <v>2260</v>
      </c>
      <c r="CF353" s="769" t="s">
        <v>2260</v>
      </c>
      <c r="CG353" s="769" t="s">
        <v>2260</v>
      </c>
      <c r="CH353" s="769" t="s">
        <v>2260</v>
      </c>
      <c r="CI353" s="769" t="s">
        <v>2260</v>
      </c>
      <c r="CJ353" s="774" t="s">
        <v>2260</v>
      </c>
      <c r="CK353" s="777" t="s">
        <v>2260</v>
      </c>
      <c r="CL353" s="769" t="s">
        <v>2260</v>
      </c>
      <c r="CM353" s="769" t="s">
        <v>2260</v>
      </c>
      <c r="CN353" s="769" t="s">
        <v>2260</v>
      </c>
      <c r="CO353" s="774" t="s">
        <v>2260</v>
      </c>
      <c r="CP353" s="777" t="s">
        <v>2260</v>
      </c>
      <c r="CQ353" s="769" t="s">
        <v>2260</v>
      </c>
      <c r="CR353" s="769" t="s">
        <v>2260</v>
      </c>
      <c r="CS353" s="769" t="s">
        <v>2260</v>
      </c>
      <c r="CT353" s="774" t="s">
        <v>2260</v>
      </c>
      <c r="CU353" s="1253" t="s">
        <v>2260</v>
      </c>
      <c r="CV353" s="1252" t="s">
        <v>2260</v>
      </c>
      <c r="CW353" s="1252" t="s">
        <v>2260</v>
      </c>
      <c r="CX353" s="1254" t="s">
        <v>2260</v>
      </c>
      <c r="CY353" s="1252" t="s">
        <v>2260</v>
      </c>
      <c r="CZ353" s="1252" t="s">
        <v>2260</v>
      </c>
      <c r="DA353" s="1252" t="s">
        <v>2260</v>
      </c>
      <c r="DB353" s="1254" t="s">
        <v>2260</v>
      </c>
      <c r="DC353" s="754"/>
      <c r="DD353" s="782">
        <v>1</v>
      </c>
      <c r="DE353" s="783"/>
    </row>
    <row r="354" spans="1:109" ht="15.75" hidden="1" customHeight="1">
      <c r="A354" s="741" t="s">
        <v>1287</v>
      </c>
      <c r="B354" s="742">
        <v>348</v>
      </c>
      <c r="C354" s="758" t="s">
        <v>1710</v>
      </c>
      <c r="D354" s="742"/>
      <c r="E354" s="742"/>
      <c r="F354" s="754" t="s">
        <v>2331</v>
      </c>
      <c r="G354" s="759" t="s">
        <v>2332</v>
      </c>
      <c r="H354" s="760"/>
      <c r="I354" s="761"/>
      <c r="J354" s="762"/>
      <c r="K354" s="762"/>
      <c r="L354" s="762"/>
      <c r="M354" s="762"/>
      <c r="N354" s="762"/>
      <c r="O354" s="762"/>
      <c r="P354" s="763"/>
      <c r="Q354" s="764">
        <f t="shared" si="5"/>
        <v>0</v>
      </c>
      <c r="R354" s="758" t="s">
        <v>1825</v>
      </c>
      <c r="S354" s="742"/>
      <c r="T354" s="765"/>
      <c r="U354" s="742"/>
      <c r="V354" s="1216" t="s">
        <v>1890</v>
      </c>
      <c r="W354" s="742" t="s">
        <v>2333</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2334</v>
      </c>
      <c r="AR354" s="769" t="s">
        <v>2334</v>
      </c>
      <c r="AS354" s="769" t="s">
        <v>2334</v>
      </c>
      <c r="AT354" s="769" t="s">
        <v>2334</v>
      </c>
      <c r="AU354" s="774" t="s">
        <v>2334</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2260</v>
      </c>
      <c r="BR354" s="769" t="s">
        <v>2260</v>
      </c>
      <c r="BS354" s="769" t="s">
        <v>2260</v>
      </c>
      <c r="BT354" s="769" t="s">
        <v>2260</v>
      </c>
      <c r="BU354" s="774" t="s">
        <v>2260</v>
      </c>
      <c r="BV354" s="777" t="s">
        <v>2260</v>
      </c>
      <c r="BW354" s="769" t="s">
        <v>2260</v>
      </c>
      <c r="BX354" s="769" t="s">
        <v>2260</v>
      </c>
      <c r="BY354" s="769" t="s">
        <v>2260</v>
      </c>
      <c r="BZ354" s="769" t="s">
        <v>2260</v>
      </c>
      <c r="CA354" s="777" t="s">
        <v>2260</v>
      </c>
      <c r="CB354" s="769" t="s">
        <v>2260</v>
      </c>
      <c r="CC354" s="769" t="s">
        <v>2260</v>
      </c>
      <c r="CD354" s="769" t="s">
        <v>2260</v>
      </c>
      <c r="CE354" s="774" t="s">
        <v>2260</v>
      </c>
      <c r="CF354" s="769" t="s">
        <v>2260</v>
      </c>
      <c r="CG354" s="769" t="s">
        <v>2260</v>
      </c>
      <c r="CH354" s="769" t="s">
        <v>2260</v>
      </c>
      <c r="CI354" s="769" t="s">
        <v>2260</v>
      </c>
      <c r="CJ354" s="774" t="s">
        <v>2260</v>
      </c>
      <c r="CK354" s="777" t="s">
        <v>2260</v>
      </c>
      <c r="CL354" s="769" t="s">
        <v>2260</v>
      </c>
      <c r="CM354" s="769" t="s">
        <v>2260</v>
      </c>
      <c r="CN354" s="769" t="s">
        <v>2260</v>
      </c>
      <c r="CO354" s="774" t="s">
        <v>2260</v>
      </c>
      <c r="CP354" s="777" t="s">
        <v>2260</v>
      </c>
      <c r="CQ354" s="769" t="s">
        <v>2260</v>
      </c>
      <c r="CR354" s="769" t="s">
        <v>2260</v>
      </c>
      <c r="CS354" s="769" t="s">
        <v>2260</v>
      </c>
      <c r="CT354" s="774" t="s">
        <v>2260</v>
      </c>
      <c r="CU354" s="1253" t="s">
        <v>2260</v>
      </c>
      <c r="CV354" s="1252" t="s">
        <v>2260</v>
      </c>
      <c r="CW354" s="1252" t="s">
        <v>2260</v>
      </c>
      <c r="CX354" s="1254" t="s">
        <v>2260</v>
      </c>
      <c r="CY354" s="1252" t="s">
        <v>2260</v>
      </c>
      <c r="CZ354" s="1252" t="s">
        <v>2260</v>
      </c>
      <c r="DA354" s="1252" t="s">
        <v>2260</v>
      </c>
      <c r="DB354" s="1254" t="s">
        <v>2260</v>
      </c>
      <c r="DC354" s="754"/>
      <c r="DD354" s="782"/>
      <c r="DE354" s="783"/>
    </row>
    <row r="355" spans="1:109" ht="15.75" hidden="1" customHeight="1">
      <c r="A355" s="741" t="s">
        <v>1157</v>
      </c>
      <c r="B355" s="742">
        <v>349</v>
      </c>
      <c r="C355" s="758" t="s">
        <v>1314</v>
      </c>
      <c r="D355" s="742" t="s">
        <v>2630</v>
      </c>
      <c r="E355" s="742" t="s">
        <v>2231</v>
      </c>
      <c r="F355" s="754" t="s">
        <v>3400</v>
      </c>
      <c r="G355" s="759" t="s">
        <v>3401</v>
      </c>
      <c r="H355" s="760" t="s">
        <v>3402</v>
      </c>
      <c r="I355" s="761"/>
      <c r="J355" s="762"/>
      <c r="K355" s="762"/>
      <c r="L355" s="762"/>
      <c r="M355" s="762">
        <v>1</v>
      </c>
      <c r="N355" s="762"/>
      <c r="O355" s="762"/>
      <c r="P355" s="763"/>
      <c r="Q355" s="764">
        <f t="shared" si="5"/>
        <v>1</v>
      </c>
      <c r="R355" s="758" t="s">
        <v>1835</v>
      </c>
      <c r="S355" s="742" t="s">
        <v>1826</v>
      </c>
      <c r="T355" s="765" t="s">
        <v>1827</v>
      </c>
      <c r="U355" s="742" t="s">
        <v>2827</v>
      </c>
      <c r="V355" s="742" t="s">
        <v>1857</v>
      </c>
      <c r="W355" s="742" t="s">
        <v>3403</v>
      </c>
      <c r="X355" s="1279">
        <v>0</v>
      </c>
      <c r="Y355" s="790" t="s">
        <v>1838</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210</v>
      </c>
      <c r="BM355" s="754" t="s">
        <v>210</v>
      </c>
      <c r="BN355" s="754" t="s">
        <v>210</v>
      </c>
      <c r="BO355" s="754" t="s">
        <v>210</v>
      </c>
      <c r="BP355" s="765" t="s">
        <v>210</v>
      </c>
      <c r="BQ355" s="777" t="s">
        <v>2260</v>
      </c>
      <c r="BR355" s="769" t="s">
        <v>2260</v>
      </c>
      <c r="BS355" s="769" t="s">
        <v>2260</v>
      </c>
      <c r="BT355" s="769" t="s">
        <v>2260</v>
      </c>
      <c r="BU355" s="774" t="s">
        <v>2260</v>
      </c>
      <c r="BV355" s="775" t="s">
        <v>2260</v>
      </c>
      <c r="BW355" s="776" t="s">
        <v>2260</v>
      </c>
      <c r="BX355" s="776" t="s">
        <v>2260</v>
      </c>
      <c r="BY355" s="776" t="s">
        <v>2260</v>
      </c>
      <c r="BZ355" s="776" t="s">
        <v>2260</v>
      </c>
      <c r="CA355" s="777" t="s">
        <v>2260</v>
      </c>
      <c r="CB355" s="769" t="s">
        <v>2260</v>
      </c>
      <c r="CC355" s="769" t="s">
        <v>2260</v>
      </c>
      <c r="CD355" s="769" t="s">
        <v>2260</v>
      </c>
      <c r="CE355" s="774" t="s">
        <v>2260</v>
      </c>
      <c r="CF355" s="769" t="s">
        <v>2260</v>
      </c>
      <c r="CG355" s="769" t="s">
        <v>2260</v>
      </c>
      <c r="CH355" s="769" t="s">
        <v>2260</v>
      </c>
      <c r="CI355" s="769" t="s">
        <v>2260</v>
      </c>
      <c r="CJ355" s="774" t="s">
        <v>2260</v>
      </c>
      <c r="CK355" s="777" t="s">
        <v>2260</v>
      </c>
      <c r="CL355" s="769" t="s">
        <v>2260</v>
      </c>
      <c r="CM355" s="769" t="s">
        <v>2260</v>
      </c>
      <c r="CN355" s="769" t="s">
        <v>2260</v>
      </c>
      <c r="CO355" s="774" t="s">
        <v>2260</v>
      </c>
      <c r="CP355" s="777" t="s">
        <v>2260</v>
      </c>
      <c r="CQ355" s="769" t="s">
        <v>2260</v>
      </c>
      <c r="CR355" s="769" t="s">
        <v>2260</v>
      </c>
      <c r="CS355" s="769" t="s">
        <v>2260</v>
      </c>
      <c r="CT355" s="774" t="s">
        <v>2260</v>
      </c>
      <c r="CU355" s="1253" t="s">
        <v>2260</v>
      </c>
      <c r="CV355" s="1252" t="s">
        <v>2260</v>
      </c>
      <c r="CW355" s="1252" t="s">
        <v>2260</v>
      </c>
      <c r="CX355" s="1254" t="s">
        <v>2260</v>
      </c>
      <c r="CY355" s="1252">
        <v>1.5899999999999999E-4</v>
      </c>
      <c r="CZ355" s="1252" t="s">
        <v>2260</v>
      </c>
      <c r="DA355" s="1252" t="s">
        <v>2260</v>
      </c>
      <c r="DB355" s="1254" t="s">
        <v>2260</v>
      </c>
      <c r="DC355" s="754"/>
      <c r="DD355" s="782">
        <v>1</v>
      </c>
      <c r="DE355" s="783"/>
    </row>
    <row r="356" spans="1:109" ht="15.75" hidden="1" customHeight="1">
      <c r="A356" s="741" t="s">
        <v>1157</v>
      </c>
      <c r="B356" s="742">
        <v>350</v>
      </c>
      <c r="C356" s="758" t="s">
        <v>1597</v>
      </c>
      <c r="D356" s="742" t="s">
        <v>2630</v>
      </c>
      <c r="E356" s="742" t="s">
        <v>2231</v>
      </c>
      <c r="F356" s="754" t="s">
        <v>3404</v>
      </c>
      <c r="G356" s="759" t="s">
        <v>3405</v>
      </c>
      <c r="H356" s="760" t="s">
        <v>3406</v>
      </c>
      <c r="I356" s="761"/>
      <c r="J356" s="762"/>
      <c r="K356" s="762"/>
      <c r="L356" s="762"/>
      <c r="M356" s="762">
        <v>1</v>
      </c>
      <c r="N356" s="762"/>
      <c r="O356" s="762"/>
      <c r="P356" s="763"/>
      <c r="Q356" s="764">
        <f t="shared" si="5"/>
        <v>1</v>
      </c>
      <c r="R356" s="758" t="s">
        <v>1825</v>
      </c>
      <c r="S356" s="742"/>
      <c r="T356" s="765"/>
      <c r="U356" s="742" t="s">
        <v>2827</v>
      </c>
      <c r="V356" s="742" t="s">
        <v>1857</v>
      </c>
      <c r="W356" s="742" t="s">
        <v>3407</v>
      </c>
      <c r="X356" s="1279">
        <v>0</v>
      </c>
      <c r="Y356" s="790" t="s">
        <v>1828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2260</v>
      </c>
      <c r="BR356" s="769" t="s">
        <v>2260</v>
      </c>
      <c r="BS356" s="769" t="s">
        <v>2260</v>
      </c>
      <c r="BT356" s="769" t="s">
        <v>2260</v>
      </c>
      <c r="BU356" s="774" t="s">
        <v>2260</v>
      </c>
      <c r="BV356" s="775" t="s">
        <v>2260</v>
      </c>
      <c r="BW356" s="776" t="s">
        <v>2260</v>
      </c>
      <c r="BX356" s="776" t="s">
        <v>2260</v>
      </c>
      <c r="BY356" s="776" t="s">
        <v>2260</v>
      </c>
      <c r="BZ356" s="776" t="s">
        <v>2260</v>
      </c>
      <c r="CA356" s="777" t="s">
        <v>2260</v>
      </c>
      <c r="CB356" s="769" t="s">
        <v>2260</v>
      </c>
      <c r="CC356" s="769" t="s">
        <v>2260</v>
      </c>
      <c r="CD356" s="769" t="s">
        <v>2260</v>
      </c>
      <c r="CE356" s="774" t="s">
        <v>2260</v>
      </c>
      <c r="CF356" s="769" t="s">
        <v>2260</v>
      </c>
      <c r="CG356" s="769" t="s">
        <v>2260</v>
      </c>
      <c r="CH356" s="769" t="s">
        <v>2260</v>
      </c>
      <c r="CI356" s="769" t="s">
        <v>2260</v>
      </c>
      <c r="CJ356" s="774" t="s">
        <v>2260</v>
      </c>
      <c r="CK356" s="777" t="s">
        <v>2260</v>
      </c>
      <c r="CL356" s="769" t="s">
        <v>2260</v>
      </c>
      <c r="CM356" s="769" t="s">
        <v>2260</v>
      </c>
      <c r="CN356" s="769" t="s">
        <v>2260</v>
      </c>
      <c r="CO356" s="774" t="s">
        <v>2260</v>
      </c>
      <c r="CP356" s="777" t="s">
        <v>2260</v>
      </c>
      <c r="CQ356" s="769" t="s">
        <v>2260</v>
      </c>
      <c r="CR356" s="769" t="s">
        <v>2260</v>
      </c>
      <c r="CS356" s="769" t="s">
        <v>2260</v>
      </c>
      <c r="CT356" s="774" t="s">
        <v>2260</v>
      </c>
      <c r="CU356" s="1253" t="s">
        <v>2260</v>
      </c>
      <c r="CV356" s="1252" t="s">
        <v>2260</v>
      </c>
      <c r="CW356" s="1252" t="s">
        <v>2260</v>
      </c>
      <c r="CX356" s="1254" t="s">
        <v>2260</v>
      </c>
      <c r="CY356" s="1252" t="s">
        <v>2260</v>
      </c>
      <c r="CZ356" s="1252" t="s">
        <v>2260</v>
      </c>
      <c r="DA356" s="1252" t="s">
        <v>2260</v>
      </c>
      <c r="DB356" s="1254" t="s">
        <v>2260</v>
      </c>
      <c r="DC356" s="754"/>
      <c r="DD356" s="782">
        <v>1</v>
      </c>
      <c r="DE356" s="783"/>
    </row>
    <row r="357" spans="1:109" ht="15.75" hidden="1" customHeight="1">
      <c r="A357" s="741" t="s">
        <v>1157</v>
      </c>
      <c r="B357" s="742">
        <v>351</v>
      </c>
      <c r="C357" s="758" t="s">
        <v>1331</v>
      </c>
      <c r="D357" s="742" t="s">
        <v>2630</v>
      </c>
      <c r="E357" s="742" t="s">
        <v>2231</v>
      </c>
      <c r="F357" s="754" t="s">
        <v>3408</v>
      </c>
      <c r="G357" s="759" t="s">
        <v>3409</v>
      </c>
      <c r="H357" s="760" t="s">
        <v>3410</v>
      </c>
      <c r="I357" s="761"/>
      <c r="J357" s="762">
        <v>0.5</v>
      </c>
      <c r="K357" s="762">
        <v>0.5</v>
      </c>
      <c r="L357" s="762"/>
      <c r="M357" s="762"/>
      <c r="N357" s="762"/>
      <c r="O357" s="762"/>
      <c r="P357" s="763"/>
      <c r="Q357" s="764">
        <f t="shared" si="5"/>
        <v>1</v>
      </c>
      <c r="R357" s="758" t="s">
        <v>1835</v>
      </c>
      <c r="S357" s="742" t="s">
        <v>1826</v>
      </c>
      <c r="T357" s="765" t="s">
        <v>1827</v>
      </c>
      <c r="U357" s="742" t="s">
        <v>2827</v>
      </c>
      <c r="V357" s="742" t="s">
        <v>1857</v>
      </c>
      <c r="W357" s="742" t="s">
        <v>3411</v>
      </c>
      <c r="X357" s="1279">
        <v>0</v>
      </c>
      <c r="Y357" s="790" t="s">
        <v>1828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210</v>
      </c>
      <c r="BM357" s="754" t="s">
        <v>210</v>
      </c>
      <c r="BN357" s="754" t="s">
        <v>210</v>
      </c>
      <c r="BO357" s="754" t="s">
        <v>210</v>
      </c>
      <c r="BP357" s="765" t="s">
        <v>210</v>
      </c>
      <c r="BQ357" s="777" t="s">
        <v>2260</v>
      </c>
      <c r="BR357" s="769" t="s">
        <v>2260</v>
      </c>
      <c r="BS357" s="769" t="s">
        <v>2260</v>
      </c>
      <c r="BT357" s="769" t="s">
        <v>2260</v>
      </c>
      <c r="BU357" s="774" t="s">
        <v>2260</v>
      </c>
      <c r="BV357" s="775" t="s">
        <v>2260</v>
      </c>
      <c r="BW357" s="776" t="s">
        <v>2260</v>
      </c>
      <c r="BX357" s="776" t="s">
        <v>2260</v>
      </c>
      <c r="BY357" s="776" t="s">
        <v>2260</v>
      </c>
      <c r="BZ357" s="776" t="s">
        <v>2260</v>
      </c>
      <c r="CA357" s="777" t="s">
        <v>2260</v>
      </c>
      <c r="CB357" s="769" t="s">
        <v>2260</v>
      </c>
      <c r="CC357" s="769" t="s">
        <v>2260</v>
      </c>
      <c r="CD357" s="769" t="s">
        <v>2260</v>
      </c>
      <c r="CE357" s="774" t="s">
        <v>2260</v>
      </c>
      <c r="CF357" s="769" t="s">
        <v>2260</v>
      </c>
      <c r="CG357" s="769" t="s">
        <v>2260</v>
      </c>
      <c r="CH357" s="769" t="s">
        <v>2260</v>
      </c>
      <c r="CI357" s="769" t="s">
        <v>2260</v>
      </c>
      <c r="CJ357" s="769" t="s">
        <v>2260</v>
      </c>
      <c r="CK357" s="777" t="s">
        <v>2260</v>
      </c>
      <c r="CL357" s="769" t="s">
        <v>2260</v>
      </c>
      <c r="CM357" s="769" t="s">
        <v>2260</v>
      </c>
      <c r="CN357" s="769" t="s">
        <v>2260</v>
      </c>
      <c r="CO357" s="774" t="s">
        <v>2260</v>
      </c>
      <c r="CP357" s="777" t="s">
        <v>2260</v>
      </c>
      <c r="CQ357" s="769" t="s">
        <v>2260</v>
      </c>
      <c r="CR357" s="769" t="s">
        <v>2260</v>
      </c>
      <c r="CS357" s="769" t="s">
        <v>2260</v>
      </c>
      <c r="CT357" s="774" t="s">
        <v>2260</v>
      </c>
      <c r="CU357" s="1253" t="s">
        <v>2260</v>
      </c>
      <c r="CV357" s="1252" t="s">
        <v>2260</v>
      </c>
      <c r="CW357" s="1252" t="s">
        <v>2260</v>
      </c>
      <c r="CX357" s="1254" t="s">
        <v>2260</v>
      </c>
      <c r="CY357" s="1252">
        <v>2.1000000000000001E-4</v>
      </c>
      <c r="CZ357" s="1252" t="s">
        <v>2260</v>
      </c>
      <c r="DA357" s="1252" t="s">
        <v>2260</v>
      </c>
      <c r="DB357" s="1254" t="s">
        <v>2260</v>
      </c>
      <c r="DC357" s="754"/>
      <c r="DD357" s="782">
        <v>1</v>
      </c>
      <c r="DE357" s="783"/>
    </row>
    <row r="358" spans="1:109" ht="15.75" hidden="1" customHeight="1">
      <c r="A358" s="741" t="s">
        <v>1157</v>
      </c>
      <c r="B358" s="742">
        <v>352</v>
      </c>
      <c r="C358" s="758" t="s">
        <v>1614</v>
      </c>
      <c r="D358" s="742" t="s">
        <v>2630</v>
      </c>
      <c r="E358" s="742" t="s">
        <v>2217</v>
      </c>
      <c r="F358" s="754" t="s">
        <v>3412</v>
      </c>
      <c r="G358" s="759" t="s">
        <v>2436</v>
      </c>
      <c r="H358" s="760" t="s">
        <v>3413</v>
      </c>
      <c r="I358" s="761"/>
      <c r="J358" s="762"/>
      <c r="K358" s="762"/>
      <c r="L358" s="762"/>
      <c r="M358" s="762">
        <v>1</v>
      </c>
      <c r="N358" s="762"/>
      <c r="O358" s="762"/>
      <c r="P358" s="763"/>
      <c r="Q358" s="764">
        <f t="shared" si="5"/>
        <v>1</v>
      </c>
      <c r="R358" s="758" t="s">
        <v>1825</v>
      </c>
      <c r="S358" s="742"/>
      <c r="T358" s="765"/>
      <c r="U358" s="742" t="s">
        <v>2827</v>
      </c>
      <c r="V358" s="742" t="s">
        <v>321</v>
      </c>
      <c r="W358" s="742" t="s">
        <v>3414</v>
      </c>
      <c r="X358" s="1279">
        <v>1</v>
      </c>
      <c r="Y358" s="790" t="s">
        <v>1828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2260</v>
      </c>
      <c r="BR358" s="769" t="s">
        <v>2260</v>
      </c>
      <c r="BS358" s="769" t="s">
        <v>2260</v>
      </c>
      <c r="BT358" s="769" t="s">
        <v>2260</v>
      </c>
      <c r="BU358" s="774" t="s">
        <v>2260</v>
      </c>
      <c r="BV358" s="775" t="s">
        <v>2260</v>
      </c>
      <c r="BW358" s="776" t="s">
        <v>2260</v>
      </c>
      <c r="BX358" s="776" t="s">
        <v>2260</v>
      </c>
      <c r="BY358" s="776" t="s">
        <v>2260</v>
      </c>
      <c r="BZ358" s="776" t="s">
        <v>2260</v>
      </c>
      <c r="CA358" s="777" t="s">
        <v>2260</v>
      </c>
      <c r="CB358" s="769" t="s">
        <v>2260</v>
      </c>
      <c r="CC358" s="769" t="s">
        <v>2260</v>
      </c>
      <c r="CD358" s="769" t="s">
        <v>2260</v>
      </c>
      <c r="CE358" s="774" t="s">
        <v>2260</v>
      </c>
      <c r="CF358" s="769" t="s">
        <v>2260</v>
      </c>
      <c r="CG358" s="769" t="s">
        <v>2260</v>
      </c>
      <c r="CH358" s="769" t="s">
        <v>2260</v>
      </c>
      <c r="CI358" s="769" t="s">
        <v>2260</v>
      </c>
      <c r="CJ358" s="774" t="s">
        <v>2260</v>
      </c>
      <c r="CK358" s="777" t="s">
        <v>2260</v>
      </c>
      <c r="CL358" s="769" t="s">
        <v>2260</v>
      </c>
      <c r="CM358" s="769" t="s">
        <v>2260</v>
      </c>
      <c r="CN358" s="769" t="s">
        <v>2260</v>
      </c>
      <c r="CO358" s="774" t="s">
        <v>2260</v>
      </c>
      <c r="CP358" s="777" t="s">
        <v>2260</v>
      </c>
      <c r="CQ358" s="769" t="s">
        <v>2260</v>
      </c>
      <c r="CR358" s="769" t="s">
        <v>2260</v>
      </c>
      <c r="CS358" s="769" t="s">
        <v>2260</v>
      </c>
      <c r="CT358" s="774" t="s">
        <v>2260</v>
      </c>
      <c r="CU358" s="1253" t="s">
        <v>2260</v>
      </c>
      <c r="CV358" s="1252" t="s">
        <v>2260</v>
      </c>
      <c r="CW358" s="1252" t="s">
        <v>2260</v>
      </c>
      <c r="CX358" s="1254" t="s">
        <v>2260</v>
      </c>
      <c r="CY358" s="1252" t="s">
        <v>2260</v>
      </c>
      <c r="CZ358" s="1252" t="s">
        <v>2260</v>
      </c>
      <c r="DA358" s="1252" t="s">
        <v>2260</v>
      </c>
      <c r="DB358" s="1254" t="s">
        <v>2260</v>
      </c>
      <c r="DC358" s="754"/>
      <c r="DD358" s="782">
        <v>1</v>
      </c>
      <c r="DE358" s="783"/>
    </row>
    <row r="359" spans="1:109" ht="15.75" hidden="1" customHeight="1">
      <c r="A359" s="741" t="s">
        <v>1157</v>
      </c>
      <c r="B359" s="742">
        <v>353</v>
      </c>
      <c r="C359" s="758" t="s">
        <v>1348</v>
      </c>
      <c r="D359" s="742" t="s">
        <v>3415</v>
      </c>
      <c r="E359" s="742" t="s">
        <v>2217</v>
      </c>
      <c r="F359" s="754" t="s">
        <v>3416</v>
      </c>
      <c r="G359" s="759" t="s">
        <v>2608</v>
      </c>
      <c r="H359" s="760" t="s">
        <v>3417</v>
      </c>
      <c r="I359" s="761"/>
      <c r="J359" s="762">
        <v>0.5</v>
      </c>
      <c r="K359" s="762">
        <v>0.5</v>
      </c>
      <c r="L359" s="762"/>
      <c r="M359" s="762"/>
      <c r="N359" s="762"/>
      <c r="O359" s="762"/>
      <c r="P359" s="763"/>
      <c r="Q359" s="764">
        <f t="shared" si="5"/>
        <v>1</v>
      </c>
      <c r="R359" s="758" t="s">
        <v>1852</v>
      </c>
      <c r="S359" s="742" t="s">
        <v>1826</v>
      </c>
      <c r="T359" s="765" t="s">
        <v>1827</v>
      </c>
      <c r="U359" s="742" t="s">
        <v>2610</v>
      </c>
      <c r="V359" s="742" t="s">
        <v>1857</v>
      </c>
      <c r="W359" s="742" t="s">
        <v>2611</v>
      </c>
      <c r="X359" s="1279">
        <v>0</v>
      </c>
      <c r="Y359" s="790" t="s">
        <v>1828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210</v>
      </c>
      <c r="BM359" s="754" t="s">
        <v>210</v>
      </c>
      <c r="BN359" s="754" t="s">
        <v>210</v>
      </c>
      <c r="BO359" s="754" t="s">
        <v>210</v>
      </c>
      <c r="BP359" s="765" t="s">
        <v>210</v>
      </c>
      <c r="BQ359" s="777" t="s">
        <v>2260</v>
      </c>
      <c r="BR359" s="769" t="s">
        <v>2260</v>
      </c>
      <c r="BS359" s="769" t="s">
        <v>2260</v>
      </c>
      <c r="BT359" s="769" t="s">
        <v>2260</v>
      </c>
      <c r="BU359" s="774" t="s">
        <v>2260</v>
      </c>
      <c r="BV359" s="775" t="s">
        <v>2260</v>
      </c>
      <c r="BW359" s="776" t="s">
        <v>2260</v>
      </c>
      <c r="BX359" s="776" t="s">
        <v>2260</v>
      </c>
      <c r="BY359" s="776" t="s">
        <v>2260</v>
      </c>
      <c r="BZ359" s="776" t="s">
        <v>2260</v>
      </c>
      <c r="CA359" s="777" t="s">
        <v>2260</v>
      </c>
      <c r="CB359" s="769" t="s">
        <v>2260</v>
      </c>
      <c r="CC359" s="769" t="s">
        <v>2260</v>
      </c>
      <c r="CD359" s="769" t="s">
        <v>2260</v>
      </c>
      <c r="CE359" s="774" t="s">
        <v>2260</v>
      </c>
      <c r="CF359" s="769" t="s">
        <v>2260</v>
      </c>
      <c r="CG359" s="769" t="s">
        <v>2260</v>
      </c>
      <c r="CH359" s="769" t="s">
        <v>2260</v>
      </c>
      <c r="CI359" s="769" t="s">
        <v>2260</v>
      </c>
      <c r="CJ359" s="774" t="s">
        <v>2260</v>
      </c>
      <c r="CK359" s="777" t="s">
        <v>2260</v>
      </c>
      <c r="CL359" s="769" t="s">
        <v>2260</v>
      </c>
      <c r="CM359" s="769" t="s">
        <v>2260</v>
      </c>
      <c r="CN359" s="769" t="s">
        <v>2260</v>
      </c>
      <c r="CO359" s="774" t="s">
        <v>2260</v>
      </c>
      <c r="CP359" s="777" t="s">
        <v>2260</v>
      </c>
      <c r="CQ359" s="769" t="s">
        <v>2260</v>
      </c>
      <c r="CR359" s="769" t="s">
        <v>2260</v>
      </c>
      <c r="CS359" s="769" t="s">
        <v>2260</v>
      </c>
      <c r="CT359" s="774" t="s">
        <v>2260</v>
      </c>
      <c r="CU359" s="1253">
        <v>-7.4100000000000002E-6</v>
      </c>
      <c r="CV359" s="1252" t="s">
        <v>2260</v>
      </c>
      <c r="CW359" s="1252" t="s">
        <v>2260</v>
      </c>
      <c r="CX359" s="1254" t="s">
        <v>2260</v>
      </c>
      <c r="CY359" s="1252">
        <v>7.4100000000000002E-6</v>
      </c>
      <c r="CZ359" s="1252" t="s">
        <v>2260</v>
      </c>
      <c r="DA359" s="1252" t="s">
        <v>2260</v>
      </c>
      <c r="DB359" s="1254" t="s">
        <v>2260</v>
      </c>
      <c r="DC359" s="754"/>
      <c r="DD359" s="782">
        <v>1</v>
      </c>
      <c r="DE359" s="783"/>
    </row>
    <row r="360" spans="1:109" ht="15.75" hidden="1" customHeight="1">
      <c r="A360" s="741" t="s">
        <v>1157</v>
      </c>
      <c r="B360" s="742">
        <v>354</v>
      </c>
      <c r="C360" s="758" t="s">
        <v>1153</v>
      </c>
      <c r="D360" s="742" t="s">
        <v>2591</v>
      </c>
      <c r="E360" s="742" t="s">
        <v>2231</v>
      </c>
      <c r="F360" s="754" t="s">
        <v>3418</v>
      </c>
      <c r="G360" s="759" t="s">
        <v>1085</v>
      </c>
      <c r="H360" s="760" t="s">
        <v>2604</v>
      </c>
      <c r="I360" s="761"/>
      <c r="J360" s="762">
        <v>0.1</v>
      </c>
      <c r="K360" s="762">
        <v>0.9</v>
      </c>
      <c r="L360" s="762"/>
      <c r="M360" s="762"/>
      <c r="N360" s="762"/>
      <c r="O360" s="762"/>
      <c r="P360" s="763"/>
      <c r="Q360" s="764">
        <f t="shared" si="5"/>
        <v>1</v>
      </c>
      <c r="R360" s="758" t="s">
        <v>1846</v>
      </c>
      <c r="S360" s="742" t="s">
        <v>1826</v>
      </c>
      <c r="T360" s="765" t="s">
        <v>1827</v>
      </c>
      <c r="U360" s="742" t="s">
        <v>2387</v>
      </c>
      <c r="V360" s="742" t="s">
        <v>321</v>
      </c>
      <c r="W360" s="742" t="s">
        <v>3419</v>
      </c>
      <c r="X360" s="1279">
        <v>2</v>
      </c>
      <c r="Y360" s="790" t="s">
        <v>1828</v>
      </c>
      <c r="Z360" s="759" t="s">
        <v>1085</v>
      </c>
      <c r="AA360" s="754"/>
      <c r="AB360" s="754"/>
      <c r="AC360" s="754"/>
      <c r="AD360" s="754"/>
      <c r="AE360" s="754"/>
      <c r="AF360" s="768"/>
      <c r="AG360" s="779"/>
      <c r="AH360" s="769"/>
      <c r="AI360" s="769"/>
      <c r="AJ360" s="769"/>
      <c r="AK360" s="769"/>
      <c r="AL360" s="769"/>
      <c r="AM360" s="769"/>
      <c r="AN360" s="769"/>
      <c r="AO360" s="858"/>
      <c r="AP360" s="769"/>
      <c r="AQ360" s="1369"/>
      <c r="AR360" s="1319"/>
      <c r="AS360" s="1324"/>
      <c r="AT360" s="1319"/>
      <c r="AU360" s="1320"/>
      <c r="AV360" s="777"/>
      <c r="AW360" s="769"/>
      <c r="AX360" s="769"/>
      <c r="AY360" s="769"/>
      <c r="AZ360" s="769"/>
      <c r="BA360" s="769"/>
      <c r="BB360" s="769"/>
      <c r="BC360" s="769"/>
      <c r="BD360" s="769"/>
      <c r="BE360" s="769"/>
      <c r="BF360" s="769"/>
      <c r="BG360" s="769"/>
      <c r="BH360" s="769"/>
      <c r="BI360" s="769"/>
      <c r="BJ360" s="769"/>
      <c r="BK360" s="774"/>
      <c r="BL360" s="1327"/>
      <c r="BM360" s="1328"/>
      <c r="BN360" s="1328"/>
      <c r="BO360" s="1328"/>
      <c r="BP360" s="1389"/>
      <c r="BQ360" s="1369"/>
      <c r="BR360" s="1319"/>
      <c r="BS360" s="1319"/>
      <c r="BT360" s="1319"/>
      <c r="BU360" s="1320"/>
      <c r="BV360" s="1370"/>
      <c r="BW360" s="1324"/>
      <c r="BX360" s="1324"/>
      <c r="BY360" s="1324"/>
      <c r="BZ360" s="1324"/>
      <c r="CA360" s="1369"/>
      <c r="CB360" s="1319"/>
      <c r="CC360" s="1319"/>
      <c r="CD360" s="1319"/>
      <c r="CE360" s="1320"/>
      <c r="CF360" s="1319"/>
      <c r="CG360" s="1319"/>
      <c r="CH360" s="1319"/>
      <c r="CI360" s="1319"/>
      <c r="CJ360" s="1320"/>
      <c r="CK360" s="1369"/>
      <c r="CL360" s="1319"/>
      <c r="CM360" s="1319"/>
      <c r="CN360" s="1319"/>
      <c r="CO360" s="1320"/>
      <c r="CP360" s="1369"/>
      <c r="CQ360" s="1319"/>
      <c r="CR360" s="1319"/>
      <c r="CS360" s="1319"/>
      <c r="CT360" s="1320"/>
      <c r="CU360" s="1467"/>
      <c r="CV360" s="1458"/>
      <c r="CW360" s="1458"/>
      <c r="CX360" s="1663"/>
      <c r="CY360" s="1458"/>
      <c r="CZ360" s="1458"/>
      <c r="DA360" s="1458"/>
      <c r="DB360" s="1663"/>
      <c r="DC360" s="1328"/>
      <c r="DD360" s="1664"/>
      <c r="DE360" s="1669"/>
    </row>
    <row r="361" spans="1:109" ht="15.75" hidden="1" customHeight="1">
      <c r="A361" s="741" t="s">
        <v>1157</v>
      </c>
      <c r="B361" s="742">
        <v>355</v>
      </c>
      <c r="C361" s="758" t="s">
        <v>1499</v>
      </c>
      <c r="D361" s="742" t="s">
        <v>2591</v>
      </c>
      <c r="E361" s="742" t="s">
        <v>2217</v>
      </c>
      <c r="F361" s="754" t="s">
        <v>3420</v>
      </c>
      <c r="G361" s="759" t="s">
        <v>3421</v>
      </c>
      <c r="H361" s="760" t="s">
        <v>3422</v>
      </c>
      <c r="I361" s="761">
        <v>0.1</v>
      </c>
      <c r="J361" s="762"/>
      <c r="K361" s="762">
        <v>0.9</v>
      </c>
      <c r="L361" s="762"/>
      <c r="M361" s="762"/>
      <c r="N361" s="762"/>
      <c r="O361" s="762"/>
      <c r="P361" s="763"/>
      <c r="Q361" s="764">
        <f t="shared" si="5"/>
        <v>1</v>
      </c>
      <c r="R361" s="758" t="s">
        <v>1852</v>
      </c>
      <c r="S361" s="742" t="s">
        <v>1826</v>
      </c>
      <c r="T361" s="765" t="s">
        <v>1837</v>
      </c>
      <c r="U361" s="742" t="s">
        <v>2387</v>
      </c>
      <c r="V361" s="742" t="s">
        <v>1857</v>
      </c>
      <c r="W361" s="742" t="s">
        <v>3423</v>
      </c>
      <c r="X361" s="1279">
        <v>0</v>
      </c>
      <c r="Y361" s="790" t="s">
        <v>1828</v>
      </c>
      <c r="Z361" s="759"/>
      <c r="AA361" s="754"/>
      <c r="AB361" s="754"/>
      <c r="AC361" s="754"/>
      <c r="AD361" s="754"/>
      <c r="AE361" s="754"/>
      <c r="AF361" s="768"/>
      <c r="AG361" s="769"/>
      <c r="AH361" s="769"/>
      <c r="AI361" s="769"/>
      <c r="AJ361" s="769"/>
      <c r="AK361" s="769"/>
      <c r="AL361" s="769"/>
      <c r="AM361" s="769"/>
      <c r="AN361" s="846"/>
      <c r="AO361" s="846"/>
      <c r="AP361" s="785"/>
      <c r="AQ361" s="777" t="s">
        <v>2260</v>
      </c>
      <c r="AR361" s="769" t="s">
        <v>2260</v>
      </c>
      <c r="AS361" s="769" t="s">
        <v>2260</v>
      </c>
      <c r="AT361" s="769" t="s">
        <v>2260</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210</v>
      </c>
      <c r="BQ361" s="777" t="s">
        <v>2260</v>
      </c>
      <c r="BR361" s="769" t="s">
        <v>2260</v>
      </c>
      <c r="BS361" s="769" t="s">
        <v>2260</v>
      </c>
      <c r="BT361" s="769" t="s">
        <v>2260</v>
      </c>
      <c r="BU361" s="774" t="s">
        <v>2260</v>
      </c>
      <c r="BV361" s="775" t="s">
        <v>2260</v>
      </c>
      <c r="BW361" s="776" t="s">
        <v>2260</v>
      </c>
      <c r="BX361" s="776" t="s">
        <v>2260</v>
      </c>
      <c r="BY361" s="776" t="s">
        <v>2260</v>
      </c>
      <c r="BZ361" s="776" t="s">
        <v>2260</v>
      </c>
      <c r="CA361" s="777" t="s">
        <v>2260</v>
      </c>
      <c r="CB361" s="769" t="s">
        <v>2260</v>
      </c>
      <c r="CC361" s="769" t="s">
        <v>2260</v>
      </c>
      <c r="CD361" s="769" t="s">
        <v>2260</v>
      </c>
      <c r="CE361" s="774" t="s">
        <v>2260</v>
      </c>
      <c r="CF361" s="769" t="s">
        <v>2260</v>
      </c>
      <c r="CG361" s="769" t="s">
        <v>2260</v>
      </c>
      <c r="CH361" s="769" t="s">
        <v>2260</v>
      </c>
      <c r="CI361" s="769" t="s">
        <v>2260</v>
      </c>
      <c r="CJ361" s="774" t="s">
        <v>2260</v>
      </c>
      <c r="CK361" s="777" t="s">
        <v>2260</v>
      </c>
      <c r="CL361" s="769" t="s">
        <v>2260</v>
      </c>
      <c r="CM361" s="769" t="s">
        <v>2260</v>
      </c>
      <c r="CN361" s="769" t="s">
        <v>2260</v>
      </c>
      <c r="CO361" s="774" t="s">
        <v>2260</v>
      </c>
      <c r="CP361" s="777" t="s">
        <v>2260</v>
      </c>
      <c r="CQ361" s="769" t="s">
        <v>2260</v>
      </c>
      <c r="CR361" s="769" t="s">
        <v>2260</v>
      </c>
      <c r="CS361" s="769" t="s">
        <v>2260</v>
      </c>
      <c r="CT361" s="774" t="s">
        <v>2260</v>
      </c>
      <c r="CU361" s="1253">
        <v>-0.81499999999999995</v>
      </c>
      <c r="CV361" s="1252" t="s">
        <v>2260</v>
      </c>
      <c r="CW361" s="1252" t="s">
        <v>2260</v>
      </c>
      <c r="CX361" s="1254" t="s">
        <v>2260</v>
      </c>
      <c r="CY361" s="1252">
        <v>0.81499999999999995</v>
      </c>
      <c r="CZ361" s="1252" t="s">
        <v>2260</v>
      </c>
      <c r="DA361" s="1252" t="s">
        <v>2260</v>
      </c>
      <c r="DB361" s="1254" t="s">
        <v>2260</v>
      </c>
      <c r="DC361" s="754"/>
      <c r="DD361" s="782">
        <v>1</v>
      </c>
      <c r="DE361" s="783"/>
    </row>
    <row r="362" spans="1:109" ht="15.75" hidden="1" customHeight="1">
      <c r="A362" s="741" t="s">
        <v>1157</v>
      </c>
      <c r="B362" s="742">
        <v>356</v>
      </c>
      <c r="C362" s="758" t="s">
        <v>1365</v>
      </c>
      <c r="D362" s="742" t="s">
        <v>2591</v>
      </c>
      <c r="E362" s="742" t="s">
        <v>2217</v>
      </c>
      <c r="F362" s="754" t="s">
        <v>3424</v>
      </c>
      <c r="G362" s="759" t="s">
        <v>3425</v>
      </c>
      <c r="H362" s="760" t="s">
        <v>3426</v>
      </c>
      <c r="I362" s="761">
        <v>1</v>
      </c>
      <c r="J362" s="762"/>
      <c r="K362" s="762"/>
      <c r="L362" s="762"/>
      <c r="M362" s="762"/>
      <c r="N362" s="762"/>
      <c r="O362" s="762"/>
      <c r="P362" s="763"/>
      <c r="Q362" s="764">
        <f t="shared" si="5"/>
        <v>1</v>
      </c>
      <c r="R362" s="758" t="s">
        <v>1852</v>
      </c>
      <c r="S362" s="742" t="s">
        <v>1826</v>
      </c>
      <c r="T362" s="765" t="s">
        <v>1827</v>
      </c>
      <c r="U362" s="742" t="s">
        <v>2523</v>
      </c>
      <c r="V362" s="742" t="s">
        <v>1857</v>
      </c>
      <c r="W362" s="742" t="s">
        <v>3353</v>
      </c>
      <c r="X362" s="1279">
        <v>1</v>
      </c>
      <c r="Y362" s="790" t="s">
        <v>1828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210</v>
      </c>
      <c r="BM362" s="754" t="s">
        <v>210</v>
      </c>
      <c r="BN362" s="754" t="s">
        <v>210</v>
      </c>
      <c r="BO362" s="754" t="s">
        <v>210</v>
      </c>
      <c r="BP362" s="765" t="s">
        <v>210</v>
      </c>
      <c r="BQ362" s="777" t="s">
        <v>2260</v>
      </c>
      <c r="BR362" s="769" t="s">
        <v>2260</v>
      </c>
      <c r="BS362" s="769" t="s">
        <v>2260</v>
      </c>
      <c r="BT362" s="769" t="s">
        <v>2260</v>
      </c>
      <c r="BU362" s="774" t="s">
        <v>2260</v>
      </c>
      <c r="BV362" s="775" t="s">
        <v>2260</v>
      </c>
      <c r="BW362" s="776" t="s">
        <v>2260</v>
      </c>
      <c r="BX362" s="776" t="s">
        <v>2260</v>
      </c>
      <c r="BY362" s="776" t="s">
        <v>2260</v>
      </c>
      <c r="BZ362" s="776" t="s">
        <v>2260</v>
      </c>
      <c r="CA362" s="777" t="s">
        <v>2260</v>
      </c>
      <c r="CB362" s="769" t="s">
        <v>2260</v>
      </c>
      <c r="CC362" s="769" t="s">
        <v>2260</v>
      </c>
      <c r="CD362" s="769" t="s">
        <v>2260</v>
      </c>
      <c r="CE362" s="774" t="s">
        <v>2260</v>
      </c>
      <c r="CF362" s="769" t="s">
        <v>2260</v>
      </c>
      <c r="CG362" s="769" t="s">
        <v>2260</v>
      </c>
      <c r="CH362" s="769" t="s">
        <v>2260</v>
      </c>
      <c r="CI362" s="769" t="s">
        <v>2260</v>
      </c>
      <c r="CJ362" s="774" t="s">
        <v>2260</v>
      </c>
      <c r="CK362" s="777" t="s">
        <v>2260</v>
      </c>
      <c r="CL362" s="769" t="s">
        <v>2260</v>
      </c>
      <c r="CM362" s="769" t="s">
        <v>2260</v>
      </c>
      <c r="CN362" s="769" t="s">
        <v>2260</v>
      </c>
      <c r="CO362" s="774" t="s">
        <v>2260</v>
      </c>
      <c r="CP362" s="777" t="s">
        <v>2260</v>
      </c>
      <c r="CQ362" s="769" t="s">
        <v>2260</v>
      </c>
      <c r="CR362" s="769" t="s">
        <v>2260</v>
      </c>
      <c r="CS362" s="769" t="s">
        <v>2260</v>
      </c>
      <c r="CT362" s="774" t="s">
        <v>2260</v>
      </c>
      <c r="CU362" s="1253">
        <v>-3.63E-3</v>
      </c>
      <c r="CV362" s="1252" t="s">
        <v>2260</v>
      </c>
      <c r="CW362" s="1252" t="s">
        <v>2260</v>
      </c>
      <c r="CX362" s="1254" t="s">
        <v>2260</v>
      </c>
      <c r="CY362" s="1252">
        <v>3.63E-3</v>
      </c>
      <c r="CZ362" s="1252" t="s">
        <v>2260</v>
      </c>
      <c r="DA362" s="1252" t="s">
        <v>2260</v>
      </c>
      <c r="DB362" s="1254" t="s">
        <v>2260</v>
      </c>
      <c r="DC362" s="754"/>
      <c r="DD362" s="782">
        <v>1</v>
      </c>
      <c r="DE362" s="783"/>
    </row>
    <row r="363" spans="1:109" ht="15.75" hidden="1" customHeight="1">
      <c r="A363" s="741" t="s">
        <v>1157</v>
      </c>
      <c r="B363" s="742">
        <v>357</v>
      </c>
      <c r="C363" s="758" t="s">
        <v>1510</v>
      </c>
      <c r="D363" s="742" t="s">
        <v>2591</v>
      </c>
      <c r="E363" s="742" t="s">
        <v>2217</v>
      </c>
      <c r="F363" s="754" t="s">
        <v>3427</v>
      </c>
      <c r="G363" s="759" t="s">
        <v>3428</v>
      </c>
      <c r="H363" s="760" t="s">
        <v>3426</v>
      </c>
      <c r="I363" s="761"/>
      <c r="J363" s="762"/>
      <c r="K363" s="762">
        <v>1</v>
      </c>
      <c r="L363" s="762"/>
      <c r="M363" s="762"/>
      <c r="N363" s="762"/>
      <c r="O363" s="762"/>
      <c r="P363" s="763"/>
      <c r="Q363" s="764">
        <f t="shared" si="5"/>
        <v>1</v>
      </c>
      <c r="R363" s="758" t="s">
        <v>1852</v>
      </c>
      <c r="S363" s="742" t="s">
        <v>1826</v>
      </c>
      <c r="T363" s="765" t="s">
        <v>1827</v>
      </c>
      <c r="U363" s="742" t="s">
        <v>2523</v>
      </c>
      <c r="V363" s="742" t="s">
        <v>1857</v>
      </c>
      <c r="W363" s="742" t="s">
        <v>3353</v>
      </c>
      <c r="X363" s="1279">
        <v>1</v>
      </c>
      <c r="Y363" s="788" t="s">
        <v>1828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210</v>
      </c>
      <c r="BM363" s="754" t="s">
        <v>210</v>
      </c>
      <c r="BN363" s="754" t="s">
        <v>210</v>
      </c>
      <c r="BO363" s="754" t="s">
        <v>210</v>
      </c>
      <c r="BP363" s="765" t="s">
        <v>210</v>
      </c>
      <c r="BQ363" s="777" t="s">
        <v>2260</v>
      </c>
      <c r="BR363" s="769" t="s">
        <v>2260</v>
      </c>
      <c r="BS363" s="769" t="s">
        <v>2260</v>
      </c>
      <c r="BT363" s="769" t="s">
        <v>2260</v>
      </c>
      <c r="BU363" s="774" t="s">
        <v>2260</v>
      </c>
      <c r="BV363" s="775" t="s">
        <v>2260</v>
      </c>
      <c r="BW363" s="776" t="s">
        <v>2260</v>
      </c>
      <c r="BX363" s="776" t="s">
        <v>2260</v>
      </c>
      <c r="BY363" s="776" t="s">
        <v>2260</v>
      </c>
      <c r="BZ363" s="776" t="s">
        <v>2260</v>
      </c>
      <c r="CA363" s="777" t="s">
        <v>2260</v>
      </c>
      <c r="CB363" s="769" t="s">
        <v>2260</v>
      </c>
      <c r="CC363" s="769" t="s">
        <v>2260</v>
      </c>
      <c r="CD363" s="769" t="s">
        <v>2260</v>
      </c>
      <c r="CE363" s="774" t="s">
        <v>2260</v>
      </c>
      <c r="CF363" s="769" t="s">
        <v>2260</v>
      </c>
      <c r="CG363" s="769" t="s">
        <v>2260</v>
      </c>
      <c r="CH363" s="769" t="s">
        <v>2260</v>
      </c>
      <c r="CI363" s="769" t="s">
        <v>2260</v>
      </c>
      <c r="CJ363" s="774" t="s">
        <v>2260</v>
      </c>
      <c r="CK363" s="777" t="s">
        <v>2260</v>
      </c>
      <c r="CL363" s="769" t="s">
        <v>2260</v>
      </c>
      <c r="CM363" s="769" t="s">
        <v>2260</v>
      </c>
      <c r="CN363" s="769" t="s">
        <v>2260</v>
      </c>
      <c r="CO363" s="774" t="s">
        <v>2260</v>
      </c>
      <c r="CP363" s="777" t="s">
        <v>2260</v>
      </c>
      <c r="CQ363" s="769" t="s">
        <v>2260</v>
      </c>
      <c r="CR363" s="769" t="s">
        <v>2260</v>
      </c>
      <c r="CS363" s="769" t="s">
        <v>2260</v>
      </c>
      <c r="CT363" s="774" t="s">
        <v>2260</v>
      </c>
      <c r="CU363" s="1253">
        <v>-3.63E-3</v>
      </c>
      <c r="CV363" s="1252" t="s">
        <v>2260</v>
      </c>
      <c r="CW363" s="1252" t="s">
        <v>2260</v>
      </c>
      <c r="CX363" s="1254" t="s">
        <v>2260</v>
      </c>
      <c r="CY363" s="1252">
        <v>3.63E-3</v>
      </c>
      <c r="CZ363" s="1252" t="s">
        <v>2260</v>
      </c>
      <c r="DA363" s="1252" t="s">
        <v>2260</v>
      </c>
      <c r="DB363" s="1254" t="s">
        <v>2260</v>
      </c>
      <c r="DC363" s="754"/>
      <c r="DD363" s="782">
        <v>1</v>
      </c>
      <c r="DE363" s="783"/>
    </row>
    <row r="364" spans="1:109" ht="15.75" hidden="1" customHeight="1">
      <c r="A364" s="741" t="s">
        <v>1157</v>
      </c>
      <c r="B364" s="742">
        <v>358</v>
      </c>
      <c r="C364" s="758" t="s">
        <v>1521</v>
      </c>
      <c r="D364" s="742" t="s">
        <v>2591</v>
      </c>
      <c r="E364" s="742" t="s">
        <v>2231</v>
      </c>
      <c r="F364" s="754" t="s">
        <v>3429</v>
      </c>
      <c r="G364" s="759" t="s">
        <v>3430</v>
      </c>
      <c r="H364" s="760" t="s">
        <v>3431</v>
      </c>
      <c r="I364" s="761"/>
      <c r="J364" s="762"/>
      <c r="K364" s="762"/>
      <c r="L364" s="762">
        <v>1</v>
      </c>
      <c r="M364" s="762"/>
      <c r="N364" s="762"/>
      <c r="O364" s="762"/>
      <c r="P364" s="763"/>
      <c r="Q364" s="764">
        <f t="shared" si="5"/>
        <v>1</v>
      </c>
      <c r="R364" s="758" t="s">
        <v>1846</v>
      </c>
      <c r="S364" s="742" t="s">
        <v>1826</v>
      </c>
      <c r="T364" s="765" t="s">
        <v>1827</v>
      </c>
      <c r="U364" s="742" t="s">
        <v>815</v>
      </c>
      <c r="V364" s="742" t="s">
        <v>321</v>
      </c>
      <c r="W364" s="742" t="s">
        <v>3432</v>
      </c>
      <c r="X364" s="1279">
        <v>2</v>
      </c>
      <c r="Y364" s="788" t="s">
        <v>1828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210</v>
      </c>
      <c r="BM364" s="754" t="s">
        <v>210</v>
      </c>
      <c r="BN364" s="754" t="s">
        <v>210</v>
      </c>
      <c r="BO364" s="754" t="s">
        <v>210</v>
      </c>
      <c r="BP364" s="765" t="s">
        <v>210</v>
      </c>
      <c r="BQ364" s="777" t="s">
        <v>2260</v>
      </c>
      <c r="BR364" s="769" t="s">
        <v>2260</v>
      </c>
      <c r="BS364" s="769" t="s">
        <v>2260</v>
      </c>
      <c r="BT364" s="769" t="s">
        <v>2260</v>
      </c>
      <c r="BU364" s="774" t="s">
        <v>2260</v>
      </c>
      <c r="BV364" s="775" t="s">
        <v>2260</v>
      </c>
      <c r="BW364" s="776" t="s">
        <v>2260</v>
      </c>
      <c r="BX364" s="776" t="s">
        <v>2260</v>
      </c>
      <c r="BY364" s="776" t="s">
        <v>2260</v>
      </c>
      <c r="BZ364" s="776" t="s">
        <v>2260</v>
      </c>
      <c r="CA364" s="777" t="s">
        <v>2260</v>
      </c>
      <c r="CB364" s="769" t="s">
        <v>2260</v>
      </c>
      <c r="CC364" s="769" t="s">
        <v>2260</v>
      </c>
      <c r="CD364" s="769" t="s">
        <v>2260</v>
      </c>
      <c r="CE364" s="774" t="s">
        <v>2260</v>
      </c>
      <c r="CF364" s="769" t="s">
        <v>2260</v>
      </c>
      <c r="CG364" s="769" t="s">
        <v>2260</v>
      </c>
      <c r="CH364" s="769" t="s">
        <v>2260</v>
      </c>
      <c r="CI364" s="769" t="s">
        <v>2260</v>
      </c>
      <c r="CJ364" s="774" t="s">
        <v>2260</v>
      </c>
      <c r="CK364" s="777" t="s">
        <v>2260</v>
      </c>
      <c r="CL364" s="769" t="s">
        <v>2260</v>
      </c>
      <c r="CM364" s="769" t="s">
        <v>2260</v>
      </c>
      <c r="CN364" s="769" t="s">
        <v>2260</v>
      </c>
      <c r="CO364" s="774" t="s">
        <v>2260</v>
      </c>
      <c r="CP364" s="777" t="s">
        <v>2260</v>
      </c>
      <c r="CQ364" s="769" t="s">
        <v>2260</v>
      </c>
      <c r="CR364" s="769" t="s">
        <v>2260</v>
      </c>
      <c r="CS364" s="769" t="s">
        <v>2260</v>
      </c>
      <c r="CT364" s="774" t="s">
        <v>2260</v>
      </c>
      <c r="CU364" s="1253">
        <v>-0.157</v>
      </c>
      <c r="CV364" s="1252" t="s">
        <v>2260</v>
      </c>
      <c r="CW364" s="1252" t="s">
        <v>2260</v>
      </c>
      <c r="CX364" s="1254" t="s">
        <v>2260</v>
      </c>
      <c r="CY364" s="1252" t="s">
        <v>2260</v>
      </c>
      <c r="CZ364" s="1252" t="s">
        <v>2260</v>
      </c>
      <c r="DA364" s="1252" t="s">
        <v>2260</v>
      </c>
      <c r="DB364" s="1254" t="s">
        <v>2260</v>
      </c>
      <c r="DC364" s="754"/>
      <c r="DD364" s="782">
        <v>1</v>
      </c>
      <c r="DE364" s="783"/>
    </row>
    <row r="365" spans="1:109" ht="15.75" hidden="1" customHeight="1">
      <c r="A365" s="741" t="s">
        <v>1157</v>
      </c>
      <c r="B365" s="742">
        <v>359</v>
      </c>
      <c r="C365" s="758" t="s">
        <v>1769</v>
      </c>
      <c r="D365" s="742" t="s">
        <v>3433</v>
      </c>
      <c r="E365" s="742" t="s">
        <v>2231</v>
      </c>
      <c r="F365" s="754" t="s">
        <v>3434</v>
      </c>
      <c r="G365" s="759" t="s">
        <v>2251</v>
      </c>
      <c r="H365" s="760" t="s">
        <v>2637</v>
      </c>
      <c r="I365" s="761"/>
      <c r="J365" s="762"/>
      <c r="K365" s="762"/>
      <c r="L365" s="762"/>
      <c r="M365" s="762">
        <v>1</v>
      </c>
      <c r="N365" s="762"/>
      <c r="O365" s="762"/>
      <c r="P365" s="763"/>
      <c r="Q365" s="764">
        <f t="shared" si="5"/>
        <v>1</v>
      </c>
      <c r="R365" s="758" t="s">
        <v>1852</v>
      </c>
      <c r="S365" s="742" t="s">
        <v>1826</v>
      </c>
      <c r="T365" s="765" t="s">
        <v>1827</v>
      </c>
      <c r="U365" s="742" t="s">
        <v>1888</v>
      </c>
      <c r="V365" s="742" t="s">
        <v>1897</v>
      </c>
      <c r="W365" s="742" t="s">
        <v>2337</v>
      </c>
      <c r="X365" s="1280">
        <v>2</v>
      </c>
      <c r="Y365" s="795" t="s">
        <v>1828</v>
      </c>
      <c r="Z365" s="759" t="s">
        <v>2251</v>
      </c>
      <c r="AA365" s="754"/>
      <c r="AB365" s="754"/>
      <c r="AC365" s="754"/>
      <c r="AD365" s="754"/>
      <c r="AE365" s="754"/>
      <c r="AF365" s="768"/>
      <c r="AG365" s="769"/>
      <c r="AH365" s="769"/>
      <c r="AI365" s="769"/>
      <c r="AJ365" s="769"/>
      <c r="AK365" s="769"/>
      <c r="AL365" s="769"/>
      <c r="AM365" s="769"/>
      <c r="AN365" s="769"/>
      <c r="AO365" s="769"/>
      <c r="AP365" s="769"/>
      <c r="AQ365" s="1675"/>
      <c r="AR365" s="1676"/>
      <c r="AS365" s="1676"/>
      <c r="AT365" s="1676"/>
      <c r="AU365" s="1684"/>
      <c r="AV365" s="777"/>
      <c r="AW365" s="769"/>
      <c r="AX365" s="769"/>
      <c r="AY365" s="769"/>
      <c r="AZ365" s="769"/>
      <c r="BA365" s="769"/>
      <c r="BB365" s="769"/>
      <c r="BC365" s="769"/>
      <c r="BD365" s="769"/>
      <c r="BE365" s="769"/>
      <c r="BF365" s="769"/>
      <c r="BG365" s="769"/>
      <c r="BH365" s="769"/>
      <c r="BI365" s="769"/>
      <c r="BJ365" s="769"/>
      <c r="BK365" s="774"/>
      <c r="BL365" s="1672"/>
      <c r="BM365" s="1673"/>
      <c r="BN365" s="1673"/>
      <c r="BO365" s="1673"/>
      <c r="BP365" s="1674"/>
      <c r="BQ365" s="1369"/>
      <c r="BR365" s="1319"/>
      <c r="BS365" s="1319"/>
      <c r="BT365" s="1319"/>
      <c r="BU365" s="1320"/>
      <c r="BV365" s="1370"/>
      <c r="BW365" s="1324"/>
      <c r="BX365" s="1324"/>
      <c r="BY365" s="1324"/>
      <c r="BZ365" s="1324"/>
      <c r="CA365" s="1369"/>
      <c r="CB365" s="1319"/>
      <c r="CC365" s="1319"/>
      <c r="CD365" s="1319"/>
      <c r="CE365" s="1320"/>
      <c r="CF365" s="1319"/>
      <c r="CG365" s="1319"/>
      <c r="CH365" s="1319"/>
      <c r="CI365" s="1319"/>
      <c r="CJ365" s="1320"/>
      <c r="CK365" s="1369"/>
      <c r="CL365" s="1319"/>
      <c r="CM365" s="1319"/>
      <c r="CN365" s="1319"/>
      <c r="CO365" s="1320"/>
      <c r="CP365" s="1369"/>
      <c r="CQ365" s="1319"/>
      <c r="CR365" s="1319"/>
      <c r="CS365" s="1319"/>
      <c r="CT365" s="1320"/>
      <c r="CU365" s="1467"/>
      <c r="CV365" s="1458"/>
      <c r="CW365" s="1458"/>
      <c r="CX365" s="1663"/>
      <c r="CY365" s="1458"/>
      <c r="CZ365" s="1458"/>
      <c r="DA365" s="1458"/>
      <c r="DB365" s="1663"/>
      <c r="DC365" s="1328"/>
      <c r="DD365" s="1664"/>
      <c r="DE365" s="1669"/>
    </row>
    <row r="366" spans="1:109" ht="15.75" hidden="1" customHeight="1">
      <c r="A366" s="741" t="s">
        <v>1157</v>
      </c>
      <c r="B366" s="742">
        <v>360</v>
      </c>
      <c r="C366" s="758" t="s">
        <v>1786</v>
      </c>
      <c r="D366" s="742" t="s">
        <v>3433</v>
      </c>
      <c r="E366" s="742" t="s">
        <v>2231</v>
      </c>
      <c r="F366" s="754" t="s">
        <v>3435</v>
      </c>
      <c r="G366" s="759" t="s">
        <v>2254</v>
      </c>
      <c r="H366" s="760" t="s">
        <v>2640</v>
      </c>
      <c r="I366" s="761"/>
      <c r="J366" s="762">
        <v>0.5</v>
      </c>
      <c r="K366" s="762">
        <v>0.5</v>
      </c>
      <c r="L366" s="762"/>
      <c r="M366" s="762"/>
      <c r="N366" s="762"/>
      <c r="O366" s="762"/>
      <c r="P366" s="763"/>
      <c r="Q366" s="764">
        <f t="shared" si="5"/>
        <v>1</v>
      </c>
      <c r="R366" s="758" t="s">
        <v>1852</v>
      </c>
      <c r="S366" s="742" t="s">
        <v>1826</v>
      </c>
      <c r="T366" s="765" t="s">
        <v>1827</v>
      </c>
      <c r="U366" s="742" t="s">
        <v>1891</v>
      </c>
      <c r="V366" s="742" t="s">
        <v>1897</v>
      </c>
      <c r="W366" s="742" t="s">
        <v>470</v>
      </c>
      <c r="X366" s="1280">
        <v>2</v>
      </c>
      <c r="Y366" s="790" t="s">
        <v>1828</v>
      </c>
      <c r="Z366" s="759" t="s">
        <v>2254</v>
      </c>
      <c r="AA366" s="754"/>
      <c r="AB366" s="754"/>
      <c r="AC366" s="754"/>
      <c r="AD366" s="754"/>
      <c r="AE366" s="754"/>
      <c r="AF366" s="768"/>
      <c r="AG366" s="769"/>
      <c r="AH366" s="769"/>
      <c r="AI366" s="769"/>
      <c r="AJ366" s="769"/>
      <c r="AK366" s="769"/>
      <c r="AL366" s="769"/>
      <c r="AM366" s="769"/>
      <c r="AN366" s="769"/>
      <c r="AO366" s="769"/>
      <c r="AP366" s="811"/>
      <c r="AQ366" s="1369"/>
      <c r="AR366" s="1319"/>
      <c r="AS366" s="1319"/>
      <c r="AT366" s="1319"/>
      <c r="AU366" s="1466"/>
      <c r="AV366" s="777"/>
      <c r="AW366" s="769"/>
      <c r="AX366" s="769"/>
      <c r="AY366" s="769"/>
      <c r="AZ366" s="785"/>
      <c r="BA366" s="769"/>
      <c r="BB366" s="769"/>
      <c r="BC366" s="769"/>
      <c r="BD366" s="769"/>
      <c r="BE366" s="785"/>
      <c r="BF366" s="769"/>
      <c r="BG366" s="769"/>
      <c r="BH366" s="769"/>
      <c r="BI366" s="769"/>
      <c r="BJ366" s="769"/>
      <c r="BK366" s="787"/>
      <c r="BL366" s="1327"/>
      <c r="BM366" s="1328"/>
      <c r="BN366" s="1328"/>
      <c r="BO366" s="1328"/>
      <c r="BP366" s="1389"/>
      <c r="BQ366" s="1369"/>
      <c r="BR366" s="1319"/>
      <c r="BS366" s="1319"/>
      <c r="BT366" s="1319"/>
      <c r="BU366" s="1320"/>
      <c r="BV366" s="1370"/>
      <c r="BW366" s="1324"/>
      <c r="BX366" s="1324"/>
      <c r="BY366" s="1324"/>
      <c r="BZ366" s="1324"/>
      <c r="CA366" s="1369"/>
      <c r="CB366" s="1319"/>
      <c r="CC366" s="1319"/>
      <c r="CD366" s="1319"/>
      <c r="CE366" s="1320"/>
      <c r="CF366" s="1319"/>
      <c r="CG366" s="1319"/>
      <c r="CH366" s="1319"/>
      <c r="CI366" s="1319"/>
      <c r="CJ366" s="1320"/>
      <c r="CK366" s="1369"/>
      <c r="CL366" s="1319"/>
      <c r="CM366" s="1319"/>
      <c r="CN366" s="1319"/>
      <c r="CO366" s="1320"/>
      <c r="CP366" s="1369"/>
      <c r="CQ366" s="1319"/>
      <c r="CR366" s="1319"/>
      <c r="CS366" s="1319"/>
      <c r="CT366" s="1320"/>
      <c r="CU366" s="1467"/>
      <c r="CV366" s="1458"/>
      <c r="CW366" s="1458"/>
      <c r="CX366" s="1663"/>
      <c r="CY366" s="1458"/>
      <c r="CZ366" s="1458"/>
      <c r="DA366" s="1458"/>
      <c r="DB366" s="1663"/>
      <c r="DC366" s="1328"/>
      <c r="DD366" s="1664"/>
      <c r="DE366" s="1669"/>
    </row>
    <row r="367" spans="1:109" ht="15.75" hidden="1" customHeight="1">
      <c r="A367" s="741" t="s">
        <v>1157</v>
      </c>
      <c r="B367" s="742">
        <v>361</v>
      </c>
      <c r="C367" s="758" t="s">
        <v>1631</v>
      </c>
      <c r="D367" s="742" t="s">
        <v>2650</v>
      </c>
      <c r="E367" s="742" t="s">
        <v>2217</v>
      </c>
      <c r="F367" s="754" t="s">
        <v>3436</v>
      </c>
      <c r="G367" s="759" t="s">
        <v>2655</v>
      </c>
      <c r="H367" s="760" t="s">
        <v>3437</v>
      </c>
      <c r="I367" s="761"/>
      <c r="J367" s="762"/>
      <c r="K367" s="762"/>
      <c r="L367" s="762"/>
      <c r="M367" s="762">
        <v>1</v>
      </c>
      <c r="N367" s="762"/>
      <c r="O367" s="762"/>
      <c r="P367" s="763"/>
      <c r="Q367" s="764">
        <f t="shared" si="5"/>
        <v>1</v>
      </c>
      <c r="R367" s="758" t="s">
        <v>1825</v>
      </c>
      <c r="S367" s="742"/>
      <c r="T367" s="765"/>
      <c r="U367" s="742" t="s">
        <v>2396</v>
      </c>
      <c r="V367" s="742" t="s">
        <v>321</v>
      </c>
      <c r="W367" s="742" t="s">
        <v>2657</v>
      </c>
      <c r="X367" s="1279">
        <v>0</v>
      </c>
      <c r="Y367" s="790" t="s">
        <v>1828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2260</v>
      </c>
      <c r="BR367" s="769" t="s">
        <v>2260</v>
      </c>
      <c r="BS367" s="769" t="s">
        <v>2260</v>
      </c>
      <c r="BT367" s="769" t="s">
        <v>2260</v>
      </c>
      <c r="BU367" s="774" t="s">
        <v>2260</v>
      </c>
      <c r="BV367" s="775" t="s">
        <v>2260</v>
      </c>
      <c r="BW367" s="776" t="s">
        <v>2260</v>
      </c>
      <c r="BX367" s="776" t="s">
        <v>2260</v>
      </c>
      <c r="BY367" s="776" t="s">
        <v>2260</v>
      </c>
      <c r="BZ367" s="776" t="s">
        <v>2260</v>
      </c>
      <c r="CA367" s="777" t="s">
        <v>2260</v>
      </c>
      <c r="CB367" s="769" t="s">
        <v>2260</v>
      </c>
      <c r="CC367" s="769" t="s">
        <v>2260</v>
      </c>
      <c r="CD367" s="769" t="s">
        <v>2260</v>
      </c>
      <c r="CE367" s="774" t="s">
        <v>2260</v>
      </c>
      <c r="CF367" s="769" t="s">
        <v>2260</v>
      </c>
      <c r="CG367" s="769" t="s">
        <v>2260</v>
      </c>
      <c r="CH367" s="769" t="s">
        <v>2260</v>
      </c>
      <c r="CI367" s="769" t="s">
        <v>2260</v>
      </c>
      <c r="CJ367" s="774" t="s">
        <v>2260</v>
      </c>
      <c r="CK367" s="777" t="s">
        <v>2260</v>
      </c>
      <c r="CL367" s="769" t="s">
        <v>2260</v>
      </c>
      <c r="CM367" s="769" t="s">
        <v>2260</v>
      </c>
      <c r="CN367" s="769" t="s">
        <v>2260</v>
      </c>
      <c r="CO367" s="774" t="s">
        <v>2260</v>
      </c>
      <c r="CP367" s="777" t="s">
        <v>2260</v>
      </c>
      <c r="CQ367" s="769" t="s">
        <v>2260</v>
      </c>
      <c r="CR367" s="769" t="s">
        <v>2260</v>
      </c>
      <c r="CS367" s="769" t="s">
        <v>2260</v>
      </c>
      <c r="CT367" s="774" t="s">
        <v>2260</v>
      </c>
      <c r="CU367" s="1253" t="s">
        <v>2260</v>
      </c>
      <c r="CV367" s="1252" t="s">
        <v>2260</v>
      </c>
      <c r="CW367" s="1252" t="s">
        <v>2260</v>
      </c>
      <c r="CX367" s="1254" t="s">
        <v>2260</v>
      </c>
      <c r="CY367" s="1252" t="s">
        <v>2260</v>
      </c>
      <c r="CZ367" s="1252" t="s">
        <v>2260</v>
      </c>
      <c r="DA367" s="1252" t="s">
        <v>2260</v>
      </c>
      <c r="DB367" s="1254" t="s">
        <v>2260</v>
      </c>
      <c r="DC367" s="754"/>
      <c r="DD367" s="782">
        <v>1</v>
      </c>
      <c r="DE367" s="783"/>
    </row>
    <row r="368" spans="1:109" ht="15.75" hidden="1" customHeight="1">
      <c r="A368" s="741" t="s">
        <v>1157</v>
      </c>
      <c r="B368" s="742">
        <v>362</v>
      </c>
      <c r="C368" s="758" t="s">
        <v>1239</v>
      </c>
      <c r="D368" s="742" t="s">
        <v>2650</v>
      </c>
      <c r="E368" s="742" t="s">
        <v>2231</v>
      </c>
      <c r="F368" s="754" t="s">
        <v>3438</v>
      </c>
      <c r="G368" s="759" t="s">
        <v>755</v>
      </c>
      <c r="H368" s="760" t="s">
        <v>3439</v>
      </c>
      <c r="I368" s="761"/>
      <c r="J368" s="762"/>
      <c r="K368" s="762"/>
      <c r="L368" s="762"/>
      <c r="M368" s="762">
        <v>1</v>
      </c>
      <c r="N368" s="762"/>
      <c r="O368" s="762"/>
      <c r="P368" s="763"/>
      <c r="Q368" s="764">
        <f t="shared" si="5"/>
        <v>1</v>
      </c>
      <c r="R368" s="758" t="s">
        <v>1825</v>
      </c>
      <c r="S368" s="742"/>
      <c r="T368" s="765"/>
      <c r="U368" s="742" t="s">
        <v>2396</v>
      </c>
      <c r="V368" s="742" t="s">
        <v>321</v>
      </c>
      <c r="W368" s="742" t="s">
        <v>3414</v>
      </c>
      <c r="X368" s="1279">
        <v>1</v>
      </c>
      <c r="Y368" s="790" t="s">
        <v>1828</v>
      </c>
      <c r="Z368" s="759" t="s">
        <v>755</v>
      </c>
      <c r="AA368" s="754"/>
      <c r="AB368" s="754"/>
      <c r="AC368" s="754"/>
      <c r="AD368" s="754"/>
      <c r="AE368" s="754"/>
      <c r="AF368" s="768"/>
      <c r="AG368" s="769"/>
      <c r="AH368" s="769"/>
      <c r="AI368" s="769"/>
      <c r="AJ368" s="769"/>
      <c r="AK368" s="769"/>
      <c r="AL368" s="769"/>
      <c r="AM368" s="769"/>
      <c r="AN368" s="769"/>
      <c r="AO368" s="769"/>
      <c r="AP368" s="766"/>
      <c r="AQ368" s="1369"/>
      <c r="AR368" s="1319"/>
      <c r="AS368" s="1319"/>
      <c r="AT368" s="1319"/>
      <c r="AU368" s="1320"/>
      <c r="AV368" s="860"/>
      <c r="AW368" s="769"/>
      <c r="AX368" s="769"/>
      <c r="AY368" s="769"/>
      <c r="AZ368" s="769"/>
      <c r="BA368" s="769"/>
      <c r="BB368" s="769"/>
      <c r="BC368" s="769"/>
      <c r="BD368" s="769"/>
      <c r="BE368" s="769"/>
      <c r="BF368" s="769"/>
      <c r="BG368" s="769"/>
      <c r="BH368" s="769"/>
      <c r="BI368" s="769"/>
      <c r="BJ368" s="769"/>
      <c r="BK368" s="774"/>
      <c r="BL368" s="1327"/>
      <c r="BM368" s="1328"/>
      <c r="BN368" s="1328"/>
      <c r="BO368" s="1328"/>
      <c r="BP368" s="1389"/>
      <c r="BQ368" s="1369"/>
      <c r="BR368" s="1319"/>
      <c r="BS368" s="1319"/>
      <c r="BT368" s="1319"/>
      <c r="BU368" s="1320"/>
      <c r="BV368" s="1370"/>
      <c r="BW368" s="1324"/>
      <c r="BX368" s="1324"/>
      <c r="BY368" s="1324"/>
      <c r="BZ368" s="1324"/>
      <c r="CA368" s="1369"/>
      <c r="CB368" s="1319"/>
      <c r="CC368" s="1319"/>
      <c r="CD368" s="1319"/>
      <c r="CE368" s="1320"/>
      <c r="CF368" s="1319"/>
      <c r="CG368" s="1319"/>
      <c r="CH368" s="1319"/>
      <c r="CI368" s="1319"/>
      <c r="CJ368" s="1320"/>
      <c r="CK368" s="1369"/>
      <c r="CL368" s="1319"/>
      <c r="CM368" s="1319"/>
      <c r="CN368" s="1319"/>
      <c r="CO368" s="1320"/>
      <c r="CP368" s="1369"/>
      <c r="CQ368" s="1319"/>
      <c r="CR368" s="1319"/>
      <c r="CS368" s="1319"/>
      <c r="CT368" s="1320"/>
      <c r="CU368" s="1467"/>
      <c r="CV368" s="1458"/>
      <c r="CW368" s="1458"/>
      <c r="CX368" s="1663"/>
      <c r="CY368" s="1458"/>
      <c r="CZ368" s="1458"/>
      <c r="DA368" s="1458"/>
      <c r="DB368" s="1663"/>
      <c r="DC368" s="1328"/>
      <c r="DD368" s="1664"/>
      <c r="DE368" s="1669"/>
    </row>
    <row r="369" spans="1:109" ht="15.75" hidden="1" customHeight="1">
      <c r="A369" s="741" t="s">
        <v>1157</v>
      </c>
      <c r="B369" s="742">
        <v>363</v>
      </c>
      <c r="C369" s="758" t="s">
        <v>1150</v>
      </c>
      <c r="D369" s="742" t="s">
        <v>2612</v>
      </c>
      <c r="E369" s="742" t="s">
        <v>2217</v>
      </c>
      <c r="F369" s="754" t="s">
        <v>3440</v>
      </c>
      <c r="G369" s="759" t="s">
        <v>784</v>
      </c>
      <c r="H369" s="760" t="s">
        <v>2614</v>
      </c>
      <c r="I369" s="761"/>
      <c r="J369" s="762"/>
      <c r="K369" s="762">
        <v>1</v>
      </c>
      <c r="L369" s="762"/>
      <c r="M369" s="762"/>
      <c r="N369" s="762"/>
      <c r="O369" s="762"/>
      <c r="P369" s="763"/>
      <c r="Q369" s="764">
        <f t="shared" si="5"/>
        <v>1</v>
      </c>
      <c r="R369" s="758" t="s">
        <v>1852</v>
      </c>
      <c r="S369" s="742" t="s">
        <v>1826</v>
      </c>
      <c r="T369" s="765" t="s">
        <v>1827</v>
      </c>
      <c r="U369" s="742" t="s">
        <v>2351</v>
      </c>
      <c r="V369" s="742" t="s">
        <v>1857</v>
      </c>
      <c r="W369" s="742" t="s">
        <v>3441</v>
      </c>
      <c r="X369" s="1279">
        <v>2</v>
      </c>
      <c r="Y369" s="790" t="s">
        <v>1838</v>
      </c>
      <c r="Z369" s="759" t="s">
        <v>784</v>
      </c>
      <c r="AA369" s="754"/>
      <c r="AB369" s="754"/>
      <c r="AC369" s="754"/>
      <c r="AD369" s="754"/>
      <c r="AE369" s="754"/>
      <c r="AF369" s="768"/>
      <c r="AG369" s="769"/>
      <c r="AH369" s="766"/>
      <c r="AI369" s="766"/>
      <c r="AJ369" s="766"/>
      <c r="AK369" s="766"/>
      <c r="AL369" s="766"/>
      <c r="AM369" s="766"/>
      <c r="AN369" s="766"/>
      <c r="AO369" s="766"/>
      <c r="AP369" s="766"/>
      <c r="AQ369" s="1369"/>
      <c r="AR369" s="1319"/>
      <c r="AS369" s="1319"/>
      <c r="AT369" s="1319"/>
      <c r="AU369" s="1320"/>
      <c r="AV369" s="796"/>
      <c r="AW369" s="766"/>
      <c r="AX369" s="766"/>
      <c r="AY369" s="766"/>
      <c r="AZ369" s="766"/>
      <c r="BA369" s="769"/>
      <c r="BB369" s="769"/>
      <c r="BC369" s="769"/>
      <c r="BD369" s="769"/>
      <c r="BE369" s="769"/>
      <c r="BF369" s="769"/>
      <c r="BG369" s="769"/>
      <c r="BH369" s="769"/>
      <c r="BI369" s="769"/>
      <c r="BJ369" s="769"/>
      <c r="BK369" s="774"/>
      <c r="BL369" s="1327"/>
      <c r="BM369" s="1328"/>
      <c r="BN369" s="1328"/>
      <c r="BO369" s="1328"/>
      <c r="BP369" s="1389"/>
      <c r="BQ369" s="1370"/>
      <c r="BR369" s="1324"/>
      <c r="BS369" s="1324"/>
      <c r="BT369" s="1324"/>
      <c r="BU369" s="1325"/>
      <c r="BV369" s="1324"/>
      <c r="BW369" s="1324"/>
      <c r="BX369" s="1324"/>
      <c r="BY369" s="1324"/>
      <c r="BZ369" s="1324"/>
      <c r="CA369" s="1369"/>
      <c r="CB369" s="1319"/>
      <c r="CC369" s="1319"/>
      <c r="CD369" s="1319"/>
      <c r="CE369" s="1320"/>
      <c r="CF369" s="1319"/>
      <c r="CG369" s="1319"/>
      <c r="CH369" s="1319"/>
      <c r="CI369" s="1319"/>
      <c r="CJ369" s="1320"/>
      <c r="CK369" s="1370"/>
      <c r="CL369" s="1324"/>
      <c r="CM369" s="1324"/>
      <c r="CN369" s="1324"/>
      <c r="CO369" s="1325"/>
      <c r="CP369" s="1370"/>
      <c r="CQ369" s="1324"/>
      <c r="CR369" s="1324"/>
      <c r="CS369" s="1324"/>
      <c r="CT369" s="1325"/>
      <c r="CU369" s="1467"/>
      <c r="CV369" s="1458"/>
      <c r="CW369" s="1458"/>
      <c r="CX369" s="1663"/>
      <c r="CY369" s="1458"/>
      <c r="CZ369" s="1458"/>
      <c r="DA369" s="1458"/>
      <c r="DB369" s="1663"/>
      <c r="DC369" s="1328"/>
      <c r="DD369" s="1664"/>
      <c r="DE369" s="1669"/>
    </row>
    <row r="370" spans="1:109" ht="15.75" hidden="1" customHeight="1">
      <c r="A370" s="741" t="s">
        <v>1157</v>
      </c>
      <c r="B370" s="742">
        <v>364</v>
      </c>
      <c r="C370" s="758" t="s">
        <v>1165</v>
      </c>
      <c r="D370" s="742" t="s">
        <v>2612</v>
      </c>
      <c r="E370" s="742" t="s">
        <v>2217</v>
      </c>
      <c r="F370" s="754" t="s">
        <v>3442</v>
      </c>
      <c r="G370" s="759" t="s">
        <v>788</v>
      </c>
      <c r="H370" s="760" t="s">
        <v>2617</v>
      </c>
      <c r="I370" s="761"/>
      <c r="J370" s="762"/>
      <c r="K370" s="762">
        <v>1</v>
      </c>
      <c r="L370" s="762"/>
      <c r="M370" s="762"/>
      <c r="N370" s="762"/>
      <c r="O370" s="762"/>
      <c r="P370" s="763"/>
      <c r="Q370" s="764">
        <f t="shared" si="5"/>
        <v>1</v>
      </c>
      <c r="R370" s="758" t="s">
        <v>1852</v>
      </c>
      <c r="S370" s="742" t="s">
        <v>1826</v>
      </c>
      <c r="T370" s="765" t="s">
        <v>1827</v>
      </c>
      <c r="U370" s="742" t="s">
        <v>788</v>
      </c>
      <c r="V370" s="742" t="s">
        <v>1857</v>
      </c>
      <c r="W370" s="742" t="s">
        <v>3443</v>
      </c>
      <c r="X370" s="1279">
        <v>2</v>
      </c>
      <c r="Y370" s="790" t="s">
        <v>1838</v>
      </c>
      <c r="Z370" s="759" t="s">
        <v>788</v>
      </c>
      <c r="AA370" s="754"/>
      <c r="AB370" s="754"/>
      <c r="AC370" s="754"/>
      <c r="AD370" s="754"/>
      <c r="AE370" s="754"/>
      <c r="AF370" s="768"/>
      <c r="AG370" s="769"/>
      <c r="AH370" s="769"/>
      <c r="AI370" s="769"/>
      <c r="AJ370" s="769"/>
      <c r="AK370" s="776"/>
      <c r="AL370" s="776"/>
      <c r="AM370" s="776"/>
      <c r="AN370" s="769"/>
      <c r="AO370" s="776"/>
      <c r="AP370" s="776"/>
      <c r="AQ370" s="1370"/>
      <c r="AR370" s="1324"/>
      <c r="AS370" s="1324"/>
      <c r="AT370" s="1324"/>
      <c r="AU370" s="1325"/>
      <c r="AV370" s="775"/>
      <c r="AW370" s="776"/>
      <c r="AX370" s="776"/>
      <c r="AY370" s="776"/>
      <c r="AZ370" s="776"/>
      <c r="BA370" s="776"/>
      <c r="BB370" s="776"/>
      <c r="BC370" s="776"/>
      <c r="BD370" s="776"/>
      <c r="BE370" s="776"/>
      <c r="BF370" s="776"/>
      <c r="BG370" s="776"/>
      <c r="BH370" s="776"/>
      <c r="BI370" s="776"/>
      <c r="BJ370" s="776"/>
      <c r="BK370" s="789"/>
      <c r="BL370" s="1696"/>
      <c r="BM370" s="1697"/>
      <c r="BN370" s="1697"/>
      <c r="BO370" s="1697"/>
      <c r="BP370" s="1698"/>
      <c r="BQ370" s="1369"/>
      <c r="BR370" s="1319"/>
      <c r="BS370" s="1319"/>
      <c r="BT370" s="1319"/>
      <c r="BU370" s="1320"/>
      <c r="BV370" s="1370"/>
      <c r="BW370" s="1324"/>
      <c r="BX370" s="1324"/>
      <c r="BY370" s="1324"/>
      <c r="BZ370" s="1324"/>
      <c r="CA370" s="1369"/>
      <c r="CB370" s="1319"/>
      <c r="CC370" s="1319"/>
      <c r="CD370" s="1319"/>
      <c r="CE370" s="1320"/>
      <c r="CF370" s="1319"/>
      <c r="CG370" s="1319"/>
      <c r="CH370" s="1319"/>
      <c r="CI370" s="1319"/>
      <c r="CJ370" s="1320"/>
      <c r="CK370" s="1369"/>
      <c r="CL370" s="1319"/>
      <c r="CM370" s="1319"/>
      <c r="CN370" s="1319"/>
      <c r="CO370" s="1320"/>
      <c r="CP370" s="1369"/>
      <c r="CQ370" s="1319"/>
      <c r="CR370" s="1319"/>
      <c r="CS370" s="1319"/>
      <c r="CT370" s="1320"/>
      <c r="CU370" s="1467"/>
      <c r="CV370" s="1458"/>
      <c r="CW370" s="1458"/>
      <c r="CX370" s="1663"/>
      <c r="CY370" s="1458"/>
      <c r="CZ370" s="1458"/>
      <c r="DA370" s="1458"/>
      <c r="DB370" s="1663"/>
      <c r="DC370" s="1328"/>
      <c r="DD370" s="1664"/>
      <c r="DE370" s="1669"/>
    </row>
    <row r="371" spans="1:109" ht="15.75" hidden="1" customHeight="1">
      <c r="A371" s="741" t="s">
        <v>1157</v>
      </c>
      <c r="B371" s="742">
        <v>365</v>
      </c>
      <c r="C371" s="758" t="s">
        <v>1152</v>
      </c>
      <c r="D371" s="742" t="s">
        <v>2612</v>
      </c>
      <c r="E371" s="742" t="s">
        <v>2231</v>
      </c>
      <c r="F371" s="754" t="s">
        <v>3444</v>
      </c>
      <c r="G371" s="759" t="s">
        <v>795</v>
      </c>
      <c r="H371" s="760" t="s">
        <v>2628</v>
      </c>
      <c r="I371" s="761"/>
      <c r="J371" s="762"/>
      <c r="K371" s="762">
        <v>1</v>
      </c>
      <c r="L371" s="762"/>
      <c r="M371" s="762"/>
      <c r="N371" s="762"/>
      <c r="O371" s="762"/>
      <c r="P371" s="763"/>
      <c r="Q371" s="764">
        <f t="shared" si="5"/>
        <v>1</v>
      </c>
      <c r="R371" s="758" t="s">
        <v>1852</v>
      </c>
      <c r="S371" s="742" t="s">
        <v>1826</v>
      </c>
      <c r="T371" s="765" t="s">
        <v>1827</v>
      </c>
      <c r="U371" s="742" t="s">
        <v>2242</v>
      </c>
      <c r="V371" s="742" t="s">
        <v>1857</v>
      </c>
      <c r="W371" s="742" t="s">
        <v>3445</v>
      </c>
      <c r="X371" s="1279">
        <v>2</v>
      </c>
      <c r="Y371" s="790" t="s">
        <v>1838</v>
      </c>
      <c r="Z371" s="759" t="s">
        <v>795</v>
      </c>
      <c r="AA371" s="754"/>
      <c r="AB371" s="754"/>
      <c r="AC371" s="754"/>
      <c r="AD371" s="754"/>
      <c r="AE371" s="754"/>
      <c r="AF371" s="768"/>
      <c r="AG371" s="769"/>
      <c r="AH371" s="766"/>
      <c r="AI371" s="766"/>
      <c r="AJ371" s="766"/>
      <c r="AK371" s="766"/>
      <c r="AL371" s="766"/>
      <c r="AM371" s="766"/>
      <c r="AN371" s="766"/>
      <c r="AO371" s="766"/>
      <c r="AP371" s="766"/>
      <c r="AQ371" s="1675"/>
      <c r="AR371" s="1676"/>
      <c r="AS371" s="1676"/>
      <c r="AT371" s="1676"/>
      <c r="AU371" s="1684"/>
      <c r="AV371" s="796"/>
      <c r="AW371" s="766"/>
      <c r="AX371" s="766"/>
      <c r="AY371" s="766"/>
      <c r="AZ371" s="766"/>
      <c r="BA371" s="766"/>
      <c r="BB371" s="766"/>
      <c r="BC371" s="766"/>
      <c r="BD371" s="766"/>
      <c r="BE371" s="766"/>
      <c r="BF371" s="766"/>
      <c r="BG371" s="766"/>
      <c r="BH371" s="766"/>
      <c r="BI371" s="766"/>
      <c r="BJ371" s="766"/>
      <c r="BK371" s="810"/>
      <c r="BL371" s="1327"/>
      <c r="BM371" s="1328"/>
      <c r="BN371" s="1328"/>
      <c r="BO371" s="1328"/>
      <c r="BP371" s="1389"/>
      <c r="BQ371" s="1369"/>
      <c r="BR371" s="1319"/>
      <c r="BS371" s="1319"/>
      <c r="BT371" s="1319"/>
      <c r="BU371" s="1320"/>
      <c r="BV371" s="1370"/>
      <c r="BW371" s="1324"/>
      <c r="BX371" s="1324"/>
      <c r="BY371" s="1324"/>
      <c r="BZ371" s="1324"/>
      <c r="CA371" s="1369"/>
      <c r="CB371" s="1319"/>
      <c r="CC371" s="1319"/>
      <c r="CD371" s="1319"/>
      <c r="CE371" s="1320"/>
      <c r="CF371" s="1319"/>
      <c r="CG371" s="1319"/>
      <c r="CH371" s="1319"/>
      <c r="CI371" s="1319"/>
      <c r="CJ371" s="1320"/>
      <c r="CK371" s="1369"/>
      <c r="CL371" s="1319"/>
      <c r="CM371" s="1319"/>
      <c r="CN371" s="1319"/>
      <c r="CO371" s="1320"/>
      <c r="CP371" s="1369"/>
      <c r="CQ371" s="1319"/>
      <c r="CR371" s="1319"/>
      <c r="CS371" s="1319"/>
      <c r="CT371" s="1320"/>
      <c r="CU371" s="1467"/>
      <c r="CV371" s="1458"/>
      <c r="CW371" s="1458"/>
      <c r="CX371" s="1663"/>
      <c r="CY371" s="1458"/>
      <c r="CZ371" s="1458"/>
      <c r="DA371" s="1458"/>
      <c r="DB371" s="1663"/>
      <c r="DC371" s="1328"/>
      <c r="DD371" s="1664"/>
      <c r="DE371" s="1669"/>
    </row>
    <row r="372" spans="1:109" ht="15.75" hidden="1" customHeight="1">
      <c r="A372" s="741" t="s">
        <v>1157</v>
      </c>
      <c r="B372" s="742">
        <v>366</v>
      </c>
      <c r="C372" s="758" t="s">
        <v>1156</v>
      </c>
      <c r="D372" s="742" t="s">
        <v>2612</v>
      </c>
      <c r="E372" s="742" t="s">
        <v>2231</v>
      </c>
      <c r="F372" s="754" t="s">
        <v>3446</v>
      </c>
      <c r="G372" s="759" t="s">
        <v>891</v>
      </c>
      <c r="H372" s="760" t="s">
        <v>2625</v>
      </c>
      <c r="I372" s="761"/>
      <c r="J372" s="762"/>
      <c r="K372" s="762">
        <v>1</v>
      </c>
      <c r="L372" s="762"/>
      <c r="M372" s="762"/>
      <c r="N372" s="762"/>
      <c r="O372" s="762"/>
      <c r="P372" s="763"/>
      <c r="Q372" s="764">
        <f t="shared" si="5"/>
        <v>1</v>
      </c>
      <c r="R372" s="758" t="s">
        <v>1825</v>
      </c>
      <c r="S372" s="742"/>
      <c r="T372" s="765"/>
      <c r="U372" s="742" t="s">
        <v>2234</v>
      </c>
      <c r="V372" s="742" t="s">
        <v>321</v>
      </c>
      <c r="W372" s="742" t="s">
        <v>3447</v>
      </c>
      <c r="X372" s="1279">
        <v>2</v>
      </c>
      <c r="Y372" s="790" t="s">
        <v>1838</v>
      </c>
      <c r="Z372" s="759" t="s">
        <v>891</v>
      </c>
      <c r="AA372" s="754"/>
      <c r="AB372" s="754"/>
      <c r="AC372" s="754"/>
      <c r="AD372" s="754"/>
      <c r="AE372" s="754"/>
      <c r="AF372" s="768"/>
      <c r="AG372" s="769"/>
      <c r="AH372" s="769"/>
      <c r="AI372" s="769"/>
      <c r="AJ372" s="769"/>
      <c r="AK372" s="769"/>
      <c r="AL372" s="769"/>
      <c r="AM372" s="769"/>
      <c r="AN372" s="769"/>
      <c r="AO372" s="769"/>
      <c r="AP372" s="769"/>
      <c r="AQ372" s="1369"/>
      <c r="AR372" s="1319"/>
      <c r="AS372" s="1319"/>
      <c r="AT372" s="1319"/>
      <c r="AU372" s="1684"/>
      <c r="AV372" s="777"/>
      <c r="AW372" s="769"/>
      <c r="AX372" s="769"/>
      <c r="AY372" s="769"/>
      <c r="AZ372" s="769"/>
      <c r="BA372" s="769"/>
      <c r="BB372" s="769"/>
      <c r="BC372" s="769"/>
      <c r="BD372" s="769"/>
      <c r="BE372" s="769"/>
      <c r="BF372" s="769"/>
      <c r="BG372" s="769"/>
      <c r="BH372" s="769"/>
      <c r="BI372" s="769"/>
      <c r="BJ372" s="769"/>
      <c r="BK372" s="774"/>
      <c r="BL372" s="1327"/>
      <c r="BM372" s="1328"/>
      <c r="BN372" s="1328"/>
      <c r="BO372" s="1328"/>
      <c r="BP372" s="1389"/>
      <c r="BQ372" s="1369"/>
      <c r="BR372" s="1319"/>
      <c r="BS372" s="1319"/>
      <c r="BT372" s="1319"/>
      <c r="BU372" s="1320"/>
      <c r="BV372" s="1370"/>
      <c r="BW372" s="1324"/>
      <c r="BX372" s="1324"/>
      <c r="BY372" s="1324"/>
      <c r="BZ372" s="1324"/>
      <c r="CA372" s="1369"/>
      <c r="CB372" s="1319"/>
      <c r="CC372" s="1319"/>
      <c r="CD372" s="1319"/>
      <c r="CE372" s="1320"/>
      <c r="CF372" s="1319"/>
      <c r="CG372" s="1319"/>
      <c r="CH372" s="1319"/>
      <c r="CI372" s="1319"/>
      <c r="CJ372" s="1320"/>
      <c r="CK372" s="1369"/>
      <c r="CL372" s="1319"/>
      <c r="CM372" s="1319"/>
      <c r="CN372" s="1319"/>
      <c r="CO372" s="1320"/>
      <c r="CP372" s="1369"/>
      <c r="CQ372" s="1319"/>
      <c r="CR372" s="1319"/>
      <c r="CS372" s="1319"/>
      <c r="CT372" s="1320"/>
      <c r="CU372" s="1467"/>
      <c r="CV372" s="1458"/>
      <c r="CW372" s="1458"/>
      <c r="CX372" s="1663"/>
      <c r="CY372" s="1458"/>
      <c r="CZ372" s="1458"/>
      <c r="DA372" s="1458"/>
      <c r="DB372" s="1663"/>
      <c r="DC372" s="1328"/>
      <c r="DD372" s="1664"/>
      <c r="DE372" s="1669"/>
    </row>
    <row r="373" spans="1:109" ht="15.75" hidden="1" customHeight="1">
      <c r="A373" s="741" t="s">
        <v>1157</v>
      </c>
      <c r="B373" s="742">
        <v>367</v>
      </c>
      <c r="C373" s="758" t="s">
        <v>1531</v>
      </c>
      <c r="D373" s="742" t="s">
        <v>2612</v>
      </c>
      <c r="E373" s="742" t="s">
        <v>2217</v>
      </c>
      <c r="F373" s="754" t="s">
        <v>3448</v>
      </c>
      <c r="G373" s="759" t="s">
        <v>2381</v>
      </c>
      <c r="H373" s="760" t="s">
        <v>3449</v>
      </c>
      <c r="I373" s="761"/>
      <c r="J373" s="762"/>
      <c r="K373" s="762">
        <v>1</v>
      </c>
      <c r="L373" s="762"/>
      <c r="M373" s="762"/>
      <c r="N373" s="762"/>
      <c r="O373" s="762"/>
      <c r="P373" s="763"/>
      <c r="Q373" s="764">
        <f t="shared" si="5"/>
        <v>1</v>
      </c>
      <c r="R373" s="758" t="s">
        <v>1852</v>
      </c>
      <c r="S373" s="742" t="s">
        <v>1826</v>
      </c>
      <c r="T373" s="765" t="s">
        <v>1827</v>
      </c>
      <c r="U373" s="742" t="s">
        <v>2351</v>
      </c>
      <c r="V373" s="742" t="s">
        <v>1857</v>
      </c>
      <c r="W373" s="742" t="s">
        <v>3450</v>
      </c>
      <c r="X373" s="1279">
        <v>0</v>
      </c>
      <c r="Y373" s="790" t="s">
        <v>1838</v>
      </c>
      <c r="Z373" s="759" t="s">
        <v>2381</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210</v>
      </c>
      <c r="BM373" s="754" t="s">
        <v>210</v>
      </c>
      <c r="BN373" s="754" t="s">
        <v>210</v>
      </c>
      <c r="BO373" s="754" t="s">
        <v>210</v>
      </c>
      <c r="BP373" s="765" t="s">
        <v>210</v>
      </c>
      <c r="BQ373" s="777" t="s">
        <v>2260</v>
      </c>
      <c r="BR373" s="769" t="s">
        <v>2260</v>
      </c>
      <c r="BS373" s="769" t="s">
        <v>2260</v>
      </c>
      <c r="BT373" s="769" t="s">
        <v>2260</v>
      </c>
      <c r="BU373" s="774" t="s">
        <v>2260</v>
      </c>
      <c r="BV373" s="775">
        <v>7661</v>
      </c>
      <c r="BW373" s="776">
        <v>7661</v>
      </c>
      <c r="BX373" s="776">
        <v>7661</v>
      </c>
      <c r="BY373" s="776">
        <v>7661</v>
      </c>
      <c r="BZ373" s="776">
        <v>7661</v>
      </c>
      <c r="CA373" s="777" t="s">
        <v>2260</v>
      </c>
      <c r="CB373" s="769" t="s">
        <v>2260</v>
      </c>
      <c r="CC373" s="769" t="s">
        <v>2260</v>
      </c>
      <c r="CD373" s="769" t="s">
        <v>2260</v>
      </c>
      <c r="CE373" s="774" t="s">
        <v>2260</v>
      </c>
      <c r="CF373" s="769" t="s">
        <v>2260</v>
      </c>
      <c r="CG373" s="769" t="s">
        <v>2260</v>
      </c>
      <c r="CH373" s="769" t="s">
        <v>2260</v>
      </c>
      <c r="CI373" s="769" t="s">
        <v>2260</v>
      </c>
      <c r="CJ373" s="774" t="s">
        <v>2260</v>
      </c>
      <c r="CK373" s="777">
        <v>2139</v>
      </c>
      <c r="CL373" s="769">
        <v>2104</v>
      </c>
      <c r="CM373" s="769">
        <v>2069</v>
      </c>
      <c r="CN373" s="769">
        <v>2035</v>
      </c>
      <c r="CO373" s="774">
        <v>2000</v>
      </c>
      <c r="CP373" s="777" t="s">
        <v>2260</v>
      </c>
      <c r="CQ373" s="769" t="s">
        <v>2260</v>
      </c>
      <c r="CR373" s="769" t="s">
        <v>2260</v>
      </c>
      <c r="CS373" s="769" t="s">
        <v>2260</v>
      </c>
      <c r="CT373" s="774" t="s">
        <v>2260</v>
      </c>
      <c r="CU373" s="1253">
        <v>-2.4199999999999999E-2</v>
      </c>
      <c r="CV373" s="1252" t="s">
        <v>2260</v>
      </c>
      <c r="CW373" s="1252" t="s">
        <v>2260</v>
      </c>
      <c r="CX373" s="1254" t="s">
        <v>2260</v>
      </c>
      <c r="CY373" s="1252">
        <v>0.01</v>
      </c>
      <c r="CZ373" s="1252" t="s">
        <v>2260</v>
      </c>
      <c r="DA373" s="1252" t="s">
        <v>2260</v>
      </c>
      <c r="DB373" s="1254" t="s">
        <v>2260</v>
      </c>
      <c r="DC373" s="754"/>
      <c r="DD373" s="782">
        <v>1</v>
      </c>
      <c r="DE373" s="783"/>
    </row>
    <row r="374" spans="1:109" ht="15.75" hidden="1" customHeight="1">
      <c r="A374" s="741" t="s">
        <v>1157</v>
      </c>
      <c r="B374" s="742">
        <v>368</v>
      </c>
      <c r="C374" s="758" t="s">
        <v>1541</v>
      </c>
      <c r="D374" s="742" t="s">
        <v>2612</v>
      </c>
      <c r="E374" s="742" t="s">
        <v>2223</v>
      </c>
      <c r="F374" s="754" t="s">
        <v>3451</v>
      </c>
      <c r="G374" s="759" t="s">
        <v>2623</v>
      </c>
      <c r="H374" s="742" t="s">
        <v>3452</v>
      </c>
      <c r="I374" s="761"/>
      <c r="J374" s="762"/>
      <c r="K374" s="762">
        <v>1</v>
      </c>
      <c r="L374" s="762"/>
      <c r="M374" s="762"/>
      <c r="N374" s="762"/>
      <c r="O374" s="762"/>
      <c r="P374" s="763"/>
      <c r="Q374" s="764">
        <f t="shared" si="5"/>
        <v>1</v>
      </c>
      <c r="R374" s="758" t="s">
        <v>1852</v>
      </c>
      <c r="S374" s="742" t="s">
        <v>1826</v>
      </c>
      <c r="T374" s="765" t="s">
        <v>1827</v>
      </c>
      <c r="U374" s="742" t="s">
        <v>2387</v>
      </c>
      <c r="V374" s="742" t="s">
        <v>1857</v>
      </c>
      <c r="W374" s="742" t="s">
        <v>3450</v>
      </c>
      <c r="X374" s="1279">
        <v>0</v>
      </c>
      <c r="Y374" s="813" t="s">
        <v>1838</v>
      </c>
      <c r="Z374" s="759" t="s">
        <v>2623</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210</v>
      </c>
      <c r="BM374" s="754" t="s">
        <v>210</v>
      </c>
      <c r="BN374" s="754" t="s">
        <v>210</v>
      </c>
      <c r="BO374" s="754" t="s">
        <v>210</v>
      </c>
      <c r="BP374" s="765" t="s">
        <v>210</v>
      </c>
      <c r="BQ374" s="863" t="s">
        <v>2260</v>
      </c>
      <c r="BR374" s="864" t="s">
        <v>2260</v>
      </c>
      <c r="BS374" s="864" t="s">
        <v>2260</v>
      </c>
      <c r="BT374" s="864" t="s">
        <v>2260</v>
      </c>
      <c r="BU374" s="865" t="s">
        <v>2260</v>
      </c>
      <c r="BV374" s="775" t="s">
        <v>2260</v>
      </c>
      <c r="BW374" s="776" t="s">
        <v>2260</v>
      </c>
      <c r="BX374" s="776" t="s">
        <v>2260</v>
      </c>
      <c r="BY374" s="776" t="s">
        <v>2260</v>
      </c>
      <c r="BZ374" s="776" t="s">
        <v>2260</v>
      </c>
      <c r="CA374" s="777" t="s">
        <v>2260</v>
      </c>
      <c r="CB374" s="769" t="s">
        <v>2260</v>
      </c>
      <c r="CC374" s="776" t="s">
        <v>2260</v>
      </c>
      <c r="CD374" s="769" t="s">
        <v>2260</v>
      </c>
      <c r="CE374" s="774" t="s">
        <v>2260</v>
      </c>
      <c r="CF374" s="811" t="s">
        <v>2260</v>
      </c>
      <c r="CG374" s="811" t="s">
        <v>2260</v>
      </c>
      <c r="CH374" s="811" t="s">
        <v>2260</v>
      </c>
      <c r="CI374" s="811" t="s">
        <v>2260</v>
      </c>
      <c r="CJ374" s="813" t="s">
        <v>2260</v>
      </c>
      <c r="CK374" s="777" t="s">
        <v>2260</v>
      </c>
      <c r="CL374" s="769" t="s">
        <v>2260</v>
      </c>
      <c r="CM374" s="769" t="s">
        <v>2260</v>
      </c>
      <c r="CN374" s="769" t="s">
        <v>2260</v>
      </c>
      <c r="CO374" s="774" t="s">
        <v>2260</v>
      </c>
      <c r="CP374" s="812" t="s">
        <v>2260</v>
      </c>
      <c r="CQ374" s="811" t="s">
        <v>2260</v>
      </c>
      <c r="CR374" s="811" t="s">
        <v>2260</v>
      </c>
      <c r="CS374" s="811" t="s">
        <v>2260</v>
      </c>
      <c r="CT374" s="813" t="s">
        <v>2260</v>
      </c>
      <c r="CU374" s="1253">
        <v>-1.12E-2</v>
      </c>
      <c r="CV374" s="1252" t="s">
        <v>2260</v>
      </c>
      <c r="CW374" s="1252" t="s">
        <v>2260</v>
      </c>
      <c r="CX374" s="1254" t="s">
        <v>2260</v>
      </c>
      <c r="CY374" s="1252">
        <v>3.7000000000000002E-3</v>
      </c>
      <c r="CZ374" s="1252" t="s">
        <v>2260</v>
      </c>
      <c r="DA374" s="1252" t="s">
        <v>2260</v>
      </c>
      <c r="DB374" s="1254" t="s">
        <v>2260</v>
      </c>
      <c r="DC374" s="754"/>
      <c r="DD374" s="782">
        <v>1</v>
      </c>
      <c r="DE374" s="783"/>
    </row>
    <row r="375" spans="1:109" ht="15.75" hidden="1" customHeight="1">
      <c r="A375" s="741" t="s">
        <v>1157</v>
      </c>
      <c r="B375" s="742">
        <v>369</v>
      </c>
      <c r="C375" s="758" t="s">
        <v>1550</v>
      </c>
      <c r="D375" s="742" t="s">
        <v>2612</v>
      </c>
      <c r="E375" s="742" t="s">
        <v>2231</v>
      </c>
      <c r="F375" s="754" t="s">
        <v>3453</v>
      </c>
      <c r="G375" s="759" t="s">
        <v>3454</v>
      </c>
      <c r="H375" s="742" t="s">
        <v>3455</v>
      </c>
      <c r="I375" s="761"/>
      <c r="J375" s="762"/>
      <c r="K375" s="762">
        <v>1</v>
      </c>
      <c r="L375" s="762"/>
      <c r="M375" s="762"/>
      <c r="N375" s="762"/>
      <c r="O375" s="762"/>
      <c r="P375" s="763"/>
      <c r="Q375" s="764">
        <f t="shared" si="5"/>
        <v>1</v>
      </c>
      <c r="R375" s="758" t="s">
        <v>1852</v>
      </c>
      <c r="S375" s="742" t="s">
        <v>1826</v>
      </c>
      <c r="T375" s="765" t="s">
        <v>1827</v>
      </c>
      <c r="U375" s="742" t="s">
        <v>2351</v>
      </c>
      <c r="V375" s="742" t="s">
        <v>1857</v>
      </c>
      <c r="W375" s="742" t="s">
        <v>3450</v>
      </c>
      <c r="X375" s="1279">
        <v>0</v>
      </c>
      <c r="Y375" s="813" t="s">
        <v>1838</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210</v>
      </c>
      <c r="BM375" s="754" t="s">
        <v>210</v>
      </c>
      <c r="BN375" s="754" t="s">
        <v>210</v>
      </c>
      <c r="BO375" s="754" t="s">
        <v>210</v>
      </c>
      <c r="BP375" s="765" t="s">
        <v>210</v>
      </c>
      <c r="BQ375" s="777" t="s">
        <v>2260</v>
      </c>
      <c r="BR375" s="769" t="s">
        <v>2260</v>
      </c>
      <c r="BS375" s="769" t="s">
        <v>2260</v>
      </c>
      <c r="BT375" s="769" t="s">
        <v>2260</v>
      </c>
      <c r="BU375" s="774" t="s">
        <v>2260</v>
      </c>
      <c r="BV375" s="775">
        <v>2554</v>
      </c>
      <c r="BW375" s="776">
        <v>2515</v>
      </c>
      <c r="BX375" s="776">
        <v>2477</v>
      </c>
      <c r="BY375" s="776">
        <v>2438</v>
      </c>
      <c r="BZ375" s="776">
        <v>2400</v>
      </c>
      <c r="CA375" s="792" t="s">
        <v>2260</v>
      </c>
      <c r="CB375" s="793" t="s">
        <v>2260</v>
      </c>
      <c r="CC375" s="793" t="s">
        <v>2260</v>
      </c>
      <c r="CD375" s="793" t="s">
        <v>2260</v>
      </c>
      <c r="CE375" s="794" t="s">
        <v>2260</v>
      </c>
      <c r="CF375" s="793" t="s">
        <v>2260</v>
      </c>
      <c r="CG375" s="793" t="s">
        <v>2260</v>
      </c>
      <c r="CH375" s="793" t="s">
        <v>2260</v>
      </c>
      <c r="CI375" s="793" t="s">
        <v>2260</v>
      </c>
      <c r="CJ375" s="793" t="s">
        <v>2260</v>
      </c>
      <c r="CK375" s="777">
        <v>1456</v>
      </c>
      <c r="CL375" s="769">
        <v>1434</v>
      </c>
      <c r="CM375" s="769">
        <v>1412</v>
      </c>
      <c r="CN375" s="769">
        <v>1391</v>
      </c>
      <c r="CO375" s="774">
        <v>1369</v>
      </c>
      <c r="CP375" s="777" t="s">
        <v>2260</v>
      </c>
      <c r="CQ375" s="769" t="s">
        <v>2260</v>
      </c>
      <c r="CR375" s="769" t="s">
        <v>2260</v>
      </c>
      <c r="CS375" s="769" t="s">
        <v>2260</v>
      </c>
      <c r="CT375" s="774" t="s">
        <v>2260</v>
      </c>
      <c r="CU375" s="1253">
        <v>-2.4500000000000001E-2</v>
      </c>
      <c r="CV375" s="1252" t="s">
        <v>2260</v>
      </c>
      <c r="CW375" s="1252" t="s">
        <v>2260</v>
      </c>
      <c r="CX375" s="1254" t="s">
        <v>2260</v>
      </c>
      <c r="CY375" s="1252">
        <v>1.23E-2</v>
      </c>
      <c r="CZ375" s="1252" t="s">
        <v>2260</v>
      </c>
      <c r="DA375" s="1252" t="s">
        <v>2260</v>
      </c>
      <c r="DB375" s="1254" t="s">
        <v>2260</v>
      </c>
      <c r="DC375" s="754"/>
      <c r="DD375" s="782">
        <v>1</v>
      </c>
      <c r="DE375" s="783"/>
    </row>
    <row r="376" spans="1:109" ht="15.75" hidden="1" customHeight="1">
      <c r="A376" s="741" t="s">
        <v>1157</v>
      </c>
      <c r="B376" s="742">
        <v>370</v>
      </c>
      <c r="C376" s="758" t="s">
        <v>1559</v>
      </c>
      <c r="D376" s="742" t="s">
        <v>2612</v>
      </c>
      <c r="E376" s="742" t="s">
        <v>2231</v>
      </c>
      <c r="F376" s="754" t="s">
        <v>3456</v>
      </c>
      <c r="G376" s="759" t="s">
        <v>3457</v>
      </c>
      <c r="H376" s="742" t="s">
        <v>3458</v>
      </c>
      <c r="I376" s="761"/>
      <c r="J376" s="762"/>
      <c r="K376" s="762">
        <v>1</v>
      </c>
      <c r="L376" s="762"/>
      <c r="M376" s="762"/>
      <c r="N376" s="762"/>
      <c r="O376" s="762"/>
      <c r="P376" s="763"/>
      <c r="Q376" s="764">
        <f t="shared" si="5"/>
        <v>1</v>
      </c>
      <c r="R376" s="758" t="s">
        <v>1852</v>
      </c>
      <c r="S376" s="742" t="s">
        <v>1826</v>
      </c>
      <c r="T376" s="765" t="s">
        <v>1827</v>
      </c>
      <c r="U376" s="742" t="s">
        <v>2351</v>
      </c>
      <c r="V376" s="742" t="s">
        <v>165</v>
      </c>
      <c r="W376" s="742" t="s">
        <v>3459</v>
      </c>
      <c r="X376" s="1279">
        <v>3</v>
      </c>
      <c r="Y376" s="813" t="s">
        <v>1828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210</v>
      </c>
      <c r="BM376" s="754" t="s">
        <v>210</v>
      </c>
      <c r="BN376" s="754" t="s">
        <v>210</v>
      </c>
      <c r="BO376" s="754" t="s">
        <v>210</v>
      </c>
      <c r="BP376" s="765" t="s">
        <v>210</v>
      </c>
      <c r="BQ376" s="777" t="s">
        <v>2260</v>
      </c>
      <c r="BR376" s="769" t="s">
        <v>2260</v>
      </c>
      <c r="BS376" s="769" t="s">
        <v>2260</v>
      </c>
      <c r="BT376" s="769" t="s">
        <v>2260</v>
      </c>
      <c r="BU376" s="774" t="s">
        <v>2260</v>
      </c>
      <c r="BV376" s="775" t="s">
        <v>2260</v>
      </c>
      <c r="BW376" s="776" t="s">
        <v>2260</v>
      </c>
      <c r="BX376" s="776" t="s">
        <v>2260</v>
      </c>
      <c r="BY376" s="776" t="s">
        <v>2260</v>
      </c>
      <c r="BZ376" s="776" t="s">
        <v>2260</v>
      </c>
      <c r="CA376" s="866" t="s">
        <v>2260</v>
      </c>
      <c r="CB376" s="867" t="s">
        <v>2260</v>
      </c>
      <c r="CC376" s="867" t="s">
        <v>2260</v>
      </c>
      <c r="CD376" s="867" t="s">
        <v>2260</v>
      </c>
      <c r="CE376" s="868" t="s">
        <v>2260</v>
      </c>
      <c r="CF376" s="867" t="s">
        <v>2260</v>
      </c>
      <c r="CG376" s="867" t="s">
        <v>2260</v>
      </c>
      <c r="CH376" s="867" t="s">
        <v>2260</v>
      </c>
      <c r="CI376" s="867" t="s">
        <v>2260</v>
      </c>
      <c r="CJ376" s="867" t="s">
        <v>2260</v>
      </c>
      <c r="CK376" s="777" t="s">
        <v>2260</v>
      </c>
      <c r="CL376" s="769" t="s">
        <v>2260</v>
      </c>
      <c r="CM376" s="769" t="s">
        <v>2260</v>
      </c>
      <c r="CN376" s="769" t="s">
        <v>2260</v>
      </c>
      <c r="CO376" s="774" t="s">
        <v>2260</v>
      </c>
      <c r="CP376" s="777" t="s">
        <v>2260</v>
      </c>
      <c r="CQ376" s="769" t="s">
        <v>2260</v>
      </c>
      <c r="CR376" s="769" t="s">
        <v>2260</v>
      </c>
      <c r="CS376" s="769" t="s">
        <v>2260</v>
      </c>
      <c r="CT376" s="774" t="s">
        <v>2260</v>
      </c>
      <c r="CU376" s="1253">
        <v>-0.5</v>
      </c>
      <c r="CV376" s="1252" t="s">
        <v>2260</v>
      </c>
      <c r="CW376" s="1252" t="s">
        <v>2260</v>
      </c>
      <c r="CX376" s="1254" t="s">
        <v>2260</v>
      </c>
      <c r="CY376" s="1252">
        <v>0.5</v>
      </c>
      <c r="CZ376" s="1252" t="s">
        <v>2260</v>
      </c>
      <c r="DA376" s="1252" t="s">
        <v>2260</v>
      </c>
      <c r="DB376" s="1254" t="s">
        <v>2260</v>
      </c>
      <c r="DC376" s="754"/>
      <c r="DD376" s="782">
        <v>1</v>
      </c>
      <c r="DE376" s="783"/>
    </row>
    <row r="377" spans="1:109" ht="15.75" hidden="1" customHeight="1">
      <c r="A377" s="741" t="s">
        <v>1157</v>
      </c>
      <c r="B377" s="742">
        <v>371</v>
      </c>
      <c r="C377" s="758" t="s">
        <v>1567</v>
      </c>
      <c r="D377" s="742" t="s">
        <v>2612</v>
      </c>
      <c r="E377" s="742" t="s">
        <v>2217</v>
      </c>
      <c r="F377" s="754" t="s">
        <v>3460</v>
      </c>
      <c r="G377" s="759" t="s">
        <v>3461</v>
      </c>
      <c r="H377" s="742" t="s">
        <v>3462</v>
      </c>
      <c r="I377" s="761"/>
      <c r="J377" s="762"/>
      <c r="K377" s="762">
        <v>1</v>
      </c>
      <c r="L377" s="762"/>
      <c r="M377" s="762"/>
      <c r="N377" s="762"/>
      <c r="O377" s="762"/>
      <c r="P377" s="763"/>
      <c r="Q377" s="764">
        <f t="shared" si="5"/>
        <v>1</v>
      </c>
      <c r="R377" s="758" t="s">
        <v>1852</v>
      </c>
      <c r="S377" s="742" t="s">
        <v>1826</v>
      </c>
      <c r="T377" s="765" t="s">
        <v>1837</v>
      </c>
      <c r="U377" s="742" t="s">
        <v>2351</v>
      </c>
      <c r="V377" s="742" t="s">
        <v>1857</v>
      </c>
      <c r="W377" s="742" t="s">
        <v>3463</v>
      </c>
      <c r="X377" s="1279">
        <v>0</v>
      </c>
      <c r="Y377" s="813" t="s">
        <v>1828</v>
      </c>
      <c r="Z377" s="759"/>
      <c r="AA377" s="754"/>
      <c r="AB377" s="754"/>
      <c r="AC377" s="754"/>
      <c r="AD377" s="754"/>
      <c r="AE377" s="754"/>
      <c r="AF377" s="768"/>
      <c r="AG377" s="855"/>
      <c r="AH377" s="855"/>
      <c r="AI377" s="855"/>
      <c r="AJ377" s="855"/>
      <c r="AK377" s="855"/>
      <c r="AL377" s="855"/>
      <c r="AM377" s="855"/>
      <c r="AN377" s="776"/>
      <c r="AO377" s="776"/>
      <c r="AP377" s="776"/>
      <c r="AQ377" s="775" t="s">
        <v>2260</v>
      </c>
      <c r="AR377" s="776" t="s">
        <v>2260</v>
      </c>
      <c r="AS377" s="776" t="s">
        <v>2260</v>
      </c>
      <c r="AT377" s="776" t="s">
        <v>2260</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210</v>
      </c>
      <c r="BQ377" s="777" t="s">
        <v>2260</v>
      </c>
      <c r="BR377" s="769" t="s">
        <v>2260</v>
      </c>
      <c r="BS377" s="769" t="s">
        <v>2260</v>
      </c>
      <c r="BT377" s="769" t="s">
        <v>2260</v>
      </c>
      <c r="BU377" s="774" t="s">
        <v>2260</v>
      </c>
      <c r="BV377" s="775" t="s">
        <v>2260</v>
      </c>
      <c r="BW377" s="776" t="s">
        <v>2260</v>
      </c>
      <c r="BX377" s="776" t="s">
        <v>2260</v>
      </c>
      <c r="BY377" s="776" t="s">
        <v>2260</v>
      </c>
      <c r="BZ377" s="776" t="s">
        <v>2260</v>
      </c>
      <c r="CA377" s="777" t="s">
        <v>2260</v>
      </c>
      <c r="CB377" s="769" t="s">
        <v>2260</v>
      </c>
      <c r="CC377" s="769" t="s">
        <v>2260</v>
      </c>
      <c r="CD377" s="769" t="s">
        <v>2260</v>
      </c>
      <c r="CE377" s="774" t="s">
        <v>2260</v>
      </c>
      <c r="CF377" s="769" t="s">
        <v>2260</v>
      </c>
      <c r="CG377" s="769" t="s">
        <v>2260</v>
      </c>
      <c r="CH377" s="769" t="s">
        <v>2260</v>
      </c>
      <c r="CI377" s="769" t="s">
        <v>2260</v>
      </c>
      <c r="CJ377" s="769" t="s">
        <v>2260</v>
      </c>
      <c r="CK377" s="777" t="s">
        <v>2260</v>
      </c>
      <c r="CL377" s="769" t="s">
        <v>2260</v>
      </c>
      <c r="CM377" s="769" t="s">
        <v>2260</v>
      </c>
      <c r="CN377" s="769" t="s">
        <v>2260</v>
      </c>
      <c r="CO377" s="774" t="s">
        <v>2260</v>
      </c>
      <c r="CP377" s="777" t="s">
        <v>2260</v>
      </c>
      <c r="CQ377" s="769" t="s">
        <v>2260</v>
      </c>
      <c r="CR377" s="769" t="s">
        <v>2260</v>
      </c>
      <c r="CS377" s="769" t="s">
        <v>2260</v>
      </c>
      <c r="CT377" s="774" t="s">
        <v>2260</v>
      </c>
      <c r="CU377" s="1253">
        <v>-3.44E-2</v>
      </c>
      <c r="CV377" s="1252" t="s">
        <v>2260</v>
      </c>
      <c r="CW377" s="1252" t="s">
        <v>2260</v>
      </c>
      <c r="CX377" s="1254" t="s">
        <v>2260</v>
      </c>
      <c r="CY377" s="1252">
        <v>3.44E-2</v>
      </c>
      <c r="CZ377" s="1252" t="s">
        <v>2260</v>
      </c>
      <c r="DA377" s="1252" t="s">
        <v>2260</v>
      </c>
      <c r="DB377" s="1254" t="s">
        <v>2260</v>
      </c>
      <c r="DC377" s="754"/>
      <c r="DD377" s="782">
        <v>1</v>
      </c>
      <c r="DE377" s="783"/>
    </row>
    <row r="378" spans="1:109" ht="15.75" hidden="1" customHeight="1">
      <c r="A378" s="741" t="s">
        <v>1157</v>
      </c>
      <c r="B378" s="742">
        <v>372</v>
      </c>
      <c r="C378" s="758" t="s">
        <v>1229</v>
      </c>
      <c r="D378" s="742" t="s">
        <v>2570</v>
      </c>
      <c r="E378" s="742" t="s">
        <v>2217</v>
      </c>
      <c r="F378" s="754" t="s">
        <v>3464</v>
      </c>
      <c r="G378" s="759" t="s">
        <v>179</v>
      </c>
      <c r="H378" s="742" t="s">
        <v>2572</v>
      </c>
      <c r="I378" s="761"/>
      <c r="J378" s="762">
        <v>1</v>
      </c>
      <c r="K378" s="762"/>
      <c r="L378" s="762"/>
      <c r="M378" s="762"/>
      <c r="N378" s="762"/>
      <c r="O378" s="762"/>
      <c r="P378" s="763"/>
      <c r="Q378" s="764">
        <f t="shared" si="5"/>
        <v>1</v>
      </c>
      <c r="R378" s="758" t="s">
        <v>1852</v>
      </c>
      <c r="S378" s="742" t="s">
        <v>1826</v>
      </c>
      <c r="T378" s="765" t="s">
        <v>1827</v>
      </c>
      <c r="U378" s="742" t="s">
        <v>2220</v>
      </c>
      <c r="V378" s="742" t="s">
        <v>1851</v>
      </c>
      <c r="W378" s="742" t="s">
        <v>2573</v>
      </c>
      <c r="X378" s="1279">
        <v>0</v>
      </c>
      <c r="Y378" s="774" t="s">
        <v>1838</v>
      </c>
      <c r="Z378" s="759" t="s">
        <v>179</v>
      </c>
      <c r="AA378" s="754"/>
      <c r="AB378" s="754"/>
      <c r="AC378" s="754"/>
      <c r="AD378" s="754"/>
      <c r="AE378" s="754"/>
      <c r="AF378" s="768"/>
      <c r="AG378" s="776"/>
      <c r="AH378" s="776"/>
      <c r="AI378" s="776"/>
      <c r="AJ378" s="814"/>
      <c r="AK378" s="814"/>
      <c r="AL378" s="814"/>
      <c r="AM378" s="814"/>
      <c r="AN378" s="814"/>
      <c r="AO378" s="814"/>
      <c r="AP378" s="814"/>
      <c r="AQ378" s="1321"/>
      <c r="AR378" s="1322"/>
      <c r="AS378" s="1322"/>
      <c r="AT378" s="1322"/>
      <c r="AU378" s="1323"/>
      <c r="AV378" s="775"/>
      <c r="AW378" s="769"/>
      <c r="AX378" s="769"/>
      <c r="AY378" s="769"/>
      <c r="AZ378" s="776"/>
      <c r="BA378" s="769"/>
      <c r="BB378" s="769"/>
      <c r="BC378" s="769"/>
      <c r="BD378" s="769"/>
      <c r="BE378" s="769"/>
      <c r="BF378" s="769"/>
      <c r="BG378" s="769"/>
      <c r="BH378" s="769"/>
      <c r="BI378" s="776"/>
      <c r="BJ378" s="769"/>
      <c r="BK378" s="774"/>
      <c r="BL378" s="1327"/>
      <c r="BM378" s="1328"/>
      <c r="BN378" s="1328"/>
      <c r="BO378" s="1328"/>
      <c r="BP378" s="1389"/>
      <c r="BQ378" s="1369"/>
      <c r="BR378" s="1319"/>
      <c r="BS378" s="1319"/>
      <c r="BT378" s="1319"/>
      <c r="BU378" s="1320"/>
      <c r="BV378" s="1321"/>
      <c r="BW378" s="1322"/>
      <c r="BX378" s="1322"/>
      <c r="BY378" s="1322"/>
      <c r="BZ378" s="1322"/>
      <c r="CA378" s="1321"/>
      <c r="CB378" s="1322"/>
      <c r="CC378" s="1322"/>
      <c r="CD378" s="1322"/>
      <c r="CE378" s="1323"/>
      <c r="CF378" s="1322"/>
      <c r="CG378" s="1322"/>
      <c r="CH378" s="1322"/>
      <c r="CI378" s="1322"/>
      <c r="CJ378" s="1323"/>
      <c r="CK378" s="1321"/>
      <c r="CL378" s="1322"/>
      <c r="CM378" s="1322"/>
      <c r="CN378" s="1322"/>
      <c r="CO378" s="1323"/>
      <c r="CP378" s="1369"/>
      <c r="CQ378" s="1319"/>
      <c r="CR378" s="1319"/>
      <c r="CS378" s="1319"/>
      <c r="CT378" s="1320"/>
      <c r="CU378" s="1467"/>
      <c r="CV378" s="1458"/>
      <c r="CW378" s="1458"/>
      <c r="CX378" s="1663"/>
      <c r="CY378" s="1458"/>
      <c r="CZ378" s="1458"/>
      <c r="DA378" s="1458"/>
      <c r="DB378" s="1663"/>
      <c r="DC378" s="1328"/>
      <c r="DD378" s="1664"/>
      <c r="DE378" s="1669"/>
    </row>
    <row r="379" spans="1:109" ht="15.75" hidden="1" customHeight="1">
      <c r="A379" s="741" t="s">
        <v>1157</v>
      </c>
      <c r="B379" s="742">
        <v>373</v>
      </c>
      <c r="C379" s="758" t="s">
        <v>1254</v>
      </c>
      <c r="D379" s="742" t="s">
        <v>2570</v>
      </c>
      <c r="E379" s="742" t="s">
        <v>2217</v>
      </c>
      <c r="F379" s="754" t="s">
        <v>3465</v>
      </c>
      <c r="G379" s="759" t="s">
        <v>705</v>
      </c>
      <c r="H379" s="742" t="s">
        <v>2575</v>
      </c>
      <c r="I379" s="761"/>
      <c r="J379" s="762">
        <v>1</v>
      </c>
      <c r="K379" s="762"/>
      <c r="L379" s="762"/>
      <c r="M379" s="762"/>
      <c r="N379" s="762"/>
      <c r="O379" s="762"/>
      <c r="P379" s="763"/>
      <c r="Q379" s="764">
        <f t="shared" si="5"/>
        <v>1</v>
      </c>
      <c r="R379" s="758" t="s">
        <v>1852</v>
      </c>
      <c r="S379" s="742" t="s">
        <v>1826</v>
      </c>
      <c r="T379" s="765" t="s">
        <v>1827</v>
      </c>
      <c r="U379" s="742" t="s">
        <v>705</v>
      </c>
      <c r="V379" s="742" t="s">
        <v>1857</v>
      </c>
      <c r="W379" s="742" t="s">
        <v>2508</v>
      </c>
      <c r="X379" s="1280">
        <v>1</v>
      </c>
      <c r="Y379" s="774" t="s">
        <v>1838</v>
      </c>
      <c r="Z379" s="759" t="s">
        <v>705</v>
      </c>
      <c r="AA379" s="754"/>
      <c r="AB379" s="754"/>
      <c r="AC379" s="754"/>
      <c r="AD379" s="754"/>
      <c r="AE379" s="754"/>
      <c r="AF379" s="768"/>
      <c r="AG379" s="766"/>
      <c r="AH379" s="766"/>
      <c r="AI379" s="766"/>
      <c r="AJ379" s="766"/>
      <c r="AK379" s="766"/>
      <c r="AL379" s="766"/>
      <c r="AM379" s="766"/>
      <c r="AN379" s="766"/>
      <c r="AO379" s="766"/>
      <c r="AP379" s="766"/>
      <c r="AQ379" s="1370"/>
      <c r="AR379" s="1324"/>
      <c r="AS379" s="1324"/>
      <c r="AT379" s="1324"/>
      <c r="AU379" s="1325"/>
      <c r="AV379" s="796"/>
      <c r="AW379" s="766"/>
      <c r="AX379" s="766"/>
      <c r="AY379" s="766"/>
      <c r="AZ379" s="766"/>
      <c r="BA379" s="766"/>
      <c r="BB379" s="766"/>
      <c r="BC379" s="766"/>
      <c r="BD379" s="766"/>
      <c r="BE379" s="766"/>
      <c r="BF379" s="766"/>
      <c r="BG379" s="766"/>
      <c r="BH379" s="766"/>
      <c r="BI379" s="766"/>
      <c r="BJ379" s="766"/>
      <c r="BK379" s="810"/>
      <c r="BL379" s="1327"/>
      <c r="BM379" s="1328"/>
      <c r="BN379" s="1328"/>
      <c r="BO379" s="1328"/>
      <c r="BP379" s="1389"/>
      <c r="BQ379" s="1369"/>
      <c r="BR379" s="1319"/>
      <c r="BS379" s="1319"/>
      <c r="BT379" s="1319"/>
      <c r="BU379" s="1320"/>
      <c r="BV379" s="1370"/>
      <c r="BW379" s="1324"/>
      <c r="BX379" s="1324"/>
      <c r="BY379" s="1324"/>
      <c r="BZ379" s="1324"/>
      <c r="CA379" s="1369"/>
      <c r="CB379" s="1319"/>
      <c r="CC379" s="1319"/>
      <c r="CD379" s="1319"/>
      <c r="CE379" s="1320"/>
      <c r="CF379" s="1319"/>
      <c r="CG379" s="1319"/>
      <c r="CH379" s="1319"/>
      <c r="CI379" s="1319"/>
      <c r="CJ379" s="1320"/>
      <c r="CK379" s="1369"/>
      <c r="CL379" s="1319"/>
      <c r="CM379" s="1319"/>
      <c r="CN379" s="1319"/>
      <c r="CO379" s="1320"/>
      <c r="CP379" s="1369"/>
      <c r="CQ379" s="1319"/>
      <c r="CR379" s="1319"/>
      <c r="CS379" s="1319"/>
      <c r="CT379" s="1320"/>
      <c r="CU379" s="1467"/>
      <c r="CV379" s="1458"/>
      <c r="CW379" s="1458"/>
      <c r="CX379" s="1663"/>
      <c r="CY379" s="1458"/>
      <c r="CZ379" s="1458"/>
      <c r="DA379" s="1458"/>
      <c r="DB379" s="1663"/>
      <c r="DC379" s="1328"/>
      <c r="DD379" s="1664"/>
      <c r="DE379" s="1669"/>
    </row>
    <row r="380" spans="1:109" ht="15.75" hidden="1" customHeight="1">
      <c r="A380" s="741" t="s">
        <v>1157</v>
      </c>
      <c r="B380" s="742">
        <v>374</v>
      </c>
      <c r="C380" s="758" t="s">
        <v>1245</v>
      </c>
      <c r="D380" s="742" t="s">
        <v>2570</v>
      </c>
      <c r="E380" s="742" t="s">
        <v>2231</v>
      </c>
      <c r="F380" s="754" t="s">
        <v>3466</v>
      </c>
      <c r="G380" s="759" t="s">
        <v>1084</v>
      </c>
      <c r="H380" s="742" t="s">
        <v>2577</v>
      </c>
      <c r="I380" s="761">
        <v>1</v>
      </c>
      <c r="J380" s="762"/>
      <c r="K380" s="762"/>
      <c r="L380" s="762"/>
      <c r="M380" s="762"/>
      <c r="N380" s="762"/>
      <c r="O380" s="762"/>
      <c r="P380" s="763"/>
      <c r="Q380" s="764">
        <f t="shared" si="5"/>
        <v>1</v>
      </c>
      <c r="R380" s="758" t="s">
        <v>1846</v>
      </c>
      <c r="S380" s="742" t="s">
        <v>1826</v>
      </c>
      <c r="T380" s="1389" t="s">
        <v>1837</v>
      </c>
      <c r="U380" s="742" t="s">
        <v>2348</v>
      </c>
      <c r="V380" s="742" t="s">
        <v>1857</v>
      </c>
      <c r="W380" s="742" t="s">
        <v>2511</v>
      </c>
      <c r="X380" s="1279">
        <v>1</v>
      </c>
      <c r="Y380" s="774" t="s">
        <v>1838</v>
      </c>
      <c r="Z380" s="759" t="s">
        <v>1084</v>
      </c>
      <c r="AA380" s="754"/>
      <c r="AB380" s="754"/>
      <c r="AC380" s="754"/>
      <c r="AD380" s="754"/>
      <c r="AE380" s="754"/>
      <c r="AF380" s="768"/>
      <c r="AG380" s="855"/>
      <c r="AH380" s="855"/>
      <c r="AI380" s="855"/>
      <c r="AJ380" s="855"/>
      <c r="AK380" s="855"/>
      <c r="AL380" s="855"/>
      <c r="AM380" s="798"/>
      <c r="AN380" s="798"/>
      <c r="AO380" s="798"/>
      <c r="AP380" s="785"/>
      <c r="AQ380" s="1369"/>
      <c r="AR380" s="1319"/>
      <c r="AS380" s="1319"/>
      <c r="AT380" s="1319"/>
      <c r="AU380" s="1320"/>
      <c r="AV380" s="786"/>
      <c r="AW380" s="785"/>
      <c r="AX380" s="785"/>
      <c r="AY380" s="785"/>
      <c r="AZ380" s="785"/>
      <c r="BA380" s="785"/>
      <c r="BB380" s="785"/>
      <c r="BC380" s="785"/>
      <c r="BD380" s="785"/>
      <c r="BE380" s="785"/>
      <c r="BF380" s="785"/>
      <c r="BG380" s="785"/>
      <c r="BH380" s="785"/>
      <c r="BI380" s="785"/>
      <c r="BJ380" s="785"/>
      <c r="BK380" s="787"/>
      <c r="BL380" s="1327"/>
      <c r="BM380" s="1328"/>
      <c r="BN380" s="1328"/>
      <c r="BO380" s="1328"/>
      <c r="BP380" s="1389"/>
      <c r="BQ380" s="1369"/>
      <c r="BR380" s="1319"/>
      <c r="BS380" s="1319"/>
      <c r="BT380" s="1319"/>
      <c r="BU380" s="1320"/>
      <c r="BV380" s="1370"/>
      <c r="BW380" s="1324"/>
      <c r="BX380" s="1324"/>
      <c r="BY380" s="1324"/>
      <c r="BZ380" s="1324"/>
      <c r="CA380" s="1369"/>
      <c r="CB380" s="1319"/>
      <c r="CC380" s="1319"/>
      <c r="CD380" s="1319"/>
      <c r="CE380" s="1320"/>
      <c r="CF380" s="1319"/>
      <c r="CG380" s="1319"/>
      <c r="CH380" s="1319"/>
      <c r="CI380" s="1319"/>
      <c r="CJ380" s="1320"/>
      <c r="CK380" s="1369"/>
      <c r="CL380" s="1319"/>
      <c r="CM380" s="1319"/>
      <c r="CN380" s="1319"/>
      <c r="CO380" s="1320"/>
      <c r="CP380" s="1369"/>
      <c r="CQ380" s="1319"/>
      <c r="CR380" s="1319"/>
      <c r="CS380" s="1319"/>
      <c r="CT380" s="1320"/>
      <c r="CU380" s="1467"/>
      <c r="CV380" s="1458"/>
      <c r="CW380" s="1458"/>
      <c r="CX380" s="1663"/>
      <c r="CY380" s="1458"/>
      <c r="CZ380" s="1458"/>
      <c r="DA380" s="1458"/>
      <c r="DB380" s="1663"/>
      <c r="DC380" s="1328"/>
      <c r="DD380" s="1664"/>
      <c r="DE380" s="1669"/>
    </row>
    <row r="381" spans="1:109" ht="15.75" hidden="1" customHeight="1">
      <c r="A381" s="741" t="s">
        <v>1157</v>
      </c>
      <c r="B381" s="742">
        <v>375</v>
      </c>
      <c r="C381" s="758" t="s">
        <v>1232</v>
      </c>
      <c r="D381" s="742" t="s">
        <v>2570</v>
      </c>
      <c r="E381" s="742" t="s">
        <v>3467</v>
      </c>
      <c r="F381" s="754" t="s">
        <v>3468</v>
      </c>
      <c r="G381" s="759" t="s">
        <v>203</v>
      </c>
      <c r="H381" s="742" t="s">
        <v>2583</v>
      </c>
      <c r="I381" s="761"/>
      <c r="J381" s="762">
        <v>1</v>
      </c>
      <c r="K381" s="762"/>
      <c r="L381" s="762"/>
      <c r="M381" s="762"/>
      <c r="N381" s="762"/>
      <c r="O381" s="762"/>
      <c r="P381" s="763"/>
      <c r="Q381" s="764">
        <f t="shared" si="5"/>
        <v>1</v>
      </c>
      <c r="R381" s="758" t="s">
        <v>1852</v>
      </c>
      <c r="S381" s="742" t="s">
        <v>1826</v>
      </c>
      <c r="T381" s="765" t="s">
        <v>1827</v>
      </c>
      <c r="U381" s="742" t="s">
        <v>2363</v>
      </c>
      <c r="V381" s="742" t="s">
        <v>1857</v>
      </c>
      <c r="W381" s="742" t="s">
        <v>3469</v>
      </c>
      <c r="X381" s="1280">
        <v>1</v>
      </c>
      <c r="Y381" s="810" t="s">
        <v>1838</v>
      </c>
      <c r="Z381" s="759" t="s">
        <v>203</v>
      </c>
      <c r="AA381" s="754"/>
      <c r="AB381" s="754"/>
      <c r="AC381" s="754"/>
      <c r="AD381" s="754"/>
      <c r="AE381" s="754"/>
      <c r="AF381" s="768"/>
      <c r="AG381" s="855"/>
      <c r="AH381" s="855"/>
      <c r="AI381" s="855"/>
      <c r="AJ381" s="855"/>
      <c r="AK381" s="855"/>
      <c r="AL381" s="855"/>
      <c r="AM381" s="855"/>
      <c r="AN381" s="785"/>
      <c r="AO381" s="785"/>
      <c r="AP381" s="785"/>
      <c r="AQ381" s="1370"/>
      <c r="AR381" s="1324"/>
      <c r="AS381" s="1324"/>
      <c r="AT381" s="1324"/>
      <c r="AU381" s="1325"/>
      <c r="AV381" s="786"/>
      <c r="AW381" s="785"/>
      <c r="AX381" s="785"/>
      <c r="AY381" s="785"/>
      <c r="AZ381" s="785"/>
      <c r="BA381" s="785"/>
      <c r="BB381" s="785"/>
      <c r="BC381" s="785"/>
      <c r="BD381" s="785"/>
      <c r="BE381" s="785"/>
      <c r="BF381" s="785"/>
      <c r="BG381" s="785"/>
      <c r="BH381" s="785"/>
      <c r="BI381" s="785"/>
      <c r="BJ381" s="785"/>
      <c r="BK381" s="787"/>
      <c r="BL381" s="1327"/>
      <c r="BM381" s="1328"/>
      <c r="BN381" s="1328"/>
      <c r="BO381" s="1328"/>
      <c r="BP381" s="1389"/>
      <c r="BQ381" s="1369"/>
      <c r="BR381" s="1319"/>
      <c r="BS381" s="1319"/>
      <c r="BT381" s="1319"/>
      <c r="BU381" s="1320"/>
      <c r="BV381" s="1370"/>
      <c r="BW381" s="1324"/>
      <c r="BX381" s="1324"/>
      <c r="BY381" s="1324"/>
      <c r="BZ381" s="1324"/>
      <c r="CA381" s="1369"/>
      <c r="CB381" s="1319"/>
      <c r="CC381" s="1319"/>
      <c r="CD381" s="1319"/>
      <c r="CE381" s="1320"/>
      <c r="CF381" s="1319"/>
      <c r="CG381" s="1319"/>
      <c r="CH381" s="1319"/>
      <c r="CI381" s="1319"/>
      <c r="CJ381" s="1320"/>
      <c r="CK381" s="1369"/>
      <c r="CL381" s="1319"/>
      <c r="CM381" s="1319"/>
      <c r="CN381" s="1319"/>
      <c r="CO381" s="1320"/>
      <c r="CP381" s="1369"/>
      <c r="CQ381" s="1319"/>
      <c r="CR381" s="1319"/>
      <c r="CS381" s="1319"/>
      <c r="CT381" s="1320"/>
      <c r="CU381" s="1467"/>
      <c r="CV381" s="1458"/>
      <c r="CW381" s="1458"/>
      <c r="CX381" s="1663"/>
      <c r="CY381" s="1458"/>
      <c r="CZ381" s="1458"/>
      <c r="DA381" s="1458"/>
      <c r="DB381" s="1663"/>
      <c r="DC381" s="1328"/>
      <c r="DD381" s="1664"/>
      <c r="DE381" s="1669"/>
    </row>
    <row r="382" spans="1:109" ht="15.75" hidden="1" customHeight="1">
      <c r="A382" s="741" t="s">
        <v>1157</v>
      </c>
      <c r="B382" s="742">
        <v>376</v>
      </c>
      <c r="C382" s="758" t="s">
        <v>1233</v>
      </c>
      <c r="D382" s="742" t="s">
        <v>2570</v>
      </c>
      <c r="E382" s="742" t="s">
        <v>2231</v>
      </c>
      <c r="F382" s="754" t="s">
        <v>3470</v>
      </c>
      <c r="G382" s="759" t="s">
        <v>209</v>
      </c>
      <c r="H382" s="742" t="s">
        <v>2586</v>
      </c>
      <c r="I382" s="761">
        <v>0.1</v>
      </c>
      <c r="J382" s="762">
        <v>0.9</v>
      </c>
      <c r="K382" s="762"/>
      <c r="L382" s="762"/>
      <c r="M382" s="762"/>
      <c r="N382" s="762"/>
      <c r="O382" s="762"/>
      <c r="P382" s="763"/>
      <c r="Q382" s="764">
        <f t="shared" si="5"/>
        <v>1</v>
      </c>
      <c r="R382" s="758" t="s">
        <v>1846</v>
      </c>
      <c r="S382" s="742" t="s">
        <v>1826</v>
      </c>
      <c r="T382" s="765" t="s">
        <v>1827</v>
      </c>
      <c r="U382" s="742" t="s">
        <v>2238</v>
      </c>
      <c r="V382" s="742" t="s">
        <v>321</v>
      </c>
      <c r="W382" s="742" t="s">
        <v>2587</v>
      </c>
      <c r="X382" s="1279">
        <v>2</v>
      </c>
      <c r="Y382" s="774" t="s">
        <v>1838</v>
      </c>
      <c r="Z382" s="759" t="s">
        <v>209</v>
      </c>
      <c r="AA382" s="754"/>
      <c r="AB382" s="754"/>
      <c r="AC382" s="754"/>
      <c r="AD382" s="754"/>
      <c r="AE382" s="754"/>
      <c r="AF382" s="768"/>
      <c r="AG382" s="855"/>
      <c r="AH382" s="855"/>
      <c r="AI382" s="855"/>
      <c r="AJ382" s="855"/>
      <c r="AK382" s="855"/>
      <c r="AL382" s="855"/>
      <c r="AM382" s="776"/>
      <c r="AN382" s="769"/>
      <c r="AO382" s="769"/>
      <c r="AP382" s="776"/>
      <c r="AQ382" s="1370"/>
      <c r="AR382" s="1324"/>
      <c r="AS382" s="1324"/>
      <c r="AT382" s="1324"/>
      <c r="AU382" s="1325"/>
      <c r="AV382" s="777"/>
      <c r="AW382" s="769"/>
      <c r="AX382" s="769"/>
      <c r="AY382" s="769"/>
      <c r="AZ382" s="769"/>
      <c r="BA382" s="769"/>
      <c r="BB382" s="776"/>
      <c r="BC382" s="769"/>
      <c r="BD382" s="769"/>
      <c r="BE382" s="769"/>
      <c r="BF382" s="769"/>
      <c r="BG382" s="769"/>
      <c r="BH382" s="769"/>
      <c r="BI382" s="769"/>
      <c r="BJ382" s="769"/>
      <c r="BK382" s="774"/>
      <c r="BL382" s="1327"/>
      <c r="BM382" s="1328"/>
      <c r="BN382" s="1328"/>
      <c r="BO382" s="1328"/>
      <c r="BP382" s="1389"/>
      <c r="BQ382" s="1369"/>
      <c r="BR382" s="1319"/>
      <c r="BS382" s="1319"/>
      <c r="BT382" s="1319"/>
      <c r="BU382" s="1320"/>
      <c r="BV382" s="1369"/>
      <c r="BW382" s="1319"/>
      <c r="BX382" s="1319"/>
      <c r="BY382" s="1319"/>
      <c r="BZ382" s="1319"/>
      <c r="CA382" s="1369"/>
      <c r="CB382" s="1319"/>
      <c r="CC382" s="1319"/>
      <c r="CD382" s="1319"/>
      <c r="CE382" s="1320"/>
      <c r="CF382" s="1319"/>
      <c r="CG382" s="1319"/>
      <c r="CH382" s="1319"/>
      <c r="CI382" s="1319"/>
      <c r="CJ382" s="1320"/>
      <c r="CK382" s="1369"/>
      <c r="CL382" s="1319"/>
      <c r="CM382" s="1319"/>
      <c r="CN382" s="1319"/>
      <c r="CO382" s="1320"/>
      <c r="CP382" s="1370"/>
      <c r="CQ382" s="1324"/>
      <c r="CR382" s="1324"/>
      <c r="CS382" s="1324"/>
      <c r="CT382" s="1325"/>
      <c r="CU382" s="1467"/>
      <c r="CV382" s="1458"/>
      <c r="CW382" s="1458"/>
      <c r="CX382" s="1663"/>
      <c r="CY382" s="1458"/>
      <c r="CZ382" s="1458"/>
      <c r="DA382" s="1458"/>
      <c r="DB382" s="1663"/>
      <c r="DC382" s="1328"/>
      <c r="DD382" s="1664"/>
      <c r="DE382" s="1669"/>
    </row>
    <row r="383" spans="1:109" ht="15.75" hidden="1" customHeight="1">
      <c r="A383" s="741" t="s">
        <v>1157</v>
      </c>
      <c r="B383" s="742">
        <v>377</v>
      </c>
      <c r="C383" s="758" t="s">
        <v>1238</v>
      </c>
      <c r="D383" s="742" t="s">
        <v>2570</v>
      </c>
      <c r="E383" s="742" t="s">
        <v>2231</v>
      </c>
      <c r="F383" s="754" t="s">
        <v>3471</v>
      </c>
      <c r="G383" s="759" t="s">
        <v>567</v>
      </c>
      <c r="H383" s="742" t="s">
        <v>2580</v>
      </c>
      <c r="I383" s="761">
        <v>1</v>
      </c>
      <c r="J383" s="762"/>
      <c r="K383" s="762"/>
      <c r="L383" s="762"/>
      <c r="M383" s="762"/>
      <c r="N383" s="762"/>
      <c r="O383" s="762"/>
      <c r="P383" s="763"/>
      <c r="Q383" s="764">
        <f t="shared" si="5"/>
        <v>1</v>
      </c>
      <c r="R383" s="758" t="s">
        <v>1825</v>
      </c>
      <c r="S383" s="742"/>
      <c r="T383" s="765"/>
      <c r="U383" s="742" t="s">
        <v>2234</v>
      </c>
      <c r="V383" s="742" t="s">
        <v>321</v>
      </c>
      <c r="W383" s="742" t="s">
        <v>3472</v>
      </c>
      <c r="X383" s="1279">
        <v>1</v>
      </c>
      <c r="Y383" s="869" t="s">
        <v>1838</v>
      </c>
      <c r="Z383" s="759" t="s">
        <v>567</v>
      </c>
      <c r="AA383" s="754"/>
      <c r="AB383" s="754"/>
      <c r="AC383" s="754"/>
      <c r="AD383" s="754"/>
      <c r="AE383" s="754"/>
      <c r="AF383" s="768"/>
      <c r="AG383" s="867"/>
      <c r="AH383" s="867"/>
      <c r="AI383" s="867"/>
      <c r="AJ383" s="867"/>
      <c r="AK383" s="867"/>
      <c r="AL383" s="867"/>
      <c r="AM383" s="867"/>
      <c r="AN383" s="785"/>
      <c r="AO383" s="785"/>
      <c r="AP383" s="785"/>
      <c r="AQ383" s="1460"/>
      <c r="AR383" s="1665"/>
      <c r="AS383" s="1665"/>
      <c r="AT383" s="1665"/>
      <c r="AU383" s="1466"/>
      <c r="AV383" s="786"/>
      <c r="AW383" s="785"/>
      <c r="AX383" s="785"/>
      <c r="AY383" s="785"/>
      <c r="AZ383" s="785"/>
      <c r="BA383" s="785"/>
      <c r="BB383" s="785"/>
      <c r="BC383" s="785"/>
      <c r="BD383" s="785"/>
      <c r="BE383" s="785"/>
      <c r="BF383" s="785"/>
      <c r="BG383" s="785"/>
      <c r="BH383" s="785"/>
      <c r="BI383" s="785"/>
      <c r="BJ383" s="785"/>
      <c r="BK383" s="787"/>
      <c r="BL383" s="1327"/>
      <c r="BM383" s="1328"/>
      <c r="BN383" s="1328"/>
      <c r="BO383" s="1328"/>
      <c r="BP383" s="1389"/>
      <c r="BQ383" s="1369"/>
      <c r="BR383" s="1319"/>
      <c r="BS383" s="1319"/>
      <c r="BT383" s="1319"/>
      <c r="BU383" s="1320"/>
      <c r="BV383" s="1370"/>
      <c r="BW383" s="1324"/>
      <c r="BX383" s="1324"/>
      <c r="BY383" s="1324"/>
      <c r="BZ383" s="1324"/>
      <c r="CA383" s="1369"/>
      <c r="CB383" s="1319"/>
      <c r="CC383" s="1319"/>
      <c r="CD383" s="1319"/>
      <c r="CE383" s="1320"/>
      <c r="CF383" s="1319"/>
      <c r="CG383" s="1319"/>
      <c r="CH383" s="1319"/>
      <c r="CI383" s="1319"/>
      <c r="CJ383" s="1320"/>
      <c r="CK383" s="1369"/>
      <c r="CL383" s="1319"/>
      <c r="CM383" s="1319"/>
      <c r="CN383" s="1319"/>
      <c r="CO383" s="1320"/>
      <c r="CP383" s="1369"/>
      <c r="CQ383" s="1319"/>
      <c r="CR383" s="1319"/>
      <c r="CS383" s="1319"/>
      <c r="CT383" s="1320"/>
      <c r="CU383" s="1467"/>
      <c r="CV383" s="1458"/>
      <c r="CW383" s="1458"/>
      <c r="CX383" s="1663"/>
      <c r="CY383" s="1458"/>
      <c r="CZ383" s="1458"/>
      <c r="DA383" s="1458"/>
      <c r="DB383" s="1663"/>
      <c r="DC383" s="1328"/>
      <c r="DD383" s="1664"/>
      <c r="DE383" s="1669"/>
    </row>
    <row r="384" spans="1:109" ht="15.75" hidden="1" customHeight="1">
      <c r="A384" s="741" t="s">
        <v>1157</v>
      </c>
      <c r="B384" s="742">
        <v>378</v>
      </c>
      <c r="C384" s="758" t="s">
        <v>1382</v>
      </c>
      <c r="D384" s="742" t="s">
        <v>2570</v>
      </c>
      <c r="E384" s="742" t="s">
        <v>2217</v>
      </c>
      <c r="F384" s="754" t="s">
        <v>3473</v>
      </c>
      <c r="G384" s="759" t="s">
        <v>3474</v>
      </c>
      <c r="H384" s="742" t="s">
        <v>3475</v>
      </c>
      <c r="I384" s="761"/>
      <c r="J384" s="762">
        <v>1</v>
      </c>
      <c r="K384" s="762"/>
      <c r="L384" s="762"/>
      <c r="M384" s="762"/>
      <c r="N384" s="762"/>
      <c r="O384" s="762"/>
      <c r="P384" s="763"/>
      <c r="Q384" s="764">
        <f t="shared" si="5"/>
        <v>1</v>
      </c>
      <c r="R384" s="758" t="s">
        <v>1852</v>
      </c>
      <c r="S384" s="742" t="s">
        <v>1826</v>
      </c>
      <c r="T384" s="765" t="s">
        <v>1827</v>
      </c>
      <c r="U384" s="742" t="s">
        <v>705</v>
      </c>
      <c r="V384" s="742" t="s">
        <v>1851</v>
      </c>
      <c r="W384" s="742" t="s">
        <v>3476</v>
      </c>
      <c r="X384" s="1279">
        <v>1</v>
      </c>
      <c r="Y384" s="780" t="s">
        <v>1838</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210</v>
      </c>
      <c r="BM384" s="754" t="s">
        <v>210</v>
      </c>
      <c r="BN384" s="754" t="s">
        <v>210</v>
      </c>
      <c r="BO384" s="754" t="s">
        <v>210</v>
      </c>
      <c r="BP384" s="765" t="s">
        <v>210</v>
      </c>
      <c r="BQ384" s="2343"/>
      <c r="BR384" s="2344"/>
      <c r="BS384" s="2344"/>
      <c r="BT384" s="2344"/>
      <c r="BU384" s="2345"/>
      <c r="BV384" s="775" t="s">
        <v>2260</v>
      </c>
      <c r="BW384" s="776" t="s">
        <v>2260</v>
      </c>
      <c r="BX384" s="776" t="s">
        <v>2260</v>
      </c>
      <c r="BY384" s="776" t="s">
        <v>2260</v>
      </c>
      <c r="BZ384" s="776" t="s">
        <v>2260</v>
      </c>
      <c r="CA384" s="2343"/>
      <c r="CB384" s="2344"/>
      <c r="CC384" s="2344"/>
      <c r="CD384" s="2344"/>
      <c r="CE384" s="2345"/>
      <c r="CF384" s="2344"/>
      <c r="CG384" s="2344"/>
      <c r="CH384" s="2344"/>
      <c r="CI384" s="2344"/>
      <c r="CJ384" s="2345"/>
      <c r="CK384" s="777" t="s">
        <v>2260</v>
      </c>
      <c r="CL384" s="769" t="s">
        <v>2260</v>
      </c>
      <c r="CM384" s="769" t="s">
        <v>2260</v>
      </c>
      <c r="CN384" s="769" t="s">
        <v>2260</v>
      </c>
      <c r="CO384" s="774" t="s">
        <v>2260</v>
      </c>
      <c r="CP384" s="2343"/>
      <c r="CQ384" s="2344"/>
      <c r="CR384" s="2344"/>
      <c r="CS384" s="2344"/>
      <c r="CT384" s="2345"/>
      <c r="CU384" s="1253">
        <v>-1.073</v>
      </c>
      <c r="CV384" s="1252" t="s">
        <v>2260</v>
      </c>
      <c r="CW384" s="1252" t="s">
        <v>2260</v>
      </c>
      <c r="CX384" s="1254" t="s">
        <v>2260</v>
      </c>
      <c r="CY384" s="1252">
        <v>1.073</v>
      </c>
      <c r="CZ384" s="1252" t="s">
        <v>2260</v>
      </c>
      <c r="DA384" s="1252" t="s">
        <v>2260</v>
      </c>
      <c r="DB384" s="1254" t="s">
        <v>2260</v>
      </c>
      <c r="DC384" s="754"/>
      <c r="DD384" s="782">
        <v>1</v>
      </c>
      <c r="DE384" s="783"/>
    </row>
    <row r="385" spans="1:109" ht="15.75" hidden="1" customHeight="1">
      <c r="A385" s="741" t="s">
        <v>1157</v>
      </c>
      <c r="B385" s="742">
        <v>379</v>
      </c>
      <c r="C385" s="758" t="s">
        <v>1399</v>
      </c>
      <c r="D385" s="742" t="s">
        <v>2570</v>
      </c>
      <c r="E385" s="742" t="s">
        <v>2217</v>
      </c>
      <c r="F385" s="754" t="s">
        <v>3477</v>
      </c>
      <c r="G385" s="759" t="s">
        <v>3478</v>
      </c>
      <c r="H385" s="742" t="s">
        <v>3479</v>
      </c>
      <c r="I385" s="761"/>
      <c r="J385" s="762">
        <v>1</v>
      </c>
      <c r="K385" s="762"/>
      <c r="L385" s="762"/>
      <c r="M385" s="762"/>
      <c r="N385" s="762"/>
      <c r="O385" s="762"/>
      <c r="P385" s="763"/>
      <c r="Q385" s="764">
        <f t="shared" si="5"/>
        <v>1</v>
      </c>
      <c r="R385" s="758" t="s">
        <v>1852</v>
      </c>
      <c r="S385" s="742" t="s">
        <v>1826</v>
      </c>
      <c r="T385" s="765" t="s">
        <v>1827</v>
      </c>
      <c r="U385" s="742" t="s">
        <v>2297</v>
      </c>
      <c r="V385" s="742" t="s">
        <v>1857</v>
      </c>
      <c r="W385" s="742" t="s">
        <v>3480</v>
      </c>
      <c r="X385" s="1279">
        <v>0</v>
      </c>
      <c r="Y385" s="810" t="s">
        <v>1838</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210</v>
      </c>
      <c r="BM385" s="754" t="s">
        <v>210</v>
      </c>
      <c r="BN385" s="754" t="s">
        <v>210</v>
      </c>
      <c r="BO385" s="754" t="s">
        <v>210</v>
      </c>
      <c r="BP385" s="765" t="s">
        <v>210</v>
      </c>
      <c r="BQ385" s="777" t="s">
        <v>2260</v>
      </c>
      <c r="BR385" s="769" t="s">
        <v>2260</v>
      </c>
      <c r="BS385" s="769" t="s">
        <v>2260</v>
      </c>
      <c r="BT385" s="769" t="s">
        <v>2260</v>
      </c>
      <c r="BU385" s="774" t="s">
        <v>2260</v>
      </c>
      <c r="BV385" s="775" t="s">
        <v>2260</v>
      </c>
      <c r="BW385" s="776" t="s">
        <v>2260</v>
      </c>
      <c r="BX385" s="776" t="s">
        <v>2260</v>
      </c>
      <c r="BY385" s="776" t="s">
        <v>2260</v>
      </c>
      <c r="BZ385" s="776" t="s">
        <v>2260</v>
      </c>
      <c r="CA385" s="777" t="s">
        <v>2260</v>
      </c>
      <c r="CB385" s="769" t="s">
        <v>2260</v>
      </c>
      <c r="CC385" s="769" t="s">
        <v>2260</v>
      </c>
      <c r="CD385" s="769" t="s">
        <v>2260</v>
      </c>
      <c r="CE385" s="774" t="s">
        <v>2260</v>
      </c>
      <c r="CF385" s="769" t="s">
        <v>2260</v>
      </c>
      <c r="CG385" s="769" t="s">
        <v>2260</v>
      </c>
      <c r="CH385" s="769" t="s">
        <v>2260</v>
      </c>
      <c r="CI385" s="769" t="s">
        <v>2260</v>
      </c>
      <c r="CJ385" s="774" t="s">
        <v>2260</v>
      </c>
      <c r="CK385" s="777" t="s">
        <v>2260</v>
      </c>
      <c r="CL385" s="769" t="s">
        <v>2260</v>
      </c>
      <c r="CM385" s="769" t="s">
        <v>2260</v>
      </c>
      <c r="CN385" s="769" t="s">
        <v>2260</v>
      </c>
      <c r="CO385" s="774" t="s">
        <v>2260</v>
      </c>
      <c r="CP385" s="777" t="s">
        <v>2260</v>
      </c>
      <c r="CQ385" s="769" t="s">
        <v>2260</v>
      </c>
      <c r="CR385" s="769" t="s">
        <v>2260</v>
      </c>
      <c r="CS385" s="769" t="s">
        <v>2260</v>
      </c>
      <c r="CT385" s="774" t="s">
        <v>2260</v>
      </c>
      <c r="CU385" s="1253">
        <v>-4.64E-4</v>
      </c>
      <c r="CV385" s="1252" t="s">
        <v>2260</v>
      </c>
      <c r="CW385" s="1252" t="s">
        <v>2260</v>
      </c>
      <c r="CX385" s="1254" t="s">
        <v>2260</v>
      </c>
      <c r="CY385" s="1252">
        <v>4.64E-4</v>
      </c>
      <c r="CZ385" s="1252" t="s">
        <v>2260</v>
      </c>
      <c r="DA385" s="1252" t="s">
        <v>2260</v>
      </c>
      <c r="DB385" s="1254" t="s">
        <v>2260</v>
      </c>
      <c r="DC385" s="754"/>
      <c r="DD385" s="782">
        <v>1</v>
      </c>
      <c r="DE385" s="783"/>
    </row>
    <row r="386" spans="1:109" ht="15.75" hidden="1" customHeight="1">
      <c r="A386" s="741" t="s">
        <v>1157</v>
      </c>
      <c r="B386" s="742">
        <v>380</v>
      </c>
      <c r="C386" s="758" t="s">
        <v>1416</v>
      </c>
      <c r="D386" s="742" t="s">
        <v>2570</v>
      </c>
      <c r="E386" s="742" t="s">
        <v>2231</v>
      </c>
      <c r="F386" s="754" t="s">
        <v>3481</v>
      </c>
      <c r="G386" s="759" t="s">
        <v>2540</v>
      </c>
      <c r="H386" s="742" t="s">
        <v>3482</v>
      </c>
      <c r="I386" s="761">
        <v>1</v>
      </c>
      <c r="J386" s="762"/>
      <c r="K386" s="762"/>
      <c r="L386" s="762"/>
      <c r="M386" s="762"/>
      <c r="N386" s="762"/>
      <c r="O386" s="762"/>
      <c r="P386" s="763"/>
      <c r="Q386" s="764">
        <f t="shared" si="5"/>
        <v>1</v>
      </c>
      <c r="R386" s="758" t="s">
        <v>1852</v>
      </c>
      <c r="S386" s="742" t="s">
        <v>1826</v>
      </c>
      <c r="T386" s="765" t="s">
        <v>1827</v>
      </c>
      <c r="U386" s="742" t="s">
        <v>2290</v>
      </c>
      <c r="V386" s="742" t="s">
        <v>1857</v>
      </c>
      <c r="W386" s="742" t="s">
        <v>2542</v>
      </c>
      <c r="X386" s="1279">
        <v>0</v>
      </c>
      <c r="Y386" s="780" t="s">
        <v>1838</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210</v>
      </c>
      <c r="BM386" s="754" t="s">
        <v>210</v>
      </c>
      <c r="BN386" s="754" t="s">
        <v>210</v>
      </c>
      <c r="BO386" s="754" t="s">
        <v>210</v>
      </c>
      <c r="BP386" s="765" t="s">
        <v>210</v>
      </c>
      <c r="BQ386" s="777" t="s">
        <v>2260</v>
      </c>
      <c r="BR386" s="769" t="s">
        <v>2260</v>
      </c>
      <c r="BS386" s="769" t="s">
        <v>2260</v>
      </c>
      <c r="BT386" s="769" t="s">
        <v>2260</v>
      </c>
      <c r="BU386" s="774" t="s">
        <v>2260</v>
      </c>
      <c r="BV386" s="775" t="s">
        <v>2260</v>
      </c>
      <c r="BW386" s="776" t="s">
        <v>2260</v>
      </c>
      <c r="BX386" s="776" t="s">
        <v>2260</v>
      </c>
      <c r="BY386" s="776" t="s">
        <v>2260</v>
      </c>
      <c r="BZ386" s="776" t="s">
        <v>2260</v>
      </c>
      <c r="CA386" s="777" t="s">
        <v>2260</v>
      </c>
      <c r="CB386" s="769" t="s">
        <v>2260</v>
      </c>
      <c r="CC386" s="769" t="s">
        <v>2260</v>
      </c>
      <c r="CD386" s="769" t="s">
        <v>2260</v>
      </c>
      <c r="CE386" s="774" t="s">
        <v>2260</v>
      </c>
      <c r="CF386" s="769" t="s">
        <v>2260</v>
      </c>
      <c r="CG386" s="769" t="s">
        <v>2260</v>
      </c>
      <c r="CH386" s="769" t="s">
        <v>2260</v>
      </c>
      <c r="CI386" s="769" t="s">
        <v>2260</v>
      </c>
      <c r="CJ386" s="774" t="s">
        <v>2260</v>
      </c>
      <c r="CK386" s="777" t="s">
        <v>2260</v>
      </c>
      <c r="CL386" s="769" t="s">
        <v>2260</v>
      </c>
      <c r="CM386" s="769" t="s">
        <v>2260</v>
      </c>
      <c r="CN386" s="769" t="s">
        <v>2260</v>
      </c>
      <c r="CO386" s="774" t="s">
        <v>2260</v>
      </c>
      <c r="CP386" s="777" t="s">
        <v>2260</v>
      </c>
      <c r="CQ386" s="769" t="s">
        <v>2260</v>
      </c>
      <c r="CR386" s="769" t="s">
        <v>2260</v>
      </c>
      <c r="CS386" s="769" t="s">
        <v>2260</v>
      </c>
      <c r="CT386" s="774" t="s">
        <v>2260</v>
      </c>
      <c r="CU386" s="1253" t="s">
        <v>2260</v>
      </c>
      <c r="CV386" s="1252" t="s">
        <v>2260</v>
      </c>
      <c r="CW386" s="1252" t="s">
        <v>2260</v>
      </c>
      <c r="CX386" s="1254" t="s">
        <v>2260</v>
      </c>
      <c r="CY386" s="1252" t="s">
        <v>2260</v>
      </c>
      <c r="CZ386" s="1252" t="s">
        <v>2260</v>
      </c>
      <c r="DA386" s="1252" t="s">
        <v>2260</v>
      </c>
      <c r="DB386" s="1254" t="s">
        <v>2260</v>
      </c>
      <c r="DC386" s="754" t="s">
        <v>173</v>
      </c>
      <c r="DD386" s="782">
        <v>1</v>
      </c>
      <c r="DE386" s="783"/>
    </row>
    <row r="387" spans="1:109" ht="15.75" hidden="1" customHeight="1">
      <c r="A387" s="741" t="s">
        <v>1157</v>
      </c>
      <c r="B387" s="742">
        <v>381</v>
      </c>
      <c r="C387" s="758" t="s">
        <v>1432</v>
      </c>
      <c r="D387" s="742" t="s">
        <v>2570</v>
      </c>
      <c r="E387" s="742" t="s">
        <v>2217</v>
      </c>
      <c r="F387" s="754" t="s">
        <v>3483</v>
      </c>
      <c r="G387" s="759" t="s">
        <v>3484</v>
      </c>
      <c r="H387" s="742" t="s">
        <v>3485</v>
      </c>
      <c r="I387" s="761"/>
      <c r="J387" s="762">
        <v>1</v>
      </c>
      <c r="K387" s="762"/>
      <c r="L387" s="762"/>
      <c r="M387" s="762"/>
      <c r="N387" s="762"/>
      <c r="O387" s="762"/>
      <c r="P387" s="763"/>
      <c r="Q387" s="764">
        <f t="shared" si="5"/>
        <v>1</v>
      </c>
      <c r="R387" s="758" t="s">
        <v>1852</v>
      </c>
      <c r="S387" s="742" t="s">
        <v>1826</v>
      </c>
      <c r="T387" s="765" t="s">
        <v>1837</v>
      </c>
      <c r="U387" s="742" t="s">
        <v>2234</v>
      </c>
      <c r="V387" s="742" t="s">
        <v>321</v>
      </c>
      <c r="W387" s="742" t="s">
        <v>3486</v>
      </c>
      <c r="X387" s="1279">
        <v>1</v>
      </c>
      <c r="Y387" s="810" t="s">
        <v>1828</v>
      </c>
      <c r="Z387" s="759"/>
      <c r="AA387" s="754"/>
      <c r="AB387" s="754"/>
      <c r="AC387" s="754"/>
      <c r="AD387" s="754"/>
      <c r="AE387" s="754"/>
      <c r="AF387" s="768"/>
      <c r="AG387" s="785"/>
      <c r="AH387" s="874"/>
      <c r="AI387" s="874"/>
      <c r="AJ387" s="874"/>
      <c r="AK387" s="874"/>
      <c r="AL387" s="874"/>
      <c r="AM387" s="874"/>
      <c r="AN387" s="785"/>
      <c r="AO387" s="785"/>
      <c r="AP387" s="785"/>
      <c r="AQ387" s="786" t="s">
        <v>2260</v>
      </c>
      <c r="AR387" s="785" t="s">
        <v>2260</v>
      </c>
      <c r="AS387" s="785" t="s">
        <v>2260</v>
      </c>
      <c r="AT387" s="785" t="s">
        <v>2260</v>
      </c>
      <c r="AU387" s="1859">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210</v>
      </c>
      <c r="BQ387" s="777" t="s">
        <v>2260</v>
      </c>
      <c r="BR387" s="769" t="s">
        <v>2260</v>
      </c>
      <c r="BS387" s="769" t="s">
        <v>2260</v>
      </c>
      <c r="BT387" s="769" t="s">
        <v>2260</v>
      </c>
      <c r="BU387" s="774" t="s">
        <v>2260</v>
      </c>
      <c r="BV387" s="775" t="s">
        <v>2260</v>
      </c>
      <c r="BW387" s="776" t="s">
        <v>2260</v>
      </c>
      <c r="BX387" s="776" t="s">
        <v>2260</v>
      </c>
      <c r="BY387" s="776" t="s">
        <v>2260</v>
      </c>
      <c r="BZ387" s="776" t="s">
        <v>2260</v>
      </c>
      <c r="CA387" s="786" t="s">
        <v>2260</v>
      </c>
      <c r="CB387" s="785" t="s">
        <v>2260</v>
      </c>
      <c r="CC387" s="785" t="s">
        <v>2260</v>
      </c>
      <c r="CD387" s="785" t="s">
        <v>2260</v>
      </c>
      <c r="CE387" s="787" t="s">
        <v>2260</v>
      </c>
      <c r="CF387" s="769" t="s">
        <v>2260</v>
      </c>
      <c r="CG387" s="769" t="s">
        <v>2260</v>
      </c>
      <c r="CH387" s="769" t="s">
        <v>2260</v>
      </c>
      <c r="CI387" s="769" t="s">
        <v>2260</v>
      </c>
      <c r="CJ387" s="769" t="s">
        <v>2260</v>
      </c>
      <c r="CK387" s="777" t="s">
        <v>2260</v>
      </c>
      <c r="CL387" s="769" t="s">
        <v>2260</v>
      </c>
      <c r="CM387" s="769" t="s">
        <v>2260</v>
      </c>
      <c r="CN387" s="769" t="s">
        <v>2260</v>
      </c>
      <c r="CO387" s="774" t="s">
        <v>2260</v>
      </c>
      <c r="CP387" s="777" t="s">
        <v>2260</v>
      </c>
      <c r="CQ387" s="769" t="s">
        <v>2260</v>
      </c>
      <c r="CR387" s="769" t="s">
        <v>2260</v>
      </c>
      <c r="CS387" s="769" t="s">
        <v>2260</v>
      </c>
      <c r="CT387" s="774" t="s">
        <v>2260</v>
      </c>
      <c r="CU387" s="1253">
        <v>-3.5019999999999998</v>
      </c>
      <c r="CV387" s="1252" t="s">
        <v>2260</v>
      </c>
      <c r="CW387" s="1252" t="s">
        <v>2260</v>
      </c>
      <c r="CX387" s="1254" t="s">
        <v>2260</v>
      </c>
      <c r="CY387" s="1252">
        <v>3.5019999999999998</v>
      </c>
      <c r="CZ387" s="1252" t="s">
        <v>2260</v>
      </c>
      <c r="DA387" s="1252" t="s">
        <v>2260</v>
      </c>
      <c r="DB387" s="1254" t="s">
        <v>2260</v>
      </c>
      <c r="DC387" s="754"/>
      <c r="DD387" s="782">
        <v>1</v>
      </c>
      <c r="DE387" s="783"/>
    </row>
    <row r="388" spans="1:109" ht="15.75" hidden="1" customHeight="1">
      <c r="A388" s="741" t="s">
        <v>1157</v>
      </c>
      <c r="B388" s="742">
        <v>382</v>
      </c>
      <c r="C388" s="758" t="s">
        <v>1447</v>
      </c>
      <c r="D388" s="742" t="s">
        <v>2570</v>
      </c>
      <c r="E388" s="742" t="s">
        <v>2231</v>
      </c>
      <c r="F388" s="754" t="s">
        <v>3487</v>
      </c>
      <c r="G388" s="759" t="s">
        <v>3488</v>
      </c>
      <c r="H388" s="742" t="s">
        <v>3489</v>
      </c>
      <c r="I388" s="761"/>
      <c r="J388" s="762">
        <v>0.75</v>
      </c>
      <c r="K388" s="762"/>
      <c r="L388" s="762"/>
      <c r="M388" s="762">
        <v>0.25</v>
      </c>
      <c r="N388" s="762"/>
      <c r="O388" s="762"/>
      <c r="P388" s="763"/>
      <c r="Q388" s="764">
        <f t="shared" si="5"/>
        <v>1</v>
      </c>
      <c r="R388" s="758" t="s">
        <v>1852</v>
      </c>
      <c r="S388" s="742" t="s">
        <v>1826</v>
      </c>
      <c r="T388" s="765" t="s">
        <v>1827</v>
      </c>
      <c r="U388" s="742" t="s">
        <v>2297</v>
      </c>
      <c r="V388" s="742" t="s">
        <v>321</v>
      </c>
      <c r="W388" s="742" t="s">
        <v>2016</v>
      </c>
      <c r="X388" s="1279">
        <v>1</v>
      </c>
      <c r="Y388" s="774" t="s">
        <v>1828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210</v>
      </c>
      <c r="BM388" s="754" t="s">
        <v>210</v>
      </c>
      <c r="BN388" s="754" t="s">
        <v>210</v>
      </c>
      <c r="BO388" s="754" t="s">
        <v>210</v>
      </c>
      <c r="BP388" s="765" t="s">
        <v>210</v>
      </c>
      <c r="BQ388" s="777" t="s">
        <v>2260</v>
      </c>
      <c r="BR388" s="769" t="s">
        <v>2260</v>
      </c>
      <c r="BS388" s="769" t="s">
        <v>2260</v>
      </c>
      <c r="BT388" s="769" t="s">
        <v>2260</v>
      </c>
      <c r="BU388" s="774" t="s">
        <v>2260</v>
      </c>
      <c r="BV388" s="775" t="s">
        <v>2260</v>
      </c>
      <c r="BW388" s="776" t="s">
        <v>2260</v>
      </c>
      <c r="BX388" s="776" t="s">
        <v>2260</v>
      </c>
      <c r="BY388" s="776" t="s">
        <v>2260</v>
      </c>
      <c r="BZ388" s="776" t="s">
        <v>2260</v>
      </c>
      <c r="CA388" s="786" t="s">
        <v>2260</v>
      </c>
      <c r="CB388" s="785" t="s">
        <v>2260</v>
      </c>
      <c r="CC388" s="785" t="s">
        <v>2260</v>
      </c>
      <c r="CD388" s="785" t="s">
        <v>2260</v>
      </c>
      <c r="CE388" s="787" t="s">
        <v>2260</v>
      </c>
      <c r="CF388" s="769" t="s">
        <v>2260</v>
      </c>
      <c r="CG388" s="769" t="s">
        <v>2260</v>
      </c>
      <c r="CH388" s="769" t="s">
        <v>2260</v>
      </c>
      <c r="CI388" s="769" t="s">
        <v>2260</v>
      </c>
      <c r="CJ388" s="774" t="s">
        <v>2260</v>
      </c>
      <c r="CK388" s="777" t="s">
        <v>2260</v>
      </c>
      <c r="CL388" s="769" t="s">
        <v>2260</v>
      </c>
      <c r="CM388" s="769" t="s">
        <v>2260</v>
      </c>
      <c r="CN388" s="769" t="s">
        <v>2260</v>
      </c>
      <c r="CO388" s="774" t="s">
        <v>2260</v>
      </c>
      <c r="CP388" s="777" t="s">
        <v>2260</v>
      </c>
      <c r="CQ388" s="769" t="s">
        <v>2260</v>
      </c>
      <c r="CR388" s="769" t="s">
        <v>2260</v>
      </c>
      <c r="CS388" s="769" t="s">
        <v>2260</v>
      </c>
      <c r="CT388" s="774" t="s">
        <v>2260</v>
      </c>
      <c r="CU388" s="1253">
        <v>-7.4999999999999997E-2</v>
      </c>
      <c r="CV388" s="1252" t="s">
        <v>2260</v>
      </c>
      <c r="CW388" s="1252" t="s">
        <v>2260</v>
      </c>
      <c r="CX388" s="1254" t="s">
        <v>2260</v>
      </c>
      <c r="CY388" s="1252">
        <v>7.4999999999999997E-2</v>
      </c>
      <c r="CZ388" s="1252" t="s">
        <v>2260</v>
      </c>
      <c r="DA388" s="1252" t="s">
        <v>2260</v>
      </c>
      <c r="DB388" s="1254" t="s">
        <v>2260</v>
      </c>
      <c r="DC388" s="754"/>
      <c r="DD388" s="782">
        <v>1</v>
      </c>
      <c r="DE388" s="783"/>
    </row>
    <row r="389" spans="1:109" ht="15.75" hidden="1" customHeight="1">
      <c r="A389" s="741" t="s">
        <v>1157</v>
      </c>
      <c r="B389" s="742">
        <v>383</v>
      </c>
      <c r="C389" s="758" t="s">
        <v>1459</v>
      </c>
      <c r="D389" s="742" t="s">
        <v>2570</v>
      </c>
      <c r="E389" s="742" t="s">
        <v>2231</v>
      </c>
      <c r="F389" s="754" t="s">
        <v>3490</v>
      </c>
      <c r="G389" s="759" t="s">
        <v>3491</v>
      </c>
      <c r="H389" s="742" t="s">
        <v>3492</v>
      </c>
      <c r="I389" s="761">
        <v>1</v>
      </c>
      <c r="J389" s="762"/>
      <c r="K389" s="762"/>
      <c r="L389" s="762"/>
      <c r="M389" s="762"/>
      <c r="N389" s="762"/>
      <c r="O389" s="762"/>
      <c r="P389" s="763"/>
      <c r="Q389" s="764">
        <f t="shared" si="5"/>
        <v>1</v>
      </c>
      <c r="R389" s="758" t="s">
        <v>1846</v>
      </c>
      <c r="S389" s="742" t="s">
        <v>1836</v>
      </c>
      <c r="T389" s="765" t="s">
        <v>1837</v>
      </c>
      <c r="U389" s="742" t="s">
        <v>2698</v>
      </c>
      <c r="V389" s="742" t="s">
        <v>1857</v>
      </c>
      <c r="W389" s="742" t="s">
        <v>2508</v>
      </c>
      <c r="X389" s="1279">
        <v>1</v>
      </c>
      <c r="Y389" s="774" t="s">
        <v>1828</v>
      </c>
      <c r="Z389" s="759"/>
      <c r="AA389" s="754"/>
      <c r="AB389" s="754"/>
      <c r="AC389" s="754"/>
      <c r="AD389" s="754"/>
      <c r="AE389" s="754"/>
      <c r="AF389" s="768"/>
      <c r="AG389" s="855"/>
      <c r="AH389" s="855"/>
      <c r="AI389" s="859"/>
      <c r="AJ389" s="859"/>
      <c r="AK389" s="859"/>
      <c r="AL389" s="859"/>
      <c r="AM389" s="859"/>
      <c r="AN389" s="785"/>
      <c r="AO389" s="785"/>
      <c r="AP389" s="785"/>
      <c r="AQ389" s="786" t="s">
        <v>2260</v>
      </c>
      <c r="AR389" s="785" t="s">
        <v>2260</v>
      </c>
      <c r="AS389" s="785" t="s">
        <v>2260</v>
      </c>
      <c r="AT389" s="785" t="s">
        <v>2260</v>
      </c>
      <c r="AU389" s="787">
        <v>68.5</v>
      </c>
      <c r="AV389" s="786"/>
      <c r="AW389" s="785"/>
      <c r="AX389" s="785"/>
      <c r="AY389" s="785"/>
      <c r="AZ389" s="785"/>
      <c r="BA389" s="785"/>
      <c r="BB389" s="785"/>
      <c r="BC389" s="785"/>
      <c r="BD389" s="785"/>
      <c r="BE389" s="785"/>
      <c r="BF389" s="785"/>
      <c r="BG389" s="785"/>
      <c r="BH389" s="785"/>
      <c r="BI389" s="785"/>
      <c r="BJ389" s="785"/>
      <c r="BK389" s="787"/>
      <c r="BL389" s="1825"/>
      <c r="BM389" s="1826"/>
      <c r="BN389" s="1826"/>
      <c r="BO389" s="1826"/>
      <c r="BP389" s="765" t="s">
        <v>210</v>
      </c>
      <c r="BQ389" s="777" t="s">
        <v>2260</v>
      </c>
      <c r="BR389" s="769" t="s">
        <v>2260</v>
      </c>
      <c r="BS389" s="769" t="s">
        <v>2260</v>
      </c>
      <c r="BT389" s="769" t="s">
        <v>2260</v>
      </c>
      <c r="BU389" s="774" t="s">
        <v>2260</v>
      </c>
      <c r="BV389" s="775" t="s">
        <v>2260</v>
      </c>
      <c r="BW389" s="776" t="s">
        <v>2260</v>
      </c>
      <c r="BX389" s="776" t="s">
        <v>2260</v>
      </c>
      <c r="BY389" s="776" t="s">
        <v>2260</v>
      </c>
      <c r="BZ389" s="776" t="s">
        <v>2260</v>
      </c>
      <c r="CA389" s="777" t="s">
        <v>2260</v>
      </c>
      <c r="CB389" s="769" t="s">
        <v>2260</v>
      </c>
      <c r="CC389" s="769" t="s">
        <v>2260</v>
      </c>
      <c r="CD389" s="769" t="s">
        <v>2260</v>
      </c>
      <c r="CE389" s="774" t="s">
        <v>2260</v>
      </c>
      <c r="CF389" s="769" t="s">
        <v>2260</v>
      </c>
      <c r="CG389" s="769" t="s">
        <v>2260</v>
      </c>
      <c r="CH389" s="769" t="s">
        <v>2260</v>
      </c>
      <c r="CI389" s="769" t="s">
        <v>2260</v>
      </c>
      <c r="CJ389" s="774" t="s">
        <v>2260</v>
      </c>
      <c r="CK389" s="777" t="s">
        <v>2260</v>
      </c>
      <c r="CL389" s="769" t="s">
        <v>2260</v>
      </c>
      <c r="CM389" s="769" t="s">
        <v>2260</v>
      </c>
      <c r="CN389" s="769" t="s">
        <v>2260</v>
      </c>
      <c r="CO389" s="774" t="s">
        <v>2260</v>
      </c>
      <c r="CP389" s="777" t="s">
        <v>2260</v>
      </c>
      <c r="CQ389" s="769" t="s">
        <v>2260</v>
      </c>
      <c r="CR389" s="769" t="s">
        <v>2260</v>
      </c>
      <c r="CS389" s="769" t="s">
        <v>2260</v>
      </c>
      <c r="CT389" s="774" t="s">
        <v>2260</v>
      </c>
      <c r="CU389" s="1253">
        <v>-0.66</v>
      </c>
      <c r="CV389" s="1252" t="s">
        <v>2260</v>
      </c>
      <c r="CW389" s="1252" t="s">
        <v>2260</v>
      </c>
      <c r="CX389" s="1254" t="s">
        <v>2260</v>
      </c>
      <c r="CY389" s="1252" t="s">
        <v>2260</v>
      </c>
      <c r="CZ389" s="1252" t="s">
        <v>2260</v>
      </c>
      <c r="DA389" s="1252" t="s">
        <v>2260</v>
      </c>
      <c r="DB389" s="1254" t="s">
        <v>2260</v>
      </c>
      <c r="DC389" s="754" t="s">
        <v>173</v>
      </c>
      <c r="DD389" s="782">
        <v>1</v>
      </c>
      <c r="DE389" s="783"/>
    </row>
    <row r="390" spans="1:109" ht="15.75" hidden="1" customHeight="1">
      <c r="A390" s="741" t="s">
        <v>1157</v>
      </c>
      <c r="B390" s="742">
        <v>384</v>
      </c>
      <c r="C390" s="758" t="s">
        <v>1468</v>
      </c>
      <c r="D390" s="742" t="s">
        <v>2570</v>
      </c>
      <c r="E390" s="742" t="s">
        <v>2231</v>
      </c>
      <c r="F390" s="754" t="s">
        <v>3493</v>
      </c>
      <c r="G390" s="759" t="s">
        <v>3494</v>
      </c>
      <c r="H390" s="742" t="s">
        <v>3495</v>
      </c>
      <c r="I390" s="761">
        <v>1</v>
      </c>
      <c r="J390" s="762"/>
      <c r="K390" s="762"/>
      <c r="L390" s="762"/>
      <c r="M390" s="762"/>
      <c r="N390" s="762"/>
      <c r="O390" s="762"/>
      <c r="P390" s="763"/>
      <c r="Q390" s="764">
        <f t="shared" si="5"/>
        <v>1</v>
      </c>
      <c r="R390" s="758" t="s">
        <v>1852</v>
      </c>
      <c r="S390" s="742" t="s">
        <v>1826</v>
      </c>
      <c r="T390" s="765" t="s">
        <v>1827</v>
      </c>
      <c r="U390" s="742" t="s">
        <v>2275</v>
      </c>
      <c r="V390" s="742" t="s">
        <v>1857</v>
      </c>
      <c r="W390" s="742" t="s">
        <v>3496</v>
      </c>
      <c r="X390" s="1279">
        <v>0</v>
      </c>
      <c r="Y390" s="774" t="s">
        <v>1828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28" t="s">
        <v>210</v>
      </c>
      <c r="BM390" s="1829" t="s">
        <v>210</v>
      </c>
      <c r="BN390" s="1829" t="s">
        <v>210</v>
      </c>
      <c r="BO390" s="1829" t="s">
        <v>210</v>
      </c>
      <c r="BP390" s="765" t="s">
        <v>210</v>
      </c>
      <c r="BQ390" s="777" t="s">
        <v>2260</v>
      </c>
      <c r="BR390" s="769" t="s">
        <v>2260</v>
      </c>
      <c r="BS390" s="769" t="s">
        <v>2260</v>
      </c>
      <c r="BT390" s="769" t="s">
        <v>2260</v>
      </c>
      <c r="BU390" s="774" t="s">
        <v>2260</v>
      </c>
      <c r="BV390" s="775" t="s">
        <v>2260</v>
      </c>
      <c r="BW390" s="776" t="s">
        <v>2260</v>
      </c>
      <c r="BX390" s="776" t="s">
        <v>2260</v>
      </c>
      <c r="BY390" s="776" t="s">
        <v>2260</v>
      </c>
      <c r="BZ390" s="776" t="s">
        <v>2260</v>
      </c>
      <c r="CA390" s="777" t="s">
        <v>2260</v>
      </c>
      <c r="CB390" s="769" t="s">
        <v>2260</v>
      </c>
      <c r="CC390" s="769" t="s">
        <v>2260</v>
      </c>
      <c r="CD390" s="769" t="s">
        <v>2260</v>
      </c>
      <c r="CE390" s="774" t="s">
        <v>2260</v>
      </c>
      <c r="CF390" s="769" t="s">
        <v>2260</v>
      </c>
      <c r="CG390" s="769" t="s">
        <v>2260</v>
      </c>
      <c r="CH390" s="769" t="s">
        <v>2260</v>
      </c>
      <c r="CI390" s="769" t="s">
        <v>2260</v>
      </c>
      <c r="CJ390" s="774" t="s">
        <v>2260</v>
      </c>
      <c r="CK390" s="777" t="s">
        <v>2260</v>
      </c>
      <c r="CL390" s="769" t="s">
        <v>2260</v>
      </c>
      <c r="CM390" s="769" t="s">
        <v>2260</v>
      </c>
      <c r="CN390" s="769" t="s">
        <v>2260</v>
      </c>
      <c r="CO390" s="774" t="s">
        <v>2260</v>
      </c>
      <c r="CP390" s="777" t="s">
        <v>2260</v>
      </c>
      <c r="CQ390" s="769" t="s">
        <v>2260</v>
      </c>
      <c r="CR390" s="769" t="s">
        <v>2260</v>
      </c>
      <c r="CS390" s="769" t="s">
        <v>2260</v>
      </c>
      <c r="CT390" s="774" t="s">
        <v>2260</v>
      </c>
      <c r="CU390" s="1253">
        <v>-1.03E-4</v>
      </c>
      <c r="CV390" s="1252" t="s">
        <v>2260</v>
      </c>
      <c r="CW390" s="1252" t="s">
        <v>2260</v>
      </c>
      <c r="CX390" s="1254" t="s">
        <v>2260</v>
      </c>
      <c r="CY390" s="1252">
        <v>1.03E-4</v>
      </c>
      <c r="CZ390" s="1252" t="s">
        <v>2260</v>
      </c>
      <c r="DA390" s="1252" t="s">
        <v>2260</v>
      </c>
      <c r="DB390" s="1254" t="s">
        <v>2260</v>
      </c>
      <c r="DC390" s="754"/>
      <c r="DD390" s="782">
        <v>1</v>
      </c>
      <c r="DE390" s="783"/>
    </row>
    <row r="391" spans="1:109" ht="15.75" hidden="1" customHeight="1">
      <c r="A391" s="741" t="s">
        <v>1157</v>
      </c>
      <c r="B391" s="742">
        <v>385</v>
      </c>
      <c r="C391" s="758" t="s">
        <v>1228</v>
      </c>
      <c r="D391" s="742" t="s">
        <v>2557</v>
      </c>
      <c r="E391" s="742" t="s">
        <v>2231</v>
      </c>
      <c r="F391" s="754" t="s">
        <v>3497</v>
      </c>
      <c r="G391" s="759" t="s">
        <v>172</v>
      </c>
      <c r="H391" s="742" t="s">
        <v>2559</v>
      </c>
      <c r="I391" s="761">
        <v>0.5</v>
      </c>
      <c r="J391" s="762">
        <v>0.5</v>
      </c>
      <c r="K391" s="762"/>
      <c r="L391" s="762"/>
      <c r="M391" s="762"/>
      <c r="N391" s="762"/>
      <c r="O391" s="762"/>
      <c r="P391" s="763"/>
      <c r="Q391" s="764">
        <f t="shared" si="5"/>
        <v>1</v>
      </c>
      <c r="R391" s="758" t="s">
        <v>1846</v>
      </c>
      <c r="S391" s="742" t="s">
        <v>1826</v>
      </c>
      <c r="T391" s="765" t="s">
        <v>1827</v>
      </c>
      <c r="U391" s="742" t="s">
        <v>2247</v>
      </c>
      <c r="V391" s="742" t="s">
        <v>1897</v>
      </c>
      <c r="W391" s="742" t="s">
        <v>2560</v>
      </c>
      <c r="X391" s="1279">
        <v>2</v>
      </c>
      <c r="Y391" s="810" t="s">
        <v>1838</v>
      </c>
      <c r="Z391" s="759" t="s">
        <v>172</v>
      </c>
      <c r="AA391" s="754"/>
      <c r="AB391" s="754"/>
      <c r="AC391" s="754"/>
      <c r="AD391" s="754"/>
      <c r="AE391" s="754"/>
      <c r="AF391" s="768"/>
      <c r="AG391" s="798"/>
      <c r="AH391" s="798"/>
      <c r="AI391" s="798"/>
      <c r="AJ391" s="798"/>
      <c r="AK391" s="798"/>
      <c r="AL391" s="798"/>
      <c r="AM391" s="798"/>
      <c r="AN391" s="798"/>
      <c r="AO391" s="798"/>
      <c r="AP391" s="798"/>
      <c r="AQ391" s="1690"/>
      <c r="AR391" s="1689"/>
      <c r="AS391" s="1689"/>
      <c r="AT391" s="1689"/>
      <c r="AU391" s="1691"/>
      <c r="AV391" s="797"/>
      <c r="AW391" s="798"/>
      <c r="AX391" s="798"/>
      <c r="AY391" s="798"/>
      <c r="AZ391" s="798"/>
      <c r="BA391" s="798"/>
      <c r="BB391" s="798"/>
      <c r="BC391" s="798"/>
      <c r="BD391" s="798"/>
      <c r="BE391" s="798"/>
      <c r="BF391" s="798"/>
      <c r="BG391" s="798"/>
      <c r="BH391" s="798"/>
      <c r="BI391" s="798"/>
      <c r="BJ391" s="798"/>
      <c r="BK391" s="799"/>
      <c r="BL391" s="1327"/>
      <c r="BM391" s="1328"/>
      <c r="BN391" s="1328"/>
      <c r="BO391" s="1328"/>
      <c r="BP391" s="1389"/>
      <c r="BQ391" s="1369"/>
      <c r="BR391" s="1319"/>
      <c r="BS391" s="1319"/>
      <c r="BT391" s="1319"/>
      <c r="BU391" s="1320"/>
      <c r="BV391" s="1369"/>
      <c r="BW391" s="1319"/>
      <c r="BX391" s="1319"/>
      <c r="BY391" s="1319"/>
      <c r="BZ391" s="1319"/>
      <c r="CA391" s="1369"/>
      <c r="CB391" s="1319"/>
      <c r="CC391" s="1319"/>
      <c r="CD391" s="1319"/>
      <c r="CE391" s="1320"/>
      <c r="CF391" s="1319"/>
      <c r="CG391" s="1319"/>
      <c r="CH391" s="1319"/>
      <c r="CI391" s="1319"/>
      <c r="CJ391" s="1320"/>
      <c r="CK391" s="1369"/>
      <c r="CL391" s="1319"/>
      <c r="CM391" s="1319"/>
      <c r="CN391" s="1319"/>
      <c r="CO391" s="1320"/>
      <c r="CP391" s="1369"/>
      <c r="CQ391" s="1319"/>
      <c r="CR391" s="1319"/>
      <c r="CS391" s="1319"/>
      <c r="CT391" s="1320"/>
      <c r="CU391" s="1467"/>
      <c r="CV391" s="1458"/>
      <c r="CW391" s="1458"/>
      <c r="CX391" s="1663"/>
      <c r="CY391" s="1458"/>
      <c r="CZ391" s="1458"/>
      <c r="DA391" s="1458"/>
      <c r="DB391" s="1663"/>
      <c r="DC391" s="1328"/>
      <c r="DD391" s="1664"/>
      <c r="DE391" s="1669"/>
    </row>
    <row r="392" spans="1:109" ht="15.75" hidden="1" customHeight="1">
      <c r="A392" s="741" t="s">
        <v>1157</v>
      </c>
      <c r="B392" s="742">
        <v>386</v>
      </c>
      <c r="C392" s="758" t="s">
        <v>1475</v>
      </c>
      <c r="D392" s="742" t="s">
        <v>2557</v>
      </c>
      <c r="E392" s="742" t="s">
        <v>2223</v>
      </c>
      <c r="F392" s="754" t="s">
        <v>3498</v>
      </c>
      <c r="G392" s="759" t="s">
        <v>3499</v>
      </c>
      <c r="H392" s="742" t="s">
        <v>3500</v>
      </c>
      <c r="I392" s="761">
        <v>0.25</v>
      </c>
      <c r="J392" s="762">
        <v>0.75</v>
      </c>
      <c r="K392" s="762"/>
      <c r="L392" s="762"/>
      <c r="M392" s="762"/>
      <c r="N392" s="762"/>
      <c r="O392" s="762"/>
      <c r="P392" s="763"/>
      <c r="Q392" s="764">
        <f t="shared" si="5"/>
        <v>1</v>
      </c>
      <c r="R392" s="758" t="s">
        <v>1852</v>
      </c>
      <c r="S392" s="742" t="s">
        <v>1826</v>
      </c>
      <c r="T392" s="765" t="s">
        <v>1827</v>
      </c>
      <c r="U392" s="742" t="s">
        <v>2421</v>
      </c>
      <c r="V392" s="742" t="s">
        <v>1857</v>
      </c>
      <c r="W392" s="742" t="s">
        <v>3501</v>
      </c>
      <c r="X392" s="1279">
        <v>0</v>
      </c>
      <c r="Y392" s="810" t="s">
        <v>1838</v>
      </c>
      <c r="Z392" s="759" t="s">
        <v>2309</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210</v>
      </c>
      <c r="BM392" s="754" t="s">
        <v>210</v>
      </c>
      <c r="BN392" s="754" t="s">
        <v>210</v>
      </c>
      <c r="BO392" s="754" t="s">
        <v>210</v>
      </c>
      <c r="BP392" s="765" t="s">
        <v>210</v>
      </c>
      <c r="BQ392" s="777" t="s">
        <v>2260</v>
      </c>
      <c r="BR392" s="769" t="s">
        <v>2260</v>
      </c>
      <c r="BS392" s="769" t="s">
        <v>2260</v>
      </c>
      <c r="BT392" s="769" t="s">
        <v>2260</v>
      </c>
      <c r="BU392" s="774" t="s">
        <v>2260</v>
      </c>
      <c r="BV392" s="775">
        <v>13882</v>
      </c>
      <c r="BW392" s="776">
        <v>13740</v>
      </c>
      <c r="BX392" s="776">
        <v>13599</v>
      </c>
      <c r="BY392" s="776">
        <v>13457</v>
      </c>
      <c r="BZ392" s="776">
        <v>13457</v>
      </c>
      <c r="CA392" s="777" t="s">
        <v>2260</v>
      </c>
      <c r="CB392" s="769" t="s">
        <v>2260</v>
      </c>
      <c r="CC392" s="769" t="s">
        <v>2260</v>
      </c>
      <c r="CD392" s="769" t="s">
        <v>2260</v>
      </c>
      <c r="CE392" s="774" t="s">
        <v>2260</v>
      </c>
      <c r="CF392" s="769" t="s">
        <v>2260</v>
      </c>
      <c r="CG392" s="769" t="s">
        <v>2260</v>
      </c>
      <c r="CH392" s="769" t="s">
        <v>2260</v>
      </c>
      <c r="CI392" s="769" t="s">
        <v>2260</v>
      </c>
      <c r="CJ392" s="774" t="s">
        <v>2260</v>
      </c>
      <c r="CK392" s="777">
        <v>8253</v>
      </c>
      <c r="CL392" s="769">
        <v>8168</v>
      </c>
      <c r="CM392" s="769">
        <v>8084</v>
      </c>
      <c r="CN392" s="769">
        <v>8000</v>
      </c>
      <c r="CO392" s="774">
        <v>8000</v>
      </c>
      <c r="CP392" s="777" t="s">
        <v>2260</v>
      </c>
      <c r="CQ392" s="769" t="s">
        <v>2260</v>
      </c>
      <c r="CR392" s="769" t="s">
        <v>2260</v>
      </c>
      <c r="CS392" s="769" t="s">
        <v>2260</v>
      </c>
      <c r="CT392" s="774" t="s">
        <v>2260</v>
      </c>
      <c r="CU392" s="1253">
        <v>-3.0000000000000001E-3</v>
      </c>
      <c r="CV392" s="1252" t="s">
        <v>2260</v>
      </c>
      <c r="CW392" s="1252" t="s">
        <v>2260</v>
      </c>
      <c r="CX392" s="1254" t="s">
        <v>2260</v>
      </c>
      <c r="CY392" s="1252">
        <v>3.0000000000000001E-3</v>
      </c>
      <c r="CZ392" s="1252" t="s">
        <v>2260</v>
      </c>
      <c r="DA392" s="1252" t="s">
        <v>2260</v>
      </c>
      <c r="DB392" s="1254" t="s">
        <v>2260</v>
      </c>
      <c r="DC392" s="754"/>
      <c r="DD392" s="782">
        <v>1</v>
      </c>
      <c r="DE392" s="783"/>
    </row>
    <row r="393" spans="1:109" ht="15.75" hidden="1" customHeight="1">
      <c r="A393" s="741" t="s">
        <v>1157</v>
      </c>
      <c r="B393" s="742">
        <v>387</v>
      </c>
      <c r="C393" s="758" t="s">
        <v>1481</v>
      </c>
      <c r="D393" s="742" t="s">
        <v>2557</v>
      </c>
      <c r="E393" s="742" t="s">
        <v>2217</v>
      </c>
      <c r="F393" s="754" t="s">
        <v>3502</v>
      </c>
      <c r="G393" s="759" t="s">
        <v>3503</v>
      </c>
      <c r="H393" s="742" t="s">
        <v>3504</v>
      </c>
      <c r="I393" s="761"/>
      <c r="J393" s="762">
        <v>1</v>
      </c>
      <c r="K393" s="762"/>
      <c r="L393" s="762"/>
      <c r="M393" s="762"/>
      <c r="N393" s="762"/>
      <c r="O393" s="762"/>
      <c r="P393" s="763"/>
      <c r="Q393" s="764">
        <f t="shared" ref="Q393:Q456" si="6">SUM(I393:P393)</f>
        <v>1</v>
      </c>
      <c r="R393" s="758" t="s">
        <v>1852</v>
      </c>
      <c r="S393" s="742" t="s">
        <v>1826</v>
      </c>
      <c r="T393" s="765" t="s">
        <v>1837</v>
      </c>
      <c r="U393" s="742" t="s">
        <v>2280</v>
      </c>
      <c r="V393" s="742" t="s">
        <v>1857</v>
      </c>
      <c r="W393" s="742" t="s">
        <v>3505</v>
      </c>
      <c r="X393" s="1279">
        <v>0</v>
      </c>
      <c r="Y393" s="810" t="s">
        <v>1828</v>
      </c>
      <c r="Z393" s="759"/>
      <c r="AA393" s="754"/>
      <c r="AB393" s="754"/>
      <c r="AC393" s="754"/>
      <c r="AD393" s="754"/>
      <c r="AE393" s="754"/>
      <c r="AF393" s="768"/>
      <c r="AG393" s="769"/>
      <c r="AH393" s="769"/>
      <c r="AI393" s="769"/>
      <c r="AJ393" s="769"/>
      <c r="AK393" s="769"/>
      <c r="AL393" s="769"/>
      <c r="AM393" s="769"/>
      <c r="AN393" s="785"/>
      <c r="AO393" s="785"/>
      <c r="AP393" s="769"/>
      <c r="AQ393" s="777" t="s">
        <v>2260</v>
      </c>
      <c r="AR393" s="769" t="s">
        <v>2260</v>
      </c>
      <c r="AS393" s="769" t="s">
        <v>2260</v>
      </c>
      <c r="AT393" s="769" t="s">
        <v>2260</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210</v>
      </c>
      <c r="BQ393" s="777" t="s">
        <v>2260</v>
      </c>
      <c r="BR393" s="769" t="s">
        <v>2260</v>
      </c>
      <c r="BS393" s="769" t="s">
        <v>2260</v>
      </c>
      <c r="BT393" s="769" t="s">
        <v>2260</v>
      </c>
      <c r="BU393" s="774" t="s">
        <v>2260</v>
      </c>
      <c r="BV393" s="775" t="s">
        <v>2260</v>
      </c>
      <c r="BW393" s="776" t="s">
        <v>2260</v>
      </c>
      <c r="BX393" s="776" t="s">
        <v>2260</v>
      </c>
      <c r="BY393" s="776" t="s">
        <v>2260</v>
      </c>
      <c r="BZ393" s="776" t="s">
        <v>2260</v>
      </c>
      <c r="CA393" s="777" t="s">
        <v>2260</v>
      </c>
      <c r="CB393" s="769" t="s">
        <v>2260</v>
      </c>
      <c r="CC393" s="769" t="s">
        <v>2260</v>
      </c>
      <c r="CD393" s="769" t="s">
        <v>2260</v>
      </c>
      <c r="CE393" s="774" t="s">
        <v>2260</v>
      </c>
      <c r="CF393" s="769" t="s">
        <v>2260</v>
      </c>
      <c r="CG393" s="769" t="s">
        <v>2260</v>
      </c>
      <c r="CH393" s="769" t="s">
        <v>2260</v>
      </c>
      <c r="CI393" s="769" t="s">
        <v>2260</v>
      </c>
      <c r="CJ393" s="774" t="s">
        <v>2260</v>
      </c>
      <c r="CK393" s="777" t="s">
        <v>2260</v>
      </c>
      <c r="CL393" s="769" t="s">
        <v>2260</v>
      </c>
      <c r="CM393" s="769" t="s">
        <v>2260</v>
      </c>
      <c r="CN393" s="769" t="s">
        <v>2260</v>
      </c>
      <c r="CO393" s="774" t="s">
        <v>2260</v>
      </c>
      <c r="CP393" s="777" t="s">
        <v>2260</v>
      </c>
      <c r="CQ393" s="769" t="s">
        <v>2260</v>
      </c>
      <c r="CR393" s="769" t="s">
        <v>2260</v>
      </c>
      <c r="CS393" s="769" t="s">
        <v>2260</v>
      </c>
      <c r="CT393" s="774" t="s">
        <v>2260</v>
      </c>
      <c r="CU393" s="1253">
        <v>-1.157</v>
      </c>
      <c r="CV393" s="1252" t="s">
        <v>2260</v>
      </c>
      <c r="CW393" s="1252" t="s">
        <v>2260</v>
      </c>
      <c r="CX393" s="1254" t="s">
        <v>2260</v>
      </c>
      <c r="CY393" s="1252">
        <v>1.157</v>
      </c>
      <c r="CZ393" s="1252" t="s">
        <v>2260</v>
      </c>
      <c r="DA393" s="1252" t="s">
        <v>2260</v>
      </c>
      <c r="DB393" s="1254" t="s">
        <v>2260</v>
      </c>
      <c r="DC393" s="754"/>
      <c r="DD393" s="782">
        <v>1</v>
      </c>
      <c r="DE393" s="783"/>
    </row>
    <row r="394" spans="1:109" ht="15.75" hidden="1" customHeight="1">
      <c r="A394" s="741" t="s">
        <v>1157</v>
      </c>
      <c r="B394" s="742">
        <v>388</v>
      </c>
      <c r="C394" s="758" t="s">
        <v>1487</v>
      </c>
      <c r="D394" s="742" t="s">
        <v>2557</v>
      </c>
      <c r="E394" s="742" t="s">
        <v>2231</v>
      </c>
      <c r="F394" s="754" t="s">
        <v>3506</v>
      </c>
      <c r="G394" s="759" t="s">
        <v>3507</v>
      </c>
      <c r="H394" s="742" t="s">
        <v>3508</v>
      </c>
      <c r="I394" s="761"/>
      <c r="J394" s="762">
        <v>1</v>
      </c>
      <c r="K394" s="762"/>
      <c r="L394" s="762"/>
      <c r="M394" s="762"/>
      <c r="N394" s="762"/>
      <c r="O394" s="762"/>
      <c r="P394" s="763"/>
      <c r="Q394" s="764">
        <f t="shared" si="6"/>
        <v>1</v>
      </c>
      <c r="R394" s="758" t="s">
        <v>1852</v>
      </c>
      <c r="S394" s="742" t="s">
        <v>1826</v>
      </c>
      <c r="T394" s="765" t="s">
        <v>1837</v>
      </c>
      <c r="U394" s="742" t="s">
        <v>3223</v>
      </c>
      <c r="V394" s="742" t="s">
        <v>1857</v>
      </c>
      <c r="W394" s="742" t="s">
        <v>3509</v>
      </c>
      <c r="X394" s="1279">
        <v>0</v>
      </c>
      <c r="Y394" s="810" t="s">
        <v>1828</v>
      </c>
      <c r="Z394" s="759"/>
      <c r="AA394" s="754"/>
      <c r="AB394" s="754"/>
      <c r="AC394" s="754"/>
      <c r="AD394" s="754"/>
      <c r="AE394" s="754"/>
      <c r="AF394" s="768"/>
      <c r="AG394" s="867"/>
      <c r="AH394" s="867"/>
      <c r="AI394" s="867"/>
      <c r="AJ394" s="867"/>
      <c r="AK394" s="867"/>
      <c r="AL394" s="867"/>
      <c r="AM394" s="867"/>
      <c r="AN394" s="867"/>
      <c r="AO394" s="867"/>
      <c r="AP394" s="867"/>
      <c r="AQ394" s="777" t="s">
        <v>2260</v>
      </c>
      <c r="AR394" s="769" t="s">
        <v>2260</v>
      </c>
      <c r="AS394" s="769" t="s">
        <v>2260</v>
      </c>
      <c r="AT394" s="769" t="s">
        <v>2260</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210</v>
      </c>
      <c r="BQ394" s="777" t="s">
        <v>2260</v>
      </c>
      <c r="BR394" s="769" t="s">
        <v>2260</v>
      </c>
      <c r="BS394" s="769" t="s">
        <v>2260</v>
      </c>
      <c r="BT394" s="769" t="s">
        <v>2260</v>
      </c>
      <c r="BU394" s="774" t="s">
        <v>2260</v>
      </c>
      <c r="BV394" s="775" t="s">
        <v>2260</v>
      </c>
      <c r="BW394" s="776" t="s">
        <v>2260</v>
      </c>
      <c r="BX394" s="776" t="s">
        <v>2260</v>
      </c>
      <c r="BY394" s="776" t="s">
        <v>2260</v>
      </c>
      <c r="BZ394" s="776" t="s">
        <v>2260</v>
      </c>
      <c r="CA394" s="777" t="s">
        <v>2260</v>
      </c>
      <c r="CB394" s="769" t="s">
        <v>2260</v>
      </c>
      <c r="CC394" s="769" t="s">
        <v>2260</v>
      </c>
      <c r="CD394" s="769" t="s">
        <v>2260</v>
      </c>
      <c r="CE394" s="774" t="s">
        <v>2260</v>
      </c>
      <c r="CF394" s="769" t="s">
        <v>2260</v>
      </c>
      <c r="CG394" s="769" t="s">
        <v>2260</v>
      </c>
      <c r="CH394" s="769" t="s">
        <v>2260</v>
      </c>
      <c r="CI394" s="769" t="s">
        <v>2260</v>
      </c>
      <c r="CJ394" s="774" t="s">
        <v>2260</v>
      </c>
      <c r="CK394" s="777" t="s">
        <v>2260</v>
      </c>
      <c r="CL394" s="769" t="s">
        <v>2260</v>
      </c>
      <c r="CM394" s="769" t="s">
        <v>2260</v>
      </c>
      <c r="CN394" s="769" t="s">
        <v>2260</v>
      </c>
      <c r="CO394" s="774" t="s">
        <v>2260</v>
      </c>
      <c r="CP394" s="777" t="s">
        <v>2260</v>
      </c>
      <c r="CQ394" s="769" t="s">
        <v>2260</v>
      </c>
      <c r="CR394" s="769" t="s">
        <v>2260</v>
      </c>
      <c r="CS394" s="769" t="s">
        <v>2260</v>
      </c>
      <c r="CT394" s="774" t="s">
        <v>2260</v>
      </c>
      <c r="CU394" s="1253">
        <v>-4.0000000000000001E-3</v>
      </c>
      <c r="CV394" s="1252" t="s">
        <v>2260</v>
      </c>
      <c r="CW394" s="1252" t="s">
        <v>2260</v>
      </c>
      <c r="CX394" s="1254" t="s">
        <v>2260</v>
      </c>
      <c r="CY394" s="1252">
        <v>4.0000000000000001E-3</v>
      </c>
      <c r="CZ394" s="1252" t="s">
        <v>2260</v>
      </c>
      <c r="DA394" s="1252" t="s">
        <v>2260</v>
      </c>
      <c r="DB394" s="1254" t="s">
        <v>2260</v>
      </c>
      <c r="DC394" s="754"/>
      <c r="DD394" s="782">
        <v>1</v>
      </c>
      <c r="DE394" s="783"/>
    </row>
    <row r="395" spans="1:109" ht="15.75" hidden="1" customHeight="1">
      <c r="A395" s="741" t="s">
        <v>1171</v>
      </c>
      <c r="B395" s="742">
        <v>389</v>
      </c>
      <c r="C395" s="758" t="s">
        <v>1242</v>
      </c>
      <c r="D395" s="742" t="s">
        <v>3510</v>
      </c>
      <c r="E395" s="742" t="s">
        <v>2217</v>
      </c>
      <c r="F395" s="754" t="s">
        <v>3511</v>
      </c>
      <c r="G395" s="759" t="s">
        <v>172</v>
      </c>
      <c r="H395" s="742" t="s">
        <v>3512</v>
      </c>
      <c r="I395" s="761"/>
      <c r="J395" s="762">
        <v>1</v>
      </c>
      <c r="K395" s="762"/>
      <c r="L395" s="762"/>
      <c r="M395" s="762"/>
      <c r="N395" s="762"/>
      <c r="O395" s="762"/>
      <c r="P395" s="763"/>
      <c r="Q395" s="764">
        <f t="shared" si="6"/>
        <v>1</v>
      </c>
      <c r="R395" s="758" t="s">
        <v>1846</v>
      </c>
      <c r="S395" s="742" t="s">
        <v>1826</v>
      </c>
      <c r="T395" s="765" t="s">
        <v>1827</v>
      </c>
      <c r="U395" s="742" t="s">
        <v>2247</v>
      </c>
      <c r="V395" s="742" t="s">
        <v>1897</v>
      </c>
      <c r="W395" s="742" t="s">
        <v>2341</v>
      </c>
      <c r="X395" s="798">
        <v>2</v>
      </c>
      <c r="Y395" s="810" t="s">
        <v>1838</v>
      </c>
      <c r="Z395" s="759" t="s">
        <v>172</v>
      </c>
      <c r="AA395" s="754"/>
      <c r="AB395" s="754"/>
      <c r="AC395" s="754"/>
      <c r="AD395" s="754"/>
      <c r="AE395" s="754"/>
      <c r="AF395" s="768"/>
      <c r="AG395" s="867"/>
      <c r="AH395" s="867"/>
      <c r="AI395" s="867"/>
      <c r="AJ395" s="867"/>
      <c r="AK395" s="867"/>
      <c r="AL395" s="867"/>
      <c r="AM395" s="867"/>
      <c r="AN395" s="867"/>
      <c r="AO395" s="867"/>
      <c r="AP395" s="867"/>
      <c r="AQ395" s="1369"/>
      <c r="AR395" s="1319"/>
      <c r="AS395" s="1319"/>
      <c r="AT395" s="1319"/>
      <c r="AU395" s="1320"/>
      <c r="AV395" s="777"/>
      <c r="AW395" s="769"/>
      <c r="AX395" s="769"/>
      <c r="AY395" s="769"/>
      <c r="AZ395" s="769"/>
      <c r="BA395" s="769"/>
      <c r="BB395" s="769"/>
      <c r="BC395" s="769"/>
      <c r="BD395" s="769"/>
      <c r="BE395" s="769"/>
      <c r="BF395" s="769"/>
      <c r="BG395" s="769"/>
      <c r="BH395" s="769"/>
      <c r="BI395" s="769"/>
      <c r="BJ395" s="769"/>
      <c r="BK395" s="774"/>
      <c r="BL395" s="1327"/>
      <c r="BM395" s="1328"/>
      <c r="BN395" s="1328"/>
      <c r="BO395" s="1328"/>
      <c r="BP395" s="1389"/>
      <c r="BQ395" s="1369"/>
      <c r="BR395" s="1319"/>
      <c r="BS395" s="1319"/>
      <c r="BT395" s="1319"/>
      <c r="BU395" s="1320"/>
      <c r="BV395" s="1370"/>
      <c r="BW395" s="1324"/>
      <c r="BX395" s="1324"/>
      <c r="BY395" s="1324"/>
      <c r="BZ395" s="1324"/>
      <c r="CA395" s="1369"/>
      <c r="CB395" s="1319"/>
      <c r="CC395" s="1319"/>
      <c r="CD395" s="1319"/>
      <c r="CE395" s="1320"/>
      <c r="CF395" s="1319"/>
      <c r="CG395" s="1319"/>
      <c r="CH395" s="1319"/>
      <c r="CI395" s="1319"/>
      <c r="CJ395" s="1320"/>
      <c r="CK395" s="1369"/>
      <c r="CL395" s="1319"/>
      <c r="CM395" s="1319"/>
      <c r="CN395" s="1319"/>
      <c r="CO395" s="1320"/>
      <c r="CP395" s="1369"/>
      <c r="CQ395" s="1319"/>
      <c r="CR395" s="1319"/>
      <c r="CS395" s="1319"/>
      <c r="CT395" s="1320"/>
      <c r="CU395" s="1467"/>
      <c r="CV395" s="1458"/>
      <c r="CW395" s="1458"/>
      <c r="CX395" s="1663"/>
      <c r="CY395" s="1458"/>
      <c r="CZ395" s="1458"/>
      <c r="DA395" s="1458"/>
      <c r="DB395" s="1663"/>
      <c r="DC395" s="1328"/>
      <c r="DD395" s="1664"/>
      <c r="DE395" s="1669"/>
    </row>
    <row r="396" spans="1:109" ht="15.75" hidden="1" customHeight="1">
      <c r="A396" s="741" t="s">
        <v>1171</v>
      </c>
      <c r="B396" s="742">
        <v>390</v>
      </c>
      <c r="C396" s="758" t="s">
        <v>1243</v>
      </c>
      <c r="D396" s="742" t="s">
        <v>3510</v>
      </c>
      <c r="E396" s="742" t="s">
        <v>2217</v>
      </c>
      <c r="F396" s="754" t="s">
        <v>3513</v>
      </c>
      <c r="G396" s="759" t="s">
        <v>179</v>
      </c>
      <c r="H396" s="742" t="s">
        <v>3514</v>
      </c>
      <c r="I396" s="761"/>
      <c r="J396" s="762">
        <v>1</v>
      </c>
      <c r="K396" s="762"/>
      <c r="L396" s="762"/>
      <c r="M396" s="762"/>
      <c r="N396" s="762"/>
      <c r="O396" s="762"/>
      <c r="P396" s="763"/>
      <c r="Q396" s="764">
        <f t="shared" si="6"/>
        <v>1</v>
      </c>
      <c r="R396" s="758" t="s">
        <v>1852</v>
      </c>
      <c r="S396" s="742" t="s">
        <v>1826</v>
      </c>
      <c r="T396" s="765" t="s">
        <v>1827</v>
      </c>
      <c r="U396" s="742" t="s">
        <v>2220</v>
      </c>
      <c r="V396" s="742" t="s">
        <v>1851</v>
      </c>
      <c r="W396" s="742" t="s">
        <v>3515</v>
      </c>
      <c r="X396" s="1243">
        <v>0</v>
      </c>
      <c r="Y396" s="810" t="s">
        <v>1838</v>
      </c>
      <c r="Z396" s="759" t="s">
        <v>179</v>
      </c>
      <c r="AA396" s="754"/>
      <c r="AB396" s="754"/>
      <c r="AC396" s="754"/>
      <c r="AD396" s="754"/>
      <c r="AE396" s="754"/>
      <c r="AF396" s="768"/>
      <c r="AG396" s="859"/>
      <c r="AH396" s="859"/>
      <c r="AI396" s="859"/>
      <c r="AJ396" s="859"/>
      <c r="AK396" s="859"/>
      <c r="AL396" s="859"/>
      <c r="AM396" s="875"/>
      <c r="AN396" s="875"/>
      <c r="AO396" s="875"/>
      <c r="AP396" s="875"/>
      <c r="AQ396" s="1321"/>
      <c r="AR396" s="1322"/>
      <c r="AS396" s="1322"/>
      <c r="AT396" s="1322"/>
      <c r="AU396" s="1323"/>
      <c r="AV396" s="860"/>
      <c r="AW396" s="859"/>
      <c r="AX396" s="859"/>
      <c r="AY396" s="859"/>
      <c r="AZ396" s="859"/>
      <c r="BA396" s="859"/>
      <c r="BB396" s="859"/>
      <c r="BC396" s="859"/>
      <c r="BD396" s="859"/>
      <c r="BE396" s="859"/>
      <c r="BF396" s="859"/>
      <c r="BG396" s="859"/>
      <c r="BH396" s="859"/>
      <c r="BI396" s="859"/>
      <c r="BJ396" s="859"/>
      <c r="BK396" s="861"/>
      <c r="BL396" s="1327"/>
      <c r="BM396" s="1328"/>
      <c r="BN396" s="1328"/>
      <c r="BO396" s="1328"/>
      <c r="BP396" s="1389"/>
      <c r="BQ396" s="1369"/>
      <c r="BR396" s="1319"/>
      <c r="BS396" s="1319"/>
      <c r="BT396" s="1319"/>
      <c r="BU396" s="1320"/>
      <c r="BV396" s="1370"/>
      <c r="BW396" s="1324"/>
      <c r="BX396" s="1324"/>
      <c r="BY396" s="1324"/>
      <c r="BZ396" s="1324"/>
      <c r="CA396" s="1369"/>
      <c r="CB396" s="1319"/>
      <c r="CC396" s="1319"/>
      <c r="CD396" s="1319"/>
      <c r="CE396" s="1320"/>
      <c r="CF396" s="1319"/>
      <c r="CG396" s="1319"/>
      <c r="CH396" s="1319"/>
      <c r="CI396" s="1319"/>
      <c r="CJ396" s="1320"/>
      <c r="CK396" s="1369"/>
      <c r="CL396" s="1319"/>
      <c r="CM396" s="1319"/>
      <c r="CN396" s="1319"/>
      <c r="CO396" s="1320"/>
      <c r="CP396" s="1369"/>
      <c r="CQ396" s="1319"/>
      <c r="CR396" s="1319"/>
      <c r="CS396" s="1319"/>
      <c r="CT396" s="1320"/>
      <c r="CU396" s="1467"/>
      <c r="CV396" s="1458"/>
      <c r="CW396" s="1458"/>
      <c r="CX396" s="1663"/>
      <c r="CY396" s="1458"/>
      <c r="CZ396" s="1458"/>
      <c r="DA396" s="1458"/>
      <c r="DB396" s="1663"/>
      <c r="DC396" s="1328"/>
      <c r="DD396" s="1664"/>
      <c r="DE396" s="1669"/>
    </row>
    <row r="397" spans="1:109" ht="15.75" hidden="1" customHeight="1">
      <c r="A397" s="741" t="s">
        <v>1171</v>
      </c>
      <c r="B397" s="742">
        <v>391</v>
      </c>
      <c r="C397" s="758" t="s">
        <v>1246</v>
      </c>
      <c r="D397" s="742" t="s">
        <v>3510</v>
      </c>
      <c r="E397" s="742" t="s">
        <v>2217</v>
      </c>
      <c r="F397" s="754" t="s">
        <v>3516</v>
      </c>
      <c r="G397" s="759" t="s">
        <v>203</v>
      </c>
      <c r="H397" s="742" t="s">
        <v>3517</v>
      </c>
      <c r="I397" s="761"/>
      <c r="J397" s="762">
        <v>1</v>
      </c>
      <c r="K397" s="762"/>
      <c r="L397" s="762"/>
      <c r="M397" s="762"/>
      <c r="N397" s="762"/>
      <c r="O397" s="762"/>
      <c r="P397" s="763"/>
      <c r="Q397" s="764">
        <f t="shared" si="6"/>
        <v>1</v>
      </c>
      <c r="R397" s="758" t="s">
        <v>1852</v>
      </c>
      <c r="S397" s="742" t="s">
        <v>1826</v>
      </c>
      <c r="T397" s="765" t="s">
        <v>1827</v>
      </c>
      <c r="U397" s="742" t="s">
        <v>2363</v>
      </c>
      <c r="V397" s="742" t="s">
        <v>1857</v>
      </c>
      <c r="W397" s="742" t="s">
        <v>3518</v>
      </c>
      <c r="X397" s="1243">
        <v>1</v>
      </c>
      <c r="Y397" s="810" t="s">
        <v>1838</v>
      </c>
      <c r="Z397" s="759" t="s">
        <v>203</v>
      </c>
      <c r="AA397" s="754"/>
      <c r="AB397" s="754"/>
      <c r="AC397" s="754"/>
      <c r="AD397" s="754"/>
      <c r="AE397" s="754"/>
      <c r="AF397" s="768"/>
      <c r="AG397" s="859"/>
      <c r="AH397" s="859"/>
      <c r="AI397" s="859"/>
      <c r="AJ397" s="859"/>
      <c r="AK397" s="859"/>
      <c r="AL397" s="859"/>
      <c r="AM397" s="859"/>
      <c r="AN397" s="859"/>
      <c r="AO397" s="859"/>
      <c r="AP397" s="859"/>
      <c r="AQ397" s="1699"/>
      <c r="AR397" s="1700"/>
      <c r="AS397" s="1700"/>
      <c r="AT397" s="1700"/>
      <c r="AU397" s="1701"/>
      <c r="AV397" s="860"/>
      <c r="AW397" s="859"/>
      <c r="AX397" s="859"/>
      <c r="AY397" s="859"/>
      <c r="AZ397" s="859"/>
      <c r="BA397" s="859"/>
      <c r="BB397" s="859"/>
      <c r="BC397" s="859"/>
      <c r="BD397" s="859"/>
      <c r="BE397" s="859"/>
      <c r="BF397" s="859"/>
      <c r="BG397" s="859"/>
      <c r="BH397" s="859"/>
      <c r="BI397" s="859"/>
      <c r="BJ397" s="859"/>
      <c r="BK397" s="861"/>
      <c r="BL397" s="1327"/>
      <c r="BM397" s="1328"/>
      <c r="BN397" s="1328"/>
      <c r="BO397" s="1328"/>
      <c r="BP397" s="1389"/>
      <c r="BQ397" s="1369"/>
      <c r="BR397" s="1319"/>
      <c r="BS397" s="1319"/>
      <c r="BT397" s="1319"/>
      <c r="BU397" s="1320"/>
      <c r="BV397" s="1370"/>
      <c r="BW397" s="1324"/>
      <c r="BX397" s="1324"/>
      <c r="BY397" s="1324"/>
      <c r="BZ397" s="1324"/>
      <c r="CA397" s="1369"/>
      <c r="CB397" s="1319"/>
      <c r="CC397" s="1319"/>
      <c r="CD397" s="1319"/>
      <c r="CE397" s="1320"/>
      <c r="CF397" s="1319"/>
      <c r="CG397" s="1319"/>
      <c r="CH397" s="1319"/>
      <c r="CI397" s="1319"/>
      <c r="CJ397" s="1319"/>
      <c r="CK397" s="1369"/>
      <c r="CL397" s="1319"/>
      <c r="CM397" s="1319"/>
      <c r="CN397" s="1319"/>
      <c r="CO397" s="1320"/>
      <c r="CP397" s="1369"/>
      <c r="CQ397" s="1319"/>
      <c r="CR397" s="1319"/>
      <c r="CS397" s="1319"/>
      <c r="CT397" s="1320"/>
      <c r="CU397" s="1467"/>
      <c r="CV397" s="1458"/>
      <c r="CW397" s="1458"/>
      <c r="CX397" s="1663"/>
      <c r="CY397" s="1458"/>
      <c r="CZ397" s="1458"/>
      <c r="DA397" s="1458"/>
      <c r="DB397" s="1663"/>
      <c r="DC397" s="1328"/>
      <c r="DD397" s="1664"/>
      <c r="DE397" s="1669"/>
    </row>
    <row r="398" spans="1:109" ht="15.75" hidden="1" customHeight="1">
      <c r="A398" s="741" t="s">
        <v>1171</v>
      </c>
      <c r="B398" s="742">
        <v>392</v>
      </c>
      <c r="C398" s="758" t="s">
        <v>1247</v>
      </c>
      <c r="D398" s="742" t="s">
        <v>3510</v>
      </c>
      <c r="E398" s="742" t="s">
        <v>2231</v>
      </c>
      <c r="F398" s="754" t="s">
        <v>3519</v>
      </c>
      <c r="G398" s="759" t="s">
        <v>209</v>
      </c>
      <c r="H398" s="742" t="s">
        <v>3520</v>
      </c>
      <c r="I398" s="761"/>
      <c r="J398" s="762">
        <v>1</v>
      </c>
      <c r="K398" s="762"/>
      <c r="L398" s="762"/>
      <c r="M398" s="762"/>
      <c r="N398" s="762"/>
      <c r="O398" s="762"/>
      <c r="P398" s="763"/>
      <c r="Q398" s="764">
        <f t="shared" si="6"/>
        <v>1</v>
      </c>
      <c r="R398" s="758" t="s">
        <v>1846</v>
      </c>
      <c r="S398" s="742" t="s">
        <v>1826</v>
      </c>
      <c r="T398" s="765" t="s">
        <v>1827</v>
      </c>
      <c r="U398" s="742" t="s">
        <v>2238</v>
      </c>
      <c r="V398" s="742" t="s">
        <v>321</v>
      </c>
      <c r="W398" s="742" t="s">
        <v>2016</v>
      </c>
      <c r="X398" s="798">
        <v>2</v>
      </c>
      <c r="Y398" s="810" t="s">
        <v>1838</v>
      </c>
      <c r="Z398" s="759" t="s">
        <v>209</v>
      </c>
      <c r="AA398" s="754"/>
      <c r="AB398" s="754"/>
      <c r="AC398" s="754"/>
      <c r="AD398" s="754"/>
      <c r="AE398" s="754"/>
      <c r="AF398" s="768"/>
      <c r="AG398" s="867"/>
      <c r="AH398" s="867"/>
      <c r="AI398" s="867"/>
      <c r="AJ398" s="867"/>
      <c r="AK398" s="867"/>
      <c r="AL398" s="867"/>
      <c r="AM398" s="867"/>
      <c r="AN398" s="867"/>
      <c r="AO398" s="867"/>
      <c r="AP398" s="867"/>
      <c r="AQ398" s="1370"/>
      <c r="AR398" s="1324"/>
      <c r="AS398" s="1324"/>
      <c r="AT398" s="1324"/>
      <c r="AU398" s="1325"/>
      <c r="AV398" s="777"/>
      <c r="AW398" s="769"/>
      <c r="AX398" s="769"/>
      <c r="AY398" s="769"/>
      <c r="AZ398" s="769"/>
      <c r="BA398" s="769"/>
      <c r="BB398" s="769"/>
      <c r="BC398" s="769"/>
      <c r="BD398" s="769"/>
      <c r="BE398" s="769"/>
      <c r="BF398" s="769"/>
      <c r="BG398" s="769"/>
      <c r="BH398" s="769"/>
      <c r="BI398" s="769"/>
      <c r="BJ398" s="769"/>
      <c r="BK398" s="774"/>
      <c r="BL398" s="1327"/>
      <c r="BM398" s="1328"/>
      <c r="BN398" s="1328"/>
      <c r="BO398" s="1328"/>
      <c r="BP398" s="1389"/>
      <c r="BQ398" s="1369"/>
      <c r="BR398" s="1319"/>
      <c r="BS398" s="1319"/>
      <c r="BT398" s="1319"/>
      <c r="BU398" s="1320"/>
      <c r="BV398" s="1370"/>
      <c r="BW398" s="1324"/>
      <c r="BX398" s="1324"/>
      <c r="BY398" s="1324"/>
      <c r="BZ398" s="1324"/>
      <c r="CA398" s="1369"/>
      <c r="CB398" s="1319"/>
      <c r="CC398" s="1319"/>
      <c r="CD398" s="1319"/>
      <c r="CE398" s="1320"/>
      <c r="CF398" s="1319"/>
      <c r="CG398" s="1319"/>
      <c r="CH398" s="1319"/>
      <c r="CI398" s="1319"/>
      <c r="CJ398" s="1320"/>
      <c r="CK398" s="1369"/>
      <c r="CL398" s="1319"/>
      <c r="CM398" s="1319"/>
      <c r="CN398" s="1319"/>
      <c r="CO398" s="1320"/>
      <c r="CP398" s="1369"/>
      <c r="CQ398" s="1319"/>
      <c r="CR398" s="1319"/>
      <c r="CS398" s="1319"/>
      <c r="CT398" s="1320"/>
      <c r="CU398" s="1467"/>
      <c r="CV398" s="1458"/>
      <c r="CW398" s="1458"/>
      <c r="CX398" s="1663"/>
      <c r="CY398" s="1458"/>
      <c r="CZ398" s="1458"/>
      <c r="DA398" s="1458"/>
      <c r="DB398" s="1663"/>
      <c r="DC398" s="1328"/>
      <c r="DD398" s="1664"/>
      <c r="DE398" s="1669"/>
    </row>
    <row r="399" spans="1:109" ht="15.75" hidden="1" customHeight="1">
      <c r="A399" s="741" t="s">
        <v>1171</v>
      </c>
      <c r="B399" s="742">
        <v>393</v>
      </c>
      <c r="C399" s="758" t="s">
        <v>1315</v>
      </c>
      <c r="D399" s="742" t="s">
        <v>3510</v>
      </c>
      <c r="E399" s="742" t="s">
        <v>2217</v>
      </c>
      <c r="F399" s="754" t="s">
        <v>3521</v>
      </c>
      <c r="G399" s="759" t="s">
        <v>3522</v>
      </c>
      <c r="H399" s="742" t="s">
        <v>3523</v>
      </c>
      <c r="I399" s="761"/>
      <c r="J399" s="762">
        <v>1</v>
      </c>
      <c r="K399" s="762"/>
      <c r="L399" s="762"/>
      <c r="M399" s="762"/>
      <c r="N399" s="762"/>
      <c r="O399" s="762"/>
      <c r="P399" s="763"/>
      <c r="Q399" s="764">
        <f t="shared" si="6"/>
        <v>1</v>
      </c>
      <c r="R399" s="758" t="s">
        <v>1852</v>
      </c>
      <c r="S399" s="742" t="s">
        <v>1826</v>
      </c>
      <c r="T399" s="765" t="s">
        <v>1827</v>
      </c>
      <c r="U399" s="742" t="s">
        <v>2421</v>
      </c>
      <c r="V399" s="742" t="s">
        <v>1857</v>
      </c>
      <c r="W399" s="742" t="s">
        <v>3524</v>
      </c>
      <c r="X399" s="798">
        <v>2</v>
      </c>
      <c r="Y399" s="810" t="s">
        <v>1838</v>
      </c>
      <c r="Z399" s="759" t="s">
        <v>2309</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210</v>
      </c>
      <c r="BM399" s="754" t="s">
        <v>210</v>
      </c>
      <c r="BN399" s="754" t="s">
        <v>210</v>
      </c>
      <c r="BO399" s="754" t="s">
        <v>210</v>
      </c>
      <c r="BP399" s="765" t="s">
        <v>210</v>
      </c>
      <c r="BQ399" s="777" t="s">
        <v>2260</v>
      </c>
      <c r="BR399" s="769" t="s">
        <v>2260</v>
      </c>
      <c r="BS399" s="769" t="s">
        <v>2260</v>
      </c>
      <c r="BT399" s="769" t="s">
        <v>2260</v>
      </c>
      <c r="BU399" s="774" t="s">
        <v>2260</v>
      </c>
      <c r="BV399" s="775" t="s">
        <v>2260</v>
      </c>
      <c r="BW399" s="776" t="s">
        <v>2260</v>
      </c>
      <c r="BX399" s="776" t="s">
        <v>2260</v>
      </c>
      <c r="BY399" s="776" t="s">
        <v>2260</v>
      </c>
      <c r="BZ399" s="776" t="s">
        <v>2260</v>
      </c>
      <c r="CA399" s="777" t="s">
        <v>2260</v>
      </c>
      <c r="CB399" s="769" t="s">
        <v>2260</v>
      </c>
      <c r="CC399" s="769" t="s">
        <v>2260</v>
      </c>
      <c r="CD399" s="769" t="s">
        <v>2260</v>
      </c>
      <c r="CE399" s="774" t="s">
        <v>2260</v>
      </c>
      <c r="CF399" s="769" t="s">
        <v>2260</v>
      </c>
      <c r="CG399" s="769" t="s">
        <v>2260</v>
      </c>
      <c r="CH399" s="769" t="s">
        <v>2260</v>
      </c>
      <c r="CI399" s="769" t="s">
        <v>2260</v>
      </c>
      <c r="CJ399" s="774" t="s">
        <v>2260</v>
      </c>
      <c r="CK399" s="777" t="s">
        <v>2260</v>
      </c>
      <c r="CL399" s="769" t="s">
        <v>2260</v>
      </c>
      <c r="CM399" s="769" t="s">
        <v>2260</v>
      </c>
      <c r="CN399" s="769" t="s">
        <v>2260</v>
      </c>
      <c r="CO399" s="774" t="s">
        <v>2260</v>
      </c>
      <c r="CP399" s="777" t="s">
        <v>2260</v>
      </c>
      <c r="CQ399" s="769" t="s">
        <v>2260</v>
      </c>
      <c r="CR399" s="769" t="s">
        <v>2260</v>
      </c>
      <c r="CS399" s="769" t="s">
        <v>2260</v>
      </c>
      <c r="CT399" s="774" t="s">
        <v>2260</v>
      </c>
      <c r="CU399" s="1253">
        <v>-0.51100000000000001</v>
      </c>
      <c r="CV399" s="1252" t="s">
        <v>2260</v>
      </c>
      <c r="CW399" s="1252" t="s">
        <v>2260</v>
      </c>
      <c r="CX399" s="1254" t="s">
        <v>2260</v>
      </c>
      <c r="CY399" s="1252">
        <v>0.373</v>
      </c>
      <c r="CZ399" s="1252" t="s">
        <v>2260</v>
      </c>
      <c r="DA399" s="1252" t="s">
        <v>2260</v>
      </c>
      <c r="DB399" s="1254" t="s">
        <v>2260</v>
      </c>
      <c r="DC399" s="754"/>
      <c r="DD399" s="782">
        <v>1</v>
      </c>
      <c r="DE399" s="783"/>
    </row>
    <row r="400" spans="1:109" ht="15.75" hidden="1" customHeight="1">
      <c r="A400" s="741" t="s">
        <v>1171</v>
      </c>
      <c r="B400" s="742">
        <v>394</v>
      </c>
      <c r="C400" s="758" t="s">
        <v>1332</v>
      </c>
      <c r="D400" s="742" t="s">
        <v>3525</v>
      </c>
      <c r="E400" s="742" t="s">
        <v>2217</v>
      </c>
      <c r="F400" s="754" t="s">
        <v>3526</v>
      </c>
      <c r="G400" s="759" t="s">
        <v>2082</v>
      </c>
      <c r="H400" s="742" t="s">
        <v>3527</v>
      </c>
      <c r="I400" s="761">
        <v>0.1</v>
      </c>
      <c r="J400" s="762">
        <v>0.9</v>
      </c>
      <c r="K400" s="762"/>
      <c r="L400" s="762"/>
      <c r="M400" s="762"/>
      <c r="N400" s="762"/>
      <c r="O400" s="762"/>
      <c r="P400" s="763"/>
      <c r="Q400" s="764">
        <f t="shared" si="6"/>
        <v>1</v>
      </c>
      <c r="R400" s="758" t="s">
        <v>1846</v>
      </c>
      <c r="S400" s="742" t="s">
        <v>1836</v>
      </c>
      <c r="T400" s="765" t="s">
        <v>1837</v>
      </c>
      <c r="U400" s="742" t="s">
        <v>3028</v>
      </c>
      <c r="V400" s="742" t="s">
        <v>1857</v>
      </c>
      <c r="W400" s="742" t="s">
        <v>439</v>
      </c>
      <c r="X400" s="1243">
        <v>0</v>
      </c>
      <c r="Y400" s="810" t="s">
        <v>1838</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210</v>
      </c>
      <c r="BM400" s="754" t="s">
        <v>210</v>
      </c>
      <c r="BN400" s="754" t="s">
        <v>210</v>
      </c>
      <c r="BO400" s="754" t="s">
        <v>210</v>
      </c>
      <c r="BP400" s="765" t="s">
        <v>210</v>
      </c>
      <c r="BQ400" s="777" t="s">
        <v>2260</v>
      </c>
      <c r="BR400" s="769" t="s">
        <v>2260</v>
      </c>
      <c r="BS400" s="769" t="s">
        <v>2260</v>
      </c>
      <c r="BT400" s="769" t="s">
        <v>2260</v>
      </c>
      <c r="BU400" s="774" t="s">
        <v>2260</v>
      </c>
      <c r="BV400" s="775" t="s">
        <v>2260</v>
      </c>
      <c r="BW400" s="776" t="s">
        <v>2260</v>
      </c>
      <c r="BX400" s="776" t="s">
        <v>2260</v>
      </c>
      <c r="BY400" s="776" t="s">
        <v>2260</v>
      </c>
      <c r="BZ400" s="776" t="s">
        <v>2260</v>
      </c>
      <c r="CA400" s="777" t="s">
        <v>2260</v>
      </c>
      <c r="CB400" s="769" t="s">
        <v>2260</v>
      </c>
      <c r="CC400" s="769" t="s">
        <v>2260</v>
      </c>
      <c r="CD400" s="769" t="s">
        <v>2260</v>
      </c>
      <c r="CE400" s="774" t="s">
        <v>2260</v>
      </c>
      <c r="CF400" s="769" t="s">
        <v>2260</v>
      </c>
      <c r="CG400" s="769" t="s">
        <v>2260</v>
      </c>
      <c r="CH400" s="769" t="s">
        <v>2260</v>
      </c>
      <c r="CI400" s="769" t="s">
        <v>2260</v>
      </c>
      <c r="CJ400" s="774" t="s">
        <v>2260</v>
      </c>
      <c r="CK400" s="777" t="s">
        <v>2260</v>
      </c>
      <c r="CL400" s="769" t="s">
        <v>2260</v>
      </c>
      <c r="CM400" s="769" t="s">
        <v>2260</v>
      </c>
      <c r="CN400" s="769" t="s">
        <v>2260</v>
      </c>
      <c r="CO400" s="774" t="s">
        <v>2260</v>
      </c>
      <c r="CP400" s="777" t="s">
        <v>2260</v>
      </c>
      <c r="CQ400" s="769" t="s">
        <v>2260</v>
      </c>
      <c r="CR400" s="769" t="s">
        <v>2260</v>
      </c>
      <c r="CS400" s="769" t="s">
        <v>2260</v>
      </c>
      <c r="CT400" s="774" t="s">
        <v>2260</v>
      </c>
      <c r="CU400" s="1253">
        <v>-0.17599999999999999</v>
      </c>
      <c r="CV400" s="1252" t="s">
        <v>2260</v>
      </c>
      <c r="CW400" s="1252" t="s">
        <v>2260</v>
      </c>
      <c r="CX400" s="1254" t="s">
        <v>2260</v>
      </c>
      <c r="CY400" s="1252" t="s">
        <v>2260</v>
      </c>
      <c r="CZ400" s="1252" t="s">
        <v>2260</v>
      </c>
      <c r="DA400" s="1252" t="s">
        <v>2260</v>
      </c>
      <c r="DB400" s="1254" t="s">
        <v>2260</v>
      </c>
      <c r="DC400" s="754" t="s">
        <v>173</v>
      </c>
      <c r="DD400" s="782">
        <v>1</v>
      </c>
      <c r="DE400" s="783"/>
    </row>
    <row r="401" spans="1:109" ht="15.75" hidden="1" customHeight="1">
      <c r="A401" s="741" t="s">
        <v>1171</v>
      </c>
      <c r="B401" s="742">
        <v>395</v>
      </c>
      <c r="C401" s="758" t="s">
        <v>1263</v>
      </c>
      <c r="D401" s="742" t="s">
        <v>3525</v>
      </c>
      <c r="E401" s="742" t="s">
        <v>2217</v>
      </c>
      <c r="F401" s="754" t="s">
        <v>3528</v>
      </c>
      <c r="G401" s="759" t="s">
        <v>705</v>
      </c>
      <c r="H401" s="742" t="s">
        <v>3529</v>
      </c>
      <c r="I401" s="761"/>
      <c r="J401" s="762">
        <v>1</v>
      </c>
      <c r="K401" s="762"/>
      <c r="L401" s="762"/>
      <c r="M401" s="762"/>
      <c r="N401" s="762"/>
      <c r="O401" s="762"/>
      <c r="P401" s="763"/>
      <c r="Q401" s="764">
        <f t="shared" si="6"/>
        <v>1</v>
      </c>
      <c r="R401" s="758" t="s">
        <v>1852</v>
      </c>
      <c r="S401" s="742" t="s">
        <v>1826</v>
      </c>
      <c r="T401" s="765" t="s">
        <v>1827</v>
      </c>
      <c r="U401" s="742" t="s">
        <v>705</v>
      </c>
      <c r="V401" s="742" t="s">
        <v>321</v>
      </c>
      <c r="W401" s="742" t="s">
        <v>3530</v>
      </c>
      <c r="X401" s="1243">
        <v>1</v>
      </c>
      <c r="Y401" s="810" t="s">
        <v>1828</v>
      </c>
      <c r="Z401" s="759" t="s">
        <v>705</v>
      </c>
      <c r="AA401" s="754"/>
      <c r="AB401" s="754"/>
      <c r="AC401" s="754"/>
      <c r="AD401" s="754"/>
      <c r="AE401" s="754"/>
      <c r="AF401" s="768"/>
      <c r="AG401" s="877"/>
      <c r="AH401" s="769"/>
      <c r="AI401" s="769"/>
      <c r="AJ401" s="769"/>
      <c r="AK401" s="769"/>
      <c r="AL401" s="769"/>
      <c r="AM401" s="769"/>
      <c r="AN401" s="769"/>
      <c r="AO401" s="769"/>
      <c r="AP401" s="769"/>
      <c r="AQ401" s="1370"/>
      <c r="AR401" s="1324"/>
      <c r="AS401" s="1324"/>
      <c r="AT401" s="1324"/>
      <c r="AU401" s="1325"/>
      <c r="AV401" s="786"/>
      <c r="AW401" s="785"/>
      <c r="AX401" s="785"/>
      <c r="AY401" s="785"/>
      <c r="AZ401" s="785"/>
      <c r="BA401" s="785"/>
      <c r="BB401" s="785"/>
      <c r="BC401" s="785"/>
      <c r="BD401" s="785"/>
      <c r="BE401" s="785"/>
      <c r="BF401" s="785"/>
      <c r="BG401" s="785"/>
      <c r="BH401" s="785"/>
      <c r="BI401" s="785"/>
      <c r="BJ401" s="785"/>
      <c r="BK401" s="787"/>
      <c r="BL401" s="1327"/>
      <c r="BM401" s="1328"/>
      <c r="BN401" s="1328"/>
      <c r="BO401" s="1328"/>
      <c r="BP401" s="1389"/>
      <c r="BQ401" s="1460"/>
      <c r="BR401" s="1665"/>
      <c r="BS401" s="1665"/>
      <c r="BT401" s="1665"/>
      <c r="BU401" s="1466"/>
      <c r="BV401" s="1702"/>
      <c r="BW401" s="1703"/>
      <c r="BX401" s="1703"/>
      <c r="BY401" s="1703"/>
      <c r="BZ401" s="1703"/>
      <c r="CA401" s="1369"/>
      <c r="CB401" s="1319"/>
      <c r="CC401" s="1319"/>
      <c r="CD401" s="1319"/>
      <c r="CE401" s="1320"/>
      <c r="CF401" s="1319"/>
      <c r="CG401" s="1319"/>
      <c r="CH401" s="1319"/>
      <c r="CI401" s="1319"/>
      <c r="CJ401" s="1320"/>
      <c r="CK401" s="1702"/>
      <c r="CL401" s="1703"/>
      <c r="CM401" s="1703"/>
      <c r="CN401" s="1703"/>
      <c r="CO401" s="1704"/>
      <c r="CP401" s="1369"/>
      <c r="CQ401" s="1319"/>
      <c r="CR401" s="1319"/>
      <c r="CS401" s="1319"/>
      <c r="CT401" s="1320"/>
      <c r="CU401" s="1467"/>
      <c r="CV401" s="1458"/>
      <c r="CW401" s="1458"/>
      <c r="CX401" s="1663"/>
      <c r="CY401" s="1458"/>
      <c r="CZ401" s="1458"/>
      <c r="DA401" s="1458"/>
      <c r="DB401" s="1663"/>
      <c r="DC401" s="1328"/>
      <c r="DD401" s="1664"/>
      <c r="DE401" s="1669"/>
    </row>
    <row r="402" spans="1:109" ht="15.75" hidden="1" customHeight="1">
      <c r="A402" s="741" t="s">
        <v>1171</v>
      </c>
      <c r="B402" s="742">
        <v>396</v>
      </c>
      <c r="C402" s="758" t="s">
        <v>1255</v>
      </c>
      <c r="D402" s="742" t="s">
        <v>3525</v>
      </c>
      <c r="E402" s="742" t="s">
        <v>2231</v>
      </c>
      <c r="F402" s="754" t="s">
        <v>3531</v>
      </c>
      <c r="G402" s="759" t="s">
        <v>1084</v>
      </c>
      <c r="H402" s="742" t="s">
        <v>3532</v>
      </c>
      <c r="I402" s="761"/>
      <c r="J402" s="762">
        <v>1</v>
      </c>
      <c r="K402" s="762"/>
      <c r="L402" s="762"/>
      <c r="M402" s="762"/>
      <c r="N402" s="762"/>
      <c r="O402" s="762"/>
      <c r="P402" s="763"/>
      <c r="Q402" s="764">
        <f t="shared" si="6"/>
        <v>1</v>
      </c>
      <c r="R402" s="758" t="s">
        <v>1852</v>
      </c>
      <c r="S402" s="742" t="s">
        <v>1836</v>
      </c>
      <c r="T402" s="765" t="s">
        <v>1837</v>
      </c>
      <c r="U402" s="742" t="s">
        <v>2348</v>
      </c>
      <c r="V402" s="742" t="s">
        <v>1857</v>
      </c>
      <c r="W402" s="742" t="s">
        <v>3533</v>
      </c>
      <c r="X402" s="798">
        <v>1</v>
      </c>
      <c r="Y402" s="774" t="s">
        <v>1838</v>
      </c>
      <c r="Z402" s="759" t="s">
        <v>1084</v>
      </c>
      <c r="AA402" s="754"/>
      <c r="AB402" s="754"/>
      <c r="AC402" s="754"/>
      <c r="AD402" s="754"/>
      <c r="AE402" s="754"/>
      <c r="AF402" s="768"/>
      <c r="AG402" s="877"/>
      <c r="AH402" s="769"/>
      <c r="AI402" s="769"/>
      <c r="AJ402" s="769"/>
      <c r="AK402" s="769"/>
      <c r="AL402" s="769"/>
      <c r="AM402" s="769"/>
      <c r="AN402" s="798"/>
      <c r="AO402" s="798"/>
      <c r="AP402" s="798"/>
      <c r="AQ402" s="1369"/>
      <c r="AR402" s="1319"/>
      <c r="AS402" s="1319"/>
      <c r="AT402" s="1319"/>
      <c r="AU402" s="1320"/>
      <c r="AV402" s="777"/>
      <c r="AW402" s="769"/>
      <c r="AX402" s="769"/>
      <c r="AY402" s="769"/>
      <c r="AZ402" s="769"/>
      <c r="BA402" s="769"/>
      <c r="BB402" s="769"/>
      <c r="BC402" s="769"/>
      <c r="BD402" s="769"/>
      <c r="BE402" s="769"/>
      <c r="BF402" s="769"/>
      <c r="BG402" s="769"/>
      <c r="BH402" s="769"/>
      <c r="BI402" s="769"/>
      <c r="BJ402" s="769"/>
      <c r="BK402" s="774"/>
      <c r="BL402" s="1327"/>
      <c r="BM402" s="1328"/>
      <c r="BN402" s="1328"/>
      <c r="BO402" s="1328"/>
      <c r="BP402" s="1389"/>
      <c r="BQ402" s="1369"/>
      <c r="BR402" s="1319"/>
      <c r="BS402" s="1319"/>
      <c r="BT402" s="1319"/>
      <c r="BU402" s="1320"/>
      <c r="BV402" s="1370"/>
      <c r="BW402" s="1324"/>
      <c r="BX402" s="1324"/>
      <c r="BY402" s="1324"/>
      <c r="BZ402" s="1324"/>
      <c r="CA402" s="1369"/>
      <c r="CB402" s="1319"/>
      <c r="CC402" s="1319"/>
      <c r="CD402" s="1319"/>
      <c r="CE402" s="1320"/>
      <c r="CF402" s="1319"/>
      <c r="CG402" s="1319"/>
      <c r="CH402" s="1319"/>
      <c r="CI402" s="1319"/>
      <c r="CJ402" s="1320"/>
      <c r="CK402" s="1369"/>
      <c r="CL402" s="1319"/>
      <c r="CM402" s="1319"/>
      <c r="CN402" s="1319"/>
      <c r="CO402" s="1320"/>
      <c r="CP402" s="1369"/>
      <c r="CQ402" s="1319"/>
      <c r="CR402" s="1319"/>
      <c r="CS402" s="1319"/>
      <c r="CT402" s="1320"/>
      <c r="CU402" s="1467"/>
      <c r="CV402" s="1458"/>
      <c r="CW402" s="1458"/>
      <c r="CX402" s="1663"/>
      <c r="CY402" s="1458"/>
      <c r="CZ402" s="1458"/>
      <c r="DA402" s="1458"/>
      <c r="DB402" s="1663"/>
      <c r="DC402" s="1328"/>
      <c r="DD402" s="1664"/>
      <c r="DE402" s="1669"/>
    </row>
    <row r="403" spans="1:109" ht="15.75" hidden="1" customHeight="1">
      <c r="A403" s="741" t="s">
        <v>1171</v>
      </c>
      <c r="B403" s="742">
        <v>397</v>
      </c>
      <c r="C403" s="758" t="s">
        <v>1164</v>
      </c>
      <c r="D403" s="742" t="s">
        <v>3534</v>
      </c>
      <c r="E403" s="742" t="s">
        <v>2217</v>
      </c>
      <c r="F403" s="754" t="s">
        <v>3535</v>
      </c>
      <c r="G403" s="759" t="s">
        <v>784</v>
      </c>
      <c r="H403" s="742" t="s">
        <v>3536</v>
      </c>
      <c r="I403" s="761"/>
      <c r="J403" s="762"/>
      <c r="K403" s="762">
        <v>1</v>
      </c>
      <c r="L403" s="762"/>
      <c r="M403" s="762"/>
      <c r="N403" s="762"/>
      <c r="O403" s="762"/>
      <c r="P403" s="763"/>
      <c r="Q403" s="764">
        <f t="shared" si="6"/>
        <v>1</v>
      </c>
      <c r="R403" s="758" t="s">
        <v>1852</v>
      </c>
      <c r="S403" s="742" t="s">
        <v>1826</v>
      </c>
      <c r="T403" s="765" t="s">
        <v>1827</v>
      </c>
      <c r="U403" s="742" t="s">
        <v>2351</v>
      </c>
      <c r="V403" s="742" t="s">
        <v>1857</v>
      </c>
      <c r="W403" s="742" t="s">
        <v>3537</v>
      </c>
      <c r="X403" s="798">
        <v>2</v>
      </c>
      <c r="Y403" s="774" t="s">
        <v>1838</v>
      </c>
      <c r="Z403" s="759" t="s">
        <v>784</v>
      </c>
      <c r="AA403" s="754"/>
      <c r="AB403" s="754"/>
      <c r="AC403" s="754"/>
      <c r="AD403" s="754"/>
      <c r="AE403" s="754"/>
      <c r="AF403" s="768"/>
      <c r="AG403" s="769"/>
      <c r="AH403" s="769"/>
      <c r="AI403" s="798"/>
      <c r="AJ403" s="798"/>
      <c r="AK403" s="798"/>
      <c r="AL403" s="798"/>
      <c r="AM403" s="798"/>
      <c r="AN403" s="798"/>
      <c r="AO403" s="798"/>
      <c r="AP403" s="798"/>
      <c r="AQ403" s="1369"/>
      <c r="AR403" s="1319"/>
      <c r="AS403" s="1319"/>
      <c r="AT403" s="1319"/>
      <c r="AU403" s="1320"/>
      <c r="AV403" s="797"/>
      <c r="AW403" s="798"/>
      <c r="AX403" s="798"/>
      <c r="AY403" s="798"/>
      <c r="AZ403" s="798"/>
      <c r="BA403" s="798"/>
      <c r="BB403" s="798"/>
      <c r="BC403" s="798"/>
      <c r="BD403" s="798"/>
      <c r="BE403" s="798"/>
      <c r="BF403" s="798"/>
      <c r="BG403" s="798"/>
      <c r="BH403" s="798"/>
      <c r="BI403" s="798"/>
      <c r="BJ403" s="798"/>
      <c r="BK403" s="799"/>
      <c r="BL403" s="1327"/>
      <c r="BM403" s="1328"/>
      <c r="BN403" s="1328"/>
      <c r="BO403" s="1328"/>
      <c r="BP403" s="1389"/>
      <c r="BQ403" s="1369"/>
      <c r="BR403" s="1319"/>
      <c r="BS403" s="1319"/>
      <c r="BT403" s="1319"/>
      <c r="BU403" s="1320"/>
      <c r="BV403" s="1370"/>
      <c r="BW403" s="1324"/>
      <c r="BX403" s="1324"/>
      <c r="BY403" s="1324"/>
      <c r="BZ403" s="1324"/>
      <c r="CA403" s="1369"/>
      <c r="CB403" s="1319"/>
      <c r="CC403" s="1319"/>
      <c r="CD403" s="1319"/>
      <c r="CE403" s="1320"/>
      <c r="CF403" s="1319"/>
      <c r="CG403" s="1319"/>
      <c r="CH403" s="1319"/>
      <c r="CI403" s="1319"/>
      <c r="CJ403" s="1320"/>
      <c r="CK403" s="1370"/>
      <c r="CL403" s="1324"/>
      <c r="CM403" s="1324"/>
      <c r="CN403" s="1324"/>
      <c r="CO403" s="1325"/>
      <c r="CP403" s="1370"/>
      <c r="CQ403" s="1324"/>
      <c r="CR403" s="1324"/>
      <c r="CS403" s="1324"/>
      <c r="CT403" s="1325"/>
      <c r="CU403" s="1467"/>
      <c r="CV403" s="1458"/>
      <c r="CW403" s="1458"/>
      <c r="CX403" s="1663"/>
      <c r="CY403" s="1458"/>
      <c r="CZ403" s="1458"/>
      <c r="DA403" s="1458"/>
      <c r="DB403" s="1663"/>
      <c r="DC403" s="1328"/>
      <c r="DD403" s="1664"/>
      <c r="DE403" s="1669"/>
    </row>
    <row r="404" spans="1:109" ht="15.75" hidden="1" customHeight="1">
      <c r="A404" s="741" t="s">
        <v>1171</v>
      </c>
      <c r="B404" s="742">
        <v>398</v>
      </c>
      <c r="C404" s="758" t="s">
        <v>1500</v>
      </c>
      <c r="D404" s="742" t="s">
        <v>3534</v>
      </c>
      <c r="E404" s="742" t="s">
        <v>2217</v>
      </c>
      <c r="F404" s="754" t="s">
        <v>3538</v>
      </c>
      <c r="G404" s="759" t="s">
        <v>3539</v>
      </c>
      <c r="H404" s="742" t="s">
        <v>3540</v>
      </c>
      <c r="I404" s="761"/>
      <c r="J404" s="762"/>
      <c r="K404" s="762">
        <v>1</v>
      </c>
      <c r="L404" s="762"/>
      <c r="M404" s="762"/>
      <c r="N404" s="762"/>
      <c r="O404" s="762"/>
      <c r="P404" s="763"/>
      <c r="Q404" s="764">
        <f t="shared" si="6"/>
        <v>1</v>
      </c>
      <c r="R404" s="758" t="s">
        <v>1852</v>
      </c>
      <c r="S404" s="742" t="s">
        <v>1826</v>
      </c>
      <c r="T404" s="765" t="s">
        <v>1827</v>
      </c>
      <c r="U404" s="742" t="s">
        <v>2351</v>
      </c>
      <c r="V404" s="742" t="s">
        <v>1857</v>
      </c>
      <c r="W404" s="742" t="s">
        <v>439</v>
      </c>
      <c r="X404" s="1243">
        <v>0</v>
      </c>
      <c r="Y404" s="780" t="s">
        <v>1838</v>
      </c>
      <c r="Z404" s="759" t="s">
        <v>2381</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210</v>
      </c>
      <c r="BM404" s="754" t="s">
        <v>210</v>
      </c>
      <c r="BN404" s="754" t="s">
        <v>210</v>
      </c>
      <c r="BO404" s="754" t="s">
        <v>210</v>
      </c>
      <c r="BP404" s="765" t="s">
        <v>210</v>
      </c>
      <c r="BQ404" s="777" t="s">
        <v>2260</v>
      </c>
      <c r="BR404" s="769" t="s">
        <v>2260</v>
      </c>
      <c r="BS404" s="769" t="s">
        <v>2260</v>
      </c>
      <c r="BT404" s="769" t="s">
        <v>2260</v>
      </c>
      <c r="BU404" s="774" t="s">
        <v>2260</v>
      </c>
      <c r="BV404" s="775">
        <v>2048</v>
      </c>
      <c r="BW404" s="776">
        <v>1882</v>
      </c>
      <c r="BX404" s="776">
        <v>1716</v>
      </c>
      <c r="BY404" s="776">
        <v>1550</v>
      </c>
      <c r="BZ404" s="776">
        <v>1381</v>
      </c>
      <c r="CA404" s="777" t="s">
        <v>2260</v>
      </c>
      <c r="CB404" s="769" t="s">
        <v>2260</v>
      </c>
      <c r="CC404" s="769" t="s">
        <v>2260</v>
      </c>
      <c r="CD404" s="769" t="s">
        <v>2260</v>
      </c>
      <c r="CE404" s="774" t="s">
        <v>2260</v>
      </c>
      <c r="CF404" s="769" t="s">
        <v>2260</v>
      </c>
      <c r="CG404" s="769" t="s">
        <v>2260</v>
      </c>
      <c r="CH404" s="769" t="s">
        <v>2260</v>
      </c>
      <c r="CI404" s="769" t="s">
        <v>2260</v>
      </c>
      <c r="CJ404" s="774" t="s">
        <v>2260</v>
      </c>
      <c r="CK404" s="777">
        <v>915</v>
      </c>
      <c r="CL404" s="769">
        <v>835</v>
      </c>
      <c r="CM404" s="769">
        <v>809</v>
      </c>
      <c r="CN404" s="769">
        <v>703</v>
      </c>
      <c r="CO404" s="774">
        <v>545</v>
      </c>
      <c r="CP404" s="777" t="s">
        <v>2260</v>
      </c>
      <c r="CQ404" s="769" t="s">
        <v>2260</v>
      </c>
      <c r="CR404" s="769" t="s">
        <v>2260</v>
      </c>
      <c r="CS404" s="769" t="s">
        <v>2260</v>
      </c>
      <c r="CT404" s="774" t="s">
        <v>2260</v>
      </c>
      <c r="CU404" s="1253">
        <v>-0.01</v>
      </c>
      <c r="CV404" s="1252" t="s">
        <v>2260</v>
      </c>
      <c r="CW404" s="1252" t="s">
        <v>2260</v>
      </c>
      <c r="CX404" s="1254" t="s">
        <v>2260</v>
      </c>
      <c r="CY404" s="1252">
        <v>6.0000000000000001E-3</v>
      </c>
      <c r="CZ404" s="1252" t="s">
        <v>2260</v>
      </c>
      <c r="DA404" s="1252" t="s">
        <v>2260</v>
      </c>
      <c r="DB404" s="1254" t="s">
        <v>2260</v>
      </c>
      <c r="DC404" s="754"/>
      <c r="DD404" s="782">
        <v>1</v>
      </c>
      <c r="DE404" s="783"/>
    </row>
    <row r="405" spans="1:109" ht="15.75" hidden="1" customHeight="1">
      <c r="A405" s="741" t="s">
        <v>1171</v>
      </c>
      <c r="B405" s="742">
        <v>399</v>
      </c>
      <c r="C405" s="758" t="s">
        <v>1166</v>
      </c>
      <c r="D405" s="742" t="s">
        <v>3534</v>
      </c>
      <c r="E405" s="742" t="s">
        <v>2217</v>
      </c>
      <c r="F405" s="754" t="s">
        <v>3541</v>
      </c>
      <c r="G405" s="759" t="s">
        <v>795</v>
      </c>
      <c r="H405" s="742" t="s">
        <v>3542</v>
      </c>
      <c r="I405" s="761"/>
      <c r="J405" s="762"/>
      <c r="K405" s="762">
        <v>1</v>
      </c>
      <c r="L405" s="762"/>
      <c r="M405" s="762"/>
      <c r="N405" s="762"/>
      <c r="O405" s="762"/>
      <c r="P405" s="763"/>
      <c r="Q405" s="764">
        <f t="shared" si="6"/>
        <v>1</v>
      </c>
      <c r="R405" s="758" t="s">
        <v>1852</v>
      </c>
      <c r="S405" s="742" t="s">
        <v>1826</v>
      </c>
      <c r="T405" s="765" t="s">
        <v>1827</v>
      </c>
      <c r="U405" s="742" t="s">
        <v>2482</v>
      </c>
      <c r="V405" s="742" t="s">
        <v>1857</v>
      </c>
      <c r="W405" s="742" t="s">
        <v>3543</v>
      </c>
      <c r="X405" s="798">
        <v>2</v>
      </c>
      <c r="Y405" s="810" t="s">
        <v>1838</v>
      </c>
      <c r="Z405" s="759" t="s">
        <v>795</v>
      </c>
      <c r="AA405" s="754"/>
      <c r="AB405" s="754"/>
      <c r="AC405" s="754"/>
      <c r="AD405" s="754"/>
      <c r="AE405" s="754"/>
      <c r="AF405" s="768"/>
      <c r="AG405" s="776"/>
      <c r="AH405" s="776"/>
      <c r="AI405" s="776"/>
      <c r="AJ405" s="776"/>
      <c r="AK405" s="776"/>
      <c r="AL405" s="769"/>
      <c r="AM405" s="769"/>
      <c r="AN405" s="769"/>
      <c r="AO405" s="769"/>
      <c r="AP405" s="769"/>
      <c r="AQ405" s="1369"/>
      <c r="AR405" s="1319"/>
      <c r="AS405" s="1319"/>
      <c r="AT405" s="1319"/>
      <c r="AU405" s="1320"/>
      <c r="AV405" s="777"/>
      <c r="AW405" s="769"/>
      <c r="AX405" s="769"/>
      <c r="AY405" s="769"/>
      <c r="AZ405" s="769"/>
      <c r="BA405" s="769"/>
      <c r="BB405" s="769"/>
      <c r="BC405" s="769"/>
      <c r="BD405" s="769"/>
      <c r="BE405" s="769"/>
      <c r="BF405" s="769"/>
      <c r="BG405" s="769"/>
      <c r="BH405" s="769"/>
      <c r="BI405" s="769"/>
      <c r="BJ405" s="769"/>
      <c r="BK405" s="774"/>
      <c r="BL405" s="1327"/>
      <c r="BM405" s="1328"/>
      <c r="BN405" s="1328"/>
      <c r="BO405" s="1328"/>
      <c r="BP405" s="1389"/>
      <c r="BQ405" s="1369"/>
      <c r="BR405" s="1319"/>
      <c r="BS405" s="1319"/>
      <c r="BT405" s="1319"/>
      <c r="BU405" s="1320"/>
      <c r="BV405" s="1370"/>
      <c r="BW405" s="1324"/>
      <c r="BX405" s="1324"/>
      <c r="BY405" s="1324"/>
      <c r="BZ405" s="1324"/>
      <c r="CA405" s="1369"/>
      <c r="CB405" s="1319"/>
      <c r="CC405" s="1319"/>
      <c r="CD405" s="1319"/>
      <c r="CE405" s="1320"/>
      <c r="CF405" s="1319"/>
      <c r="CG405" s="1319"/>
      <c r="CH405" s="1319"/>
      <c r="CI405" s="1319"/>
      <c r="CJ405" s="1320"/>
      <c r="CK405" s="1369"/>
      <c r="CL405" s="1319"/>
      <c r="CM405" s="1319"/>
      <c r="CN405" s="1319"/>
      <c r="CO405" s="1320"/>
      <c r="CP405" s="1369"/>
      <c r="CQ405" s="1319"/>
      <c r="CR405" s="1319"/>
      <c r="CS405" s="1319"/>
      <c r="CT405" s="1320"/>
      <c r="CU405" s="1467"/>
      <c r="CV405" s="1458"/>
      <c r="CW405" s="1458"/>
      <c r="CX405" s="1663"/>
      <c r="CY405" s="1458"/>
      <c r="CZ405" s="1458"/>
      <c r="DA405" s="1458"/>
      <c r="DB405" s="1663"/>
      <c r="DC405" s="1328"/>
      <c r="DD405" s="1664"/>
      <c r="DE405" s="1669"/>
    </row>
    <row r="406" spans="1:109" ht="15.75" hidden="1" customHeight="1">
      <c r="A406" s="741" t="s">
        <v>1171</v>
      </c>
      <c r="B406" s="742">
        <v>400</v>
      </c>
      <c r="C406" s="758" t="s">
        <v>1511</v>
      </c>
      <c r="D406" s="742" t="s">
        <v>3534</v>
      </c>
      <c r="E406" s="742" t="s">
        <v>2217</v>
      </c>
      <c r="F406" s="754" t="s">
        <v>3544</v>
      </c>
      <c r="G406" s="759" t="s">
        <v>2623</v>
      </c>
      <c r="H406" s="742" t="s">
        <v>3545</v>
      </c>
      <c r="I406" s="761"/>
      <c r="J406" s="762"/>
      <c r="K406" s="762">
        <v>1</v>
      </c>
      <c r="L406" s="762"/>
      <c r="M406" s="762"/>
      <c r="N406" s="762"/>
      <c r="O406" s="762"/>
      <c r="P406" s="763"/>
      <c r="Q406" s="764">
        <f t="shared" si="6"/>
        <v>1</v>
      </c>
      <c r="R406" s="758" t="s">
        <v>1852</v>
      </c>
      <c r="S406" s="742" t="s">
        <v>1826</v>
      </c>
      <c r="T406" s="765" t="s">
        <v>1827</v>
      </c>
      <c r="U406" s="742" t="s">
        <v>2482</v>
      </c>
      <c r="V406" s="742" t="s">
        <v>1857</v>
      </c>
      <c r="W406" s="742" t="s">
        <v>439</v>
      </c>
      <c r="X406" s="1243">
        <v>0</v>
      </c>
      <c r="Y406" s="810" t="s">
        <v>1838</v>
      </c>
      <c r="Z406" s="759" t="s">
        <v>2623</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210</v>
      </c>
      <c r="BM406" s="754" t="s">
        <v>210</v>
      </c>
      <c r="BN406" s="754" t="s">
        <v>210</v>
      </c>
      <c r="BO406" s="754" t="s">
        <v>210</v>
      </c>
      <c r="BP406" s="765" t="s">
        <v>210</v>
      </c>
      <c r="BQ406" s="777" t="s">
        <v>2260</v>
      </c>
      <c r="BR406" s="769" t="s">
        <v>2260</v>
      </c>
      <c r="BS406" s="769" t="s">
        <v>2260</v>
      </c>
      <c r="BT406" s="769" t="s">
        <v>2260</v>
      </c>
      <c r="BU406" s="774" t="s">
        <v>2260</v>
      </c>
      <c r="BV406" s="775">
        <v>8542</v>
      </c>
      <c r="BW406" s="776">
        <v>8282</v>
      </c>
      <c r="BX406" s="776">
        <v>8022</v>
      </c>
      <c r="BY406" s="776">
        <v>7762</v>
      </c>
      <c r="BZ406" s="776">
        <v>7502</v>
      </c>
      <c r="CA406" s="777" t="s">
        <v>2260</v>
      </c>
      <c r="CB406" s="769" t="s">
        <v>2260</v>
      </c>
      <c r="CC406" s="769" t="s">
        <v>2260</v>
      </c>
      <c r="CD406" s="769" t="s">
        <v>2260</v>
      </c>
      <c r="CE406" s="774" t="s">
        <v>2260</v>
      </c>
      <c r="CF406" s="769" t="s">
        <v>2260</v>
      </c>
      <c r="CG406" s="769" t="s">
        <v>2260</v>
      </c>
      <c r="CH406" s="769" t="s">
        <v>2260</v>
      </c>
      <c r="CI406" s="769" t="s">
        <v>2260</v>
      </c>
      <c r="CJ406" s="774" t="s">
        <v>2260</v>
      </c>
      <c r="CK406" s="777">
        <v>6040</v>
      </c>
      <c r="CL406" s="769">
        <v>5780</v>
      </c>
      <c r="CM406" s="769">
        <v>5520</v>
      </c>
      <c r="CN406" s="769">
        <v>5260</v>
      </c>
      <c r="CO406" s="774">
        <v>5000</v>
      </c>
      <c r="CP406" s="777" t="s">
        <v>2260</v>
      </c>
      <c r="CQ406" s="769" t="s">
        <v>2260</v>
      </c>
      <c r="CR406" s="769" t="s">
        <v>2260</v>
      </c>
      <c r="CS406" s="769" t="s">
        <v>2260</v>
      </c>
      <c r="CT406" s="774" t="s">
        <v>2260</v>
      </c>
      <c r="CU406" s="1253">
        <v>-1.6000000000000001E-3</v>
      </c>
      <c r="CV406" s="1252" t="s">
        <v>2260</v>
      </c>
      <c r="CW406" s="1252" t="s">
        <v>2260</v>
      </c>
      <c r="CX406" s="1254" t="s">
        <v>2260</v>
      </c>
      <c r="CY406" s="1252">
        <v>1E-3</v>
      </c>
      <c r="CZ406" s="1252" t="s">
        <v>2260</v>
      </c>
      <c r="DA406" s="1252" t="s">
        <v>2260</v>
      </c>
      <c r="DB406" s="1254" t="s">
        <v>2260</v>
      </c>
      <c r="DC406" s="754"/>
      <c r="DD406" s="782">
        <v>1</v>
      </c>
      <c r="DE406" s="783"/>
    </row>
    <row r="407" spans="1:109" ht="15.75" hidden="1" customHeight="1">
      <c r="A407" s="741" t="s">
        <v>1171</v>
      </c>
      <c r="B407" s="742">
        <v>401</v>
      </c>
      <c r="C407" s="758" t="s">
        <v>1522</v>
      </c>
      <c r="D407" s="742" t="s">
        <v>3534</v>
      </c>
      <c r="E407" s="742" t="s">
        <v>2223</v>
      </c>
      <c r="F407" s="754" t="s">
        <v>3546</v>
      </c>
      <c r="G407" s="759" t="s">
        <v>3547</v>
      </c>
      <c r="H407" s="742" t="s">
        <v>3548</v>
      </c>
      <c r="I407" s="761"/>
      <c r="J407" s="762"/>
      <c r="K407" s="762">
        <v>1</v>
      </c>
      <c r="L407" s="762"/>
      <c r="M407" s="762"/>
      <c r="N407" s="762"/>
      <c r="O407" s="762"/>
      <c r="P407" s="763"/>
      <c r="Q407" s="764">
        <f t="shared" si="6"/>
        <v>1</v>
      </c>
      <c r="R407" s="758" t="s">
        <v>1852</v>
      </c>
      <c r="S407" s="742" t="s">
        <v>1826</v>
      </c>
      <c r="T407" s="765" t="s">
        <v>1827</v>
      </c>
      <c r="U407" s="742" t="s">
        <v>3549</v>
      </c>
      <c r="V407" s="742" t="s">
        <v>1857</v>
      </c>
      <c r="W407" s="742" t="s">
        <v>439</v>
      </c>
      <c r="X407" s="1243">
        <v>0</v>
      </c>
      <c r="Y407" s="810" t="s">
        <v>1838</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210</v>
      </c>
      <c r="BM407" s="754" t="s">
        <v>210</v>
      </c>
      <c r="BN407" s="754" t="s">
        <v>210</v>
      </c>
      <c r="BO407" s="754" t="s">
        <v>210</v>
      </c>
      <c r="BP407" s="765" t="s">
        <v>210</v>
      </c>
      <c r="BQ407" s="777" t="s">
        <v>2260</v>
      </c>
      <c r="BR407" s="769" t="s">
        <v>2260</v>
      </c>
      <c r="BS407" s="769" t="s">
        <v>2260</v>
      </c>
      <c r="BT407" s="769" t="s">
        <v>2260</v>
      </c>
      <c r="BU407" s="774" t="s">
        <v>2260</v>
      </c>
      <c r="BV407" s="775" t="s">
        <v>2260</v>
      </c>
      <c r="BW407" s="776" t="s">
        <v>2260</v>
      </c>
      <c r="BX407" s="776" t="s">
        <v>2260</v>
      </c>
      <c r="BY407" s="776" t="s">
        <v>2260</v>
      </c>
      <c r="BZ407" s="776" t="s">
        <v>2260</v>
      </c>
      <c r="CA407" s="777" t="s">
        <v>2260</v>
      </c>
      <c r="CB407" s="769" t="s">
        <v>2260</v>
      </c>
      <c r="CC407" s="769" t="s">
        <v>2260</v>
      </c>
      <c r="CD407" s="769" t="s">
        <v>2260</v>
      </c>
      <c r="CE407" s="774" t="s">
        <v>2260</v>
      </c>
      <c r="CF407" s="769" t="s">
        <v>2260</v>
      </c>
      <c r="CG407" s="769" t="s">
        <v>2260</v>
      </c>
      <c r="CH407" s="769" t="s">
        <v>2260</v>
      </c>
      <c r="CI407" s="769" t="s">
        <v>2260</v>
      </c>
      <c r="CJ407" s="774" t="s">
        <v>2260</v>
      </c>
      <c r="CK407" s="777" t="s">
        <v>2260</v>
      </c>
      <c r="CL407" s="769" t="s">
        <v>2260</v>
      </c>
      <c r="CM407" s="769" t="s">
        <v>2260</v>
      </c>
      <c r="CN407" s="769" t="s">
        <v>2260</v>
      </c>
      <c r="CO407" s="774" t="s">
        <v>2260</v>
      </c>
      <c r="CP407" s="777" t="s">
        <v>2260</v>
      </c>
      <c r="CQ407" s="769" t="s">
        <v>2260</v>
      </c>
      <c r="CR407" s="769" t="s">
        <v>2260</v>
      </c>
      <c r="CS407" s="769" t="s">
        <v>2260</v>
      </c>
      <c r="CT407" s="774" t="s">
        <v>2260</v>
      </c>
      <c r="CU407" s="1253">
        <v>-8.0000000000000002E-3</v>
      </c>
      <c r="CV407" s="1252" t="s">
        <v>2260</v>
      </c>
      <c r="CW407" s="1252" t="s">
        <v>2260</v>
      </c>
      <c r="CX407" s="1254" t="s">
        <v>2260</v>
      </c>
      <c r="CY407" s="1252">
        <v>5.0000000000000001E-3</v>
      </c>
      <c r="CZ407" s="1252" t="s">
        <v>2260</v>
      </c>
      <c r="DA407" s="1252" t="s">
        <v>2260</v>
      </c>
      <c r="DB407" s="1254" t="s">
        <v>2260</v>
      </c>
      <c r="DC407" s="754"/>
      <c r="DD407" s="782">
        <v>1</v>
      </c>
      <c r="DE407" s="783"/>
    </row>
    <row r="408" spans="1:109" ht="15.75" hidden="1" customHeight="1">
      <c r="A408" s="741" t="s">
        <v>1171</v>
      </c>
      <c r="B408" s="742">
        <v>402</v>
      </c>
      <c r="C408" s="758" t="s">
        <v>1167</v>
      </c>
      <c r="D408" s="742" t="s">
        <v>3534</v>
      </c>
      <c r="E408" s="742" t="s">
        <v>2223</v>
      </c>
      <c r="F408" s="754" t="s">
        <v>3550</v>
      </c>
      <c r="G408" s="759" t="s">
        <v>1085</v>
      </c>
      <c r="H408" s="742" t="s">
        <v>3551</v>
      </c>
      <c r="I408" s="761"/>
      <c r="J408" s="762"/>
      <c r="K408" s="762">
        <v>1</v>
      </c>
      <c r="L408" s="762"/>
      <c r="M408" s="762"/>
      <c r="N408" s="762"/>
      <c r="O408" s="762"/>
      <c r="P408" s="763"/>
      <c r="Q408" s="764">
        <f t="shared" si="6"/>
        <v>1</v>
      </c>
      <c r="R408" s="758" t="s">
        <v>1846</v>
      </c>
      <c r="S408" s="742" t="s">
        <v>1826</v>
      </c>
      <c r="T408" s="765" t="s">
        <v>1827</v>
      </c>
      <c r="U408" s="742" t="s">
        <v>3552</v>
      </c>
      <c r="V408" s="742" t="s">
        <v>321</v>
      </c>
      <c r="W408" s="742" t="s">
        <v>2016</v>
      </c>
      <c r="X408" s="798">
        <v>2</v>
      </c>
      <c r="Y408" s="810" t="s">
        <v>1828</v>
      </c>
      <c r="Z408" s="759" t="s">
        <v>1085</v>
      </c>
      <c r="AA408" s="754"/>
      <c r="AB408" s="754"/>
      <c r="AC408" s="754"/>
      <c r="AD408" s="754"/>
      <c r="AE408" s="754"/>
      <c r="AF408" s="768"/>
      <c r="AG408" s="867"/>
      <c r="AH408" s="867"/>
      <c r="AI408" s="867"/>
      <c r="AJ408" s="867"/>
      <c r="AK408" s="867"/>
      <c r="AL408" s="867"/>
      <c r="AM408" s="867"/>
      <c r="AN408" s="867"/>
      <c r="AO408" s="867"/>
      <c r="AP408" s="867"/>
      <c r="AQ408" s="1705"/>
      <c r="AR408" s="1706"/>
      <c r="AS408" s="1706"/>
      <c r="AT408" s="1706"/>
      <c r="AU408" s="1707"/>
      <c r="AV408" s="866"/>
      <c r="AW408" s="867"/>
      <c r="AX408" s="867"/>
      <c r="AY408" s="867"/>
      <c r="AZ408" s="867"/>
      <c r="BA408" s="867"/>
      <c r="BB408" s="867"/>
      <c r="BC408" s="867"/>
      <c r="BD408" s="867"/>
      <c r="BE408" s="867"/>
      <c r="BF408" s="867"/>
      <c r="BG408" s="867"/>
      <c r="BH408" s="867"/>
      <c r="BI408" s="867"/>
      <c r="BJ408" s="867"/>
      <c r="BK408" s="868"/>
      <c r="BL408" s="1327"/>
      <c r="BM408" s="1328"/>
      <c r="BN408" s="1328"/>
      <c r="BO408" s="1328"/>
      <c r="BP408" s="1389"/>
      <c r="BQ408" s="1369"/>
      <c r="BR408" s="1319"/>
      <c r="BS408" s="1319"/>
      <c r="BT408" s="1319"/>
      <c r="BU408" s="1320"/>
      <c r="BV408" s="1370"/>
      <c r="BW408" s="1324"/>
      <c r="BX408" s="1324"/>
      <c r="BY408" s="1324"/>
      <c r="BZ408" s="1324"/>
      <c r="CA408" s="1369"/>
      <c r="CB408" s="1319"/>
      <c r="CC408" s="1319"/>
      <c r="CD408" s="1319"/>
      <c r="CE408" s="1320"/>
      <c r="CF408" s="1319"/>
      <c r="CG408" s="1319"/>
      <c r="CH408" s="1319"/>
      <c r="CI408" s="1319"/>
      <c r="CJ408" s="1320"/>
      <c r="CK408" s="1369"/>
      <c r="CL408" s="1319"/>
      <c r="CM408" s="1319"/>
      <c r="CN408" s="1319"/>
      <c r="CO408" s="1320"/>
      <c r="CP408" s="1369"/>
      <c r="CQ408" s="1319"/>
      <c r="CR408" s="1319"/>
      <c r="CS408" s="1319"/>
      <c r="CT408" s="1320"/>
      <c r="CU408" s="1467"/>
      <c r="CV408" s="1458"/>
      <c r="CW408" s="1458"/>
      <c r="CX408" s="1663"/>
      <c r="CY408" s="1458"/>
      <c r="CZ408" s="1458"/>
      <c r="DA408" s="1458"/>
      <c r="DB408" s="1663"/>
      <c r="DC408" s="1328"/>
      <c r="DD408" s="1664"/>
      <c r="DE408" s="1669"/>
    </row>
    <row r="409" spans="1:109" ht="15.75" hidden="1" customHeight="1">
      <c r="A409" s="741" t="s">
        <v>1171</v>
      </c>
      <c r="B409" s="742">
        <v>403</v>
      </c>
      <c r="C409" s="758" t="s">
        <v>1532</v>
      </c>
      <c r="D409" s="742" t="s">
        <v>3534</v>
      </c>
      <c r="E409" s="742" t="s">
        <v>2223</v>
      </c>
      <c r="F409" s="754" t="s">
        <v>3553</v>
      </c>
      <c r="G409" s="759" t="s">
        <v>3554</v>
      </c>
      <c r="H409" s="742" t="s">
        <v>3555</v>
      </c>
      <c r="I409" s="761"/>
      <c r="J409" s="762"/>
      <c r="K409" s="762">
        <v>1</v>
      </c>
      <c r="L409" s="762"/>
      <c r="M409" s="762"/>
      <c r="N409" s="762"/>
      <c r="O409" s="762"/>
      <c r="P409" s="763"/>
      <c r="Q409" s="764">
        <f t="shared" si="6"/>
        <v>1</v>
      </c>
      <c r="R409" s="758" t="s">
        <v>1846</v>
      </c>
      <c r="S409" s="742" t="s">
        <v>1826</v>
      </c>
      <c r="T409" s="765" t="s">
        <v>1827</v>
      </c>
      <c r="U409" s="742" t="s">
        <v>3556</v>
      </c>
      <c r="V409" s="742" t="s">
        <v>321</v>
      </c>
      <c r="W409" s="742" t="s">
        <v>2016</v>
      </c>
      <c r="X409" s="798">
        <v>1</v>
      </c>
      <c r="Y409" s="810" t="s">
        <v>1828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210</v>
      </c>
      <c r="BM409" s="754" t="s">
        <v>210</v>
      </c>
      <c r="BN409" s="754" t="s">
        <v>210</v>
      </c>
      <c r="BO409" s="754" t="s">
        <v>210</v>
      </c>
      <c r="BP409" s="765" t="s">
        <v>210</v>
      </c>
      <c r="BQ409" s="777" t="s">
        <v>2260</v>
      </c>
      <c r="BR409" s="769" t="s">
        <v>2260</v>
      </c>
      <c r="BS409" s="769" t="s">
        <v>2260</v>
      </c>
      <c r="BT409" s="769" t="s">
        <v>2260</v>
      </c>
      <c r="BU409" s="774" t="s">
        <v>2260</v>
      </c>
      <c r="BV409" s="775" t="s">
        <v>2260</v>
      </c>
      <c r="BW409" s="776" t="s">
        <v>2260</v>
      </c>
      <c r="BX409" s="776" t="s">
        <v>2260</v>
      </c>
      <c r="BY409" s="776" t="s">
        <v>2260</v>
      </c>
      <c r="BZ409" s="776" t="s">
        <v>2260</v>
      </c>
      <c r="CA409" s="777">
        <v>99</v>
      </c>
      <c r="CB409" s="769">
        <v>99</v>
      </c>
      <c r="CC409" s="769">
        <v>99</v>
      </c>
      <c r="CD409" s="769">
        <v>99</v>
      </c>
      <c r="CE409" s="774">
        <v>99</v>
      </c>
      <c r="CF409" s="769" t="s">
        <v>2260</v>
      </c>
      <c r="CG409" s="769" t="s">
        <v>2260</v>
      </c>
      <c r="CH409" s="769" t="s">
        <v>2260</v>
      </c>
      <c r="CI409" s="769" t="s">
        <v>2260</v>
      </c>
      <c r="CJ409" s="774" t="s">
        <v>2260</v>
      </c>
      <c r="CK409" s="777" t="s">
        <v>2260</v>
      </c>
      <c r="CL409" s="769" t="s">
        <v>2260</v>
      </c>
      <c r="CM409" s="769" t="s">
        <v>2260</v>
      </c>
      <c r="CN409" s="769" t="s">
        <v>2260</v>
      </c>
      <c r="CO409" s="774" t="s">
        <v>2260</v>
      </c>
      <c r="CP409" s="777" t="s">
        <v>2260</v>
      </c>
      <c r="CQ409" s="769" t="s">
        <v>2260</v>
      </c>
      <c r="CR409" s="769" t="s">
        <v>2260</v>
      </c>
      <c r="CS409" s="769" t="s">
        <v>2260</v>
      </c>
      <c r="CT409" s="774" t="s">
        <v>2260</v>
      </c>
      <c r="CU409" s="1253">
        <v>-0.27800000000000002</v>
      </c>
      <c r="CV409" s="1252" t="s">
        <v>2260</v>
      </c>
      <c r="CW409" s="1252" t="s">
        <v>2260</v>
      </c>
      <c r="CX409" s="1254" t="s">
        <v>2260</v>
      </c>
      <c r="CY409" s="1252" t="s">
        <v>2260</v>
      </c>
      <c r="CZ409" s="1252" t="s">
        <v>2260</v>
      </c>
      <c r="DA409" s="1252" t="s">
        <v>2260</v>
      </c>
      <c r="DB409" s="1254" t="s">
        <v>2260</v>
      </c>
      <c r="DC409" s="754"/>
      <c r="DD409" s="782">
        <v>1</v>
      </c>
      <c r="DE409" s="783"/>
    </row>
    <row r="410" spans="1:109" ht="15.75" hidden="1" customHeight="1">
      <c r="A410" s="741" t="s">
        <v>1171</v>
      </c>
      <c r="B410" s="742">
        <v>404</v>
      </c>
      <c r="C410" s="758" t="s">
        <v>1598</v>
      </c>
      <c r="D410" s="742" t="s">
        <v>3534</v>
      </c>
      <c r="E410" s="742" t="s">
        <v>2231</v>
      </c>
      <c r="F410" s="754" t="s">
        <v>3557</v>
      </c>
      <c r="G410" s="759" t="s">
        <v>3558</v>
      </c>
      <c r="H410" s="742" t="s">
        <v>3559</v>
      </c>
      <c r="I410" s="761"/>
      <c r="J410" s="762"/>
      <c r="K410" s="762">
        <v>1</v>
      </c>
      <c r="L410" s="762"/>
      <c r="M410" s="762"/>
      <c r="N410" s="762"/>
      <c r="O410" s="762"/>
      <c r="P410" s="763"/>
      <c r="Q410" s="764">
        <f t="shared" si="6"/>
        <v>1</v>
      </c>
      <c r="R410" s="758" t="s">
        <v>1825</v>
      </c>
      <c r="S410" s="742"/>
      <c r="T410" s="765"/>
      <c r="U410" s="742" t="s">
        <v>2387</v>
      </c>
      <c r="V410" s="742" t="s">
        <v>321</v>
      </c>
      <c r="W410" s="742" t="s">
        <v>2016</v>
      </c>
      <c r="X410" s="798">
        <v>1</v>
      </c>
      <c r="Y410" s="810" t="s">
        <v>1828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2260</v>
      </c>
      <c r="BR410" s="769" t="s">
        <v>2260</v>
      </c>
      <c r="BS410" s="769" t="s">
        <v>2260</v>
      </c>
      <c r="BT410" s="769" t="s">
        <v>2260</v>
      </c>
      <c r="BU410" s="774" t="s">
        <v>2260</v>
      </c>
      <c r="BV410" s="775" t="s">
        <v>2260</v>
      </c>
      <c r="BW410" s="776" t="s">
        <v>2260</v>
      </c>
      <c r="BX410" s="776" t="s">
        <v>2260</v>
      </c>
      <c r="BY410" s="776" t="s">
        <v>2260</v>
      </c>
      <c r="BZ410" s="776" t="s">
        <v>2260</v>
      </c>
      <c r="CA410" s="777" t="s">
        <v>2260</v>
      </c>
      <c r="CB410" s="769" t="s">
        <v>2260</v>
      </c>
      <c r="CC410" s="769" t="s">
        <v>2260</v>
      </c>
      <c r="CD410" s="769" t="s">
        <v>2260</v>
      </c>
      <c r="CE410" s="774" t="s">
        <v>2260</v>
      </c>
      <c r="CF410" s="769" t="s">
        <v>2260</v>
      </c>
      <c r="CG410" s="769" t="s">
        <v>2260</v>
      </c>
      <c r="CH410" s="769" t="s">
        <v>2260</v>
      </c>
      <c r="CI410" s="769" t="s">
        <v>2260</v>
      </c>
      <c r="CJ410" s="774" t="s">
        <v>2260</v>
      </c>
      <c r="CK410" s="777" t="s">
        <v>2260</v>
      </c>
      <c r="CL410" s="769" t="s">
        <v>2260</v>
      </c>
      <c r="CM410" s="769" t="s">
        <v>2260</v>
      </c>
      <c r="CN410" s="769" t="s">
        <v>2260</v>
      </c>
      <c r="CO410" s="774" t="s">
        <v>2260</v>
      </c>
      <c r="CP410" s="777" t="s">
        <v>2260</v>
      </c>
      <c r="CQ410" s="769" t="s">
        <v>2260</v>
      </c>
      <c r="CR410" s="769" t="s">
        <v>2260</v>
      </c>
      <c r="CS410" s="769" t="s">
        <v>2260</v>
      </c>
      <c r="CT410" s="774" t="s">
        <v>2260</v>
      </c>
      <c r="CU410" s="1253" t="s">
        <v>2260</v>
      </c>
      <c r="CV410" s="1252" t="s">
        <v>2260</v>
      </c>
      <c r="CW410" s="1252" t="s">
        <v>2260</v>
      </c>
      <c r="CX410" s="1254" t="s">
        <v>2260</v>
      </c>
      <c r="CY410" s="1252" t="s">
        <v>2260</v>
      </c>
      <c r="CZ410" s="1252" t="s">
        <v>2260</v>
      </c>
      <c r="DA410" s="1252" t="s">
        <v>2260</v>
      </c>
      <c r="DB410" s="1254" t="s">
        <v>2260</v>
      </c>
      <c r="DC410" s="754"/>
      <c r="DD410" s="782">
        <v>1</v>
      </c>
      <c r="DE410" s="783"/>
    </row>
    <row r="411" spans="1:109" ht="15.75" hidden="1" customHeight="1">
      <c r="A411" s="741" t="s">
        <v>1171</v>
      </c>
      <c r="B411" s="742">
        <v>405</v>
      </c>
      <c r="C411" s="758" t="s">
        <v>1542</v>
      </c>
      <c r="D411" s="742" t="s">
        <v>3534</v>
      </c>
      <c r="E411" s="742" t="s">
        <v>2223</v>
      </c>
      <c r="F411" s="754" t="s">
        <v>3560</v>
      </c>
      <c r="G411" s="759" t="s">
        <v>3561</v>
      </c>
      <c r="H411" s="742" t="s">
        <v>3562</v>
      </c>
      <c r="I411" s="761"/>
      <c r="J411" s="762"/>
      <c r="K411" s="762"/>
      <c r="L411" s="762">
        <v>1</v>
      </c>
      <c r="M411" s="762"/>
      <c r="N411" s="762"/>
      <c r="O411" s="762"/>
      <c r="P411" s="763"/>
      <c r="Q411" s="764">
        <f t="shared" si="6"/>
        <v>1</v>
      </c>
      <c r="R411" s="758" t="s">
        <v>1846</v>
      </c>
      <c r="S411" s="742" t="s">
        <v>1826</v>
      </c>
      <c r="T411" s="765" t="s">
        <v>1827</v>
      </c>
      <c r="U411" s="742" t="s">
        <v>815</v>
      </c>
      <c r="V411" s="742" t="s">
        <v>321</v>
      </c>
      <c r="W411" s="742" t="s">
        <v>2016</v>
      </c>
      <c r="X411" s="798">
        <v>2</v>
      </c>
      <c r="Y411" s="810" t="s">
        <v>1828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210</v>
      </c>
      <c r="BM411" s="754" t="s">
        <v>210</v>
      </c>
      <c r="BN411" s="754" t="s">
        <v>210</v>
      </c>
      <c r="BO411" s="754" t="s">
        <v>210</v>
      </c>
      <c r="BP411" s="765" t="s">
        <v>210</v>
      </c>
      <c r="BQ411" s="777" t="s">
        <v>2260</v>
      </c>
      <c r="BR411" s="769" t="s">
        <v>2260</v>
      </c>
      <c r="BS411" s="769" t="s">
        <v>2260</v>
      </c>
      <c r="BT411" s="769" t="s">
        <v>2260</v>
      </c>
      <c r="BU411" s="774" t="s">
        <v>2260</v>
      </c>
      <c r="BV411" s="775" t="s">
        <v>2260</v>
      </c>
      <c r="BW411" s="776" t="s">
        <v>2260</v>
      </c>
      <c r="BX411" s="776" t="s">
        <v>2260</v>
      </c>
      <c r="BY411" s="776" t="s">
        <v>2260</v>
      </c>
      <c r="BZ411" s="776" t="s">
        <v>2260</v>
      </c>
      <c r="CA411" s="777">
        <v>99.94</v>
      </c>
      <c r="CB411" s="769">
        <v>99.94</v>
      </c>
      <c r="CC411" s="769">
        <v>99.94</v>
      </c>
      <c r="CD411" s="769">
        <v>99.94</v>
      </c>
      <c r="CE411" s="774">
        <v>99.94</v>
      </c>
      <c r="CF411" s="769" t="s">
        <v>2260</v>
      </c>
      <c r="CG411" s="769" t="s">
        <v>2260</v>
      </c>
      <c r="CH411" s="769" t="s">
        <v>2260</v>
      </c>
      <c r="CI411" s="769" t="s">
        <v>2260</v>
      </c>
      <c r="CJ411" s="774" t="s">
        <v>2260</v>
      </c>
      <c r="CK411" s="777" t="s">
        <v>2260</v>
      </c>
      <c r="CL411" s="769" t="s">
        <v>2260</v>
      </c>
      <c r="CM411" s="769" t="s">
        <v>2260</v>
      </c>
      <c r="CN411" s="769" t="s">
        <v>2260</v>
      </c>
      <c r="CO411" s="774" t="s">
        <v>2260</v>
      </c>
      <c r="CP411" s="777" t="s">
        <v>2260</v>
      </c>
      <c r="CQ411" s="769" t="s">
        <v>2260</v>
      </c>
      <c r="CR411" s="769" t="s">
        <v>2260</v>
      </c>
      <c r="CS411" s="769" t="s">
        <v>2260</v>
      </c>
      <c r="CT411" s="774" t="s">
        <v>2260</v>
      </c>
      <c r="CU411" s="1253">
        <v>-0.08</v>
      </c>
      <c r="CV411" s="1252" t="s">
        <v>2260</v>
      </c>
      <c r="CW411" s="1252" t="s">
        <v>2260</v>
      </c>
      <c r="CX411" s="1254" t="s">
        <v>2260</v>
      </c>
      <c r="CY411" s="1252" t="s">
        <v>2260</v>
      </c>
      <c r="CZ411" s="1252" t="s">
        <v>2260</v>
      </c>
      <c r="DA411" s="1252" t="s">
        <v>2260</v>
      </c>
      <c r="DB411" s="1254" t="s">
        <v>2260</v>
      </c>
      <c r="DC411" s="754"/>
      <c r="DD411" s="782">
        <v>1</v>
      </c>
      <c r="DE411" s="783"/>
    </row>
    <row r="412" spans="1:109" ht="15.75" hidden="1" customHeight="1">
      <c r="A412" s="741" t="s">
        <v>1171</v>
      </c>
      <c r="B412" s="742">
        <v>406</v>
      </c>
      <c r="C412" s="758" t="s">
        <v>1249</v>
      </c>
      <c r="D412" s="742" t="s">
        <v>2234</v>
      </c>
      <c r="E412" s="742" t="s">
        <v>2231</v>
      </c>
      <c r="F412" s="754" t="s">
        <v>3563</v>
      </c>
      <c r="G412" s="759" t="s">
        <v>567</v>
      </c>
      <c r="H412" s="742" t="s">
        <v>3564</v>
      </c>
      <c r="I412" s="761">
        <v>1</v>
      </c>
      <c r="J412" s="762"/>
      <c r="K412" s="762"/>
      <c r="L412" s="762"/>
      <c r="M412" s="762"/>
      <c r="N412" s="762"/>
      <c r="O412" s="762"/>
      <c r="P412" s="763"/>
      <c r="Q412" s="764">
        <f t="shared" si="6"/>
        <v>1</v>
      </c>
      <c r="R412" s="758" t="s">
        <v>1825</v>
      </c>
      <c r="S412" s="742"/>
      <c r="T412" s="765"/>
      <c r="U412" s="742" t="s">
        <v>2234</v>
      </c>
      <c r="V412" s="742" t="s">
        <v>321</v>
      </c>
      <c r="W412" s="742" t="s">
        <v>3565</v>
      </c>
      <c r="X412" s="1243">
        <v>1</v>
      </c>
      <c r="Y412" s="810" t="s">
        <v>1838</v>
      </c>
      <c r="Z412" s="759" t="s">
        <v>567</v>
      </c>
      <c r="AA412" s="754"/>
      <c r="AB412" s="754"/>
      <c r="AC412" s="754"/>
      <c r="AD412" s="754"/>
      <c r="AE412" s="754"/>
      <c r="AF412" s="768"/>
      <c r="AG412" s="867"/>
      <c r="AH412" s="867"/>
      <c r="AI412" s="867"/>
      <c r="AJ412" s="867"/>
      <c r="AK412" s="867"/>
      <c r="AL412" s="867"/>
      <c r="AM412" s="867"/>
      <c r="AN412" s="867"/>
      <c r="AO412" s="867"/>
      <c r="AP412" s="867"/>
      <c r="AQ412" s="1705"/>
      <c r="AR412" s="1706"/>
      <c r="AS412" s="1706"/>
      <c r="AT412" s="1706"/>
      <c r="AU412" s="1707"/>
      <c r="AV412" s="796"/>
      <c r="AW412" s="766"/>
      <c r="AX412" s="766"/>
      <c r="AY412" s="766"/>
      <c r="AZ412" s="867"/>
      <c r="BA412" s="867"/>
      <c r="BB412" s="867"/>
      <c r="BC412" s="867"/>
      <c r="BD412" s="867"/>
      <c r="BE412" s="867"/>
      <c r="BF412" s="867"/>
      <c r="BG412" s="867"/>
      <c r="BH412" s="867"/>
      <c r="BI412" s="867"/>
      <c r="BJ412" s="867"/>
      <c r="BK412" s="868"/>
      <c r="BL412" s="1696"/>
      <c r="BM412" s="1697"/>
      <c r="BN412" s="1697"/>
      <c r="BO412" s="1697"/>
      <c r="BP412" s="1698"/>
      <c r="BQ412" s="1369"/>
      <c r="BR412" s="1319"/>
      <c r="BS412" s="1319"/>
      <c r="BT412" s="1319"/>
      <c r="BU412" s="1320"/>
      <c r="BV412" s="1370"/>
      <c r="BW412" s="1324"/>
      <c r="BX412" s="1324"/>
      <c r="BY412" s="1324"/>
      <c r="BZ412" s="1324"/>
      <c r="CA412" s="1369"/>
      <c r="CB412" s="1319"/>
      <c r="CC412" s="1319"/>
      <c r="CD412" s="1319"/>
      <c r="CE412" s="1320"/>
      <c r="CF412" s="1319"/>
      <c r="CG412" s="1319"/>
      <c r="CH412" s="1319"/>
      <c r="CI412" s="1319"/>
      <c r="CJ412" s="1320"/>
      <c r="CK412" s="1369"/>
      <c r="CL412" s="1319"/>
      <c r="CM412" s="1319"/>
      <c r="CN412" s="1319"/>
      <c r="CO412" s="1320"/>
      <c r="CP412" s="1369"/>
      <c r="CQ412" s="1319"/>
      <c r="CR412" s="1319"/>
      <c r="CS412" s="1319"/>
      <c r="CT412" s="1320"/>
      <c r="CU412" s="1467"/>
      <c r="CV412" s="1458"/>
      <c r="CW412" s="1458"/>
      <c r="CX412" s="1663"/>
      <c r="CY412" s="1458"/>
      <c r="CZ412" s="1458"/>
      <c r="DA412" s="1458"/>
      <c r="DB412" s="1663"/>
      <c r="DC412" s="1328"/>
      <c r="DD412" s="1664"/>
      <c r="DE412" s="1669"/>
    </row>
    <row r="413" spans="1:109" ht="15.75" hidden="1" customHeight="1">
      <c r="A413" s="741" t="s">
        <v>1171</v>
      </c>
      <c r="B413" s="742">
        <v>407</v>
      </c>
      <c r="C413" s="758" t="s">
        <v>1170</v>
      </c>
      <c r="D413" s="742" t="s">
        <v>2234</v>
      </c>
      <c r="E413" s="742" t="s">
        <v>2231</v>
      </c>
      <c r="F413" s="754" t="s">
        <v>3566</v>
      </c>
      <c r="G413" s="759" t="s">
        <v>891</v>
      </c>
      <c r="H413" s="742" t="s">
        <v>3567</v>
      </c>
      <c r="I413" s="761"/>
      <c r="J413" s="762"/>
      <c r="K413" s="762">
        <v>1</v>
      </c>
      <c r="L413" s="762"/>
      <c r="M413" s="762"/>
      <c r="N413" s="762"/>
      <c r="O413" s="762"/>
      <c r="P413" s="763"/>
      <c r="Q413" s="764">
        <f t="shared" si="6"/>
        <v>1</v>
      </c>
      <c r="R413" s="758" t="s">
        <v>1825</v>
      </c>
      <c r="S413" s="742"/>
      <c r="T413" s="765"/>
      <c r="U413" s="742" t="s">
        <v>2234</v>
      </c>
      <c r="V413" s="742" t="s">
        <v>321</v>
      </c>
      <c r="W413" s="742" t="s">
        <v>3568</v>
      </c>
      <c r="X413" s="798">
        <v>2</v>
      </c>
      <c r="Y413" s="810" t="s">
        <v>1838</v>
      </c>
      <c r="Z413" s="759" t="s">
        <v>891</v>
      </c>
      <c r="AA413" s="754"/>
      <c r="AB413" s="754"/>
      <c r="AC413" s="754"/>
      <c r="AD413" s="754"/>
      <c r="AE413" s="754"/>
      <c r="AF413" s="768"/>
      <c r="AG413" s="878"/>
      <c r="AH413" s="878"/>
      <c r="AI413" s="776"/>
      <c r="AJ413" s="776"/>
      <c r="AK413" s="776"/>
      <c r="AL413" s="776"/>
      <c r="AM413" s="776"/>
      <c r="AN413" s="776"/>
      <c r="AO413" s="776"/>
      <c r="AP413" s="776"/>
      <c r="AQ413" s="1370"/>
      <c r="AR413" s="1324"/>
      <c r="AS413" s="1324"/>
      <c r="AT413" s="1324"/>
      <c r="AU413" s="1325"/>
      <c r="AV413" s="775"/>
      <c r="AW413" s="776"/>
      <c r="AX413" s="776"/>
      <c r="AY413" s="776"/>
      <c r="AZ413" s="776"/>
      <c r="BA413" s="776"/>
      <c r="BB413" s="776"/>
      <c r="BC413" s="776"/>
      <c r="BD413" s="776"/>
      <c r="BE413" s="776"/>
      <c r="BF413" s="776"/>
      <c r="BG413" s="776"/>
      <c r="BH413" s="776"/>
      <c r="BI413" s="776"/>
      <c r="BJ413" s="776"/>
      <c r="BK413" s="789"/>
      <c r="BL413" s="1327"/>
      <c r="BM413" s="1328"/>
      <c r="BN413" s="1328"/>
      <c r="BO413" s="1328"/>
      <c r="BP413" s="1389"/>
      <c r="BQ413" s="1369"/>
      <c r="BR413" s="1319"/>
      <c r="BS413" s="1319"/>
      <c r="BT413" s="1319"/>
      <c r="BU413" s="1320"/>
      <c r="BV413" s="1370"/>
      <c r="BW413" s="1324"/>
      <c r="BX413" s="1324"/>
      <c r="BY413" s="1324"/>
      <c r="BZ413" s="1324"/>
      <c r="CA413" s="1369"/>
      <c r="CB413" s="1319"/>
      <c r="CC413" s="1319"/>
      <c r="CD413" s="1319"/>
      <c r="CE413" s="1320"/>
      <c r="CF413" s="1319"/>
      <c r="CG413" s="1319"/>
      <c r="CH413" s="1319"/>
      <c r="CI413" s="1319"/>
      <c r="CJ413" s="1320"/>
      <c r="CK413" s="1369"/>
      <c r="CL413" s="1319"/>
      <c r="CM413" s="1319"/>
      <c r="CN413" s="1319"/>
      <c r="CO413" s="1320"/>
      <c r="CP413" s="1369"/>
      <c r="CQ413" s="1319"/>
      <c r="CR413" s="1319"/>
      <c r="CS413" s="1319"/>
      <c r="CT413" s="1320"/>
      <c r="CU413" s="1467"/>
      <c r="CV413" s="1458"/>
      <c r="CW413" s="1458"/>
      <c r="CX413" s="1663"/>
      <c r="CY413" s="1458"/>
      <c r="CZ413" s="1458"/>
      <c r="DA413" s="1458"/>
      <c r="DB413" s="1663"/>
      <c r="DC413" s="1328"/>
      <c r="DD413" s="1664"/>
      <c r="DE413" s="1669"/>
    </row>
    <row r="414" spans="1:109" ht="15.75" hidden="1" customHeight="1">
      <c r="A414" s="741" t="s">
        <v>1171</v>
      </c>
      <c r="B414" s="742">
        <v>408</v>
      </c>
      <c r="C414" s="758" t="s">
        <v>1551</v>
      </c>
      <c r="D414" s="742" t="s">
        <v>2234</v>
      </c>
      <c r="E414" s="742" t="s">
        <v>2231</v>
      </c>
      <c r="F414" s="754" t="s">
        <v>3569</v>
      </c>
      <c r="G414" s="759" t="s">
        <v>3570</v>
      </c>
      <c r="H414" s="742" t="s">
        <v>3571</v>
      </c>
      <c r="I414" s="761"/>
      <c r="J414" s="762"/>
      <c r="K414" s="762">
        <v>1</v>
      </c>
      <c r="L414" s="762"/>
      <c r="M414" s="762"/>
      <c r="N414" s="762"/>
      <c r="O414" s="762"/>
      <c r="P414" s="763"/>
      <c r="Q414" s="764">
        <f t="shared" si="6"/>
        <v>1</v>
      </c>
      <c r="R414" s="758" t="s">
        <v>1852</v>
      </c>
      <c r="S414" s="742" t="s">
        <v>1826</v>
      </c>
      <c r="T414" s="765" t="s">
        <v>1827</v>
      </c>
      <c r="U414" s="742" t="s">
        <v>2234</v>
      </c>
      <c r="V414" s="742" t="s">
        <v>1857</v>
      </c>
      <c r="W414" s="742" t="s">
        <v>439</v>
      </c>
      <c r="X414" s="1243">
        <v>0</v>
      </c>
      <c r="Y414" s="810" t="s">
        <v>1828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210</v>
      </c>
      <c r="BM414" s="754" t="s">
        <v>210</v>
      </c>
      <c r="BN414" s="754" t="s">
        <v>210</v>
      </c>
      <c r="BO414" s="754" t="s">
        <v>210</v>
      </c>
      <c r="BP414" s="765" t="s">
        <v>210</v>
      </c>
      <c r="BQ414" s="777" t="s">
        <v>2260</v>
      </c>
      <c r="BR414" s="769" t="s">
        <v>2260</v>
      </c>
      <c r="BS414" s="769" t="s">
        <v>2260</v>
      </c>
      <c r="BT414" s="769" t="s">
        <v>2260</v>
      </c>
      <c r="BU414" s="774" t="s">
        <v>2260</v>
      </c>
      <c r="BV414" s="775" t="s">
        <v>2260</v>
      </c>
      <c r="BW414" s="776" t="s">
        <v>2260</v>
      </c>
      <c r="BX414" s="776" t="s">
        <v>2260</v>
      </c>
      <c r="BY414" s="776" t="s">
        <v>2260</v>
      </c>
      <c r="BZ414" s="776" t="s">
        <v>2260</v>
      </c>
      <c r="CA414" s="777" t="s">
        <v>2260</v>
      </c>
      <c r="CB414" s="769" t="s">
        <v>2260</v>
      </c>
      <c r="CC414" s="769" t="s">
        <v>2260</v>
      </c>
      <c r="CD414" s="769" t="s">
        <v>2260</v>
      </c>
      <c r="CE414" s="774" t="s">
        <v>2260</v>
      </c>
      <c r="CF414" s="769" t="s">
        <v>2260</v>
      </c>
      <c r="CG414" s="769" t="s">
        <v>2260</v>
      </c>
      <c r="CH414" s="769" t="s">
        <v>2260</v>
      </c>
      <c r="CI414" s="769" t="s">
        <v>2260</v>
      </c>
      <c r="CJ414" s="774" t="s">
        <v>2260</v>
      </c>
      <c r="CK414" s="777" t="s">
        <v>2260</v>
      </c>
      <c r="CL414" s="769" t="s">
        <v>2260</v>
      </c>
      <c r="CM414" s="769" t="s">
        <v>2260</v>
      </c>
      <c r="CN414" s="769" t="s">
        <v>2260</v>
      </c>
      <c r="CO414" s="774" t="s">
        <v>2260</v>
      </c>
      <c r="CP414" s="777" t="s">
        <v>2260</v>
      </c>
      <c r="CQ414" s="769" t="s">
        <v>2260</v>
      </c>
      <c r="CR414" s="769" t="s">
        <v>2260</v>
      </c>
      <c r="CS414" s="769" t="s">
        <v>2260</v>
      </c>
      <c r="CT414" s="774" t="s">
        <v>2260</v>
      </c>
      <c r="CU414" s="1253">
        <v>-3.3400000000000001E-3</v>
      </c>
      <c r="CV414" s="1252" t="s">
        <v>2260</v>
      </c>
      <c r="CW414" s="1252" t="s">
        <v>2260</v>
      </c>
      <c r="CX414" s="1254" t="s">
        <v>2260</v>
      </c>
      <c r="CY414" s="1252">
        <v>1.9599999999999999E-3</v>
      </c>
      <c r="CZ414" s="1252" t="s">
        <v>2260</v>
      </c>
      <c r="DA414" s="1252" t="s">
        <v>2260</v>
      </c>
      <c r="DB414" s="1254" t="s">
        <v>2260</v>
      </c>
      <c r="DC414" s="754"/>
      <c r="DD414" s="782"/>
      <c r="DE414" s="783"/>
    </row>
    <row r="415" spans="1:109" ht="15.75" hidden="1" customHeight="1">
      <c r="A415" s="741" t="s">
        <v>1171</v>
      </c>
      <c r="B415" s="742">
        <v>409</v>
      </c>
      <c r="C415" s="758" t="s">
        <v>1349</v>
      </c>
      <c r="D415" s="742" t="s">
        <v>2234</v>
      </c>
      <c r="E415" s="742" t="s">
        <v>2231</v>
      </c>
      <c r="F415" s="754" t="s">
        <v>3572</v>
      </c>
      <c r="G415" s="759" t="s">
        <v>3573</v>
      </c>
      <c r="H415" s="742" t="s">
        <v>3574</v>
      </c>
      <c r="I415" s="761"/>
      <c r="J415" s="762">
        <v>1</v>
      </c>
      <c r="K415" s="762"/>
      <c r="L415" s="762"/>
      <c r="M415" s="762"/>
      <c r="N415" s="762"/>
      <c r="O415" s="762"/>
      <c r="P415" s="763"/>
      <c r="Q415" s="764">
        <f t="shared" si="6"/>
        <v>1</v>
      </c>
      <c r="R415" s="758" t="s">
        <v>1852</v>
      </c>
      <c r="S415" s="742" t="s">
        <v>1826</v>
      </c>
      <c r="T415" s="765" t="s">
        <v>1827</v>
      </c>
      <c r="U415" s="742" t="s">
        <v>2234</v>
      </c>
      <c r="V415" s="742" t="s">
        <v>1857</v>
      </c>
      <c r="W415" s="742" t="s">
        <v>439</v>
      </c>
      <c r="X415" s="1243">
        <v>0</v>
      </c>
      <c r="Y415" s="810" t="s">
        <v>1838</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210</v>
      </c>
      <c r="BM415" s="754" t="s">
        <v>210</v>
      </c>
      <c r="BN415" s="754" t="s">
        <v>210</v>
      </c>
      <c r="BO415" s="754" t="s">
        <v>210</v>
      </c>
      <c r="BP415" s="765" t="s">
        <v>210</v>
      </c>
      <c r="BQ415" s="777" t="s">
        <v>2260</v>
      </c>
      <c r="BR415" s="769" t="s">
        <v>2260</v>
      </c>
      <c r="BS415" s="769" t="s">
        <v>2260</v>
      </c>
      <c r="BT415" s="769" t="s">
        <v>2260</v>
      </c>
      <c r="BU415" s="774" t="s">
        <v>2260</v>
      </c>
      <c r="BV415" s="775" t="s">
        <v>2260</v>
      </c>
      <c r="BW415" s="776" t="s">
        <v>2260</v>
      </c>
      <c r="BX415" s="776" t="s">
        <v>2260</v>
      </c>
      <c r="BY415" s="776" t="s">
        <v>2260</v>
      </c>
      <c r="BZ415" s="776" t="s">
        <v>2260</v>
      </c>
      <c r="CA415" s="777" t="s">
        <v>2260</v>
      </c>
      <c r="CB415" s="769" t="s">
        <v>2260</v>
      </c>
      <c r="CC415" s="769" t="s">
        <v>2260</v>
      </c>
      <c r="CD415" s="769" t="s">
        <v>2260</v>
      </c>
      <c r="CE415" s="774" t="s">
        <v>2260</v>
      </c>
      <c r="CF415" s="769" t="s">
        <v>2260</v>
      </c>
      <c r="CG415" s="769" t="s">
        <v>2260</v>
      </c>
      <c r="CH415" s="769" t="s">
        <v>2260</v>
      </c>
      <c r="CI415" s="769" t="s">
        <v>2260</v>
      </c>
      <c r="CJ415" s="774" t="s">
        <v>2260</v>
      </c>
      <c r="CK415" s="777" t="s">
        <v>2260</v>
      </c>
      <c r="CL415" s="769" t="s">
        <v>2260</v>
      </c>
      <c r="CM415" s="769" t="s">
        <v>2260</v>
      </c>
      <c r="CN415" s="769" t="s">
        <v>2260</v>
      </c>
      <c r="CO415" s="774" t="s">
        <v>2260</v>
      </c>
      <c r="CP415" s="777" t="s">
        <v>2260</v>
      </c>
      <c r="CQ415" s="769" t="s">
        <v>2260</v>
      </c>
      <c r="CR415" s="769" t="s">
        <v>2260</v>
      </c>
      <c r="CS415" s="769" t="s">
        <v>2260</v>
      </c>
      <c r="CT415" s="774" t="s">
        <v>2260</v>
      </c>
      <c r="CU415" s="1253">
        <v>-1.5E-3</v>
      </c>
      <c r="CV415" s="1252" t="s">
        <v>2260</v>
      </c>
      <c r="CW415" s="1252" t="s">
        <v>2260</v>
      </c>
      <c r="CX415" s="1254" t="s">
        <v>2260</v>
      </c>
      <c r="CY415" s="1252">
        <v>1.1999999999999999E-3</v>
      </c>
      <c r="CZ415" s="1252" t="s">
        <v>2260</v>
      </c>
      <c r="DA415" s="1252" t="s">
        <v>2260</v>
      </c>
      <c r="DB415" s="1254" t="s">
        <v>2260</v>
      </c>
      <c r="DC415" s="754"/>
      <c r="DD415" s="782">
        <v>1</v>
      </c>
      <c r="DE415" s="783"/>
    </row>
    <row r="416" spans="1:109" ht="15.75" hidden="1" customHeight="1">
      <c r="A416" s="741" t="s">
        <v>1171</v>
      </c>
      <c r="B416" s="742">
        <v>410</v>
      </c>
      <c r="C416" s="758" t="s">
        <v>1787</v>
      </c>
      <c r="D416" s="742" t="s">
        <v>3575</v>
      </c>
      <c r="E416" s="742" t="s">
        <v>2231</v>
      </c>
      <c r="F416" s="754" t="s">
        <v>3576</v>
      </c>
      <c r="G416" s="759" t="s">
        <v>2251</v>
      </c>
      <c r="H416" s="742" t="s">
        <v>3577</v>
      </c>
      <c r="I416" s="761"/>
      <c r="J416" s="762"/>
      <c r="K416" s="762"/>
      <c r="L416" s="762"/>
      <c r="M416" s="762">
        <v>1</v>
      </c>
      <c r="N416" s="762"/>
      <c r="O416" s="762"/>
      <c r="P416" s="763"/>
      <c r="Q416" s="764">
        <f t="shared" si="6"/>
        <v>1</v>
      </c>
      <c r="R416" s="758" t="s">
        <v>1852</v>
      </c>
      <c r="S416" s="742" t="s">
        <v>1826</v>
      </c>
      <c r="T416" s="765" t="s">
        <v>1827</v>
      </c>
      <c r="U416" s="742" t="s">
        <v>1888</v>
      </c>
      <c r="V416" s="742" t="s">
        <v>1897</v>
      </c>
      <c r="W416" s="742" t="s">
        <v>3578</v>
      </c>
      <c r="X416" s="798">
        <v>2</v>
      </c>
      <c r="Y416" s="810" t="s">
        <v>1828</v>
      </c>
      <c r="Z416" s="759" t="s">
        <v>2251</v>
      </c>
      <c r="AA416" s="754"/>
      <c r="AB416" s="754"/>
      <c r="AC416" s="754"/>
      <c r="AD416" s="754"/>
      <c r="AE416" s="754"/>
      <c r="AF416" s="768"/>
      <c r="AG416" s="776"/>
      <c r="AH416" s="776"/>
      <c r="AI416" s="776"/>
      <c r="AJ416" s="776"/>
      <c r="AK416" s="776"/>
      <c r="AL416" s="776"/>
      <c r="AM416" s="776"/>
      <c r="AN416" s="832"/>
      <c r="AO416" s="879"/>
      <c r="AP416" s="880"/>
      <c r="AQ416" s="1708"/>
      <c r="AR416" s="1709"/>
      <c r="AS416" s="1710"/>
      <c r="AT416" s="1709"/>
      <c r="AU416" s="1711"/>
      <c r="AV416" s="786"/>
      <c r="AW416" s="785"/>
      <c r="AX416" s="785"/>
      <c r="AY416" s="785"/>
      <c r="AZ416" s="785"/>
      <c r="BA416" s="785"/>
      <c r="BB416" s="785"/>
      <c r="BC416" s="785"/>
      <c r="BD416" s="785"/>
      <c r="BE416" s="785"/>
      <c r="BF416" s="785"/>
      <c r="BG416" s="785"/>
      <c r="BH416" s="785"/>
      <c r="BI416" s="785"/>
      <c r="BJ416" s="785"/>
      <c r="BK416" s="787"/>
      <c r="BL416" s="1327"/>
      <c r="BM416" s="1328"/>
      <c r="BN416" s="1328"/>
      <c r="BO416" s="1328"/>
      <c r="BP416" s="1389"/>
      <c r="BQ416" s="1369"/>
      <c r="BR416" s="1319"/>
      <c r="BS416" s="1319"/>
      <c r="BT416" s="1319"/>
      <c r="BU416" s="1320"/>
      <c r="BV416" s="1370"/>
      <c r="BW416" s="1324"/>
      <c r="BX416" s="1324"/>
      <c r="BY416" s="1324"/>
      <c r="BZ416" s="1324"/>
      <c r="CA416" s="1369"/>
      <c r="CB416" s="1319"/>
      <c r="CC416" s="1319"/>
      <c r="CD416" s="1319"/>
      <c r="CE416" s="1320"/>
      <c r="CF416" s="1319"/>
      <c r="CG416" s="1319"/>
      <c r="CH416" s="1319"/>
      <c r="CI416" s="1319"/>
      <c r="CJ416" s="1320"/>
      <c r="CK416" s="1369"/>
      <c r="CL416" s="1319"/>
      <c r="CM416" s="1319"/>
      <c r="CN416" s="1319"/>
      <c r="CO416" s="1320"/>
      <c r="CP416" s="1369"/>
      <c r="CQ416" s="1319"/>
      <c r="CR416" s="1319"/>
      <c r="CS416" s="1319"/>
      <c r="CT416" s="1320"/>
      <c r="CU416" s="1467"/>
      <c r="CV416" s="1458"/>
      <c r="CW416" s="1458"/>
      <c r="CX416" s="1663"/>
      <c r="CY416" s="1458"/>
      <c r="CZ416" s="1458"/>
      <c r="DA416" s="1458"/>
      <c r="DB416" s="1663"/>
      <c r="DC416" s="1328"/>
      <c r="DD416" s="1664"/>
      <c r="DE416" s="1669"/>
    </row>
    <row r="417" spans="1:109" ht="15.75" hidden="1" customHeight="1">
      <c r="A417" s="741" t="s">
        <v>1171</v>
      </c>
      <c r="B417" s="742">
        <v>411</v>
      </c>
      <c r="C417" s="758" t="s">
        <v>1366</v>
      </c>
      <c r="D417" s="742" t="s">
        <v>3575</v>
      </c>
      <c r="E417" s="742" t="s">
        <v>2223</v>
      </c>
      <c r="F417" s="754" t="s">
        <v>3579</v>
      </c>
      <c r="G417" s="759" t="s">
        <v>3580</v>
      </c>
      <c r="H417" s="742" t="s">
        <v>3581</v>
      </c>
      <c r="I417" s="761"/>
      <c r="J417" s="762">
        <v>1</v>
      </c>
      <c r="K417" s="762"/>
      <c r="L417" s="762"/>
      <c r="M417" s="762"/>
      <c r="N417" s="762"/>
      <c r="O417" s="762"/>
      <c r="P417" s="763"/>
      <c r="Q417" s="764">
        <f t="shared" si="6"/>
        <v>1</v>
      </c>
      <c r="R417" s="758" t="s">
        <v>1852</v>
      </c>
      <c r="S417" s="742" t="s">
        <v>1826</v>
      </c>
      <c r="T417" s="765" t="s">
        <v>1827</v>
      </c>
      <c r="U417" s="742" t="s">
        <v>3582</v>
      </c>
      <c r="V417" s="742" t="s">
        <v>321</v>
      </c>
      <c r="W417" s="742" t="s">
        <v>2016</v>
      </c>
      <c r="X417" s="798">
        <v>1</v>
      </c>
      <c r="Y417" s="810" t="s">
        <v>1828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210</v>
      </c>
      <c r="BM417" s="754" t="s">
        <v>210</v>
      </c>
      <c r="BN417" s="754" t="s">
        <v>210</v>
      </c>
      <c r="BO417" s="754" t="s">
        <v>210</v>
      </c>
      <c r="BP417" s="765" t="s">
        <v>210</v>
      </c>
      <c r="BQ417" s="777" t="s">
        <v>2260</v>
      </c>
      <c r="BR417" s="769" t="s">
        <v>2260</v>
      </c>
      <c r="BS417" s="769" t="s">
        <v>2260</v>
      </c>
      <c r="BT417" s="769" t="s">
        <v>2260</v>
      </c>
      <c r="BU417" s="774" t="s">
        <v>2260</v>
      </c>
      <c r="BV417" s="775" t="s">
        <v>2260</v>
      </c>
      <c r="BW417" s="776" t="s">
        <v>2260</v>
      </c>
      <c r="BX417" s="776" t="s">
        <v>2260</v>
      </c>
      <c r="BY417" s="776" t="s">
        <v>2260</v>
      </c>
      <c r="BZ417" s="776" t="s">
        <v>2260</v>
      </c>
      <c r="CA417" s="777" t="s">
        <v>2260</v>
      </c>
      <c r="CB417" s="769" t="s">
        <v>2260</v>
      </c>
      <c r="CC417" s="769" t="s">
        <v>2260</v>
      </c>
      <c r="CD417" s="769" t="s">
        <v>2260</v>
      </c>
      <c r="CE417" s="774" t="s">
        <v>2260</v>
      </c>
      <c r="CF417" s="769" t="s">
        <v>2260</v>
      </c>
      <c r="CG417" s="769" t="s">
        <v>2260</v>
      </c>
      <c r="CH417" s="769" t="s">
        <v>2260</v>
      </c>
      <c r="CI417" s="769" t="s">
        <v>2260</v>
      </c>
      <c r="CJ417" s="774" t="s">
        <v>2260</v>
      </c>
      <c r="CK417" s="777" t="s">
        <v>2260</v>
      </c>
      <c r="CL417" s="769" t="s">
        <v>2260</v>
      </c>
      <c r="CM417" s="769" t="s">
        <v>2260</v>
      </c>
      <c r="CN417" s="769" t="s">
        <v>2260</v>
      </c>
      <c r="CO417" s="774" t="s">
        <v>2260</v>
      </c>
      <c r="CP417" s="777" t="s">
        <v>2260</v>
      </c>
      <c r="CQ417" s="769" t="s">
        <v>2260</v>
      </c>
      <c r="CR417" s="769" t="s">
        <v>2260</v>
      </c>
      <c r="CS417" s="769" t="s">
        <v>2260</v>
      </c>
      <c r="CT417" s="774" t="s">
        <v>2260</v>
      </c>
      <c r="CU417" s="1253">
        <v>-3.9899999999999998E-2</v>
      </c>
      <c r="CV417" s="1252" t="s">
        <v>2260</v>
      </c>
      <c r="CW417" s="1252" t="s">
        <v>2260</v>
      </c>
      <c r="CX417" s="1254" t="s">
        <v>2260</v>
      </c>
      <c r="CY417" s="1252">
        <v>2.52E-2</v>
      </c>
      <c r="CZ417" s="1252" t="s">
        <v>2260</v>
      </c>
      <c r="DA417" s="1252" t="s">
        <v>2260</v>
      </c>
      <c r="DB417" s="1254" t="s">
        <v>2260</v>
      </c>
      <c r="DC417" s="754"/>
      <c r="DD417" s="782">
        <v>1</v>
      </c>
      <c r="DE417" s="783"/>
    </row>
    <row r="418" spans="1:109" ht="15.75" hidden="1" customHeight="1">
      <c r="A418" s="741" t="s">
        <v>1171</v>
      </c>
      <c r="B418" s="742">
        <v>412</v>
      </c>
      <c r="C418" s="758" t="s">
        <v>1560</v>
      </c>
      <c r="D418" s="742" t="s">
        <v>3575</v>
      </c>
      <c r="E418" s="742" t="s">
        <v>2223</v>
      </c>
      <c r="F418" s="754" t="s">
        <v>3583</v>
      </c>
      <c r="G418" s="759" t="s">
        <v>3584</v>
      </c>
      <c r="H418" s="760" t="s">
        <v>3585</v>
      </c>
      <c r="I418" s="761"/>
      <c r="J418" s="762"/>
      <c r="K418" s="762">
        <v>1</v>
      </c>
      <c r="L418" s="762"/>
      <c r="M418" s="762"/>
      <c r="N418" s="762"/>
      <c r="O418" s="762"/>
      <c r="P418" s="763"/>
      <c r="Q418" s="764">
        <f t="shared" si="6"/>
        <v>1</v>
      </c>
      <c r="R418" s="758" t="s">
        <v>1852</v>
      </c>
      <c r="S418" s="742" t="s">
        <v>1826</v>
      </c>
      <c r="T418" s="765" t="s">
        <v>1827</v>
      </c>
      <c r="U418" s="742" t="s">
        <v>3582</v>
      </c>
      <c r="V418" s="742" t="s">
        <v>321</v>
      </c>
      <c r="W418" s="742" t="s">
        <v>2016</v>
      </c>
      <c r="X418" s="798">
        <v>1</v>
      </c>
      <c r="Y418" s="767" t="s">
        <v>1828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210</v>
      </c>
      <c r="BM418" s="754" t="s">
        <v>210</v>
      </c>
      <c r="BN418" s="754" t="s">
        <v>210</v>
      </c>
      <c r="BO418" s="754" t="s">
        <v>210</v>
      </c>
      <c r="BP418" s="765" t="s">
        <v>210</v>
      </c>
      <c r="BQ418" s="777" t="s">
        <v>2260</v>
      </c>
      <c r="BR418" s="769" t="s">
        <v>2260</v>
      </c>
      <c r="BS418" s="769" t="s">
        <v>2260</v>
      </c>
      <c r="BT418" s="769" t="s">
        <v>2260</v>
      </c>
      <c r="BU418" s="774" t="s">
        <v>2260</v>
      </c>
      <c r="BV418" s="775" t="s">
        <v>2260</v>
      </c>
      <c r="BW418" s="776" t="s">
        <v>2260</v>
      </c>
      <c r="BX418" s="776" t="s">
        <v>2260</v>
      </c>
      <c r="BY418" s="776" t="s">
        <v>2260</v>
      </c>
      <c r="BZ418" s="776" t="s">
        <v>2260</v>
      </c>
      <c r="CA418" s="777" t="s">
        <v>2260</v>
      </c>
      <c r="CB418" s="769" t="s">
        <v>2260</v>
      </c>
      <c r="CC418" s="769" t="s">
        <v>2260</v>
      </c>
      <c r="CD418" s="769" t="s">
        <v>2260</v>
      </c>
      <c r="CE418" s="774" t="s">
        <v>2260</v>
      </c>
      <c r="CF418" s="769" t="s">
        <v>2260</v>
      </c>
      <c r="CG418" s="769" t="s">
        <v>2260</v>
      </c>
      <c r="CH418" s="769" t="s">
        <v>2260</v>
      </c>
      <c r="CI418" s="769" t="s">
        <v>2260</v>
      </c>
      <c r="CJ418" s="774" t="s">
        <v>2260</v>
      </c>
      <c r="CK418" s="777" t="s">
        <v>2260</v>
      </c>
      <c r="CL418" s="769" t="s">
        <v>2260</v>
      </c>
      <c r="CM418" s="769" t="s">
        <v>2260</v>
      </c>
      <c r="CN418" s="769" t="s">
        <v>2260</v>
      </c>
      <c r="CO418" s="774" t="s">
        <v>2260</v>
      </c>
      <c r="CP418" s="777" t="s">
        <v>2260</v>
      </c>
      <c r="CQ418" s="769" t="s">
        <v>2260</v>
      </c>
      <c r="CR418" s="769" t="s">
        <v>2260</v>
      </c>
      <c r="CS418" s="769" t="s">
        <v>2260</v>
      </c>
      <c r="CT418" s="774" t="s">
        <v>2260</v>
      </c>
      <c r="CU418" s="1253">
        <v>-1.7299999999999999E-2</v>
      </c>
      <c r="CV418" s="1252" t="s">
        <v>2260</v>
      </c>
      <c r="CW418" s="1252" t="s">
        <v>2260</v>
      </c>
      <c r="CX418" s="1254" t="s">
        <v>2260</v>
      </c>
      <c r="CY418" s="1252">
        <v>8.8999999999999999E-3</v>
      </c>
      <c r="CZ418" s="1252" t="s">
        <v>2260</v>
      </c>
      <c r="DA418" s="1252" t="s">
        <v>2260</v>
      </c>
      <c r="DB418" s="1254" t="s">
        <v>2260</v>
      </c>
      <c r="DC418" s="754"/>
      <c r="DD418" s="782">
        <v>1</v>
      </c>
      <c r="DE418" s="783"/>
    </row>
    <row r="419" spans="1:109" ht="15.75" hidden="1" customHeight="1">
      <c r="A419" s="741" t="s">
        <v>1171</v>
      </c>
      <c r="B419" s="742">
        <v>413</v>
      </c>
      <c r="C419" s="758" t="s">
        <v>1770</v>
      </c>
      <c r="D419" s="742" t="s">
        <v>3575</v>
      </c>
      <c r="E419" s="742" t="s">
        <v>2231</v>
      </c>
      <c r="F419" s="754" t="s">
        <v>3586</v>
      </c>
      <c r="G419" s="759" t="s">
        <v>2254</v>
      </c>
      <c r="H419" s="760" t="s">
        <v>3587</v>
      </c>
      <c r="I419" s="761"/>
      <c r="J419" s="762">
        <v>0.49</v>
      </c>
      <c r="K419" s="762">
        <v>0.51</v>
      </c>
      <c r="L419" s="762"/>
      <c r="M419" s="762"/>
      <c r="N419" s="762"/>
      <c r="O419" s="762"/>
      <c r="P419" s="763"/>
      <c r="Q419" s="764">
        <f t="shared" si="6"/>
        <v>1</v>
      </c>
      <c r="R419" s="758" t="s">
        <v>1852</v>
      </c>
      <c r="S419" s="742" t="s">
        <v>1826</v>
      </c>
      <c r="T419" s="765" t="s">
        <v>1827</v>
      </c>
      <c r="U419" s="742" t="s">
        <v>1891</v>
      </c>
      <c r="V419" s="742" t="s">
        <v>1897</v>
      </c>
      <c r="W419" s="742" t="s">
        <v>3588</v>
      </c>
      <c r="X419" s="798">
        <v>2</v>
      </c>
      <c r="Y419" s="767" t="s">
        <v>1828</v>
      </c>
      <c r="Z419" s="759" t="s">
        <v>2254</v>
      </c>
      <c r="AA419" s="754"/>
      <c r="AB419" s="754"/>
      <c r="AC419" s="754"/>
      <c r="AD419" s="754"/>
      <c r="AE419" s="754"/>
      <c r="AF419" s="768"/>
      <c r="AG419" s="769"/>
      <c r="AH419" s="769"/>
      <c r="AI419" s="769"/>
      <c r="AJ419" s="769"/>
      <c r="AK419" s="769"/>
      <c r="AL419" s="769"/>
      <c r="AM419" s="769"/>
      <c r="AN419" s="769"/>
      <c r="AO419" s="883"/>
      <c r="AP419" s="769"/>
      <c r="AQ419" s="1369"/>
      <c r="AR419" s="1319"/>
      <c r="AS419" s="1319"/>
      <c r="AT419" s="1319"/>
      <c r="AU419" s="1712"/>
      <c r="AV419" s="777"/>
      <c r="AW419" s="769"/>
      <c r="AX419" s="769"/>
      <c r="AY419" s="769"/>
      <c r="AZ419" s="769"/>
      <c r="BA419" s="883"/>
      <c r="BB419" s="769"/>
      <c r="BC419" s="769"/>
      <c r="BD419" s="769"/>
      <c r="BE419" s="769"/>
      <c r="BF419" s="769"/>
      <c r="BG419" s="769"/>
      <c r="BH419" s="769"/>
      <c r="BI419" s="769"/>
      <c r="BJ419" s="769"/>
      <c r="BK419" s="774"/>
      <c r="BL419" s="1327"/>
      <c r="BM419" s="1328"/>
      <c r="BN419" s="1328"/>
      <c r="BO419" s="1328"/>
      <c r="BP419" s="1389"/>
      <c r="BQ419" s="1659"/>
      <c r="BR419" s="1319"/>
      <c r="BS419" s="1319"/>
      <c r="BT419" s="1319"/>
      <c r="BU419" s="1320"/>
      <c r="BV419" s="1370"/>
      <c r="BW419" s="1324"/>
      <c r="BX419" s="1324"/>
      <c r="BY419" s="1324"/>
      <c r="BZ419" s="1324"/>
      <c r="CA419" s="1369"/>
      <c r="CB419" s="1319"/>
      <c r="CC419" s="1319"/>
      <c r="CD419" s="1319"/>
      <c r="CE419" s="1320"/>
      <c r="CF419" s="1319"/>
      <c r="CG419" s="1319"/>
      <c r="CH419" s="1319"/>
      <c r="CI419" s="1319"/>
      <c r="CJ419" s="1320"/>
      <c r="CK419" s="1369"/>
      <c r="CL419" s="1319"/>
      <c r="CM419" s="1319"/>
      <c r="CN419" s="1319"/>
      <c r="CO419" s="1320"/>
      <c r="CP419" s="1369"/>
      <c r="CQ419" s="1319"/>
      <c r="CR419" s="1319"/>
      <c r="CS419" s="1319"/>
      <c r="CT419" s="1320"/>
      <c r="CU419" s="1467"/>
      <c r="CV419" s="1458"/>
      <c r="CW419" s="1458"/>
      <c r="CX419" s="1663"/>
      <c r="CY419" s="1458"/>
      <c r="CZ419" s="1458"/>
      <c r="DA419" s="1458"/>
      <c r="DB419" s="1663"/>
      <c r="DC419" s="1328"/>
      <c r="DD419" s="1664"/>
      <c r="DE419" s="1669"/>
    </row>
    <row r="420" spans="1:109" ht="15.75" hidden="1" customHeight="1">
      <c r="A420" s="741" t="s">
        <v>1171</v>
      </c>
      <c r="B420" s="742">
        <v>414</v>
      </c>
      <c r="C420" s="758" t="s">
        <v>1615</v>
      </c>
      <c r="D420" s="742" t="s">
        <v>3575</v>
      </c>
      <c r="E420" s="742" t="s">
        <v>2223</v>
      </c>
      <c r="F420" s="754" t="s">
        <v>3589</v>
      </c>
      <c r="G420" s="759" t="s">
        <v>3590</v>
      </c>
      <c r="H420" s="760" t="s">
        <v>3591</v>
      </c>
      <c r="I420" s="761"/>
      <c r="J420" s="762"/>
      <c r="K420" s="762"/>
      <c r="L420" s="762"/>
      <c r="M420" s="762">
        <v>1</v>
      </c>
      <c r="N420" s="762"/>
      <c r="O420" s="762"/>
      <c r="P420" s="763"/>
      <c r="Q420" s="764">
        <f t="shared" si="6"/>
        <v>1</v>
      </c>
      <c r="R420" s="758" t="s">
        <v>1825</v>
      </c>
      <c r="S420" s="742"/>
      <c r="T420" s="765"/>
      <c r="U420" s="742" t="s">
        <v>2396</v>
      </c>
      <c r="V420" s="742" t="s">
        <v>321</v>
      </c>
      <c r="W420" s="742" t="s">
        <v>2016</v>
      </c>
      <c r="X420" s="1243">
        <v>0</v>
      </c>
      <c r="Y420" s="767" t="s">
        <v>1828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2260</v>
      </c>
      <c r="BR420" s="769" t="s">
        <v>2260</v>
      </c>
      <c r="BS420" s="769" t="s">
        <v>2260</v>
      </c>
      <c r="BT420" s="769" t="s">
        <v>2260</v>
      </c>
      <c r="BU420" s="774" t="s">
        <v>2260</v>
      </c>
      <c r="BV420" s="775" t="s">
        <v>2260</v>
      </c>
      <c r="BW420" s="776" t="s">
        <v>2260</v>
      </c>
      <c r="BX420" s="776" t="s">
        <v>2260</v>
      </c>
      <c r="BY420" s="776" t="s">
        <v>2260</v>
      </c>
      <c r="BZ420" s="776" t="s">
        <v>2260</v>
      </c>
      <c r="CA420" s="777" t="s">
        <v>2260</v>
      </c>
      <c r="CB420" s="769" t="s">
        <v>2260</v>
      </c>
      <c r="CC420" s="769" t="s">
        <v>2260</v>
      </c>
      <c r="CD420" s="769" t="s">
        <v>2260</v>
      </c>
      <c r="CE420" s="774" t="s">
        <v>2260</v>
      </c>
      <c r="CF420" s="769" t="s">
        <v>2260</v>
      </c>
      <c r="CG420" s="769" t="s">
        <v>2260</v>
      </c>
      <c r="CH420" s="769" t="s">
        <v>2260</v>
      </c>
      <c r="CI420" s="769" t="s">
        <v>2260</v>
      </c>
      <c r="CJ420" s="774" t="s">
        <v>2260</v>
      </c>
      <c r="CK420" s="777" t="s">
        <v>2260</v>
      </c>
      <c r="CL420" s="769" t="s">
        <v>2260</v>
      </c>
      <c r="CM420" s="769" t="s">
        <v>2260</v>
      </c>
      <c r="CN420" s="769" t="s">
        <v>2260</v>
      </c>
      <c r="CO420" s="774" t="s">
        <v>2260</v>
      </c>
      <c r="CP420" s="777" t="s">
        <v>2260</v>
      </c>
      <c r="CQ420" s="769" t="s">
        <v>2260</v>
      </c>
      <c r="CR420" s="769" t="s">
        <v>2260</v>
      </c>
      <c r="CS420" s="769" t="s">
        <v>2260</v>
      </c>
      <c r="CT420" s="774" t="s">
        <v>2260</v>
      </c>
      <c r="CU420" s="1253" t="s">
        <v>2260</v>
      </c>
      <c r="CV420" s="1252" t="s">
        <v>2260</v>
      </c>
      <c r="CW420" s="1252" t="s">
        <v>2260</v>
      </c>
      <c r="CX420" s="1254" t="s">
        <v>2260</v>
      </c>
      <c r="CY420" s="1252" t="s">
        <v>2260</v>
      </c>
      <c r="CZ420" s="1252" t="s">
        <v>2260</v>
      </c>
      <c r="DA420" s="1252" t="s">
        <v>2260</v>
      </c>
      <c r="DB420" s="1254" t="s">
        <v>2260</v>
      </c>
      <c r="DC420" s="754"/>
      <c r="DD420" s="782">
        <v>1</v>
      </c>
      <c r="DE420" s="783"/>
    </row>
    <row r="421" spans="1:109" ht="15.75" hidden="1" customHeight="1">
      <c r="A421" s="741" t="s">
        <v>1171</v>
      </c>
      <c r="B421" s="742">
        <v>415</v>
      </c>
      <c r="C421" s="758" t="s">
        <v>1250</v>
      </c>
      <c r="D421" s="742" t="s">
        <v>3575</v>
      </c>
      <c r="E421" s="742" t="s">
        <v>2231</v>
      </c>
      <c r="F421" s="754" t="s">
        <v>3592</v>
      </c>
      <c r="G421" s="759" t="s">
        <v>755</v>
      </c>
      <c r="H421" s="760" t="s">
        <v>3593</v>
      </c>
      <c r="I421" s="761"/>
      <c r="J421" s="762"/>
      <c r="K421" s="762"/>
      <c r="L421" s="762"/>
      <c r="M421" s="762">
        <v>1</v>
      </c>
      <c r="N421" s="762"/>
      <c r="O421" s="762"/>
      <c r="P421" s="763"/>
      <c r="Q421" s="764">
        <f t="shared" si="6"/>
        <v>1</v>
      </c>
      <c r="R421" s="758" t="s">
        <v>1825</v>
      </c>
      <c r="S421" s="742"/>
      <c r="T421" s="765"/>
      <c r="U421" s="742" t="s">
        <v>2396</v>
      </c>
      <c r="V421" s="742" t="s">
        <v>321</v>
      </c>
      <c r="W421" s="742" t="s">
        <v>2016</v>
      </c>
      <c r="X421" s="798">
        <v>1</v>
      </c>
      <c r="Y421" s="767" t="s">
        <v>1828</v>
      </c>
      <c r="Z421" s="759" t="s">
        <v>755</v>
      </c>
      <c r="AA421" s="754"/>
      <c r="AB421" s="754"/>
      <c r="AC421" s="754"/>
      <c r="AD421" s="754"/>
      <c r="AE421" s="754"/>
      <c r="AF421" s="768"/>
      <c r="AG421" s="769"/>
      <c r="AH421" s="769"/>
      <c r="AI421" s="769"/>
      <c r="AJ421" s="769"/>
      <c r="AK421" s="769"/>
      <c r="AL421" s="769"/>
      <c r="AM421" s="769"/>
      <c r="AN421" s="769"/>
      <c r="AO421" s="769"/>
      <c r="AP421" s="769"/>
      <c r="AQ421" s="1369"/>
      <c r="AR421" s="1319"/>
      <c r="AS421" s="1319"/>
      <c r="AT421" s="1319"/>
      <c r="AU421" s="1320"/>
      <c r="AV421" s="777"/>
      <c r="AW421" s="769"/>
      <c r="AX421" s="769"/>
      <c r="AY421" s="769"/>
      <c r="AZ421" s="769"/>
      <c r="BA421" s="769"/>
      <c r="BB421" s="769"/>
      <c r="BC421" s="769"/>
      <c r="BD421" s="769"/>
      <c r="BE421" s="769"/>
      <c r="BF421" s="769"/>
      <c r="BG421" s="769"/>
      <c r="BH421" s="769"/>
      <c r="BI421" s="769"/>
      <c r="BJ421" s="769"/>
      <c r="BK421" s="774"/>
      <c r="BL421" s="1327"/>
      <c r="BM421" s="1328"/>
      <c r="BN421" s="1328"/>
      <c r="BO421" s="1328"/>
      <c r="BP421" s="1389"/>
      <c r="BQ421" s="1369"/>
      <c r="BR421" s="1319"/>
      <c r="BS421" s="1319"/>
      <c r="BT421" s="1319"/>
      <c r="BU421" s="1320"/>
      <c r="BV421" s="1370"/>
      <c r="BW421" s="1324"/>
      <c r="BX421" s="1324"/>
      <c r="BY421" s="1324"/>
      <c r="BZ421" s="1324"/>
      <c r="CA421" s="1369"/>
      <c r="CB421" s="1319"/>
      <c r="CC421" s="1319"/>
      <c r="CD421" s="1319"/>
      <c r="CE421" s="1320"/>
      <c r="CF421" s="1319"/>
      <c r="CG421" s="1319"/>
      <c r="CH421" s="1319"/>
      <c r="CI421" s="1319"/>
      <c r="CJ421" s="1319"/>
      <c r="CK421" s="1369"/>
      <c r="CL421" s="1319"/>
      <c r="CM421" s="1319"/>
      <c r="CN421" s="1319"/>
      <c r="CO421" s="1320"/>
      <c r="CP421" s="1369"/>
      <c r="CQ421" s="1319"/>
      <c r="CR421" s="1319"/>
      <c r="CS421" s="1319"/>
      <c r="CT421" s="1320"/>
      <c r="CU421" s="1467"/>
      <c r="CV421" s="1458"/>
      <c r="CW421" s="1458"/>
      <c r="CX421" s="1663"/>
      <c r="CY421" s="1458"/>
      <c r="CZ421" s="1458"/>
      <c r="DA421" s="1458"/>
      <c r="DB421" s="1663"/>
      <c r="DC421" s="1328"/>
      <c r="DD421" s="1664"/>
      <c r="DE421" s="1669"/>
    </row>
    <row r="422" spans="1:109" ht="15.75" hidden="1" customHeight="1">
      <c r="A422" s="741" t="s">
        <v>1171</v>
      </c>
      <c r="B422" s="742">
        <v>416</v>
      </c>
      <c r="C422" s="758" t="s">
        <v>1632</v>
      </c>
      <c r="D422" s="742" t="s">
        <v>3575</v>
      </c>
      <c r="E422" s="742" t="s">
        <v>2231</v>
      </c>
      <c r="F422" s="754" t="s">
        <v>3594</v>
      </c>
      <c r="G422" s="759" t="s">
        <v>3595</v>
      </c>
      <c r="H422" s="760" t="s">
        <v>3596</v>
      </c>
      <c r="I422" s="761"/>
      <c r="J422" s="762"/>
      <c r="K422" s="762"/>
      <c r="L422" s="762"/>
      <c r="M422" s="762">
        <v>1</v>
      </c>
      <c r="N422" s="762"/>
      <c r="O422" s="762"/>
      <c r="P422" s="763"/>
      <c r="Q422" s="764">
        <f t="shared" si="6"/>
        <v>1</v>
      </c>
      <c r="R422" s="758" t="s">
        <v>1825</v>
      </c>
      <c r="S422" s="742"/>
      <c r="T422" s="765"/>
      <c r="U422" s="742" t="s">
        <v>2396</v>
      </c>
      <c r="V422" s="742" t="s">
        <v>1897</v>
      </c>
      <c r="W422" s="742" t="s">
        <v>2248</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3597</v>
      </c>
      <c r="AR422" s="769" t="s">
        <v>3598</v>
      </c>
      <c r="AS422" s="769" t="s">
        <v>3598</v>
      </c>
      <c r="AT422" s="769" t="s">
        <v>3598</v>
      </c>
      <c r="AU422" s="774" t="s">
        <v>3598</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2260</v>
      </c>
      <c r="BR422" s="769" t="s">
        <v>2260</v>
      </c>
      <c r="BS422" s="769" t="s">
        <v>2260</v>
      </c>
      <c r="BT422" s="769" t="s">
        <v>2260</v>
      </c>
      <c r="BU422" s="774" t="s">
        <v>2260</v>
      </c>
      <c r="BV422" s="775" t="s">
        <v>2260</v>
      </c>
      <c r="BW422" s="776" t="s">
        <v>2260</v>
      </c>
      <c r="BX422" s="776" t="s">
        <v>2260</v>
      </c>
      <c r="BY422" s="776" t="s">
        <v>2260</v>
      </c>
      <c r="BZ422" s="776" t="s">
        <v>2260</v>
      </c>
      <c r="CA422" s="777" t="s">
        <v>2260</v>
      </c>
      <c r="CB422" s="769" t="s">
        <v>2260</v>
      </c>
      <c r="CC422" s="769" t="s">
        <v>2260</v>
      </c>
      <c r="CD422" s="769" t="s">
        <v>2260</v>
      </c>
      <c r="CE422" s="774" t="s">
        <v>2260</v>
      </c>
      <c r="CF422" s="769" t="s">
        <v>2260</v>
      </c>
      <c r="CG422" s="769" t="s">
        <v>2260</v>
      </c>
      <c r="CH422" s="769" t="s">
        <v>2260</v>
      </c>
      <c r="CI422" s="769" t="s">
        <v>2260</v>
      </c>
      <c r="CJ422" s="774" t="s">
        <v>2260</v>
      </c>
      <c r="CK422" s="777" t="s">
        <v>2260</v>
      </c>
      <c r="CL422" s="769" t="s">
        <v>2260</v>
      </c>
      <c r="CM422" s="769" t="s">
        <v>2260</v>
      </c>
      <c r="CN422" s="769" t="s">
        <v>2260</v>
      </c>
      <c r="CO422" s="774" t="s">
        <v>2260</v>
      </c>
      <c r="CP422" s="777" t="s">
        <v>2260</v>
      </c>
      <c r="CQ422" s="769" t="s">
        <v>2260</v>
      </c>
      <c r="CR422" s="769" t="s">
        <v>2260</v>
      </c>
      <c r="CS422" s="769" t="s">
        <v>2260</v>
      </c>
      <c r="CT422" s="774" t="s">
        <v>2260</v>
      </c>
      <c r="CU422" s="1253" t="s">
        <v>2260</v>
      </c>
      <c r="CV422" s="1252" t="s">
        <v>2260</v>
      </c>
      <c r="CW422" s="1252" t="s">
        <v>2260</v>
      </c>
      <c r="CX422" s="1254" t="s">
        <v>2260</v>
      </c>
      <c r="CY422" s="1252" t="s">
        <v>2260</v>
      </c>
      <c r="CZ422" s="1252" t="s">
        <v>2260</v>
      </c>
      <c r="DA422" s="1252" t="s">
        <v>2260</v>
      </c>
      <c r="DB422" s="1254" t="s">
        <v>2260</v>
      </c>
      <c r="DC422" s="754"/>
      <c r="DD422" s="782"/>
      <c r="DE422" s="783"/>
    </row>
    <row r="423" spans="1:109" ht="15.75" hidden="1" customHeight="1">
      <c r="A423" s="741" t="s">
        <v>1171</v>
      </c>
      <c r="B423" s="742">
        <v>417</v>
      </c>
      <c r="C423" s="758" t="s">
        <v>1648</v>
      </c>
      <c r="D423" s="742" t="s">
        <v>3575</v>
      </c>
      <c r="E423" s="742" t="s">
        <v>2231</v>
      </c>
      <c r="F423" s="754" t="s">
        <v>3599</v>
      </c>
      <c r="G423" s="759" t="s">
        <v>3600</v>
      </c>
      <c r="H423" s="760" t="s">
        <v>3601</v>
      </c>
      <c r="I423" s="761"/>
      <c r="J423" s="762"/>
      <c r="K423" s="762"/>
      <c r="L423" s="762"/>
      <c r="M423" s="762">
        <v>1</v>
      </c>
      <c r="N423" s="762"/>
      <c r="O423" s="762"/>
      <c r="P423" s="763"/>
      <c r="Q423" s="764">
        <f t="shared" si="6"/>
        <v>1</v>
      </c>
      <c r="R423" s="758" t="s">
        <v>1825</v>
      </c>
      <c r="S423" s="742"/>
      <c r="T423" s="765"/>
      <c r="U423" s="742" t="s">
        <v>2396</v>
      </c>
      <c r="V423" s="742" t="s">
        <v>321</v>
      </c>
      <c r="W423" s="742" t="s">
        <v>2016</v>
      </c>
      <c r="X423" s="798">
        <v>0</v>
      </c>
      <c r="Y423" s="788" t="s">
        <v>1828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2260</v>
      </c>
      <c r="BR423" s="769" t="s">
        <v>2260</v>
      </c>
      <c r="BS423" s="769" t="s">
        <v>2260</v>
      </c>
      <c r="BT423" s="769" t="s">
        <v>2260</v>
      </c>
      <c r="BU423" s="774" t="s">
        <v>2260</v>
      </c>
      <c r="BV423" s="775" t="s">
        <v>2260</v>
      </c>
      <c r="BW423" s="776" t="s">
        <v>2260</v>
      </c>
      <c r="BX423" s="776" t="s">
        <v>2260</v>
      </c>
      <c r="BY423" s="776" t="s">
        <v>2260</v>
      </c>
      <c r="BZ423" s="776" t="s">
        <v>2260</v>
      </c>
      <c r="CA423" s="777" t="s">
        <v>2260</v>
      </c>
      <c r="CB423" s="769" t="s">
        <v>2260</v>
      </c>
      <c r="CC423" s="769" t="s">
        <v>2260</v>
      </c>
      <c r="CD423" s="769" t="s">
        <v>2260</v>
      </c>
      <c r="CE423" s="774" t="s">
        <v>2260</v>
      </c>
      <c r="CF423" s="769" t="s">
        <v>2260</v>
      </c>
      <c r="CG423" s="769" t="s">
        <v>2260</v>
      </c>
      <c r="CH423" s="769" t="s">
        <v>2260</v>
      </c>
      <c r="CI423" s="769" t="s">
        <v>2260</v>
      </c>
      <c r="CJ423" s="774" t="s">
        <v>2260</v>
      </c>
      <c r="CK423" s="777" t="s">
        <v>2260</v>
      </c>
      <c r="CL423" s="769" t="s">
        <v>2260</v>
      </c>
      <c r="CM423" s="769" t="s">
        <v>2260</v>
      </c>
      <c r="CN423" s="769" t="s">
        <v>2260</v>
      </c>
      <c r="CO423" s="774" t="s">
        <v>2260</v>
      </c>
      <c r="CP423" s="777" t="s">
        <v>2260</v>
      </c>
      <c r="CQ423" s="769" t="s">
        <v>2260</v>
      </c>
      <c r="CR423" s="769" t="s">
        <v>2260</v>
      </c>
      <c r="CS423" s="769" t="s">
        <v>2260</v>
      </c>
      <c r="CT423" s="774" t="s">
        <v>2260</v>
      </c>
      <c r="CU423" s="1253" t="s">
        <v>2260</v>
      </c>
      <c r="CV423" s="1252" t="s">
        <v>2260</v>
      </c>
      <c r="CW423" s="1252" t="s">
        <v>2260</v>
      </c>
      <c r="CX423" s="1254" t="s">
        <v>2260</v>
      </c>
      <c r="CY423" s="1252" t="s">
        <v>2260</v>
      </c>
      <c r="CZ423" s="1252" t="s">
        <v>2260</v>
      </c>
      <c r="DA423" s="1252" t="s">
        <v>2260</v>
      </c>
      <c r="DB423" s="1254" t="s">
        <v>2260</v>
      </c>
      <c r="DC423" s="754"/>
      <c r="DD423" s="782">
        <v>1</v>
      </c>
      <c r="DE423" s="783"/>
    </row>
    <row r="424" spans="1:109" ht="15.75" hidden="1" customHeight="1">
      <c r="A424" s="741" t="s">
        <v>1171</v>
      </c>
      <c r="B424" s="742">
        <v>418</v>
      </c>
      <c r="C424" s="758" t="s">
        <v>1179</v>
      </c>
      <c r="D424" s="742" t="s">
        <v>3602</v>
      </c>
      <c r="E424" s="742" t="s">
        <v>2217</v>
      </c>
      <c r="F424" s="754" t="s">
        <v>3603</v>
      </c>
      <c r="G424" s="759" t="s">
        <v>788</v>
      </c>
      <c r="H424" s="760" t="s">
        <v>3604</v>
      </c>
      <c r="I424" s="761"/>
      <c r="J424" s="762"/>
      <c r="K424" s="762">
        <v>1</v>
      </c>
      <c r="L424" s="762"/>
      <c r="M424" s="762"/>
      <c r="N424" s="762"/>
      <c r="O424" s="762"/>
      <c r="P424" s="763"/>
      <c r="Q424" s="764">
        <f t="shared" si="6"/>
        <v>1</v>
      </c>
      <c r="R424" s="758" t="s">
        <v>1846</v>
      </c>
      <c r="S424" s="742" t="s">
        <v>1826</v>
      </c>
      <c r="T424" s="765" t="s">
        <v>1827</v>
      </c>
      <c r="U424" s="742" t="s">
        <v>788</v>
      </c>
      <c r="V424" s="742" t="s">
        <v>1857</v>
      </c>
      <c r="W424" s="742" t="s">
        <v>3605</v>
      </c>
      <c r="X424" s="798">
        <v>2</v>
      </c>
      <c r="Y424" s="788" t="s">
        <v>1838</v>
      </c>
      <c r="Z424" s="759" t="s">
        <v>788</v>
      </c>
      <c r="AA424" s="754"/>
      <c r="AB424" s="754"/>
      <c r="AC424" s="754"/>
      <c r="AD424" s="754"/>
      <c r="AE424" s="754"/>
      <c r="AF424" s="768"/>
      <c r="AG424" s="769"/>
      <c r="AH424" s="769"/>
      <c r="AI424" s="769"/>
      <c r="AJ424" s="769"/>
      <c r="AK424" s="769"/>
      <c r="AL424" s="769"/>
      <c r="AM424" s="769"/>
      <c r="AN424" s="769"/>
      <c r="AO424" s="769"/>
      <c r="AP424" s="769"/>
      <c r="AQ424" s="1370"/>
      <c r="AR424" s="1324"/>
      <c r="AS424" s="1324"/>
      <c r="AT424" s="1324"/>
      <c r="AU424" s="1325"/>
      <c r="AV424" s="777"/>
      <c r="AW424" s="769"/>
      <c r="AX424" s="769"/>
      <c r="AY424" s="769"/>
      <c r="AZ424" s="769"/>
      <c r="BA424" s="769"/>
      <c r="BB424" s="769"/>
      <c r="BC424" s="769"/>
      <c r="BD424" s="769"/>
      <c r="BE424" s="769"/>
      <c r="BF424" s="769"/>
      <c r="BG424" s="769"/>
      <c r="BH424" s="769"/>
      <c r="BI424" s="769"/>
      <c r="BJ424" s="769"/>
      <c r="BK424" s="774"/>
      <c r="BL424" s="1327"/>
      <c r="BM424" s="1328"/>
      <c r="BN424" s="1328"/>
      <c r="BO424" s="1328"/>
      <c r="BP424" s="1389"/>
      <c r="BQ424" s="1369"/>
      <c r="BR424" s="1319"/>
      <c r="BS424" s="1319"/>
      <c r="BT424" s="1319"/>
      <c r="BU424" s="1320"/>
      <c r="BV424" s="1370"/>
      <c r="BW424" s="1324"/>
      <c r="BX424" s="1324"/>
      <c r="BY424" s="1324"/>
      <c r="BZ424" s="1324"/>
      <c r="CA424" s="1369"/>
      <c r="CB424" s="1319"/>
      <c r="CC424" s="1319"/>
      <c r="CD424" s="1319"/>
      <c r="CE424" s="1320"/>
      <c r="CF424" s="1319"/>
      <c r="CG424" s="1319"/>
      <c r="CH424" s="1319"/>
      <c r="CI424" s="1319"/>
      <c r="CJ424" s="1320"/>
      <c r="CK424" s="1369"/>
      <c r="CL424" s="1319"/>
      <c r="CM424" s="1319"/>
      <c r="CN424" s="1319"/>
      <c r="CO424" s="1320"/>
      <c r="CP424" s="1369"/>
      <c r="CQ424" s="1319"/>
      <c r="CR424" s="1319"/>
      <c r="CS424" s="1319"/>
      <c r="CT424" s="1320"/>
      <c r="CU424" s="1467"/>
      <c r="CV424" s="1458"/>
      <c r="CW424" s="1458"/>
      <c r="CX424" s="1663"/>
      <c r="CY424" s="1458"/>
      <c r="CZ424" s="1458"/>
      <c r="DA424" s="1458"/>
      <c r="DB424" s="1663"/>
      <c r="DC424" s="1328"/>
      <c r="DD424" s="1664"/>
      <c r="DE424" s="1669"/>
    </row>
    <row r="425" spans="1:109" ht="15.75" hidden="1" customHeight="1">
      <c r="A425" s="741" t="s">
        <v>1171</v>
      </c>
      <c r="B425" s="742">
        <v>419</v>
      </c>
      <c r="C425" s="758" t="s">
        <v>1383</v>
      </c>
      <c r="D425" s="742" t="s">
        <v>3602</v>
      </c>
      <c r="E425" s="742" t="s">
        <v>2217</v>
      </c>
      <c r="F425" s="754" t="s">
        <v>3606</v>
      </c>
      <c r="G425" s="759" t="s">
        <v>3607</v>
      </c>
      <c r="H425" s="760" t="s">
        <v>3608</v>
      </c>
      <c r="I425" s="761"/>
      <c r="J425" s="762">
        <v>1</v>
      </c>
      <c r="K425" s="762"/>
      <c r="L425" s="762"/>
      <c r="M425" s="762"/>
      <c r="N425" s="762"/>
      <c r="O425" s="762"/>
      <c r="P425" s="763"/>
      <c r="Q425" s="764">
        <f t="shared" si="6"/>
        <v>1</v>
      </c>
      <c r="R425" s="758" t="s">
        <v>1846</v>
      </c>
      <c r="S425" s="742" t="s">
        <v>1826</v>
      </c>
      <c r="T425" s="765" t="s">
        <v>1827</v>
      </c>
      <c r="U425" s="742" t="s">
        <v>788</v>
      </c>
      <c r="V425" s="742" t="s">
        <v>1857</v>
      </c>
      <c r="W425" s="742" t="s">
        <v>439</v>
      </c>
      <c r="X425" s="1283">
        <v>0</v>
      </c>
      <c r="Y425" s="790" t="s">
        <v>1838</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210</v>
      </c>
      <c r="BM425" s="754" t="s">
        <v>210</v>
      </c>
      <c r="BN425" s="754" t="s">
        <v>210</v>
      </c>
      <c r="BO425" s="754" t="s">
        <v>210</v>
      </c>
      <c r="BP425" s="765" t="s">
        <v>210</v>
      </c>
      <c r="BQ425" s="777" t="s">
        <v>2260</v>
      </c>
      <c r="BR425" s="769" t="s">
        <v>2260</v>
      </c>
      <c r="BS425" s="769" t="s">
        <v>2260</v>
      </c>
      <c r="BT425" s="769" t="s">
        <v>2260</v>
      </c>
      <c r="BU425" s="774" t="s">
        <v>2260</v>
      </c>
      <c r="BV425" s="775" t="s">
        <v>2260</v>
      </c>
      <c r="BW425" s="776" t="s">
        <v>2260</v>
      </c>
      <c r="BX425" s="776" t="s">
        <v>2260</v>
      </c>
      <c r="BY425" s="776" t="s">
        <v>2260</v>
      </c>
      <c r="BZ425" s="776" t="s">
        <v>2260</v>
      </c>
      <c r="CA425" s="777" t="s">
        <v>2260</v>
      </c>
      <c r="CB425" s="769" t="s">
        <v>2260</v>
      </c>
      <c r="CC425" s="769" t="s">
        <v>2260</v>
      </c>
      <c r="CD425" s="769" t="s">
        <v>2260</v>
      </c>
      <c r="CE425" s="774" t="s">
        <v>2260</v>
      </c>
      <c r="CF425" s="769" t="s">
        <v>2260</v>
      </c>
      <c r="CG425" s="769" t="s">
        <v>2260</v>
      </c>
      <c r="CH425" s="769" t="s">
        <v>2260</v>
      </c>
      <c r="CI425" s="769" t="s">
        <v>2260</v>
      </c>
      <c r="CJ425" s="774" t="s">
        <v>2260</v>
      </c>
      <c r="CK425" s="777" t="s">
        <v>2260</v>
      </c>
      <c r="CL425" s="769" t="s">
        <v>2260</v>
      </c>
      <c r="CM425" s="769" t="s">
        <v>2260</v>
      </c>
      <c r="CN425" s="769" t="s">
        <v>2260</v>
      </c>
      <c r="CO425" s="774" t="s">
        <v>2260</v>
      </c>
      <c r="CP425" s="777" t="s">
        <v>2260</v>
      </c>
      <c r="CQ425" s="769" t="s">
        <v>2260</v>
      </c>
      <c r="CR425" s="769" t="s">
        <v>2260</v>
      </c>
      <c r="CS425" s="769" t="s">
        <v>2260</v>
      </c>
      <c r="CT425" s="774" t="s">
        <v>2260</v>
      </c>
      <c r="CU425" s="1253">
        <v>-6.2E-2</v>
      </c>
      <c r="CV425" s="1252" t="s">
        <v>2260</v>
      </c>
      <c r="CW425" s="1252" t="s">
        <v>2260</v>
      </c>
      <c r="CX425" s="1254" t="s">
        <v>2260</v>
      </c>
      <c r="CY425" s="1252" t="s">
        <v>2260</v>
      </c>
      <c r="CZ425" s="1252" t="s">
        <v>2260</v>
      </c>
      <c r="DA425" s="1252" t="s">
        <v>2260</v>
      </c>
      <c r="DB425" s="1254" t="s">
        <v>2260</v>
      </c>
      <c r="DC425" s="754"/>
      <c r="DD425" s="782">
        <v>1</v>
      </c>
      <c r="DE425" s="783"/>
    </row>
    <row r="426" spans="1:109" ht="15.75" hidden="1" customHeight="1">
      <c r="A426" s="741" t="s">
        <v>1171</v>
      </c>
      <c r="B426" s="742">
        <v>420</v>
      </c>
      <c r="C426" s="758" t="s">
        <v>1664</v>
      </c>
      <c r="D426" s="742" t="s">
        <v>3602</v>
      </c>
      <c r="E426" s="742" t="s">
        <v>2231</v>
      </c>
      <c r="F426" s="754" t="s">
        <v>3609</v>
      </c>
      <c r="G426" s="759" t="s">
        <v>3610</v>
      </c>
      <c r="H426" s="760" t="s">
        <v>3611</v>
      </c>
      <c r="I426" s="761"/>
      <c r="J426" s="762"/>
      <c r="K426" s="762">
        <v>1</v>
      </c>
      <c r="L426" s="762"/>
      <c r="M426" s="762"/>
      <c r="N426" s="762"/>
      <c r="O426" s="762"/>
      <c r="P426" s="763"/>
      <c r="Q426" s="764">
        <f t="shared" si="6"/>
        <v>1</v>
      </c>
      <c r="R426" s="758" t="s">
        <v>1825</v>
      </c>
      <c r="S426" s="742"/>
      <c r="T426" s="765"/>
      <c r="U426" s="742" t="s">
        <v>2523</v>
      </c>
      <c r="V426" s="742" t="s">
        <v>1857</v>
      </c>
      <c r="W426" s="742" t="s">
        <v>439</v>
      </c>
      <c r="X426" s="1283">
        <v>0</v>
      </c>
      <c r="Y426" s="788" t="s">
        <v>1838</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2260</v>
      </c>
      <c r="BR426" s="769" t="s">
        <v>2260</v>
      </c>
      <c r="BS426" s="769" t="s">
        <v>2260</v>
      </c>
      <c r="BT426" s="769" t="s">
        <v>2260</v>
      </c>
      <c r="BU426" s="774" t="s">
        <v>2260</v>
      </c>
      <c r="BV426" s="775" t="s">
        <v>2260</v>
      </c>
      <c r="BW426" s="776" t="s">
        <v>2260</v>
      </c>
      <c r="BX426" s="776" t="s">
        <v>2260</v>
      </c>
      <c r="BY426" s="776" t="s">
        <v>2260</v>
      </c>
      <c r="BZ426" s="776" t="s">
        <v>2260</v>
      </c>
      <c r="CA426" s="777" t="s">
        <v>2260</v>
      </c>
      <c r="CB426" s="769" t="s">
        <v>2260</v>
      </c>
      <c r="CC426" s="769" t="s">
        <v>2260</v>
      </c>
      <c r="CD426" s="769" t="s">
        <v>2260</v>
      </c>
      <c r="CE426" s="774" t="s">
        <v>2260</v>
      </c>
      <c r="CF426" s="769" t="s">
        <v>2260</v>
      </c>
      <c r="CG426" s="769" t="s">
        <v>2260</v>
      </c>
      <c r="CH426" s="769" t="s">
        <v>2260</v>
      </c>
      <c r="CI426" s="769" t="s">
        <v>2260</v>
      </c>
      <c r="CJ426" s="774" t="s">
        <v>2260</v>
      </c>
      <c r="CK426" s="777" t="s">
        <v>2260</v>
      </c>
      <c r="CL426" s="769" t="s">
        <v>2260</v>
      </c>
      <c r="CM426" s="769" t="s">
        <v>2260</v>
      </c>
      <c r="CN426" s="769" t="s">
        <v>2260</v>
      </c>
      <c r="CO426" s="774" t="s">
        <v>2260</v>
      </c>
      <c r="CP426" s="777" t="s">
        <v>2260</v>
      </c>
      <c r="CQ426" s="769" t="s">
        <v>2260</v>
      </c>
      <c r="CR426" s="769" t="s">
        <v>2260</v>
      </c>
      <c r="CS426" s="769" t="s">
        <v>2260</v>
      </c>
      <c r="CT426" s="774" t="s">
        <v>2260</v>
      </c>
      <c r="CU426" s="1253" t="s">
        <v>2260</v>
      </c>
      <c r="CV426" s="1252" t="s">
        <v>2260</v>
      </c>
      <c r="CW426" s="1252" t="s">
        <v>2260</v>
      </c>
      <c r="CX426" s="1254" t="s">
        <v>2260</v>
      </c>
      <c r="CY426" s="1252" t="s">
        <v>2260</v>
      </c>
      <c r="CZ426" s="1252" t="s">
        <v>2260</v>
      </c>
      <c r="DA426" s="1252" t="s">
        <v>2260</v>
      </c>
      <c r="DB426" s="1254" t="s">
        <v>2260</v>
      </c>
      <c r="DC426" s="754"/>
      <c r="DD426" s="782">
        <v>1</v>
      </c>
      <c r="DE426" s="783"/>
    </row>
    <row r="427" spans="1:109" ht="15.75" hidden="1" customHeight="1">
      <c r="A427" s="741" t="s">
        <v>1171</v>
      </c>
      <c r="B427" s="742">
        <v>421</v>
      </c>
      <c r="C427" s="758" t="s">
        <v>1678</v>
      </c>
      <c r="D427" s="742" t="s">
        <v>3602</v>
      </c>
      <c r="E427" s="742" t="s">
        <v>2231</v>
      </c>
      <c r="F427" s="754" t="s">
        <v>3612</v>
      </c>
      <c r="G427" s="759" t="s">
        <v>3613</v>
      </c>
      <c r="H427" s="760" t="s">
        <v>3614</v>
      </c>
      <c r="I427" s="761">
        <v>0.65</v>
      </c>
      <c r="J427" s="762">
        <v>0.35</v>
      </c>
      <c r="K427" s="762"/>
      <c r="L427" s="762"/>
      <c r="M427" s="762"/>
      <c r="N427" s="762"/>
      <c r="O427" s="762"/>
      <c r="P427" s="763"/>
      <c r="Q427" s="764">
        <f t="shared" si="6"/>
        <v>1</v>
      </c>
      <c r="R427" s="758" t="s">
        <v>1825</v>
      </c>
      <c r="S427" s="742"/>
      <c r="T427" s="765"/>
      <c r="U427" s="742" t="s">
        <v>2523</v>
      </c>
      <c r="V427" s="742" t="s">
        <v>1857</v>
      </c>
      <c r="W427" s="742" t="s">
        <v>439</v>
      </c>
      <c r="X427" s="1283">
        <v>0</v>
      </c>
      <c r="Y427" s="791" t="s">
        <v>1828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2260</v>
      </c>
      <c r="BR427" s="769" t="s">
        <v>2260</v>
      </c>
      <c r="BS427" s="769" t="s">
        <v>2260</v>
      </c>
      <c r="BT427" s="769" t="s">
        <v>2260</v>
      </c>
      <c r="BU427" s="774" t="s">
        <v>2260</v>
      </c>
      <c r="BV427" s="775" t="s">
        <v>2260</v>
      </c>
      <c r="BW427" s="776" t="s">
        <v>2260</v>
      </c>
      <c r="BX427" s="776" t="s">
        <v>2260</v>
      </c>
      <c r="BY427" s="776" t="s">
        <v>2260</v>
      </c>
      <c r="BZ427" s="776" t="s">
        <v>2260</v>
      </c>
      <c r="CA427" s="777" t="s">
        <v>2260</v>
      </c>
      <c r="CB427" s="769" t="s">
        <v>2260</v>
      </c>
      <c r="CC427" s="769" t="s">
        <v>2260</v>
      </c>
      <c r="CD427" s="769" t="s">
        <v>2260</v>
      </c>
      <c r="CE427" s="774" t="s">
        <v>2260</v>
      </c>
      <c r="CF427" s="769" t="s">
        <v>2260</v>
      </c>
      <c r="CG427" s="769" t="s">
        <v>2260</v>
      </c>
      <c r="CH427" s="769" t="s">
        <v>2260</v>
      </c>
      <c r="CI427" s="769" t="s">
        <v>2260</v>
      </c>
      <c r="CJ427" s="774" t="s">
        <v>2260</v>
      </c>
      <c r="CK427" s="777" t="s">
        <v>2260</v>
      </c>
      <c r="CL427" s="769" t="s">
        <v>2260</v>
      </c>
      <c r="CM427" s="769" t="s">
        <v>2260</v>
      </c>
      <c r="CN427" s="769" t="s">
        <v>2260</v>
      </c>
      <c r="CO427" s="774" t="s">
        <v>2260</v>
      </c>
      <c r="CP427" s="777" t="s">
        <v>2260</v>
      </c>
      <c r="CQ427" s="769" t="s">
        <v>2260</v>
      </c>
      <c r="CR427" s="769" t="s">
        <v>2260</v>
      </c>
      <c r="CS427" s="769" t="s">
        <v>2260</v>
      </c>
      <c r="CT427" s="774" t="s">
        <v>2260</v>
      </c>
      <c r="CU427" s="1253" t="s">
        <v>2260</v>
      </c>
      <c r="CV427" s="1252" t="s">
        <v>2260</v>
      </c>
      <c r="CW427" s="1252" t="s">
        <v>2260</v>
      </c>
      <c r="CX427" s="1254" t="s">
        <v>2260</v>
      </c>
      <c r="CY427" s="1252" t="s">
        <v>2260</v>
      </c>
      <c r="CZ427" s="1252" t="s">
        <v>2260</v>
      </c>
      <c r="DA427" s="1252" t="s">
        <v>2260</v>
      </c>
      <c r="DB427" s="1254" t="s">
        <v>2260</v>
      </c>
      <c r="DC427" s="754"/>
      <c r="DD427" s="782">
        <v>1</v>
      </c>
      <c r="DE427" s="783"/>
    </row>
    <row r="428" spans="1:109" ht="15.75" hidden="1" customHeight="1">
      <c r="A428" s="741" t="s">
        <v>1171</v>
      </c>
      <c r="B428" s="742">
        <v>422</v>
      </c>
      <c r="C428" s="758" t="s">
        <v>1400</v>
      </c>
      <c r="D428" s="742" t="s">
        <v>3602</v>
      </c>
      <c r="E428" s="742" t="s">
        <v>2231</v>
      </c>
      <c r="F428" s="754" t="s">
        <v>3615</v>
      </c>
      <c r="G428" s="759" t="s">
        <v>2083</v>
      </c>
      <c r="H428" s="760" t="s">
        <v>3616</v>
      </c>
      <c r="I428" s="761">
        <v>0.45</v>
      </c>
      <c r="J428" s="762">
        <v>0.55000000000000004</v>
      </c>
      <c r="K428" s="762"/>
      <c r="L428" s="762"/>
      <c r="M428" s="762"/>
      <c r="N428" s="762"/>
      <c r="O428" s="762"/>
      <c r="P428" s="763"/>
      <c r="Q428" s="764">
        <f t="shared" si="6"/>
        <v>1</v>
      </c>
      <c r="R428" s="758" t="s">
        <v>1852</v>
      </c>
      <c r="S428" s="742" t="s">
        <v>1836</v>
      </c>
      <c r="T428" s="765" t="s">
        <v>1837</v>
      </c>
      <c r="U428" s="742" t="s">
        <v>2280</v>
      </c>
      <c r="V428" s="742" t="s">
        <v>1883</v>
      </c>
      <c r="W428" s="742" t="s">
        <v>3353</v>
      </c>
      <c r="X428" s="1283">
        <v>0</v>
      </c>
      <c r="Y428" s="795" t="s">
        <v>1828</v>
      </c>
      <c r="Z428" s="759"/>
      <c r="AA428" s="754"/>
      <c r="AB428" s="754"/>
      <c r="AC428" s="754"/>
      <c r="AD428" s="754"/>
      <c r="AE428" s="754"/>
      <c r="AF428" s="768"/>
      <c r="AG428" s="766"/>
      <c r="AH428" s="766"/>
      <c r="AI428" s="766"/>
      <c r="AJ428" s="766"/>
      <c r="AK428" s="766"/>
      <c r="AL428" s="766"/>
      <c r="AM428" s="766"/>
      <c r="AN428" s="766"/>
      <c r="AO428" s="766"/>
      <c r="AP428" s="766"/>
      <c r="AQ428" s="1865">
        <v>73209</v>
      </c>
      <c r="AR428" s="1866">
        <v>84209</v>
      </c>
      <c r="AS428" s="1866">
        <v>96209</v>
      </c>
      <c r="AT428" s="1866">
        <v>109209</v>
      </c>
      <c r="AU428" s="1867">
        <v>123209</v>
      </c>
      <c r="AV428" s="796"/>
      <c r="AW428" s="766"/>
      <c r="AX428" s="766"/>
      <c r="AY428" s="766"/>
      <c r="AZ428" s="766"/>
      <c r="BA428" s="766"/>
      <c r="BB428" s="766"/>
      <c r="BC428" s="766"/>
      <c r="BD428" s="766"/>
      <c r="BE428" s="766"/>
      <c r="BF428" s="766"/>
      <c r="BG428" s="766"/>
      <c r="BH428" s="766"/>
      <c r="BI428" s="766"/>
      <c r="BJ428" s="766"/>
      <c r="BK428" s="810"/>
      <c r="BL428" s="758" t="s">
        <v>210</v>
      </c>
      <c r="BM428" s="754" t="s">
        <v>210</v>
      </c>
      <c r="BN428" s="754" t="s">
        <v>210</v>
      </c>
      <c r="BO428" s="754" t="s">
        <v>210</v>
      </c>
      <c r="BP428" s="765" t="s">
        <v>210</v>
      </c>
      <c r="BQ428" s="777" t="s">
        <v>2260</v>
      </c>
      <c r="BR428" s="769" t="s">
        <v>2260</v>
      </c>
      <c r="BS428" s="769" t="s">
        <v>2260</v>
      </c>
      <c r="BT428" s="769" t="s">
        <v>2260</v>
      </c>
      <c r="BU428" s="774" t="s">
        <v>2260</v>
      </c>
      <c r="BV428" s="1865">
        <v>69028</v>
      </c>
      <c r="BW428" s="1866">
        <v>79828</v>
      </c>
      <c r="BX428" s="1866">
        <v>91428</v>
      </c>
      <c r="BY428" s="1866">
        <v>103828</v>
      </c>
      <c r="BZ428" s="1866">
        <v>117028</v>
      </c>
      <c r="CA428" s="777" t="s">
        <v>2260</v>
      </c>
      <c r="CB428" s="769" t="s">
        <v>2260</v>
      </c>
      <c r="CC428" s="769" t="s">
        <v>2260</v>
      </c>
      <c r="CD428" s="769" t="s">
        <v>2260</v>
      </c>
      <c r="CE428" s="774" t="s">
        <v>2260</v>
      </c>
      <c r="CF428" s="769" t="s">
        <v>2260</v>
      </c>
      <c r="CG428" s="769" t="s">
        <v>2260</v>
      </c>
      <c r="CH428" s="769" t="s">
        <v>2260</v>
      </c>
      <c r="CI428" s="769" t="s">
        <v>2260</v>
      </c>
      <c r="CJ428" s="774" t="s">
        <v>2260</v>
      </c>
      <c r="CK428" s="1865">
        <v>82209</v>
      </c>
      <c r="CL428" s="1866">
        <v>93709</v>
      </c>
      <c r="CM428" s="1866">
        <v>106709</v>
      </c>
      <c r="CN428" s="1866">
        <v>121209</v>
      </c>
      <c r="CO428" s="1867">
        <v>137209</v>
      </c>
      <c r="CP428" s="777" t="s">
        <v>2260</v>
      </c>
      <c r="CQ428" s="769" t="s">
        <v>2260</v>
      </c>
      <c r="CR428" s="769" t="s">
        <v>2260</v>
      </c>
      <c r="CS428" s="769" t="s">
        <v>2260</v>
      </c>
      <c r="CT428" s="774" t="s">
        <v>2260</v>
      </c>
      <c r="CU428" s="1253">
        <v>-8.8000000000000003E-4</v>
      </c>
      <c r="CV428" s="1252" t="s">
        <v>2260</v>
      </c>
      <c r="CW428" s="1252" t="s">
        <v>2260</v>
      </c>
      <c r="CX428" s="1254" t="s">
        <v>2260</v>
      </c>
      <c r="CY428" s="1252">
        <v>4.4999999999999999E-4</v>
      </c>
      <c r="CZ428" s="1252" t="s">
        <v>2260</v>
      </c>
      <c r="DA428" s="1252" t="s">
        <v>2260</v>
      </c>
      <c r="DB428" s="1254" t="s">
        <v>2260</v>
      </c>
      <c r="DC428" s="754"/>
      <c r="DD428" s="782">
        <v>1</v>
      </c>
      <c r="DE428" s="783"/>
    </row>
    <row r="429" spans="1:109" ht="15.75" hidden="1" customHeight="1">
      <c r="A429" s="741" t="s">
        <v>1171</v>
      </c>
      <c r="B429" s="742">
        <v>423</v>
      </c>
      <c r="C429" s="758" t="s">
        <v>1568</v>
      </c>
      <c r="D429" s="742" t="s">
        <v>3602</v>
      </c>
      <c r="E429" s="742" t="s">
        <v>2231</v>
      </c>
      <c r="F429" s="754" t="s">
        <v>3617</v>
      </c>
      <c r="G429" s="759" t="s">
        <v>3618</v>
      </c>
      <c r="H429" s="760" t="s">
        <v>3619</v>
      </c>
      <c r="I429" s="761">
        <v>0.15</v>
      </c>
      <c r="J429" s="762"/>
      <c r="K429" s="762">
        <v>0.85</v>
      </c>
      <c r="L429" s="762"/>
      <c r="M429" s="762"/>
      <c r="N429" s="762"/>
      <c r="O429" s="762"/>
      <c r="P429" s="763"/>
      <c r="Q429" s="764">
        <f t="shared" si="6"/>
        <v>1</v>
      </c>
      <c r="R429" s="758" t="s">
        <v>1846</v>
      </c>
      <c r="S429" s="742" t="s">
        <v>1826</v>
      </c>
      <c r="T429" s="765" t="s">
        <v>1827</v>
      </c>
      <c r="U429" s="742" t="s">
        <v>2387</v>
      </c>
      <c r="V429" s="742" t="s">
        <v>1857</v>
      </c>
      <c r="W429" s="742" t="s">
        <v>439</v>
      </c>
      <c r="X429" s="1283">
        <v>0</v>
      </c>
      <c r="Y429" s="790" t="s">
        <v>1828</v>
      </c>
      <c r="Z429" s="759"/>
      <c r="AA429" s="754"/>
      <c r="AB429" s="754"/>
      <c r="AC429" s="754"/>
      <c r="AD429" s="754"/>
      <c r="AE429" s="754"/>
      <c r="AF429" s="768"/>
      <c r="AG429" s="769"/>
      <c r="AH429" s="769"/>
      <c r="AI429" s="769"/>
      <c r="AJ429" s="769"/>
      <c r="AK429" s="769"/>
      <c r="AL429" s="769"/>
      <c r="AM429" s="793"/>
      <c r="AN429" s="793"/>
      <c r="AO429" s="769"/>
      <c r="AP429" s="793"/>
      <c r="AQ429" s="1301">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210</v>
      </c>
      <c r="BM429" s="754" t="s">
        <v>210</v>
      </c>
      <c r="BN429" s="754" t="s">
        <v>210</v>
      </c>
      <c r="BO429" s="754" t="s">
        <v>210</v>
      </c>
      <c r="BP429" s="765" t="s">
        <v>210</v>
      </c>
      <c r="BQ429" s="777" t="s">
        <v>2260</v>
      </c>
      <c r="BR429" s="769" t="s">
        <v>2260</v>
      </c>
      <c r="BS429" s="769" t="s">
        <v>2260</v>
      </c>
      <c r="BT429" s="769" t="s">
        <v>2260</v>
      </c>
      <c r="BU429" s="774" t="s">
        <v>2260</v>
      </c>
      <c r="BV429" s="775" t="s">
        <v>2260</v>
      </c>
      <c r="BW429" s="776" t="s">
        <v>2260</v>
      </c>
      <c r="BX429" s="776" t="s">
        <v>2260</v>
      </c>
      <c r="BY429" s="776" t="s">
        <v>2260</v>
      </c>
      <c r="BZ429" s="776" t="s">
        <v>2260</v>
      </c>
      <c r="CA429" s="777" t="s">
        <v>2260</v>
      </c>
      <c r="CB429" s="769" t="s">
        <v>2260</v>
      </c>
      <c r="CC429" s="769" t="s">
        <v>2260</v>
      </c>
      <c r="CD429" s="769" t="s">
        <v>2260</v>
      </c>
      <c r="CE429" s="774" t="s">
        <v>2260</v>
      </c>
      <c r="CF429" s="769" t="s">
        <v>2260</v>
      </c>
      <c r="CG429" s="769" t="s">
        <v>2260</v>
      </c>
      <c r="CH429" s="769" t="s">
        <v>2260</v>
      </c>
      <c r="CI429" s="769" t="s">
        <v>2260</v>
      </c>
      <c r="CJ429" s="774" t="s">
        <v>2260</v>
      </c>
      <c r="CK429" s="777" t="s">
        <v>2260</v>
      </c>
      <c r="CL429" s="769" t="s">
        <v>2260</v>
      </c>
      <c r="CM429" s="769" t="s">
        <v>2260</v>
      </c>
      <c r="CN429" s="769" t="s">
        <v>2260</v>
      </c>
      <c r="CO429" s="774" t="s">
        <v>2260</v>
      </c>
      <c r="CP429" s="777" t="s">
        <v>2260</v>
      </c>
      <c r="CQ429" s="769" t="s">
        <v>2260</v>
      </c>
      <c r="CR429" s="769" t="s">
        <v>2260</v>
      </c>
      <c r="CS429" s="769" t="s">
        <v>2260</v>
      </c>
      <c r="CT429" s="774" t="s">
        <v>2260</v>
      </c>
      <c r="CU429" s="1253">
        <v>-1</v>
      </c>
      <c r="CV429" s="1252" t="s">
        <v>2260</v>
      </c>
      <c r="CW429" s="1252" t="s">
        <v>2260</v>
      </c>
      <c r="CX429" s="1254" t="s">
        <v>2260</v>
      </c>
      <c r="CY429" s="1252" t="s">
        <v>2260</v>
      </c>
      <c r="CZ429" s="1252" t="s">
        <v>2260</v>
      </c>
      <c r="DA429" s="1252" t="s">
        <v>2260</v>
      </c>
      <c r="DB429" s="1254" t="s">
        <v>2260</v>
      </c>
      <c r="DC429" s="754"/>
      <c r="DD429" s="782"/>
      <c r="DE429" s="783"/>
    </row>
    <row r="430" spans="1:109" ht="15.75" hidden="1" customHeight="1">
      <c r="A430" s="741" t="s">
        <v>1171</v>
      </c>
      <c r="B430" s="742">
        <v>424</v>
      </c>
      <c r="C430" s="758" t="s">
        <v>1576</v>
      </c>
      <c r="D430" s="742" t="s">
        <v>3620</v>
      </c>
      <c r="E430" s="742" t="s">
        <v>2223</v>
      </c>
      <c r="F430" s="754" t="s">
        <v>3621</v>
      </c>
      <c r="G430" s="759" t="s">
        <v>2085</v>
      </c>
      <c r="H430" s="760" t="s">
        <v>3622</v>
      </c>
      <c r="I430" s="761"/>
      <c r="J430" s="762"/>
      <c r="K430" s="762">
        <v>1</v>
      </c>
      <c r="L430" s="762"/>
      <c r="M430" s="762"/>
      <c r="N430" s="762"/>
      <c r="O430" s="762"/>
      <c r="P430" s="763"/>
      <c r="Q430" s="764">
        <f t="shared" si="6"/>
        <v>1</v>
      </c>
      <c r="R430" s="758" t="s">
        <v>1852</v>
      </c>
      <c r="S430" s="742" t="s">
        <v>1836</v>
      </c>
      <c r="T430" s="765" t="s">
        <v>1837</v>
      </c>
      <c r="U430" s="742" t="s">
        <v>2387</v>
      </c>
      <c r="V430" s="742" t="s">
        <v>1857</v>
      </c>
      <c r="W430" s="742" t="s">
        <v>439</v>
      </c>
      <c r="X430" s="1283">
        <v>0</v>
      </c>
      <c r="Y430" s="795" t="s">
        <v>1828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210</v>
      </c>
      <c r="BM430" s="754" t="s">
        <v>210</v>
      </c>
      <c r="BN430" s="754" t="s">
        <v>210</v>
      </c>
      <c r="BO430" s="754" t="s">
        <v>210</v>
      </c>
      <c r="BP430" s="765" t="s">
        <v>210</v>
      </c>
      <c r="BQ430" s="777" t="s">
        <v>2260</v>
      </c>
      <c r="BR430" s="769" t="s">
        <v>2260</v>
      </c>
      <c r="BS430" s="769" t="s">
        <v>2260</v>
      </c>
      <c r="BT430" s="769" t="s">
        <v>2260</v>
      </c>
      <c r="BU430" s="774" t="s">
        <v>2260</v>
      </c>
      <c r="BV430" s="775">
        <v>-14</v>
      </c>
      <c r="BW430" s="776">
        <v>-12</v>
      </c>
      <c r="BX430" s="776">
        <v>-10</v>
      </c>
      <c r="BY430" s="776">
        <v>-8</v>
      </c>
      <c r="BZ430" s="776">
        <v>-6</v>
      </c>
      <c r="CA430" s="777" t="s">
        <v>2260</v>
      </c>
      <c r="CB430" s="769" t="s">
        <v>2260</v>
      </c>
      <c r="CC430" s="769" t="s">
        <v>2260</v>
      </c>
      <c r="CD430" s="769" t="s">
        <v>2260</v>
      </c>
      <c r="CE430" s="774" t="s">
        <v>2260</v>
      </c>
      <c r="CF430" s="769" t="s">
        <v>2260</v>
      </c>
      <c r="CG430" s="769" t="s">
        <v>2260</v>
      </c>
      <c r="CH430" s="769" t="s">
        <v>2260</v>
      </c>
      <c r="CI430" s="769" t="s">
        <v>2260</v>
      </c>
      <c r="CJ430" s="774" t="s">
        <v>2260</v>
      </c>
      <c r="CK430" s="777">
        <v>2</v>
      </c>
      <c r="CL430" s="769">
        <v>4</v>
      </c>
      <c r="CM430" s="769">
        <v>6</v>
      </c>
      <c r="CN430" s="769">
        <v>8</v>
      </c>
      <c r="CO430" s="774">
        <v>10</v>
      </c>
      <c r="CP430" s="777" t="s">
        <v>2260</v>
      </c>
      <c r="CQ430" s="769" t="s">
        <v>2260</v>
      </c>
      <c r="CR430" s="769" t="s">
        <v>2260</v>
      </c>
      <c r="CS430" s="769" t="s">
        <v>2260</v>
      </c>
      <c r="CT430" s="774" t="s">
        <v>2260</v>
      </c>
      <c r="CU430" s="1253">
        <v>-0.48499999999999999</v>
      </c>
      <c r="CV430" s="1252" t="s">
        <v>2260</v>
      </c>
      <c r="CW430" s="1252" t="s">
        <v>2260</v>
      </c>
      <c r="CX430" s="1254" t="s">
        <v>2260</v>
      </c>
      <c r="CY430" s="1252">
        <v>0.27600000000000002</v>
      </c>
      <c r="CZ430" s="1252" t="s">
        <v>2260</v>
      </c>
      <c r="DA430" s="1252" t="s">
        <v>2260</v>
      </c>
      <c r="DB430" s="1254" t="s">
        <v>2260</v>
      </c>
      <c r="DC430" s="754"/>
      <c r="DD430" s="782">
        <v>1</v>
      </c>
      <c r="DE430" s="783"/>
    </row>
    <row r="431" spans="1:109" ht="15.75" hidden="1" customHeight="1">
      <c r="A431" s="741" t="s">
        <v>1171</v>
      </c>
      <c r="B431" s="742">
        <v>425</v>
      </c>
      <c r="C431" s="758" t="s">
        <v>1417</v>
      </c>
      <c r="D431" s="742" t="s">
        <v>3620</v>
      </c>
      <c r="E431" s="742" t="s">
        <v>2231</v>
      </c>
      <c r="F431" s="754" t="s">
        <v>3623</v>
      </c>
      <c r="G431" s="759" t="s">
        <v>2988</v>
      </c>
      <c r="H431" s="760" t="s">
        <v>3624</v>
      </c>
      <c r="I431" s="761">
        <v>1</v>
      </c>
      <c r="J431" s="762"/>
      <c r="K431" s="762"/>
      <c r="L431" s="762"/>
      <c r="M431" s="762"/>
      <c r="N431" s="762"/>
      <c r="O431" s="762"/>
      <c r="P431" s="763"/>
      <c r="Q431" s="764">
        <f t="shared" si="6"/>
        <v>1</v>
      </c>
      <c r="R431" s="758" t="s">
        <v>1852</v>
      </c>
      <c r="S431" s="742" t="s">
        <v>1826</v>
      </c>
      <c r="T431" s="765" t="s">
        <v>1827</v>
      </c>
      <c r="U431" s="742" t="s">
        <v>2290</v>
      </c>
      <c r="V431" s="742" t="s">
        <v>1857</v>
      </c>
      <c r="W431" s="742" t="s">
        <v>3625</v>
      </c>
      <c r="X431" s="1243">
        <v>0</v>
      </c>
      <c r="Y431" s="790" t="s">
        <v>1828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210</v>
      </c>
      <c r="BM431" s="754" t="s">
        <v>210</v>
      </c>
      <c r="BN431" s="754" t="s">
        <v>210</v>
      </c>
      <c r="BO431" s="754" t="s">
        <v>210</v>
      </c>
      <c r="BP431" s="765" t="s">
        <v>210</v>
      </c>
      <c r="BQ431" s="777" t="s">
        <v>2260</v>
      </c>
      <c r="BR431" s="769" t="s">
        <v>2260</v>
      </c>
      <c r="BS431" s="769" t="s">
        <v>2260</v>
      </c>
      <c r="BT431" s="769" t="s">
        <v>2260</v>
      </c>
      <c r="BU431" s="774" t="s">
        <v>2260</v>
      </c>
      <c r="BV431" s="775" t="s">
        <v>2260</v>
      </c>
      <c r="BW431" s="776" t="s">
        <v>2260</v>
      </c>
      <c r="BX431" s="776" t="s">
        <v>2260</v>
      </c>
      <c r="BY431" s="776" t="s">
        <v>2260</v>
      </c>
      <c r="BZ431" s="776" t="s">
        <v>2260</v>
      </c>
      <c r="CA431" s="777" t="s">
        <v>2260</v>
      </c>
      <c r="CB431" s="769" t="s">
        <v>2260</v>
      </c>
      <c r="CC431" s="769" t="s">
        <v>2260</v>
      </c>
      <c r="CD431" s="769" t="s">
        <v>2260</v>
      </c>
      <c r="CE431" s="774" t="s">
        <v>2260</v>
      </c>
      <c r="CF431" s="769" t="s">
        <v>2260</v>
      </c>
      <c r="CG431" s="769" t="s">
        <v>2260</v>
      </c>
      <c r="CH431" s="769" t="s">
        <v>2260</v>
      </c>
      <c r="CI431" s="769" t="s">
        <v>2260</v>
      </c>
      <c r="CJ431" s="769" t="s">
        <v>2260</v>
      </c>
      <c r="CK431" s="777" t="s">
        <v>2260</v>
      </c>
      <c r="CL431" s="769" t="s">
        <v>2260</v>
      </c>
      <c r="CM431" s="769" t="s">
        <v>2260</v>
      </c>
      <c r="CN431" s="769" t="s">
        <v>2260</v>
      </c>
      <c r="CO431" s="774" t="s">
        <v>2260</v>
      </c>
      <c r="CP431" s="777" t="s">
        <v>2260</v>
      </c>
      <c r="CQ431" s="769" t="s">
        <v>2260</v>
      </c>
      <c r="CR431" s="769" t="s">
        <v>2260</v>
      </c>
      <c r="CS431" s="769" t="s">
        <v>2260</v>
      </c>
      <c r="CT431" s="774" t="s">
        <v>2260</v>
      </c>
      <c r="CU431" s="1253">
        <v>-3.8999999999999999E-4</v>
      </c>
      <c r="CV431" s="1252" t="s">
        <v>2260</v>
      </c>
      <c r="CW431" s="1252" t="s">
        <v>2260</v>
      </c>
      <c r="CX431" s="1254" t="s">
        <v>2260</v>
      </c>
      <c r="CY431" s="1252">
        <v>2.1000000000000001E-4</v>
      </c>
      <c r="CZ431" s="1252" t="s">
        <v>2260</v>
      </c>
      <c r="DA431" s="1252" t="s">
        <v>2260</v>
      </c>
      <c r="DB431" s="1254" t="s">
        <v>2260</v>
      </c>
      <c r="DC431" s="754" t="s">
        <v>173</v>
      </c>
      <c r="DD431" s="782">
        <v>1</v>
      </c>
      <c r="DE431" s="783"/>
    </row>
    <row r="432" spans="1:109" ht="15.75" hidden="1" customHeight="1">
      <c r="A432" s="741" t="s">
        <v>1171</v>
      </c>
      <c r="B432" s="742">
        <v>426</v>
      </c>
      <c r="C432" s="758" t="s">
        <v>1690</v>
      </c>
      <c r="D432" s="742" t="s">
        <v>3626</v>
      </c>
      <c r="E432" s="742" t="s">
        <v>2231</v>
      </c>
      <c r="F432" s="754" t="s">
        <v>3627</v>
      </c>
      <c r="G432" s="759" t="s">
        <v>3628</v>
      </c>
      <c r="H432" s="760" t="s">
        <v>3629</v>
      </c>
      <c r="I432" s="761"/>
      <c r="J432" s="762"/>
      <c r="K432" s="762"/>
      <c r="L432" s="762"/>
      <c r="M432" s="762">
        <v>1</v>
      </c>
      <c r="N432" s="762"/>
      <c r="O432" s="762"/>
      <c r="P432" s="763"/>
      <c r="Q432" s="764">
        <f t="shared" si="6"/>
        <v>1</v>
      </c>
      <c r="R432" s="758" t="s">
        <v>1825</v>
      </c>
      <c r="S432" s="742"/>
      <c r="T432" s="765"/>
      <c r="U432" s="742" t="s">
        <v>2275</v>
      </c>
      <c r="V432" s="742" t="s">
        <v>1857</v>
      </c>
      <c r="W432" s="742" t="s">
        <v>439</v>
      </c>
      <c r="X432" s="1243">
        <v>0</v>
      </c>
      <c r="Y432" s="788" t="s">
        <v>1828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2260</v>
      </c>
      <c r="BR432" s="769" t="s">
        <v>2260</v>
      </c>
      <c r="BS432" s="769" t="s">
        <v>2260</v>
      </c>
      <c r="BT432" s="769" t="s">
        <v>2260</v>
      </c>
      <c r="BU432" s="774" t="s">
        <v>2260</v>
      </c>
      <c r="BV432" s="775" t="s">
        <v>2260</v>
      </c>
      <c r="BW432" s="776" t="s">
        <v>2260</v>
      </c>
      <c r="BX432" s="776" t="s">
        <v>2260</v>
      </c>
      <c r="BY432" s="776" t="s">
        <v>2260</v>
      </c>
      <c r="BZ432" s="776" t="s">
        <v>2260</v>
      </c>
      <c r="CA432" s="777" t="s">
        <v>2260</v>
      </c>
      <c r="CB432" s="769" t="s">
        <v>2260</v>
      </c>
      <c r="CC432" s="769" t="s">
        <v>2260</v>
      </c>
      <c r="CD432" s="769" t="s">
        <v>2260</v>
      </c>
      <c r="CE432" s="774" t="s">
        <v>2260</v>
      </c>
      <c r="CF432" s="769" t="s">
        <v>2260</v>
      </c>
      <c r="CG432" s="769" t="s">
        <v>2260</v>
      </c>
      <c r="CH432" s="769" t="s">
        <v>2260</v>
      </c>
      <c r="CI432" s="769" t="s">
        <v>2260</v>
      </c>
      <c r="CJ432" s="774" t="s">
        <v>2260</v>
      </c>
      <c r="CK432" s="777" t="s">
        <v>2260</v>
      </c>
      <c r="CL432" s="769" t="s">
        <v>2260</v>
      </c>
      <c r="CM432" s="769" t="s">
        <v>2260</v>
      </c>
      <c r="CN432" s="769" t="s">
        <v>2260</v>
      </c>
      <c r="CO432" s="774" t="s">
        <v>2260</v>
      </c>
      <c r="CP432" s="777" t="s">
        <v>2260</v>
      </c>
      <c r="CQ432" s="769" t="s">
        <v>2260</v>
      </c>
      <c r="CR432" s="769" t="s">
        <v>2260</v>
      </c>
      <c r="CS432" s="769" t="s">
        <v>2260</v>
      </c>
      <c r="CT432" s="774" t="s">
        <v>2260</v>
      </c>
      <c r="CU432" s="1253" t="s">
        <v>2260</v>
      </c>
      <c r="CV432" s="1252" t="s">
        <v>2260</v>
      </c>
      <c r="CW432" s="1252" t="s">
        <v>2260</v>
      </c>
      <c r="CX432" s="1254" t="s">
        <v>2260</v>
      </c>
      <c r="CY432" s="1252" t="s">
        <v>2260</v>
      </c>
      <c r="CZ432" s="1252" t="s">
        <v>2260</v>
      </c>
      <c r="DA432" s="1252" t="s">
        <v>2260</v>
      </c>
      <c r="DB432" s="1254" t="s">
        <v>2260</v>
      </c>
      <c r="DC432" s="754"/>
      <c r="DD432" s="782">
        <v>1</v>
      </c>
      <c r="DE432" s="783"/>
    </row>
    <row r="433" spans="1:109" ht="15.75" hidden="1" customHeight="1">
      <c r="A433" s="741" t="s">
        <v>1171</v>
      </c>
      <c r="B433" s="742">
        <v>427</v>
      </c>
      <c r="C433" s="758" t="s">
        <v>1701</v>
      </c>
      <c r="D433" s="742" t="s">
        <v>3626</v>
      </c>
      <c r="E433" s="742" t="s">
        <v>2217</v>
      </c>
      <c r="F433" s="754" t="s">
        <v>3630</v>
      </c>
      <c r="G433" s="759" t="s">
        <v>3631</v>
      </c>
      <c r="H433" s="760" t="s">
        <v>3632</v>
      </c>
      <c r="I433" s="761"/>
      <c r="J433" s="762"/>
      <c r="K433" s="762"/>
      <c r="L433" s="762"/>
      <c r="M433" s="762">
        <v>1</v>
      </c>
      <c r="N433" s="762"/>
      <c r="O433" s="762"/>
      <c r="P433" s="763"/>
      <c r="Q433" s="764">
        <f t="shared" si="6"/>
        <v>1</v>
      </c>
      <c r="R433" s="758" t="s">
        <v>1825</v>
      </c>
      <c r="S433" s="742"/>
      <c r="T433" s="765"/>
      <c r="U433" s="742" t="s">
        <v>2396</v>
      </c>
      <c r="V433" s="742" t="s">
        <v>1857</v>
      </c>
      <c r="W433" s="742" t="s">
        <v>439</v>
      </c>
      <c r="X433" s="1243">
        <v>0</v>
      </c>
      <c r="Y433" s="788" t="s">
        <v>1828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2260</v>
      </c>
      <c r="BR433" s="769" t="s">
        <v>2260</v>
      </c>
      <c r="BS433" s="769" t="s">
        <v>2260</v>
      </c>
      <c r="BT433" s="769" t="s">
        <v>2260</v>
      </c>
      <c r="BU433" s="774" t="s">
        <v>2260</v>
      </c>
      <c r="BV433" s="775" t="s">
        <v>2260</v>
      </c>
      <c r="BW433" s="776" t="s">
        <v>2260</v>
      </c>
      <c r="BX433" s="776" t="s">
        <v>2260</v>
      </c>
      <c r="BY433" s="776" t="s">
        <v>2260</v>
      </c>
      <c r="BZ433" s="776" t="s">
        <v>2260</v>
      </c>
      <c r="CA433" s="885" t="s">
        <v>2260</v>
      </c>
      <c r="CB433" s="883" t="s">
        <v>2260</v>
      </c>
      <c r="CC433" s="883" t="s">
        <v>2260</v>
      </c>
      <c r="CD433" s="769" t="s">
        <v>2260</v>
      </c>
      <c r="CE433" s="774" t="s">
        <v>2260</v>
      </c>
      <c r="CF433" s="769" t="s">
        <v>2260</v>
      </c>
      <c r="CG433" s="769" t="s">
        <v>2260</v>
      </c>
      <c r="CH433" s="769" t="s">
        <v>2260</v>
      </c>
      <c r="CI433" s="769" t="s">
        <v>2260</v>
      </c>
      <c r="CJ433" s="774" t="s">
        <v>2260</v>
      </c>
      <c r="CK433" s="777" t="s">
        <v>2260</v>
      </c>
      <c r="CL433" s="769" t="s">
        <v>2260</v>
      </c>
      <c r="CM433" s="769" t="s">
        <v>2260</v>
      </c>
      <c r="CN433" s="769" t="s">
        <v>2260</v>
      </c>
      <c r="CO433" s="774" t="s">
        <v>2260</v>
      </c>
      <c r="CP433" s="777" t="s">
        <v>2260</v>
      </c>
      <c r="CQ433" s="769" t="s">
        <v>2260</v>
      </c>
      <c r="CR433" s="769" t="s">
        <v>2260</v>
      </c>
      <c r="CS433" s="769" t="s">
        <v>2260</v>
      </c>
      <c r="CT433" s="774" t="s">
        <v>2260</v>
      </c>
      <c r="CU433" s="1253" t="s">
        <v>2260</v>
      </c>
      <c r="CV433" s="1252" t="s">
        <v>2260</v>
      </c>
      <c r="CW433" s="1252" t="s">
        <v>2260</v>
      </c>
      <c r="CX433" s="1254" t="s">
        <v>2260</v>
      </c>
      <c r="CY433" s="1252" t="s">
        <v>2260</v>
      </c>
      <c r="CZ433" s="1252" t="s">
        <v>2260</v>
      </c>
      <c r="DA433" s="1252" t="s">
        <v>2260</v>
      </c>
      <c r="DB433" s="1254" t="s">
        <v>2260</v>
      </c>
      <c r="DC433" s="754"/>
      <c r="DD433" s="782">
        <v>1</v>
      </c>
      <c r="DE433" s="783"/>
    </row>
    <row r="434" spans="1:109" ht="15.75" hidden="1" customHeight="1">
      <c r="A434" s="741" t="s">
        <v>1171</v>
      </c>
      <c r="B434" s="742">
        <v>428</v>
      </c>
      <c r="C434" s="758" t="s">
        <v>1711</v>
      </c>
      <c r="D434" s="742" t="s">
        <v>3626</v>
      </c>
      <c r="E434" s="742" t="s">
        <v>2231</v>
      </c>
      <c r="F434" s="754" t="s">
        <v>3633</v>
      </c>
      <c r="G434" s="759" t="s">
        <v>3634</v>
      </c>
      <c r="H434" s="760" t="s">
        <v>3635</v>
      </c>
      <c r="I434" s="761"/>
      <c r="J434" s="762"/>
      <c r="K434" s="762"/>
      <c r="L434" s="762"/>
      <c r="M434" s="762">
        <v>1</v>
      </c>
      <c r="N434" s="762"/>
      <c r="O434" s="762"/>
      <c r="P434" s="763"/>
      <c r="Q434" s="764">
        <f t="shared" si="6"/>
        <v>1</v>
      </c>
      <c r="R434" s="758" t="s">
        <v>1825</v>
      </c>
      <c r="S434" s="742"/>
      <c r="T434" s="765"/>
      <c r="U434" s="742" t="s">
        <v>2396</v>
      </c>
      <c r="V434" s="742" t="s">
        <v>321</v>
      </c>
      <c r="W434" s="742" t="s">
        <v>2016</v>
      </c>
      <c r="X434" s="798">
        <v>2</v>
      </c>
      <c r="Y434" s="788" t="s">
        <v>1838</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2260</v>
      </c>
      <c r="BR434" s="769" t="s">
        <v>2260</v>
      </c>
      <c r="BS434" s="769" t="s">
        <v>2260</v>
      </c>
      <c r="BT434" s="769" t="s">
        <v>2260</v>
      </c>
      <c r="BU434" s="774" t="s">
        <v>2260</v>
      </c>
      <c r="BV434" s="775" t="s">
        <v>2260</v>
      </c>
      <c r="BW434" s="776" t="s">
        <v>2260</v>
      </c>
      <c r="BX434" s="776" t="s">
        <v>2260</v>
      </c>
      <c r="BY434" s="776" t="s">
        <v>2260</v>
      </c>
      <c r="BZ434" s="776" t="s">
        <v>2260</v>
      </c>
      <c r="CA434" s="885" t="s">
        <v>2260</v>
      </c>
      <c r="CB434" s="883" t="s">
        <v>2260</v>
      </c>
      <c r="CC434" s="883" t="s">
        <v>2260</v>
      </c>
      <c r="CD434" s="769" t="s">
        <v>2260</v>
      </c>
      <c r="CE434" s="774" t="s">
        <v>2260</v>
      </c>
      <c r="CF434" s="769" t="s">
        <v>2260</v>
      </c>
      <c r="CG434" s="769" t="s">
        <v>2260</v>
      </c>
      <c r="CH434" s="769" t="s">
        <v>2260</v>
      </c>
      <c r="CI434" s="769" t="s">
        <v>2260</v>
      </c>
      <c r="CJ434" s="774" t="s">
        <v>2260</v>
      </c>
      <c r="CK434" s="777" t="s">
        <v>2260</v>
      </c>
      <c r="CL434" s="769" t="s">
        <v>2260</v>
      </c>
      <c r="CM434" s="769" t="s">
        <v>2260</v>
      </c>
      <c r="CN434" s="769" t="s">
        <v>2260</v>
      </c>
      <c r="CO434" s="774" t="s">
        <v>2260</v>
      </c>
      <c r="CP434" s="777" t="s">
        <v>2260</v>
      </c>
      <c r="CQ434" s="769" t="s">
        <v>2260</v>
      </c>
      <c r="CR434" s="769" t="s">
        <v>2260</v>
      </c>
      <c r="CS434" s="769" t="s">
        <v>2260</v>
      </c>
      <c r="CT434" s="774" t="s">
        <v>2260</v>
      </c>
      <c r="CU434" s="1253" t="s">
        <v>2260</v>
      </c>
      <c r="CV434" s="1252" t="s">
        <v>2260</v>
      </c>
      <c r="CW434" s="1252" t="s">
        <v>2260</v>
      </c>
      <c r="CX434" s="1254" t="s">
        <v>2260</v>
      </c>
      <c r="CY434" s="1252" t="s">
        <v>2260</v>
      </c>
      <c r="CZ434" s="1252" t="s">
        <v>2260</v>
      </c>
      <c r="DA434" s="1252" t="s">
        <v>2260</v>
      </c>
      <c r="DB434" s="1254" t="s">
        <v>2260</v>
      </c>
      <c r="DC434" s="754"/>
      <c r="DD434" s="782">
        <v>1</v>
      </c>
      <c r="DE434" s="783"/>
    </row>
    <row r="435" spans="1:109" ht="15.75" hidden="1" customHeight="1">
      <c r="A435" s="741" t="s">
        <v>1171</v>
      </c>
      <c r="B435" s="742">
        <v>429</v>
      </c>
      <c r="C435" s="758" t="s">
        <v>1719</v>
      </c>
      <c r="D435" s="742" t="s">
        <v>3626</v>
      </c>
      <c r="E435" s="742" t="s">
        <v>2231</v>
      </c>
      <c r="F435" s="754" t="s">
        <v>3636</v>
      </c>
      <c r="G435" s="759" t="s">
        <v>3637</v>
      </c>
      <c r="H435" s="760" t="s">
        <v>3638</v>
      </c>
      <c r="I435" s="761"/>
      <c r="J435" s="762"/>
      <c r="K435" s="762"/>
      <c r="L435" s="762"/>
      <c r="M435" s="762">
        <v>1</v>
      </c>
      <c r="N435" s="762"/>
      <c r="O435" s="762"/>
      <c r="P435" s="763"/>
      <c r="Q435" s="764">
        <f t="shared" si="6"/>
        <v>1</v>
      </c>
      <c r="R435" s="758" t="s">
        <v>1825</v>
      </c>
      <c r="S435" s="742"/>
      <c r="T435" s="765"/>
      <c r="U435" s="742" t="s">
        <v>2396</v>
      </c>
      <c r="V435" s="742" t="s">
        <v>321</v>
      </c>
      <c r="W435" s="742" t="s">
        <v>2016</v>
      </c>
      <c r="X435" s="798">
        <v>1</v>
      </c>
      <c r="Y435" s="788" t="s">
        <v>1828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2260</v>
      </c>
      <c r="BR435" s="769" t="s">
        <v>2260</v>
      </c>
      <c r="BS435" s="769" t="s">
        <v>2260</v>
      </c>
      <c r="BT435" s="769" t="s">
        <v>2260</v>
      </c>
      <c r="BU435" s="774" t="s">
        <v>2260</v>
      </c>
      <c r="BV435" s="775" t="s">
        <v>2260</v>
      </c>
      <c r="BW435" s="776" t="s">
        <v>2260</v>
      </c>
      <c r="BX435" s="776" t="s">
        <v>2260</v>
      </c>
      <c r="BY435" s="776" t="s">
        <v>2260</v>
      </c>
      <c r="BZ435" s="776" t="s">
        <v>2260</v>
      </c>
      <c r="CA435" s="777" t="s">
        <v>2260</v>
      </c>
      <c r="CB435" s="769" t="s">
        <v>2260</v>
      </c>
      <c r="CC435" s="769" t="s">
        <v>2260</v>
      </c>
      <c r="CD435" s="769" t="s">
        <v>2260</v>
      </c>
      <c r="CE435" s="774" t="s">
        <v>2260</v>
      </c>
      <c r="CF435" s="769" t="s">
        <v>2260</v>
      </c>
      <c r="CG435" s="769" t="s">
        <v>2260</v>
      </c>
      <c r="CH435" s="769" t="s">
        <v>2260</v>
      </c>
      <c r="CI435" s="769" t="s">
        <v>2260</v>
      </c>
      <c r="CJ435" s="774" t="s">
        <v>2260</v>
      </c>
      <c r="CK435" s="777" t="s">
        <v>2260</v>
      </c>
      <c r="CL435" s="769" t="s">
        <v>2260</v>
      </c>
      <c r="CM435" s="769" t="s">
        <v>2260</v>
      </c>
      <c r="CN435" s="769" t="s">
        <v>2260</v>
      </c>
      <c r="CO435" s="774" t="s">
        <v>2260</v>
      </c>
      <c r="CP435" s="777" t="s">
        <v>2260</v>
      </c>
      <c r="CQ435" s="769" t="s">
        <v>2260</v>
      </c>
      <c r="CR435" s="769" t="s">
        <v>2260</v>
      </c>
      <c r="CS435" s="769" t="s">
        <v>2260</v>
      </c>
      <c r="CT435" s="774" t="s">
        <v>2260</v>
      </c>
      <c r="CU435" s="1253" t="s">
        <v>2260</v>
      </c>
      <c r="CV435" s="1252" t="s">
        <v>2260</v>
      </c>
      <c r="CW435" s="1252" t="s">
        <v>2260</v>
      </c>
      <c r="CX435" s="1254" t="s">
        <v>2260</v>
      </c>
      <c r="CY435" s="1252" t="s">
        <v>2260</v>
      </c>
      <c r="CZ435" s="1252" t="s">
        <v>2260</v>
      </c>
      <c r="DA435" s="1252" t="s">
        <v>2260</v>
      </c>
      <c r="DB435" s="1254" t="s">
        <v>2260</v>
      </c>
      <c r="DC435" s="754"/>
      <c r="DD435" s="782">
        <v>1</v>
      </c>
      <c r="DE435" s="783"/>
    </row>
    <row r="436" spans="1:109" ht="15.75" hidden="1" customHeight="1">
      <c r="A436" s="741" t="s">
        <v>1171</v>
      </c>
      <c r="B436" s="742">
        <v>430</v>
      </c>
      <c r="C436" s="758" t="s">
        <v>1433</v>
      </c>
      <c r="D436" s="742" t="s">
        <v>3510</v>
      </c>
      <c r="E436" s="742" t="s">
        <v>2231</v>
      </c>
      <c r="F436" s="754" t="s">
        <v>3639</v>
      </c>
      <c r="G436" s="759" t="s">
        <v>3640</v>
      </c>
      <c r="H436" s="760" t="s">
        <v>3641</v>
      </c>
      <c r="I436" s="761"/>
      <c r="J436" s="762">
        <v>1</v>
      </c>
      <c r="K436" s="762"/>
      <c r="L436" s="762"/>
      <c r="M436" s="762"/>
      <c r="N436" s="762"/>
      <c r="O436" s="762"/>
      <c r="P436" s="763"/>
      <c r="Q436" s="764">
        <f t="shared" si="6"/>
        <v>1</v>
      </c>
      <c r="R436" s="758" t="s">
        <v>1846</v>
      </c>
      <c r="S436" s="742" t="s">
        <v>1826</v>
      </c>
      <c r="T436" s="765" t="s">
        <v>1837</v>
      </c>
      <c r="U436" s="742" t="s">
        <v>2247</v>
      </c>
      <c r="V436" s="742" t="s">
        <v>1890</v>
      </c>
      <c r="W436" s="742" t="s">
        <v>3641</v>
      </c>
      <c r="X436" s="1284">
        <v>0</v>
      </c>
      <c r="Y436" s="790" t="s">
        <v>1838</v>
      </c>
      <c r="Z436" s="759"/>
      <c r="AA436" s="754"/>
      <c r="AB436" s="754"/>
      <c r="AC436" s="754"/>
      <c r="AD436" s="754"/>
      <c r="AE436" s="754"/>
      <c r="AF436" s="768"/>
      <c r="AG436" s="769"/>
      <c r="AH436" s="769"/>
      <c r="AI436" s="769"/>
      <c r="AJ436" s="769"/>
      <c r="AK436" s="769"/>
      <c r="AL436" s="769"/>
      <c r="AM436" s="769"/>
      <c r="AN436" s="769"/>
      <c r="AO436" s="769"/>
      <c r="AP436" s="769"/>
      <c r="AQ436" s="777" t="s">
        <v>1001</v>
      </c>
      <c r="AR436" s="769" t="s">
        <v>1001</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210</v>
      </c>
      <c r="BQ436" s="777" t="s">
        <v>2260</v>
      </c>
      <c r="BR436" s="769" t="s">
        <v>2260</v>
      </c>
      <c r="BS436" s="769" t="s">
        <v>2260</v>
      </c>
      <c r="BT436" s="769" t="s">
        <v>2260</v>
      </c>
      <c r="BU436" s="774" t="s">
        <v>2260</v>
      </c>
      <c r="BV436" s="775" t="s">
        <v>2260</v>
      </c>
      <c r="BW436" s="776" t="s">
        <v>2260</v>
      </c>
      <c r="BX436" s="776" t="s">
        <v>2260</v>
      </c>
      <c r="BY436" s="776" t="s">
        <v>2260</v>
      </c>
      <c r="BZ436" s="776" t="s">
        <v>2260</v>
      </c>
      <c r="CA436" s="777" t="s">
        <v>2260</v>
      </c>
      <c r="CB436" s="769" t="s">
        <v>2260</v>
      </c>
      <c r="CC436" s="769" t="s">
        <v>2260</v>
      </c>
      <c r="CD436" s="769" t="s">
        <v>2260</v>
      </c>
      <c r="CE436" s="774" t="s">
        <v>2260</v>
      </c>
      <c r="CF436" s="769" t="s">
        <v>2260</v>
      </c>
      <c r="CG436" s="769" t="s">
        <v>2260</v>
      </c>
      <c r="CH436" s="769" t="s">
        <v>2260</v>
      </c>
      <c r="CI436" s="769" t="s">
        <v>2260</v>
      </c>
      <c r="CJ436" s="774" t="s">
        <v>2260</v>
      </c>
      <c r="CK436" s="777" t="s">
        <v>2260</v>
      </c>
      <c r="CL436" s="769" t="s">
        <v>2260</v>
      </c>
      <c r="CM436" s="769" t="s">
        <v>2260</v>
      </c>
      <c r="CN436" s="769" t="s">
        <v>2260</v>
      </c>
      <c r="CO436" s="774" t="s">
        <v>2260</v>
      </c>
      <c r="CP436" s="777" t="s">
        <v>2260</v>
      </c>
      <c r="CQ436" s="769" t="s">
        <v>2260</v>
      </c>
      <c r="CR436" s="769" t="s">
        <v>2260</v>
      </c>
      <c r="CS436" s="769" t="s">
        <v>2260</v>
      </c>
      <c r="CT436" s="774" t="s">
        <v>2260</v>
      </c>
      <c r="CU436" s="1253">
        <v>-0.51900000000000002</v>
      </c>
      <c r="CV436" s="1252" t="s">
        <v>2260</v>
      </c>
      <c r="CW436" s="1252" t="s">
        <v>2260</v>
      </c>
      <c r="CX436" s="1254" t="s">
        <v>2260</v>
      </c>
      <c r="CY436" s="1252" t="s">
        <v>2260</v>
      </c>
      <c r="CZ436" s="1252" t="s">
        <v>2260</v>
      </c>
      <c r="DA436" s="1252" t="s">
        <v>2260</v>
      </c>
      <c r="DB436" s="1254" t="s">
        <v>2260</v>
      </c>
      <c r="DC436" s="754" t="s">
        <v>173</v>
      </c>
      <c r="DD436" s="782">
        <v>1</v>
      </c>
      <c r="DE436" s="783"/>
    </row>
    <row r="437" spans="1:109" ht="15.75" hidden="1" customHeight="1">
      <c r="A437" s="741" t="s">
        <v>1171</v>
      </c>
      <c r="B437" s="742">
        <v>431</v>
      </c>
      <c r="C437" s="758" t="s">
        <v>1448</v>
      </c>
      <c r="D437" s="742" t="s">
        <v>3510</v>
      </c>
      <c r="E437" s="742" t="s">
        <v>2231</v>
      </c>
      <c r="F437" s="754" t="s">
        <v>3642</v>
      </c>
      <c r="G437" s="759" t="s">
        <v>3643</v>
      </c>
      <c r="H437" s="760" t="s">
        <v>3644</v>
      </c>
      <c r="I437" s="761"/>
      <c r="J437" s="762">
        <v>1</v>
      </c>
      <c r="K437" s="762"/>
      <c r="L437" s="762"/>
      <c r="M437" s="762"/>
      <c r="N437" s="762"/>
      <c r="O437" s="762"/>
      <c r="P437" s="763"/>
      <c r="Q437" s="764">
        <f t="shared" si="6"/>
        <v>1</v>
      </c>
      <c r="R437" s="758" t="s">
        <v>1846</v>
      </c>
      <c r="S437" s="742" t="s">
        <v>1826</v>
      </c>
      <c r="T437" s="765" t="s">
        <v>1837</v>
      </c>
      <c r="U437" s="742" t="s">
        <v>2247</v>
      </c>
      <c r="V437" s="742" t="s">
        <v>1890</v>
      </c>
      <c r="W437" s="742" t="s">
        <v>3644</v>
      </c>
      <c r="X437" s="1284">
        <v>0</v>
      </c>
      <c r="Y437" s="790" t="s">
        <v>1838</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210</v>
      </c>
      <c r="BQ437" s="777" t="s">
        <v>2260</v>
      </c>
      <c r="BR437" s="769" t="s">
        <v>2260</v>
      </c>
      <c r="BS437" s="769" t="s">
        <v>2260</v>
      </c>
      <c r="BT437" s="769" t="s">
        <v>2260</v>
      </c>
      <c r="BU437" s="774" t="s">
        <v>2260</v>
      </c>
      <c r="BV437" s="775" t="s">
        <v>2260</v>
      </c>
      <c r="BW437" s="776" t="s">
        <v>2260</v>
      </c>
      <c r="BX437" s="776" t="s">
        <v>2260</v>
      </c>
      <c r="BY437" s="776" t="s">
        <v>2260</v>
      </c>
      <c r="BZ437" s="776" t="s">
        <v>2260</v>
      </c>
      <c r="CA437" s="777" t="s">
        <v>2260</v>
      </c>
      <c r="CB437" s="769" t="s">
        <v>2260</v>
      </c>
      <c r="CC437" s="769" t="s">
        <v>2260</v>
      </c>
      <c r="CD437" s="769" t="s">
        <v>2260</v>
      </c>
      <c r="CE437" s="774" t="s">
        <v>2260</v>
      </c>
      <c r="CF437" s="769" t="s">
        <v>2260</v>
      </c>
      <c r="CG437" s="769" t="s">
        <v>2260</v>
      </c>
      <c r="CH437" s="769" t="s">
        <v>2260</v>
      </c>
      <c r="CI437" s="769" t="s">
        <v>2260</v>
      </c>
      <c r="CJ437" s="774" t="s">
        <v>2260</v>
      </c>
      <c r="CK437" s="777" t="s">
        <v>2260</v>
      </c>
      <c r="CL437" s="769" t="s">
        <v>2260</v>
      </c>
      <c r="CM437" s="769" t="s">
        <v>2260</v>
      </c>
      <c r="CN437" s="769" t="s">
        <v>2260</v>
      </c>
      <c r="CO437" s="774" t="s">
        <v>2260</v>
      </c>
      <c r="CP437" s="777" t="s">
        <v>2260</v>
      </c>
      <c r="CQ437" s="769" t="s">
        <v>2260</v>
      </c>
      <c r="CR437" s="769" t="s">
        <v>2260</v>
      </c>
      <c r="CS437" s="769" t="s">
        <v>2260</v>
      </c>
      <c r="CT437" s="774" t="s">
        <v>2260</v>
      </c>
      <c r="CU437" s="1253">
        <v>-0.59</v>
      </c>
      <c r="CV437" s="1252" t="s">
        <v>2260</v>
      </c>
      <c r="CW437" s="1252" t="s">
        <v>2260</v>
      </c>
      <c r="CX437" s="1254" t="s">
        <v>2260</v>
      </c>
      <c r="CY437" s="1252" t="s">
        <v>2260</v>
      </c>
      <c r="CZ437" s="1252" t="s">
        <v>2260</v>
      </c>
      <c r="DA437" s="1252" t="s">
        <v>2260</v>
      </c>
      <c r="DB437" s="1254" t="s">
        <v>2260</v>
      </c>
      <c r="DC437" s="754" t="s">
        <v>173</v>
      </c>
      <c r="DD437" s="782">
        <v>1</v>
      </c>
      <c r="DE437" s="783"/>
    </row>
    <row r="438" spans="1:109" ht="15.75" hidden="1" customHeight="1">
      <c r="A438" s="741" t="s">
        <v>1171</v>
      </c>
      <c r="B438" s="742">
        <v>432</v>
      </c>
      <c r="C438" s="758" t="s">
        <v>1460</v>
      </c>
      <c r="D438" s="742" t="s">
        <v>2234</v>
      </c>
      <c r="E438" s="742" t="s">
        <v>2231</v>
      </c>
      <c r="F438" s="754" t="s">
        <v>3645</v>
      </c>
      <c r="G438" s="759" t="s">
        <v>3646</v>
      </c>
      <c r="H438" s="760" t="s">
        <v>3647</v>
      </c>
      <c r="I438" s="761"/>
      <c r="J438" s="762">
        <v>0.7</v>
      </c>
      <c r="K438" s="762">
        <v>0.3</v>
      </c>
      <c r="L438" s="762"/>
      <c r="M438" s="762"/>
      <c r="N438" s="762"/>
      <c r="O438" s="762"/>
      <c r="P438" s="763"/>
      <c r="Q438" s="764">
        <f t="shared" si="6"/>
        <v>1</v>
      </c>
      <c r="R438" s="758" t="s">
        <v>1846</v>
      </c>
      <c r="S438" s="742" t="s">
        <v>1826</v>
      </c>
      <c r="T438" s="765" t="s">
        <v>1827</v>
      </c>
      <c r="U438" s="742" t="s">
        <v>2234</v>
      </c>
      <c r="V438" s="742" t="s">
        <v>1890</v>
      </c>
      <c r="W438" s="742" t="s">
        <v>3647</v>
      </c>
      <c r="X438" s="1284">
        <v>0</v>
      </c>
      <c r="Y438" s="790" t="s">
        <v>1838</v>
      </c>
      <c r="Z438" s="759"/>
      <c r="AA438" s="754"/>
      <c r="AB438" s="754"/>
      <c r="AC438" s="754"/>
      <c r="AD438" s="754"/>
      <c r="AE438" s="754"/>
      <c r="AF438" s="768"/>
      <c r="AG438" s="883"/>
      <c r="AH438" s="769"/>
      <c r="AI438" s="769"/>
      <c r="AJ438" s="769"/>
      <c r="AK438" s="769"/>
      <c r="AL438" s="769"/>
      <c r="AM438" s="769"/>
      <c r="AN438" s="769"/>
      <c r="AO438" s="769"/>
      <c r="AP438" s="769"/>
      <c r="AQ438" s="777" t="s">
        <v>3648</v>
      </c>
      <c r="AR438" s="769" t="s">
        <v>3648</v>
      </c>
      <c r="AS438" s="769" t="s">
        <v>3648</v>
      </c>
      <c r="AT438" s="769" t="s">
        <v>3648</v>
      </c>
      <c r="AU438" s="774" t="s">
        <v>3648</v>
      </c>
      <c r="AV438" s="885"/>
      <c r="AW438" s="883"/>
      <c r="AX438" s="883"/>
      <c r="AY438" s="883"/>
      <c r="AZ438" s="883"/>
      <c r="BA438" s="883"/>
      <c r="BB438" s="883"/>
      <c r="BC438" s="883"/>
      <c r="BD438" s="883"/>
      <c r="BE438" s="883"/>
      <c r="BF438" s="883"/>
      <c r="BG438" s="883"/>
      <c r="BH438" s="883"/>
      <c r="BI438" s="883"/>
      <c r="BJ438" s="883"/>
      <c r="BK438" s="884"/>
      <c r="BL438" s="758" t="s">
        <v>210</v>
      </c>
      <c r="BM438" s="754" t="s">
        <v>210</v>
      </c>
      <c r="BN438" s="754" t="s">
        <v>210</v>
      </c>
      <c r="BO438" s="754" t="s">
        <v>210</v>
      </c>
      <c r="BP438" s="765" t="s">
        <v>210</v>
      </c>
      <c r="BQ438" s="777" t="s">
        <v>2260</v>
      </c>
      <c r="BR438" s="769" t="s">
        <v>2260</v>
      </c>
      <c r="BS438" s="769" t="s">
        <v>2260</v>
      </c>
      <c r="BT438" s="769" t="s">
        <v>2260</v>
      </c>
      <c r="BU438" s="774" t="s">
        <v>2260</v>
      </c>
      <c r="BV438" s="775" t="s">
        <v>2260</v>
      </c>
      <c r="BW438" s="776" t="s">
        <v>2260</v>
      </c>
      <c r="BX438" s="776" t="s">
        <v>2260</v>
      </c>
      <c r="BY438" s="776" t="s">
        <v>2260</v>
      </c>
      <c r="BZ438" s="776" t="s">
        <v>2260</v>
      </c>
      <c r="CA438" s="777" t="s">
        <v>2260</v>
      </c>
      <c r="CB438" s="769" t="s">
        <v>2260</v>
      </c>
      <c r="CC438" s="769" t="s">
        <v>2260</v>
      </c>
      <c r="CD438" s="769" t="s">
        <v>2260</v>
      </c>
      <c r="CE438" s="774" t="s">
        <v>2260</v>
      </c>
      <c r="CF438" s="769" t="s">
        <v>2260</v>
      </c>
      <c r="CG438" s="769" t="s">
        <v>2260</v>
      </c>
      <c r="CH438" s="769" t="s">
        <v>2260</v>
      </c>
      <c r="CI438" s="769" t="s">
        <v>2260</v>
      </c>
      <c r="CJ438" s="774" t="s">
        <v>2260</v>
      </c>
      <c r="CK438" s="777" t="s">
        <v>2260</v>
      </c>
      <c r="CL438" s="769" t="s">
        <v>2260</v>
      </c>
      <c r="CM438" s="769" t="s">
        <v>2260</v>
      </c>
      <c r="CN438" s="769" t="s">
        <v>2260</v>
      </c>
      <c r="CO438" s="774" t="s">
        <v>2260</v>
      </c>
      <c r="CP438" s="777" t="s">
        <v>2260</v>
      </c>
      <c r="CQ438" s="769" t="s">
        <v>2260</v>
      </c>
      <c r="CR438" s="769" t="s">
        <v>2260</v>
      </c>
      <c r="CS438" s="769" t="s">
        <v>2260</v>
      </c>
      <c r="CT438" s="774" t="s">
        <v>2260</v>
      </c>
      <c r="CU438" s="1253">
        <v>-5.14</v>
      </c>
      <c r="CV438" s="1252" t="s">
        <v>2260</v>
      </c>
      <c r="CW438" s="1252" t="s">
        <v>2260</v>
      </c>
      <c r="CX438" s="1254" t="s">
        <v>2260</v>
      </c>
      <c r="CY438" s="1252" t="s">
        <v>2260</v>
      </c>
      <c r="CZ438" s="1252" t="s">
        <v>2260</v>
      </c>
      <c r="DA438" s="1252" t="s">
        <v>2260</v>
      </c>
      <c r="DB438" s="1254" t="s">
        <v>2260</v>
      </c>
      <c r="DC438" s="754" t="s">
        <v>173</v>
      </c>
      <c r="DD438" s="782">
        <v>1</v>
      </c>
      <c r="DE438" s="783"/>
    </row>
    <row r="439" spans="1:109" ht="15.75" hidden="1" customHeight="1">
      <c r="A439" s="741" t="s">
        <v>1199</v>
      </c>
      <c r="B439" s="742">
        <v>433</v>
      </c>
      <c r="C439" s="758" t="s">
        <v>1771</v>
      </c>
      <c r="D439" s="742" t="s">
        <v>3649</v>
      </c>
      <c r="E439" s="742" t="s">
        <v>2231</v>
      </c>
      <c r="F439" s="754" t="s">
        <v>3650</v>
      </c>
      <c r="G439" s="759" t="s">
        <v>2251</v>
      </c>
      <c r="H439" s="760" t="s">
        <v>3651</v>
      </c>
      <c r="I439" s="761"/>
      <c r="J439" s="762"/>
      <c r="K439" s="762"/>
      <c r="L439" s="762"/>
      <c r="M439" s="762">
        <v>1</v>
      </c>
      <c r="N439" s="762"/>
      <c r="O439" s="762"/>
      <c r="P439" s="763"/>
      <c r="Q439" s="764">
        <f t="shared" si="6"/>
        <v>1</v>
      </c>
      <c r="R439" s="758" t="s">
        <v>1852</v>
      </c>
      <c r="S439" s="742" t="s">
        <v>1826</v>
      </c>
      <c r="T439" s="765" t="s">
        <v>1827</v>
      </c>
      <c r="U439" s="742" t="s">
        <v>1888</v>
      </c>
      <c r="V439" s="742" t="s">
        <v>1897</v>
      </c>
      <c r="W439" s="742" t="s">
        <v>3652</v>
      </c>
      <c r="X439" s="1280">
        <v>2</v>
      </c>
      <c r="Y439" s="790" t="s">
        <v>1828</v>
      </c>
      <c r="Z439" s="759" t="s">
        <v>2251</v>
      </c>
      <c r="AA439" s="754"/>
      <c r="AB439" s="754"/>
      <c r="AC439" s="754"/>
      <c r="AD439" s="754"/>
      <c r="AE439" s="754"/>
      <c r="AF439" s="768"/>
      <c r="AG439" s="769"/>
      <c r="AH439" s="769"/>
      <c r="AI439" s="769"/>
      <c r="AJ439" s="769"/>
      <c r="AK439" s="769"/>
      <c r="AL439" s="769"/>
      <c r="AM439" s="769"/>
      <c r="AN439" s="769"/>
      <c r="AO439" s="769"/>
      <c r="AP439" s="883"/>
      <c r="AQ439" s="1713"/>
      <c r="AR439" s="1714"/>
      <c r="AS439" s="1714"/>
      <c r="AT439" s="1714"/>
      <c r="AU439" s="1712"/>
      <c r="AV439" s="792"/>
      <c r="AW439" s="793"/>
      <c r="AX439" s="793"/>
      <c r="AY439" s="793"/>
      <c r="AZ439" s="793"/>
      <c r="BA439" s="793"/>
      <c r="BB439" s="793"/>
      <c r="BC439" s="793"/>
      <c r="BD439" s="886"/>
      <c r="BE439" s="793"/>
      <c r="BF439" s="769"/>
      <c r="BG439" s="769"/>
      <c r="BH439" s="769"/>
      <c r="BI439" s="769"/>
      <c r="BJ439" s="769"/>
      <c r="BK439" s="774"/>
      <c r="BL439" s="1327"/>
      <c r="BM439" s="1328"/>
      <c r="BN439" s="1328"/>
      <c r="BO439" s="1328"/>
      <c r="BP439" s="1389"/>
      <c r="BQ439" s="1369"/>
      <c r="BR439" s="1319"/>
      <c r="BS439" s="1319"/>
      <c r="BT439" s="1319"/>
      <c r="BU439" s="1320"/>
      <c r="BV439" s="1369"/>
      <c r="BW439" s="1319"/>
      <c r="BX439" s="1319"/>
      <c r="BY439" s="1319"/>
      <c r="BZ439" s="1319"/>
      <c r="CA439" s="1369"/>
      <c r="CB439" s="1319"/>
      <c r="CC439" s="1319"/>
      <c r="CD439" s="1319"/>
      <c r="CE439" s="1320"/>
      <c r="CF439" s="1319"/>
      <c r="CG439" s="1319"/>
      <c r="CH439" s="1319"/>
      <c r="CI439" s="1319"/>
      <c r="CJ439" s="1320"/>
      <c r="CK439" s="1369"/>
      <c r="CL439" s="1319"/>
      <c r="CM439" s="1319"/>
      <c r="CN439" s="1319"/>
      <c r="CO439" s="1320"/>
      <c r="CP439" s="1369"/>
      <c r="CQ439" s="1319"/>
      <c r="CR439" s="1319"/>
      <c r="CS439" s="1319"/>
      <c r="CT439" s="1320"/>
      <c r="CU439" s="1467"/>
      <c r="CV439" s="1458"/>
      <c r="CW439" s="1458"/>
      <c r="CX439" s="1663"/>
      <c r="CY439" s="1458"/>
      <c r="CZ439" s="1458"/>
      <c r="DA439" s="1458"/>
      <c r="DB439" s="1663"/>
      <c r="DC439" s="1328"/>
      <c r="DD439" s="1664"/>
      <c r="DE439" s="1669"/>
    </row>
    <row r="440" spans="1:109" ht="15.75" hidden="1" customHeight="1">
      <c r="A440" s="741" t="s">
        <v>1199</v>
      </c>
      <c r="B440" s="742">
        <v>434</v>
      </c>
      <c r="C440" s="758" t="s">
        <v>1599</v>
      </c>
      <c r="D440" s="742" t="s">
        <v>3649</v>
      </c>
      <c r="E440" s="742" t="s">
        <v>2231</v>
      </c>
      <c r="F440" s="754" t="s">
        <v>3653</v>
      </c>
      <c r="G440" s="759" t="s">
        <v>2498</v>
      </c>
      <c r="H440" s="760" t="s">
        <v>2499</v>
      </c>
      <c r="I440" s="761"/>
      <c r="J440" s="762"/>
      <c r="K440" s="762"/>
      <c r="L440" s="762"/>
      <c r="M440" s="762"/>
      <c r="N440" s="762"/>
      <c r="O440" s="762"/>
      <c r="P440" s="763"/>
      <c r="Q440" s="764">
        <f t="shared" si="6"/>
        <v>0</v>
      </c>
      <c r="R440" s="758" t="s">
        <v>1825</v>
      </c>
      <c r="S440" s="742"/>
      <c r="T440" s="765"/>
      <c r="U440" s="742"/>
      <c r="V440" s="742" t="s">
        <v>321</v>
      </c>
      <c r="W440" s="742"/>
      <c r="X440" s="1279">
        <v>0</v>
      </c>
      <c r="Y440" s="790" t="s">
        <v>1828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2260</v>
      </c>
      <c r="BR440" s="769" t="s">
        <v>2260</v>
      </c>
      <c r="BS440" s="769" t="s">
        <v>2260</v>
      </c>
      <c r="BT440" s="769" t="s">
        <v>2260</v>
      </c>
      <c r="BU440" s="774" t="s">
        <v>2260</v>
      </c>
      <c r="BV440" s="777" t="s">
        <v>2260</v>
      </c>
      <c r="BW440" s="769" t="s">
        <v>2260</v>
      </c>
      <c r="BX440" s="769" t="s">
        <v>2260</v>
      </c>
      <c r="BY440" s="769" t="s">
        <v>2260</v>
      </c>
      <c r="BZ440" s="769" t="s">
        <v>2260</v>
      </c>
      <c r="CA440" s="777" t="s">
        <v>2260</v>
      </c>
      <c r="CB440" s="769" t="s">
        <v>2260</v>
      </c>
      <c r="CC440" s="769" t="s">
        <v>2260</v>
      </c>
      <c r="CD440" s="769" t="s">
        <v>2260</v>
      </c>
      <c r="CE440" s="774" t="s">
        <v>2260</v>
      </c>
      <c r="CF440" s="769" t="s">
        <v>2260</v>
      </c>
      <c r="CG440" s="769" t="s">
        <v>2260</v>
      </c>
      <c r="CH440" s="769" t="s">
        <v>2260</v>
      </c>
      <c r="CI440" s="769" t="s">
        <v>2260</v>
      </c>
      <c r="CJ440" s="774" t="s">
        <v>2260</v>
      </c>
      <c r="CK440" s="777" t="s">
        <v>2260</v>
      </c>
      <c r="CL440" s="769" t="s">
        <v>2260</v>
      </c>
      <c r="CM440" s="769" t="s">
        <v>2260</v>
      </c>
      <c r="CN440" s="769" t="s">
        <v>2260</v>
      </c>
      <c r="CO440" s="774" t="s">
        <v>2260</v>
      </c>
      <c r="CP440" s="777" t="s">
        <v>2260</v>
      </c>
      <c r="CQ440" s="769" t="s">
        <v>2260</v>
      </c>
      <c r="CR440" s="769" t="s">
        <v>2260</v>
      </c>
      <c r="CS440" s="769" t="s">
        <v>2260</v>
      </c>
      <c r="CT440" s="774" t="s">
        <v>2260</v>
      </c>
      <c r="CU440" s="1253" t="s">
        <v>2260</v>
      </c>
      <c r="CV440" s="1252" t="s">
        <v>2260</v>
      </c>
      <c r="CW440" s="1252" t="s">
        <v>2260</v>
      </c>
      <c r="CX440" s="1254" t="s">
        <v>2260</v>
      </c>
      <c r="CY440" s="1252" t="s">
        <v>2260</v>
      </c>
      <c r="CZ440" s="1252" t="s">
        <v>2260</v>
      </c>
      <c r="DA440" s="1252" t="s">
        <v>2260</v>
      </c>
      <c r="DB440" s="1254" t="s">
        <v>2260</v>
      </c>
      <c r="DC440" s="754"/>
      <c r="DD440" s="782"/>
      <c r="DE440" s="783"/>
    </row>
    <row r="441" spans="1:109" ht="15.75" hidden="1" customHeight="1">
      <c r="A441" s="741" t="s">
        <v>1199</v>
      </c>
      <c r="B441" s="742">
        <v>435</v>
      </c>
      <c r="C441" s="758" t="s">
        <v>1788</v>
      </c>
      <c r="D441" s="742" t="s">
        <v>3649</v>
      </c>
      <c r="E441" s="742" t="s">
        <v>2231</v>
      </c>
      <c r="F441" s="754" t="s">
        <v>3654</v>
      </c>
      <c r="G441" s="759" t="s">
        <v>2254</v>
      </c>
      <c r="H441" s="760" t="s">
        <v>3655</v>
      </c>
      <c r="I441" s="761"/>
      <c r="J441" s="762">
        <v>0.56000000000000005</v>
      </c>
      <c r="K441" s="762">
        <v>0.44</v>
      </c>
      <c r="L441" s="762"/>
      <c r="M441" s="762"/>
      <c r="N441" s="762"/>
      <c r="O441" s="762"/>
      <c r="P441" s="763"/>
      <c r="Q441" s="764">
        <f t="shared" si="6"/>
        <v>1</v>
      </c>
      <c r="R441" s="758" t="s">
        <v>1852</v>
      </c>
      <c r="S441" s="742" t="s">
        <v>1826</v>
      </c>
      <c r="T441" s="765" t="s">
        <v>1827</v>
      </c>
      <c r="U441" s="742" t="s">
        <v>1891</v>
      </c>
      <c r="V441" s="742" t="s">
        <v>1897</v>
      </c>
      <c r="W441" s="742" t="s">
        <v>3656</v>
      </c>
      <c r="X441" s="1280">
        <v>2</v>
      </c>
      <c r="Y441" s="790" t="s">
        <v>1828</v>
      </c>
      <c r="Z441" s="759" t="s">
        <v>2254</v>
      </c>
      <c r="AA441" s="754"/>
      <c r="AB441" s="754"/>
      <c r="AC441" s="754"/>
      <c r="AD441" s="754"/>
      <c r="AE441" s="754"/>
      <c r="AF441" s="768"/>
      <c r="AG441" s="769"/>
      <c r="AH441" s="769"/>
      <c r="AI441" s="769"/>
      <c r="AJ441" s="769"/>
      <c r="AK441" s="769"/>
      <c r="AL441" s="769"/>
      <c r="AM441" s="769"/>
      <c r="AN441" s="769"/>
      <c r="AO441" s="769"/>
      <c r="AP441" s="769"/>
      <c r="AQ441" s="1369"/>
      <c r="AR441" s="1319"/>
      <c r="AS441" s="1319"/>
      <c r="AT441" s="1319"/>
      <c r="AU441" s="1320"/>
      <c r="AV441" s="777"/>
      <c r="AW441" s="769"/>
      <c r="AX441" s="769"/>
      <c r="AY441" s="769"/>
      <c r="AZ441" s="769"/>
      <c r="BA441" s="769"/>
      <c r="BB441" s="769"/>
      <c r="BC441" s="769"/>
      <c r="BD441" s="769"/>
      <c r="BE441" s="769"/>
      <c r="BF441" s="769"/>
      <c r="BG441" s="769"/>
      <c r="BH441" s="769"/>
      <c r="BI441" s="769"/>
      <c r="BJ441" s="769"/>
      <c r="BK441" s="774"/>
      <c r="BL441" s="1327"/>
      <c r="BM441" s="1328"/>
      <c r="BN441" s="1328"/>
      <c r="BO441" s="1328"/>
      <c r="BP441" s="1389"/>
      <c r="BQ441" s="1369"/>
      <c r="BR441" s="1319"/>
      <c r="BS441" s="1319"/>
      <c r="BT441" s="1319"/>
      <c r="BU441" s="1320"/>
      <c r="BV441" s="1369"/>
      <c r="BW441" s="1319"/>
      <c r="BX441" s="1319"/>
      <c r="BY441" s="1319"/>
      <c r="BZ441" s="1319"/>
      <c r="CA441" s="1369"/>
      <c r="CB441" s="1319"/>
      <c r="CC441" s="1319"/>
      <c r="CD441" s="1319"/>
      <c r="CE441" s="1320"/>
      <c r="CF441" s="1319"/>
      <c r="CG441" s="1319"/>
      <c r="CH441" s="1319"/>
      <c r="CI441" s="1319"/>
      <c r="CJ441" s="1320"/>
      <c r="CK441" s="1369"/>
      <c r="CL441" s="1319"/>
      <c r="CM441" s="1319"/>
      <c r="CN441" s="1319"/>
      <c r="CO441" s="1320"/>
      <c r="CP441" s="1369"/>
      <c r="CQ441" s="1319"/>
      <c r="CR441" s="1319"/>
      <c r="CS441" s="1319"/>
      <c r="CT441" s="1320"/>
      <c r="CU441" s="1467"/>
      <c r="CV441" s="1458"/>
      <c r="CW441" s="1458"/>
      <c r="CX441" s="1663"/>
      <c r="CY441" s="1458"/>
      <c r="CZ441" s="1458"/>
      <c r="DA441" s="1458"/>
      <c r="DB441" s="1663"/>
      <c r="DC441" s="1328"/>
      <c r="DD441" s="1664"/>
      <c r="DE441" s="1669"/>
    </row>
    <row r="442" spans="1:109" ht="15.75" hidden="1" customHeight="1">
      <c r="A442" s="741" t="s">
        <v>1199</v>
      </c>
      <c r="B442" s="742">
        <v>436</v>
      </c>
      <c r="C442" s="758" t="s">
        <v>1616</v>
      </c>
      <c r="D442" s="742" t="s">
        <v>3649</v>
      </c>
      <c r="E442" s="742" t="s">
        <v>2231</v>
      </c>
      <c r="F442" s="754" t="s">
        <v>3657</v>
      </c>
      <c r="G442" s="759" t="s">
        <v>3658</v>
      </c>
      <c r="H442" s="760" t="s">
        <v>3659</v>
      </c>
      <c r="I442" s="761">
        <v>0.11</v>
      </c>
      <c r="J442" s="762">
        <v>0.89</v>
      </c>
      <c r="K442" s="762"/>
      <c r="L442" s="762"/>
      <c r="M442" s="762"/>
      <c r="N442" s="762"/>
      <c r="O442" s="762"/>
      <c r="P442" s="763"/>
      <c r="Q442" s="764">
        <f t="shared" si="6"/>
        <v>1</v>
      </c>
      <c r="R442" s="758" t="s">
        <v>1825</v>
      </c>
      <c r="S442" s="742"/>
      <c r="T442" s="765"/>
      <c r="U442" s="742" t="s">
        <v>2610</v>
      </c>
      <c r="V442" s="742" t="s">
        <v>1857</v>
      </c>
      <c r="W442" s="742" t="s">
        <v>3660</v>
      </c>
      <c r="X442" s="1279">
        <v>0</v>
      </c>
      <c r="Y442" s="790" t="s">
        <v>1828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2260</v>
      </c>
      <c r="BR442" s="769" t="s">
        <v>2260</v>
      </c>
      <c r="BS442" s="769" t="s">
        <v>2260</v>
      </c>
      <c r="BT442" s="769" t="s">
        <v>2260</v>
      </c>
      <c r="BU442" s="774" t="s">
        <v>2260</v>
      </c>
      <c r="BV442" s="777" t="s">
        <v>2260</v>
      </c>
      <c r="BW442" s="769" t="s">
        <v>2260</v>
      </c>
      <c r="BX442" s="769" t="s">
        <v>2260</v>
      </c>
      <c r="BY442" s="769" t="s">
        <v>2260</v>
      </c>
      <c r="BZ442" s="769" t="s">
        <v>2260</v>
      </c>
      <c r="CA442" s="777" t="s">
        <v>2260</v>
      </c>
      <c r="CB442" s="769" t="s">
        <v>2260</v>
      </c>
      <c r="CC442" s="769" t="s">
        <v>2260</v>
      </c>
      <c r="CD442" s="769" t="s">
        <v>2260</v>
      </c>
      <c r="CE442" s="774" t="s">
        <v>2260</v>
      </c>
      <c r="CF442" s="769" t="s">
        <v>2260</v>
      </c>
      <c r="CG442" s="769" t="s">
        <v>2260</v>
      </c>
      <c r="CH442" s="769" t="s">
        <v>2260</v>
      </c>
      <c r="CI442" s="769" t="s">
        <v>2260</v>
      </c>
      <c r="CJ442" s="774" t="s">
        <v>2260</v>
      </c>
      <c r="CK442" s="777" t="s">
        <v>2260</v>
      </c>
      <c r="CL442" s="769" t="s">
        <v>2260</v>
      </c>
      <c r="CM442" s="769" t="s">
        <v>2260</v>
      </c>
      <c r="CN442" s="769" t="s">
        <v>2260</v>
      </c>
      <c r="CO442" s="774" t="s">
        <v>2260</v>
      </c>
      <c r="CP442" s="777" t="s">
        <v>2260</v>
      </c>
      <c r="CQ442" s="769" t="s">
        <v>2260</v>
      </c>
      <c r="CR442" s="769" t="s">
        <v>2260</v>
      </c>
      <c r="CS442" s="769" t="s">
        <v>2260</v>
      </c>
      <c r="CT442" s="774" t="s">
        <v>2260</v>
      </c>
      <c r="CU442" s="1253" t="s">
        <v>2260</v>
      </c>
      <c r="CV442" s="1252" t="s">
        <v>2260</v>
      </c>
      <c r="CW442" s="1252" t="s">
        <v>2260</v>
      </c>
      <c r="CX442" s="1254" t="s">
        <v>2260</v>
      </c>
      <c r="CY442" s="1252" t="s">
        <v>2260</v>
      </c>
      <c r="CZ442" s="1252" t="s">
        <v>2260</v>
      </c>
      <c r="DA442" s="1252" t="s">
        <v>2260</v>
      </c>
      <c r="DB442" s="1254" t="s">
        <v>2260</v>
      </c>
      <c r="DC442" s="754"/>
      <c r="DD442" s="782">
        <v>1</v>
      </c>
      <c r="DE442" s="783"/>
    </row>
    <row r="443" spans="1:109" ht="15.75" hidden="1" customHeight="1">
      <c r="A443" s="741" t="s">
        <v>1199</v>
      </c>
      <c r="B443" s="742">
        <v>437</v>
      </c>
      <c r="C443" s="758" t="s">
        <v>1256</v>
      </c>
      <c r="D443" s="742" t="s">
        <v>3661</v>
      </c>
      <c r="E443" s="742" t="s">
        <v>2217</v>
      </c>
      <c r="F443" s="754" t="s">
        <v>3662</v>
      </c>
      <c r="G443" s="759" t="s">
        <v>203</v>
      </c>
      <c r="H443" s="760" t="s">
        <v>3663</v>
      </c>
      <c r="I443" s="761"/>
      <c r="J443" s="762">
        <v>1</v>
      </c>
      <c r="K443" s="762"/>
      <c r="L443" s="762"/>
      <c r="M443" s="762"/>
      <c r="N443" s="762"/>
      <c r="O443" s="762"/>
      <c r="P443" s="763"/>
      <c r="Q443" s="764">
        <f t="shared" si="6"/>
        <v>1</v>
      </c>
      <c r="R443" s="758" t="s">
        <v>1852</v>
      </c>
      <c r="S443" s="742" t="s">
        <v>1826</v>
      </c>
      <c r="T443" s="765" t="s">
        <v>1827</v>
      </c>
      <c r="U443" s="742" t="s">
        <v>2363</v>
      </c>
      <c r="V443" s="742" t="s">
        <v>1857</v>
      </c>
      <c r="W443" s="742" t="s">
        <v>3664</v>
      </c>
      <c r="X443" s="1280">
        <v>1</v>
      </c>
      <c r="Y443" s="790" t="s">
        <v>1838</v>
      </c>
      <c r="Z443" s="759" t="s">
        <v>203</v>
      </c>
      <c r="AA443" s="754"/>
      <c r="AB443" s="754"/>
      <c r="AC443" s="754"/>
      <c r="AD443" s="754"/>
      <c r="AE443" s="754"/>
      <c r="AF443" s="768"/>
      <c r="AG443" s="769"/>
      <c r="AH443" s="769"/>
      <c r="AI443" s="769"/>
      <c r="AJ443" s="769"/>
      <c r="AK443" s="769"/>
      <c r="AL443" s="883"/>
      <c r="AM443" s="883"/>
      <c r="AN443" s="883"/>
      <c r="AO443" s="883"/>
      <c r="AP443" s="883"/>
      <c r="AQ443" s="1370"/>
      <c r="AR443" s="1324"/>
      <c r="AS443" s="1324"/>
      <c r="AT443" s="1324"/>
      <c r="AU443" s="1715"/>
      <c r="AV443" s="777"/>
      <c r="AW443" s="769"/>
      <c r="AX443" s="769"/>
      <c r="AY443" s="769"/>
      <c r="AZ443" s="883"/>
      <c r="BA443" s="769"/>
      <c r="BB443" s="769"/>
      <c r="BC443" s="769"/>
      <c r="BD443" s="769"/>
      <c r="BE443" s="883"/>
      <c r="BF443" s="769"/>
      <c r="BG443" s="769"/>
      <c r="BH443" s="769"/>
      <c r="BI443" s="769"/>
      <c r="BJ443" s="883"/>
      <c r="BK443" s="884"/>
      <c r="BL443" s="1327"/>
      <c r="BM443" s="1328"/>
      <c r="BN443" s="1328"/>
      <c r="BO443" s="1328"/>
      <c r="BP443" s="1389"/>
      <c r="BQ443" s="1369"/>
      <c r="BR443" s="1319"/>
      <c r="BS443" s="1319"/>
      <c r="BT443" s="1319"/>
      <c r="BU443" s="1320"/>
      <c r="BV443" s="1370"/>
      <c r="BW443" s="1324"/>
      <c r="BX443" s="1324"/>
      <c r="BY443" s="1324"/>
      <c r="BZ443" s="1324"/>
      <c r="CA443" s="1369"/>
      <c r="CB443" s="1319"/>
      <c r="CC443" s="1319"/>
      <c r="CD443" s="1319"/>
      <c r="CE443" s="1320"/>
      <c r="CF443" s="1319"/>
      <c r="CG443" s="1319"/>
      <c r="CH443" s="1319"/>
      <c r="CI443" s="1319"/>
      <c r="CJ443" s="1320"/>
      <c r="CK443" s="1369"/>
      <c r="CL443" s="1319"/>
      <c r="CM443" s="1319"/>
      <c r="CN443" s="1319"/>
      <c r="CO443" s="1320"/>
      <c r="CP443" s="1369"/>
      <c r="CQ443" s="1319"/>
      <c r="CR443" s="1319"/>
      <c r="CS443" s="1319"/>
      <c r="CT443" s="1320"/>
      <c r="CU443" s="1467"/>
      <c r="CV443" s="1458"/>
      <c r="CW443" s="1458"/>
      <c r="CX443" s="1663"/>
      <c r="CY443" s="1458"/>
      <c r="CZ443" s="1458"/>
      <c r="DA443" s="1458"/>
      <c r="DB443" s="1663"/>
      <c r="DC443" s="1328"/>
      <c r="DD443" s="1664"/>
      <c r="DE443" s="1669"/>
    </row>
    <row r="444" spans="1:109" ht="15.75" hidden="1" customHeight="1">
      <c r="A444" s="741" t="s">
        <v>1199</v>
      </c>
      <c r="B444" s="742">
        <v>438</v>
      </c>
      <c r="C444" s="758" t="s">
        <v>1257</v>
      </c>
      <c r="D444" s="742" t="s">
        <v>3661</v>
      </c>
      <c r="E444" s="742" t="s">
        <v>2231</v>
      </c>
      <c r="F444" s="754" t="s">
        <v>3665</v>
      </c>
      <c r="G444" s="759" t="s">
        <v>209</v>
      </c>
      <c r="H444" s="760" t="s">
        <v>3666</v>
      </c>
      <c r="I444" s="761">
        <v>0.11</v>
      </c>
      <c r="J444" s="762">
        <v>0.89</v>
      </c>
      <c r="K444" s="762"/>
      <c r="L444" s="762"/>
      <c r="M444" s="762"/>
      <c r="N444" s="762"/>
      <c r="O444" s="762"/>
      <c r="P444" s="763"/>
      <c r="Q444" s="764">
        <f t="shared" si="6"/>
        <v>1</v>
      </c>
      <c r="R444" s="758" t="s">
        <v>1846</v>
      </c>
      <c r="S444" s="742" t="s">
        <v>1826</v>
      </c>
      <c r="T444" s="765" t="s">
        <v>1827</v>
      </c>
      <c r="U444" s="742" t="s">
        <v>2238</v>
      </c>
      <c r="V444" s="742" t="s">
        <v>321</v>
      </c>
      <c r="W444" s="742" t="s">
        <v>2016</v>
      </c>
      <c r="X444" s="1280">
        <v>2</v>
      </c>
      <c r="Y444" s="790" t="s">
        <v>1838</v>
      </c>
      <c r="Z444" s="759" t="s">
        <v>209</v>
      </c>
      <c r="AA444" s="754"/>
      <c r="AB444" s="754"/>
      <c r="AC444" s="754"/>
      <c r="AD444" s="754"/>
      <c r="AE444" s="754"/>
      <c r="AF444" s="768"/>
      <c r="AG444" s="769"/>
      <c r="AH444" s="769"/>
      <c r="AI444" s="769"/>
      <c r="AJ444" s="769"/>
      <c r="AK444" s="769"/>
      <c r="AL444" s="769"/>
      <c r="AM444" s="769"/>
      <c r="AN444" s="769"/>
      <c r="AO444" s="769"/>
      <c r="AP444" s="883"/>
      <c r="AQ444" s="1370"/>
      <c r="AR444" s="1324"/>
      <c r="AS444" s="1324"/>
      <c r="AT444" s="1324"/>
      <c r="AU444" s="1325"/>
      <c r="AV444" s="777"/>
      <c r="AW444" s="769"/>
      <c r="AX444" s="883"/>
      <c r="AY444" s="769"/>
      <c r="AZ444" s="769"/>
      <c r="BA444" s="883"/>
      <c r="BB444" s="883"/>
      <c r="BC444" s="883"/>
      <c r="BD444" s="883"/>
      <c r="BE444" s="883"/>
      <c r="BF444" s="769"/>
      <c r="BG444" s="769"/>
      <c r="BH444" s="769"/>
      <c r="BI444" s="769"/>
      <c r="BJ444" s="769"/>
      <c r="BK444" s="774"/>
      <c r="BL444" s="1327"/>
      <c r="BM444" s="1328"/>
      <c r="BN444" s="1328"/>
      <c r="BO444" s="1328"/>
      <c r="BP444" s="1389"/>
      <c r="BQ444" s="1369"/>
      <c r="BR444" s="1319"/>
      <c r="BS444" s="1319"/>
      <c r="BT444" s="1319"/>
      <c r="BU444" s="1320"/>
      <c r="BV444" s="1370"/>
      <c r="BW444" s="1324"/>
      <c r="BX444" s="1324"/>
      <c r="BY444" s="1324"/>
      <c r="BZ444" s="1324"/>
      <c r="CA444" s="1369"/>
      <c r="CB444" s="1319"/>
      <c r="CC444" s="1319"/>
      <c r="CD444" s="1319"/>
      <c r="CE444" s="1320"/>
      <c r="CF444" s="1319"/>
      <c r="CG444" s="1319"/>
      <c r="CH444" s="1319"/>
      <c r="CI444" s="1319"/>
      <c r="CJ444" s="1320"/>
      <c r="CK444" s="1369"/>
      <c r="CL444" s="1319"/>
      <c r="CM444" s="1319"/>
      <c r="CN444" s="1319"/>
      <c r="CO444" s="1320"/>
      <c r="CP444" s="1369"/>
      <c r="CQ444" s="1319"/>
      <c r="CR444" s="1319"/>
      <c r="CS444" s="1319"/>
      <c r="CT444" s="1320"/>
      <c r="CU444" s="1467"/>
      <c r="CV444" s="1458"/>
      <c r="CW444" s="1458"/>
      <c r="CX444" s="1663"/>
      <c r="CY444" s="1458"/>
      <c r="CZ444" s="1458"/>
      <c r="DA444" s="1458"/>
      <c r="DB444" s="1663"/>
      <c r="DC444" s="1328"/>
      <c r="DD444" s="1664"/>
      <c r="DE444" s="1669"/>
    </row>
    <row r="445" spans="1:109" ht="15.75" hidden="1" customHeight="1">
      <c r="A445" s="741" t="s">
        <v>1199</v>
      </c>
      <c r="B445" s="742">
        <v>439</v>
      </c>
      <c r="C445" s="758" t="s">
        <v>1253</v>
      </c>
      <c r="D445" s="742" t="s">
        <v>3661</v>
      </c>
      <c r="E445" s="742" t="s">
        <v>2217</v>
      </c>
      <c r="F445" s="754" t="s">
        <v>3667</v>
      </c>
      <c r="G445" s="759" t="s">
        <v>179</v>
      </c>
      <c r="H445" s="760" t="s">
        <v>3668</v>
      </c>
      <c r="I445" s="761"/>
      <c r="J445" s="762">
        <v>1</v>
      </c>
      <c r="K445" s="762"/>
      <c r="L445" s="762"/>
      <c r="M445" s="762"/>
      <c r="N445" s="762"/>
      <c r="O445" s="762"/>
      <c r="P445" s="763"/>
      <c r="Q445" s="764">
        <f t="shared" si="6"/>
        <v>1</v>
      </c>
      <c r="R445" s="758" t="s">
        <v>1852</v>
      </c>
      <c r="S445" s="742" t="s">
        <v>1826</v>
      </c>
      <c r="T445" s="765" t="s">
        <v>1827</v>
      </c>
      <c r="U445" s="742" t="s">
        <v>2220</v>
      </c>
      <c r="V445" s="742" t="s">
        <v>1851</v>
      </c>
      <c r="W445" s="742" t="s">
        <v>3669</v>
      </c>
      <c r="X445" s="1280">
        <v>0</v>
      </c>
      <c r="Y445" s="788" t="s">
        <v>1838</v>
      </c>
      <c r="Z445" s="759" t="s">
        <v>179</v>
      </c>
      <c r="AA445" s="754"/>
      <c r="AB445" s="754"/>
      <c r="AC445" s="754"/>
      <c r="AD445" s="754"/>
      <c r="AE445" s="754"/>
      <c r="AF445" s="768"/>
      <c r="AG445" s="769"/>
      <c r="AH445" s="769"/>
      <c r="AI445" s="769"/>
      <c r="AJ445" s="769"/>
      <c r="AK445" s="769"/>
      <c r="AL445" s="769"/>
      <c r="AM445" s="814"/>
      <c r="AN445" s="814"/>
      <c r="AO445" s="814"/>
      <c r="AP445" s="814"/>
      <c r="AQ445" s="1321"/>
      <c r="AR445" s="1322"/>
      <c r="AS445" s="1322"/>
      <c r="AT445" s="1322"/>
      <c r="AU445" s="1323"/>
      <c r="AV445" s="815"/>
      <c r="AW445" s="814"/>
      <c r="AX445" s="814"/>
      <c r="AY445" s="814"/>
      <c r="AZ445" s="814"/>
      <c r="BA445" s="814"/>
      <c r="BB445" s="814"/>
      <c r="BC445" s="814"/>
      <c r="BD445" s="814"/>
      <c r="BE445" s="890"/>
      <c r="BF445" s="814"/>
      <c r="BG445" s="814"/>
      <c r="BH445" s="814"/>
      <c r="BI445" s="814"/>
      <c r="BJ445" s="814"/>
      <c r="BK445" s="891"/>
      <c r="BL445" s="1327"/>
      <c r="BM445" s="1328"/>
      <c r="BN445" s="1328"/>
      <c r="BO445" s="1328"/>
      <c r="BP445" s="1389"/>
      <c r="BQ445" s="1369"/>
      <c r="BR445" s="1319"/>
      <c r="BS445" s="1319"/>
      <c r="BT445" s="1319"/>
      <c r="BU445" s="1320"/>
      <c r="BV445" s="1321"/>
      <c r="BW445" s="1322"/>
      <c r="BX445" s="1322"/>
      <c r="BY445" s="1322"/>
      <c r="BZ445" s="1322"/>
      <c r="CA445" s="1321"/>
      <c r="CB445" s="1322"/>
      <c r="CC445" s="1322"/>
      <c r="CD445" s="1322"/>
      <c r="CE445" s="1323"/>
      <c r="CF445" s="1322"/>
      <c r="CG445" s="1322"/>
      <c r="CH445" s="1322"/>
      <c r="CI445" s="1322"/>
      <c r="CJ445" s="1323"/>
      <c r="CK445" s="1321"/>
      <c r="CL445" s="1322"/>
      <c r="CM445" s="1322"/>
      <c r="CN445" s="1322"/>
      <c r="CO445" s="1323"/>
      <c r="CP445" s="1369"/>
      <c r="CQ445" s="1319"/>
      <c r="CR445" s="1319"/>
      <c r="CS445" s="1319"/>
      <c r="CT445" s="1320"/>
      <c r="CU445" s="1467"/>
      <c r="CV445" s="1458"/>
      <c r="CW445" s="1458"/>
      <c r="CX445" s="1663"/>
      <c r="CY445" s="1458"/>
      <c r="CZ445" s="1458"/>
      <c r="DA445" s="1458"/>
      <c r="DB445" s="1663"/>
      <c r="DC445" s="1328"/>
      <c r="DD445" s="1664"/>
      <c r="DE445" s="1669"/>
    </row>
    <row r="446" spans="1:109" ht="15.75" hidden="1" customHeight="1">
      <c r="A446" s="741" t="s">
        <v>1199</v>
      </c>
      <c r="B446" s="742">
        <v>440</v>
      </c>
      <c r="C446" s="758" t="s">
        <v>1272</v>
      </c>
      <c r="D446" s="742" t="s">
        <v>3661</v>
      </c>
      <c r="E446" s="742" t="s">
        <v>2217</v>
      </c>
      <c r="F446" s="754" t="s">
        <v>3670</v>
      </c>
      <c r="G446" s="759" t="s">
        <v>705</v>
      </c>
      <c r="H446" s="760" t="s">
        <v>3671</v>
      </c>
      <c r="I446" s="761"/>
      <c r="J446" s="762">
        <v>1</v>
      </c>
      <c r="K446" s="762"/>
      <c r="L446" s="762"/>
      <c r="M446" s="762"/>
      <c r="N446" s="762"/>
      <c r="O446" s="762"/>
      <c r="P446" s="763"/>
      <c r="Q446" s="764">
        <f t="shared" si="6"/>
        <v>1</v>
      </c>
      <c r="R446" s="758" t="s">
        <v>1852</v>
      </c>
      <c r="S446" s="742" t="s">
        <v>1826</v>
      </c>
      <c r="T446" s="765" t="s">
        <v>1827</v>
      </c>
      <c r="U446" s="742" t="s">
        <v>705</v>
      </c>
      <c r="V446" s="742" t="s">
        <v>1857</v>
      </c>
      <c r="W446" s="742" t="s">
        <v>3672</v>
      </c>
      <c r="X446" s="1280">
        <v>1</v>
      </c>
      <c r="Y446" s="788" t="s">
        <v>1838</v>
      </c>
      <c r="Z446" s="759" t="s">
        <v>705</v>
      </c>
      <c r="AA446" s="754"/>
      <c r="AB446" s="754"/>
      <c r="AC446" s="754"/>
      <c r="AD446" s="754"/>
      <c r="AE446" s="754"/>
      <c r="AF446" s="768"/>
      <c r="AG446" s="769"/>
      <c r="AH446" s="769"/>
      <c r="AI446" s="769"/>
      <c r="AJ446" s="769"/>
      <c r="AK446" s="769"/>
      <c r="AL446" s="769"/>
      <c r="AM446" s="769"/>
      <c r="AN446" s="883"/>
      <c r="AO446" s="769"/>
      <c r="AP446" s="776"/>
      <c r="AQ446" s="1370"/>
      <c r="AR446" s="1324"/>
      <c r="AS446" s="1324"/>
      <c r="AT446" s="1324"/>
      <c r="AU446" s="1325"/>
      <c r="AV446" s="777"/>
      <c r="AW446" s="769"/>
      <c r="AX446" s="769"/>
      <c r="AY446" s="769"/>
      <c r="AZ446" s="769"/>
      <c r="BA446" s="769"/>
      <c r="BB446" s="769"/>
      <c r="BC446" s="769"/>
      <c r="BD446" s="769"/>
      <c r="BE446" s="769"/>
      <c r="BF446" s="769"/>
      <c r="BG446" s="769"/>
      <c r="BH446" s="769"/>
      <c r="BI446" s="769"/>
      <c r="BJ446" s="769"/>
      <c r="BK446" s="774"/>
      <c r="BL446" s="1327"/>
      <c r="BM446" s="1328"/>
      <c r="BN446" s="1328"/>
      <c r="BO446" s="1328"/>
      <c r="BP446" s="1389"/>
      <c r="BQ446" s="1369"/>
      <c r="BR446" s="1319"/>
      <c r="BS446" s="1319"/>
      <c r="BT446" s="1319"/>
      <c r="BU446" s="1320"/>
      <c r="BV446" s="1370"/>
      <c r="BW446" s="1324"/>
      <c r="BX446" s="1324"/>
      <c r="BY446" s="1324"/>
      <c r="BZ446" s="1324"/>
      <c r="CA446" s="1369"/>
      <c r="CB446" s="1319"/>
      <c r="CC446" s="1319"/>
      <c r="CD446" s="1319"/>
      <c r="CE446" s="1320"/>
      <c r="CF446" s="1319"/>
      <c r="CG446" s="1319"/>
      <c r="CH446" s="1319"/>
      <c r="CI446" s="1319"/>
      <c r="CJ446" s="1320"/>
      <c r="CK446" s="1660"/>
      <c r="CL446" s="1661"/>
      <c r="CM446" s="1661"/>
      <c r="CN446" s="1661"/>
      <c r="CO446" s="1662"/>
      <c r="CP446" s="1369"/>
      <c r="CQ446" s="1319"/>
      <c r="CR446" s="1319"/>
      <c r="CS446" s="1319"/>
      <c r="CT446" s="1320"/>
      <c r="CU446" s="1467"/>
      <c r="CV446" s="1458"/>
      <c r="CW446" s="1458"/>
      <c r="CX446" s="1663"/>
      <c r="CY446" s="1458"/>
      <c r="CZ446" s="1458"/>
      <c r="DA446" s="1458"/>
      <c r="DB446" s="1663"/>
      <c r="DC446" s="1328"/>
      <c r="DD446" s="1664"/>
      <c r="DE446" s="1669"/>
    </row>
    <row r="447" spans="1:109" ht="15.75" hidden="1" customHeight="1">
      <c r="A447" s="741" t="s">
        <v>1199</v>
      </c>
      <c r="B447" s="742">
        <v>441</v>
      </c>
      <c r="C447" s="758" t="s">
        <v>1264</v>
      </c>
      <c r="D447" s="742" t="s">
        <v>3661</v>
      </c>
      <c r="E447" s="742" t="s">
        <v>2231</v>
      </c>
      <c r="F447" s="754" t="s">
        <v>3673</v>
      </c>
      <c r="G447" s="759" t="s">
        <v>1084</v>
      </c>
      <c r="H447" s="760" t="s">
        <v>3674</v>
      </c>
      <c r="I447" s="761"/>
      <c r="J447" s="762">
        <v>1</v>
      </c>
      <c r="K447" s="762"/>
      <c r="L447" s="762"/>
      <c r="M447" s="762"/>
      <c r="N447" s="762"/>
      <c r="O447" s="762"/>
      <c r="P447" s="763"/>
      <c r="Q447" s="764">
        <f t="shared" si="6"/>
        <v>1</v>
      </c>
      <c r="R447" s="758" t="s">
        <v>1852</v>
      </c>
      <c r="S447" s="742" t="s">
        <v>1826</v>
      </c>
      <c r="T447" s="1389" t="s">
        <v>1837</v>
      </c>
      <c r="U447" s="742" t="s">
        <v>2348</v>
      </c>
      <c r="V447" s="742" t="s">
        <v>1857</v>
      </c>
      <c r="W447" s="742" t="s">
        <v>3675</v>
      </c>
      <c r="X447" s="1280">
        <v>1</v>
      </c>
      <c r="Y447" s="795" t="s">
        <v>1838</v>
      </c>
      <c r="Z447" s="759" t="s">
        <v>1084</v>
      </c>
      <c r="AA447" s="754"/>
      <c r="AB447" s="754"/>
      <c r="AC447" s="754"/>
      <c r="AD447" s="754"/>
      <c r="AE447" s="754"/>
      <c r="AF447" s="768"/>
      <c r="AG447" s="769"/>
      <c r="AH447" s="769"/>
      <c r="AI447" s="769"/>
      <c r="AJ447" s="769"/>
      <c r="AK447" s="769"/>
      <c r="AL447" s="769"/>
      <c r="AM447" s="769"/>
      <c r="AN447" s="883"/>
      <c r="AO447" s="883"/>
      <c r="AP447" s="883"/>
      <c r="AQ447" s="1369"/>
      <c r="AR447" s="1319"/>
      <c r="AS447" s="1319"/>
      <c r="AT447" s="1319"/>
      <c r="AU447" s="1320"/>
      <c r="AV447" s="777"/>
      <c r="AW447" s="769"/>
      <c r="AX447" s="769"/>
      <c r="AY447" s="769"/>
      <c r="AZ447" s="769"/>
      <c r="BA447" s="769"/>
      <c r="BB447" s="769"/>
      <c r="BC447" s="769"/>
      <c r="BD447" s="769"/>
      <c r="BE447" s="769"/>
      <c r="BF447" s="769"/>
      <c r="BG447" s="769"/>
      <c r="BH447" s="769"/>
      <c r="BI447" s="769"/>
      <c r="BJ447" s="769"/>
      <c r="BK447" s="774"/>
      <c r="BL447" s="1327"/>
      <c r="BM447" s="1328"/>
      <c r="BN447" s="1328"/>
      <c r="BO447" s="1328"/>
      <c r="BP447" s="1389"/>
      <c r="BQ447" s="1369"/>
      <c r="BR447" s="1319"/>
      <c r="BS447" s="1319"/>
      <c r="BT447" s="1319"/>
      <c r="BU447" s="1320"/>
      <c r="BV447" s="1370"/>
      <c r="BW447" s="1324"/>
      <c r="BX447" s="1324"/>
      <c r="BY447" s="1324"/>
      <c r="BZ447" s="1324"/>
      <c r="CA447" s="1369"/>
      <c r="CB447" s="1319"/>
      <c r="CC447" s="1319"/>
      <c r="CD447" s="1319"/>
      <c r="CE447" s="1320"/>
      <c r="CF447" s="1319"/>
      <c r="CG447" s="1319"/>
      <c r="CH447" s="1319"/>
      <c r="CI447" s="1319"/>
      <c r="CJ447" s="1320"/>
      <c r="CK447" s="1369"/>
      <c r="CL447" s="1319"/>
      <c r="CM447" s="1319"/>
      <c r="CN447" s="1319"/>
      <c r="CO447" s="1320"/>
      <c r="CP447" s="1369"/>
      <c r="CQ447" s="1319"/>
      <c r="CR447" s="1319"/>
      <c r="CS447" s="1319"/>
      <c r="CT447" s="1320"/>
      <c r="CU447" s="1467"/>
      <c r="CV447" s="1458"/>
      <c r="CW447" s="1458"/>
      <c r="CX447" s="1663"/>
      <c r="CY447" s="1458"/>
      <c r="CZ447" s="1458"/>
      <c r="DA447" s="1458"/>
      <c r="DB447" s="1663"/>
      <c r="DC447" s="1328"/>
      <c r="DD447" s="1664"/>
      <c r="DE447" s="1669"/>
    </row>
    <row r="448" spans="1:109" ht="15.75" hidden="1" customHeight="1">
      <c r="A448" s="741" t="s">
        <v>1199</v>
      </c>
      <c r="B448" s="742">
        <v>442</v>
      </c>
      <c r="C448" s="758" t="s">
        <v>1252</v>
      </c>
      <c r="D448" s="742" t="s">
        <v>3661</v>
      </c>
      <c r="E448" s="742" t="s">
        <v>2231</v>
      </c>
      <c r="F448" s="754" t="s">
        <v>3676</v>
      </c>
      <c r="G448" s="759" t="s">
        <v>172</v>
      </c>
      <c r="H448" s="760" t="s">
        <v>3677</v>
      </c>
      <c r="I448" s="761">
        <v>0.02</v>
      </c>
      <c r="J448" s="762">
        <v>0.98</v>
      </c>
      <c r="K448" s="762"/>
      <c r="L448" s="762"/>
      <c r="M448" s="762"/>
      <c r="N448" s="762"/>
      <c r="O448" s="762"/>
      <c r="P448" s="763"/>
      <c r="Q448" s="764">
        <f t="shared" si="6"/>
        <v>1</v>
      </c>
      <c r="R448" s="758" t="s">
        <v>1846</v>
      </c>
      <c r="S448" s="742" t="s">
        <v>1826</v>
      </c>
      <c r="T448" s="765" t="s">
        <v>1827</v>
      </c>
      <c r="U448" s="742" t="s">
        <v>2247</v>
      </c>
      <c r="V448" s="742" t="s">
        <v>1897</v>
      </c>
      <c r="W448" s="742" t="s">
        <v>2248</v>
      </c>
      <c r="X448" s="1279">
        <v>2</v>
      </c>
      <c r="Y448" s="790" t="s">
        <v>1838</v>
      </c>
      <c r="Z448" s="759" t="s">
        <v>172</v>
      </c>
      <c r="AA448" s="754"/>
      <c r="AB448" s="754"/>
      <c r="AC448" s="754"/>
      <c r="AD448" s="754"/>
      <c r="AE448" s="754"/>
      <c r="AF448" s="768"/>
      <c r="AG448" s="769"/>
      <c r="AH448" s="769"/>
      <c r="AI448" s="769"/>
      <c r="AJ448" s="769"/>
      <c r="AK448" s="769"/>
      <c r="AL448" s="769"/>
      <c r="AM448" s="769"/>
      <c r="AN448" s="769"/>
      <c r="AO448" s="769"/>
      <c r="AP448" s="769"/>
      <c r="AQ448" s="1369"/>
      <c r="AR448" s="1319"/>
      <c r="AS448" s="1319"/>
      <c r="AT448" s="1319"/>
      <c r="AU448" s="1320"/>
      <c r="AV448" s="777"/>
      <c r="AW448" s="769"/>
      <c r="AX448" s="769"/>
      <c r="AY448" s="769"/>
      <c r="AZ448" s="769"/>
      <c r="BA448" s="769"/>
      <c r="BB448" s="769"/>
      <c r="BC448" s="769"/>
      <c r="BD448" s="769"/>
      <c r="BE448" s="769"/>
      <c r="BF448" s="769"/>
      <c r="BG448" s="769"/>
      <c r="BH448" s="769"/>
      <c r="BI448" s="769"/>
      <c r="BJ448" s="769"/>
      <c r="BK448" s="774"/>
      <c r="BL448" s="1327"/>
      <c r="BM448" s="1328"/>
      <c r="BN448" s="1328"/>
      <c r="BO448" s="1328"/>
      <c r="BP448" s="1389"/>
      <c r="BQ448" s="1369"/>
      <c r="BR448" s="1319"/>
      <c r="BS448" s="1319"/>
      <c r="BT448" s="1319"/>
      <c r="BU448" s="1320"/>
      <c r="BV448" s="1369"/>
      <c r="BW448" s="1319"/>
      <c r="BX448" s="1319"/>
      <c r="BY448" s="1319"/>
      <c r="BZ448" s="1319"/>
      <c r="CA448" s="1369"/>
      <c r="CB448" s="1319"/>
      <c r="CC448" s="1319"/>
      <c r="CD448" s="1319"/>
      <c r="CE448" s="1320"/>
      <c r="CF448" s="1319"/>
      <c r="CG448" s="1319"/>
      <c r="CH448" s="1319"/>
      <c r="CI448" s="1319"/>
      <c r="CJ448" s="1320"/>
      <c r="CK448" s="1369"/>
      <c r="CL448" s="1319"/>
      <c r="CM448" s="1319"/>
      <c r="CN448" s="1319"/>
      <c r="CO448" s="1320"/>
      <c r="CP448" s="1369"/>
      <c r="CQ448" s="1319"/>
      <c r="CR448" s="1319"/>
      <c r="CS448" s="1319"/>
      <c r="CT448" s="1320"/>
      <c r="CU448" s="1467"/>
      <c r="CV448" s="1458"/>
      <c r="CW448" s="1458"/>
      <c r="CX448" s="1663"/>
      <c r="CY448" s="1458"/>
      <c r="CZ448" s="1458"/>
      <c r="DA448" s="1458"/>
      <c r="DB448" s="1663"/>
      <c r="DC448" s="1328"/>
      <c r="DD448" s="1664"/>
      <c r="DE448" s="1669"/>
    </row>
    <row r="449" spans="1:109" ht="15.75" hidden="1" customHeight="1">
      <c r="A449" s="741" t="s">
        <v>1199</v>
      </c>
      <c r="B449" s="742">
        <v>443</v>
      </c>
      <c r="C449" s="758" t="s">
        <v>1316</v>
      </c>
      <c r="D449" s="742" t="s">
        <v>3661</v>
      </c>
      <c r="E449" s="742" t="s">
        <v>2223</v>
      </c>
      <c r="F449" s="754" t="s">
        <v>3678</v>
      </c>
      <c r="G449" s="759" t="s">
        <v>2293</v>
      </c>
      <c r="H449" s="760" t="s">
        <v>3679</v>
      </c>
      <c r="I449" s="761">
        <v>0.02</v>
      </c>
      <c r="J449" s="762">
        <v>0.98</v>
      </c>
      <c r="K449" s="762"/>
      <c r="L449" s="762"/>
      <c r="M449" s="762"/>
      <c r="N449" s="762"/>
      <c r="O449" s="762"/>
      <c r="P449" s="763"/>
      <c r="Q449" s="764">
        <f t="shared" si="6"/>
        <v>1</v>
      </c>
      <c r="R449" s="758" t="s">
        <v>1846</v>
      </c>
      <c r="S449" s="742" t="s">
        <v>1826</v>
      </c>
      <c r="T449" s="765" t="s">
        <v>1827</v>
      </c>
      <c r="U449" s="742" t="s">
        <v>2295</v>
      </c>
      <c r="V449" s="742" t="s">
        <v>1857</v>
      </c>
      <c r="W449" s="742" t="s">
        <v>3680</v>
      </c>
      <c r="X449" s="1279">
        <v>0</v>
      </c>
      <c r="Y449" s="790" t="s">
        <v>1838</v>
      </c>
      <c r="Z449" s="759" t="s">
        <v>2297</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210</v>
      </c>
      <c r="BM449" s="754" t="s">
        <v>210</v>
      </c>
      <c r="BN449" s="754" t="s">
        <v>210</v>
      </c>
      <c r="BO449" s="754" t="s">
        <v>210</v>
      </c>
      <c r="BP449" s="765" t="s">
        <v>210</v>
      </c>
      <c r="BQ449" s="777" t="s">
        <v>2260</v>
      </c>
      <c r="BR449" s="769" t="s">
        <v>2260</v>
      </c>
      <c r="BS449" s="769" t="s">
        <v>2260</v>
      </c>
      <c r="BT449" s="769" t="s">
        <v>2260</v>
      </c>
      <c r="BU449" s="774" t="s">
        <v>2260</v>
      </c>
      <c r="BV449" s="777" t="s">
        <v>2260</v>
      </c>
      <c r="BW449" s="769" t="s">
        <v>2260</v>
      </c>
      <c r="BX449" s="769" t="s">
        <v>2260</v>
      </c>
      <c r="BY449" s="769" t="s">
        <v>2260</v>
      </c>
      <c r="BZ449" s="769" t="s">
        <v>2260</v>
      </c>
      <c r="CA449" s="777" t="s">
        <v>2260</v>
      </c>
      <c r="CB449" s="769" t="s">
        <v>2260</v>
      </c>
      <c r="CC449" s="769" t="s">
        <v>2260</v>
      </c>
      <c r="CD449" s="769" t="s">
        <v>2260</v>
      </c>
      <c r="CE449" s="774" t="s">
        <v>2260</v>
      </c>
      <c r="CF449" s="769" t="s">
        <v>2260</v>
      </c>
      <c r="CG449" s="769" t="s">
        <v>2260</v>
      </c>
      <c r="CH449" s="769" t="s">
        <v>2260</v>
      </c>
      <c r="CI449" s="769" t="s">
        <v>2260</v>
      </c>
      <c r="CJ449" s="769" t="s">
        <v>2260</v>
      </c>
      <c r="CK449" s="777" t="s">
        <v>2260</v>
      </c>
      <c r="CL449" s="769" t="s">
        <v>2260</v>
      </c>
      <c r="CM449" s="769" t="s">
        <v>2260</v>
      </c>
      <c r="CN449" s="769" t="s">
        <v>2260</v>
      </c>
      <c r="CO449" s="774" t="s">
        <v>2260</v>
      </c>
      <c r="CP449" s="777" t="s">
        <v>2260</v>
      </c>
      <c r="CQ449" s="769" t="s">
        <v>2260</v>
      </c>
      <c r="CR449" s="769" t="s">
        <v>2260</v>
      </c>
      <c r="CS449" s="769" t="s">
        <v>2260</v>
      </c>
      <c r="CT449" s="774" t="s">
        <v>2260</v>
      </c>
      <c r="CU449" s="1253">
        <v>-1.0300000000000001E-3</v>
      </c>
      <c r="CV449" s="1252" t="s">
        <v>2260</v>
      </c>
      <c r="CW449" s="1252" t="s">
        <v>2260</v>
      </c>
      <c r="CX449" s="1254" t="s">
        <v>2260</v>
      </c>
      <c r="CY449" s="1252" t="s">
        <v>2260</v>
      </c>
      <c r="CZ449" s="1252" t="s">
        <v>2260</v>
      </c>
      <c r="DA449" s="1252" t="s">
        <v>2260</v>
      </c>
      <c r="DB449" s="1254" t="s">
        <v>2260</v>
      </c>
      <c r="DC449" s="754" t="s">
        <v>173</v>
      </c>
      <c r="DD449" s="782">
        <v>1</v>
      </c>
      <c r="DE449" s="783"/>
    </row>
    <row r="450" spans="1:109" ht="15.75" hidden="1" customHeight="1">
      <c r="A450" s="741" t="s">
        <v>1199</v>
      </c>
      <c r="B450" s="742">
        <v>444</v>
      </c>
      <c r="C450" s="758" t="s">
        <v>1333</v>
      </c>
      <c r="D450" s="742" t="s">
        <v>3661</v>
      </c>
      <c r="E450" s="742" t="s">
        <v>2231</v>
      </c>
      <c r="F450" s="754" t="s">
        <v>3681</v>
      </c>
      <c r="G450" s="759" t="s">
        <v>3682</v>
      </c>
      <c r="H450" s="760" t="s">
        <v>3683</v>
      </c>
      <c r="I450" s="761">
        <v>0.01</v>
      </c>
      <c r="J450" s="762">
        <v>0.99</v>
      </c>
      <c r="K450" s="762"/>
      <c r="L450" s="762"/>
      <c r="M450" s="762"/>
      <c r="N450" s="762"/>
      <c r="O450" s="762"/>
      <c r="P450" s="763"/>
      <c r="Q450" s="764">
        <f t="shared" si="6"/>
        <v>1</v>
      </c>
      <c r="R450" s="758" t="s">
        <v>1846</v>
      </c>
      <c r="S450" s="742" t="s">
        <v>1826</v>
      </c>
      <c r="T450" s="765" t="s">
        <v>1827</v>
      </c>
      <c r="U450" s="742" t="s">
        <v>2421</v>
      </c>
      <c r="V450" s="742" t="s">
        <v>1857</v>
      </c>
      <c r="W450" s="742" t="s">
        <v>3684</v>
      </c>
      <c r="X450" s="1279">
        <v>2</v>
      </c>
      <c r="Y450" s="790" t="s">
        <v>1838</v>
      </c>
      <c r="Z450" s="759" t="s">
        <v>2309</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210</v>
      </c>
      <c r="BM450" s="754" t="s">
        <v>210</v>
      </c>
      <c r="BN450" s="754" t="s">
        <v>210</v>
      </c>
      <c r="BO450" s="754" t="s">
        <v>210</v>
      </c>
      <c r="BP450" s="765" t="s">
        <v>210</v>
      </c>
      <c r="BQ450" s="777" t="s">
        <v>2260</v>
      </c>
      <c r="BR450" s="769" t="s">
        <v>2260</v>
      </c>
      <c r="BS450" s="769" t="s">
        <v>2260</v>
      </c>
      <c r="BT450" s="769" t="s">
        <v>2260</v>
      </c>
      <c r="BU450" s="774" t="s">
        <v>2260</v>
      </c>
      <c r="BV450" s="777" t="s">
        <v>2260</v>
      </c>
      <c r="BW450" s="769" t="s">
        <v>2260</v>
      </c>
      <c r="BX450" s="769" t="s">
        <v>2260</v>
      </c>
      <c r="BY450" s="769" t="s">
        <v>2260</v>
      </c>
      <c r="BZ450" s="769" t="s">
        <v>2260</v>
      </c>
      <c r="CA450" s="777" t="s">
        <v>2260</v>
      </c>
      <c r="CB450" s="769" t="s">
        <v>2260</v>
      </c>
      <c r="CC450" s="769" t="s">
        <v>2260</v>
      </c>
      <c r="CD450" s="769" t="s">
        <v>2260</v>
      </c>
      <c r="CE450" s="774" t="s">
        <v>2260</v>
      </c>
      <c r="CF450" s="769" t="s">
        <v>2260</v>
      </c>
      <c r="CG450" s="769" t="s">
        <v>2260</v>
      </c>
      <c r="CH450" s="769" t="s">
        <v>2260</v>
      </c>
      <c r="CI450" s="769" t="s">
        <v>2260</v>
      </c>
      <c r="CJ450" s="774" t="s">
        <v>2260</v>
      </c>
      <c r="CK450" s="777" t="s">
        <v>2260</v>
      </c>
      <c r="CL450" s="769" t="s">
        <v>2260</v>
      </c>
      <c r="CM450" s="769" t="s">
        <v>2260</v>
      </c>
      <c r="CN450" s="769" t="s">
        <v>2260</v>
      </c>
      <c r="CO450" s="774" t="s">
        <v>2260</v>
      </c>
      <c r="CP450" s="777" t="s">
        <v>2260</v>
      </c>
      <c r="CQ450" s="769" t="s">
        <v>2260</v>
      </c>
      <c r="CR450" s="769" t="s">
        <v>2260</v>
      </c>
      <c r="CS450" s="769" t="s">
        <v>2260</v>
      </c>
      <c r="CT450" s="774" t="s">
        <v>2260</v>
      </c>
      <c r="CU450" s="1253">
        <v>-1.9750000000000001</v>
      </c>
      <c r="CV450" s="1252" t="s">
        <v>2260</v>
      </c>
      <c r="CW450" s="1252" t="s">
        <v>2260</v>
      </c>
      <c r="CX450" s="1254" t="s">
        <v>2260</v>
      </c>
      <c r="CY450" s="1252" t="s">
        <v>2260</v>
      </c>
      <c r="CZ450" s="1252" t="s">
        <v>2260</v>
      </c>
      <c r="DA450" s="1252" t="s">
        <v>2260</v>
      </c>
      <c r="DB450" s="1254" t="s">
        <v>2260</v>
      </c>
      <c r="DC450" s="754" t="s">
        <v>173</v>
      </c>
      <c r="DD450" s="782">
        <v>1</v>
      </c>
      <c r="DE450" s="783"/>
    </row>
    <row r="451" spans="1:109" ht="15.75" hidden="1" customHeight="1">
      <c r="A451" s="741" t="s">
        <v>1199</v>
      </c>
      <c r="B451" s="742">
        <v>445</v>
      </c>
      <c r="C451" s="758" t="s">
        <v>1350</v>
      </c>
      <c r="D451" s="742" t="s">
        <v>3661</v>
      </c>
      <c r="E451" s="742" t="s">
        <v>2231</v>
      </c>
      <c r="F451" s="754" t="s">
        <v>3685</v>
      </c>
      <c r="G451" s="759" t="s">
        <v>3686</v>
      </c>
      <c r="H451" s="760" t="s">
        <v>3687</v>
      </c>
      <c r="I451" s="761"/>
      <c r="J451" s="762">
        <v>1</v>
      </c>
      <c r="K451" s="762"/>
      <c r="L451" s="762"/>
      <c r="M451" s="762"/>
      <c r="N451" s="762"/>
      <c r="O451" s="762"/>
      <c r="P451" s="763"/>
      <c r="Q451" s="764">
        <f t="shared" si="6"/>
        <v>1</v>
      </c>
      <c r="R451" s="758" t="s">
        <v>1846</v>
      </c>
      <c r="S451" s="742" t="s">
        <v>1826</v>
      </c>
      <c r="T451" s="765" t="s">
        <v>1827</v>
      </c>
      <c r="U451" s="742" t="s">
        <v>2247</v>
      </c>
      <c r="V451" s="742" t="s">
        <v>1857</v>
      </c>
      <c r="W451" s="742" t="s">
        <v>3688</v>
      </c>
      <c r="X451" s="1279">
        <v>0</v>
      </c>
      <c r="Y451" s="790" t="s">
        <v>1838</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210</v>
      </c>
      <c r="BM451" s="754" t="s">
        <v>210</v>
      </c>
      <c r="BN451" s="754" t="s">
        <v>210</v>
      </c>
      <c r="BO451" s="754" t="s">
        <v>210</v>
      </c>
      <c r="BP451" s="765" t="s">
        <v>210</v>
      </c>
      <c r="BQ451" s="777" t="s">
        <v>2260</v>
      </c>
      <c r="BR451" s="769" t="s">
        <v>2260</v>
      </c>
      <c r="BS451" s="769" t="s">
        <v>2260</v>
      </c>
      <c r="BT451" s="769" t="s">
        <v>2260</v>
      </c>
      <c r="BU451" s="774" t="s">
        <v>2260</v>
      </c>
      <c r="BV451" s="777" t="s">
        <v>2260</v>
      </c>
      <c r="BW451" s="769" t="s">
        <v>2260</v>
      </c>
      <c r="BX451" s="769" t="s">
        <v>2260</v>
      </c>
      <c r="BY451" s="769" t="s">
        <v>2260</v>
      </c>
      <c r="BZ451" s="769" t="s">
        <v>2260</v>
      </c>
      <c r="CA451" s="777" t="s">
        <v>2260</v>
      </c>
      <c r="CB451" s="769" t="s">
        <v>2260</v>
      </c>
      <c r="CC451" s="769" t="s">
        <v>2260</v>
      </c>
      <c r="CD451" s="769" t="s">
        <v>2260</v>
      </c>
      <c r="CE451" s="774" t="s">
        <v>2260</v>
      </c>
      <c r="CF451" s="769" t="s">
        <v>2260</v>
      </c>
      <c r="CG451" s="769" t="s">
        <v>2260</v>
      </c>
      <c r="CH451" s="769" t="s">
        <v>2260</v>
      </c>
      <c r="CI451" s="769" t="s">
        <v>2260</v>
      </c>
      <c r="CJ451" s="774" t="s">
        <v>2260</v>
      </c>
      <c r="CK451" s="777" t="s">
        <v>2260</v>
      </c>
      <c r="CL451" s="769" t="s">
        <v>2260</v>
      </c>
      <c r="CM451" s="769" t="s">
        <v>2260</v>
      </c>
      <c r="CN451" s="769" t="s">
        <v>2260</v>
      </c>
      <c r="CO451" s="774" t="s">
        <v>2260</v>
      </c>
      <c r="CP451" s="777" t="s">
        <v>2260</v>
      </c>
      <c r="CQ451" s="769" t="s">
        <v>2260</v>
      </c>
      <c r="CR451" s="769" t="s">
        <v>2260</v>
      </c>
      <c r="CS451" s="769" t="s">
        <v>2260</v>
      </c>
      <c r="CT451" s="774" t="s">
        <v>2260</v>
      </c>
      <c r="CU451" s="1253">
        <v>-3.56E-2</v>
      </c>
      <c r="CV451" s="1252" t="s">
        <v>2260</v>
      </c>
      <c r="CW451" s="1252" t="s">
        <v>2260</v>
      </c>
      <c r="CX451" s="1254" t="s">
        <v>2260</v>
      </c>
      <c r="CY451" s="1252" t="s">
        <v>2260</v>
      </c>
      <c r="CZ451" s="1252" t="s">
        <v>2260</v>
      </c>
      <c r="DA451" s="1252" t="s">
        <v>2260</v>
      </c>
      <c r="DB451" s="1254" t="s">
        <v>2260</v>
      </c>
      <c r="DC451" s="754"/>
      <c r="DD451" s="782">
        <v>1</v>
      </c>
      <c r="DE451" s="783"/>
    </row>
    <row r="452" spans="1:109" ht="15.75" hidden="1" customHeight="1">
      <c r="A452" s="741" t="s">
        <v>1199</v>
      </c>
      <c r="B452" s="742">
        <v>446</v>
      </c>
      <c r="C452" s="758" t="s">
        <v>1367</v>
      </c>
      <c r="D452" s="742" t="s">
        <v>3661</v>
      </c>
      <c r="E452" s="742" t="s">
        <v>2231</v>
      </c>
      <c r="F452" s="754" t="s">
        <v>3689</v>
      </c>
      <c r="G452" s="759" t="s">
        <v>3690</v>
      </c>
      <c r="H452" s="760" t="s">
        <v>3691</v>
      </c>
      <c r="I452" s="761"/>
      <c r="J452" s="762">
        <v>1</v>
      </c>
      <c r="K452" s="762"/>
      <c r="L452" s="762"/>
      <c r="M452" s="762"/>
      <c r="N452" s="762"/>
      <c r="O452" s="762"/>
      <c r="P452" s="763"/>
      <c r="Q452" s="764">
        <f t="shared" si="6"/>
        <v>1</v>
      </c>
      <c r="R452" s="758" t="s">
        <v>1852</v>
      </c>
      <c r="S452" s="742" t="s">
        <v>1826</v>
      </c>
      <c r="T452" s="765" t="s">
        <v>1827</v>
      </c>
      <c r="U452" s="742" t="s">
        <v>2247</v>
      </c>
      <c r="V452" s="742" t="s">
        <v>1857</v>
      </c>
      <c r="W452" s="742" t="s">
        <v>3692</v>
      </c>
      <c r="X452" s="1279">
        <v>0</v>
      </c>
      <c r="Y452" s="790" t="s">
        <v>1828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28" t="s">
        <v>210</v>
      </c>
      <c r="BM452" s="1829" t="s">
        <v>210</v>
      </c>
      <c r="BN452" s="1829" t="s">
        <v>210</v>
      </c>
      <c r="BO452" s="1829" t="s">
        <v>210</v>
      </c>
      <c r="BP452" s="765" t="s">
        <v>210</v>
      </c>
      <c r="BQ452" s="777" t="s">
        <v>2260</v>
      </c>
      <c r="BR452" s="769" t="s">
        <v>2260</v>
      </c>
      <c r="BS452" s="769" t="s">
        <v>2260</v>
      </c>
      <c r="BT452" s="769" t="s">
        <v>2260</v>
      </c>
      <c r="BU452" s="774" t="s">
        <v>2260</v>
      </c>
      <c r="BV452" s="777" t="s">
        <v>2260</v>
      </c>
      <c r="BW452" s="769" t="s">
        <v>2260</v>
      </c>
      <c r="BX452" s="769" t="s">
        <v>2260</v>
      </c>
      <c r="BY452" s="769" t="s">
        <v>2260</v>
      </c>
      <c r="BZ452" s="769" t="s">
        <v>2260</v>
      </c>
      <c r="CA452" s="777" t="s">
        <v>2260</v>
      </c>
      <c r="CB452" s="769" t="s">
        <v>2260</v>
      </c>
      <c r="CC452" s="769" t="s">
        <v>2260</v>
      </c>
      <c r="CD452" s="769" t="s">
        <v>2260</v>
      </c>
      <c r="CE452" s="774" t="s">
        <v>2260</v>
      </c>
      <c r="CF452" s="769" t="s">
        <v>2260</v>
      </c>
      <c r="CG452" s="769" t="s">
        <v>2260</v>
      </c>
      <c r="CH452" s="769" t="s">
        <v>2260</v>
      </c>
      <c r="CI452" s="769" t="s">
        <v>2260</v>
      </c>
      <c r="CJ452" s="774" t="s">
        <v>2260</v>
      </c>
      <c r="CK452" s="777">
        <v>16151</v>
      </c>
      <c r="CL452" s="769">
        <v>32301</v>
      </c>
      <c r="CM452" s="769">
        <v>48452</v>
      </c>
      <c r="CN452" s="769">
        <v>64604</v>
      </c>
      <c r="CO452" s="774">
        <v>80756</v>
      </c>
      <c r="CP452" s="777" t="s">
        <v>2260</v>
      </c>
      <c r="CQ452" s="769" t="s">
        <v>2260</v>
      </c>
      <c r="CR452" s="769" t="s">
        <v>2260</v>
      </c>
      <c r="CS452" s="769" t="s">
        <v>2260</v>
      </c>
      <c r="CT452" s="774" t="s">
        <v>2260</v>
      </c>
      <c r="CU452" s="1253">
        <v>-1.6799999999999999E-4</v>
      </c>
      <c r="CV452" s="1252" t="s">
        <v>2260</v>
      </c>
      <c r="CW452" s="1252" t="s">
        <v>2260</v>
      </c>
      <c r="CX452" s="1254" t="s">
        <v>2260</v>
      </c>
      <c r="CY452" s="1252">
        <v>9.8999999999999994E-5</v>
      </c>
      <c r="CZ452" s="1252" t="s">
        <v>2260</v>
      </c>
      <c r="DA452" s="1252" t="s">
        <v>2260</v>
      </c>
      <c r="DB452" s="1254" t="s">
        <v>2260</v>
      </c>
      <c r="DC452" s="754"/>
      <c r="DD452" s="782">
        <v>1</v>
      </c>
      <c r="DE452" s="783"/>
    </row>
    <row r="453" spans="1:109" ht="15.75" hidden="1" customHeight="1">
      <c r="A453" s="741" t="s">
        <v>1199</v>
      </c>
      <c r="B453" s="742">
        <v>447</v>
      </c>
      <c r="C453" s="758" t="s">
        <v>1633</v>
      </c>
      <c r="D453" s="742" t="s">
        <v>3661</v>
      </c>
      <c r="E453" s="742" t="s">
        <v>2231</v>
      </c>
      <c r="F453" s="754" t="s">
        <v>3693</v>
      </c>
      <c r="G453" s="759" t="s">
        <v>3694</v>
      </c>
      <c r="H453" s="760" t="s">
        <v>3695</v>
      </c>
      <c r="I453" s="761"/>
      <c r="J453" s="762">
        <v>1</v>
      </c>
      <c r="K453" s="762"/>
      <c r="L453" s="762"/>
      <c r="M453" s="762"/>
      <c r="N453" s="762"/>
      <c r="O453" s="762"/>
      <c r="P453" s="763"/>
      <c r="Q453" s="764">
        <f t="shared" si="6"/>
        <v>1</v>
      </c>
      <c r="R453" s="758" t="s">
        <v>1825</v>
      </c>
      <c r="S453" s="742"/>
      <c r="T453" s="765"/>
      <c r="U453" s="742" t="s">
        <v>2220</v>
      </c>
      <c r="V453" s="742" t="s">
        <v>1851</v>
      </c>
      <c r="W453" s="742" t="s">
        <v>3696</v>
      </c>
      <c r="X453" s="1279">
        <v>0</v>
      </c>
      <c r="Y453" s="790" t="s">
        <v>1838</v>
      </c>
      <c r="Z453" s="759"/>
      <c r="AA453" s="754"/>
      <c r="AB453" s="754"/>
      <c r="AC453" s="754"/>
      <c r="AD453" s="754"/>
      <c r="AE453" s="754"/>
      <c r="AF453" s="768"/>
      <c r="AG453" s="814"/>
      <c r="AH453" s="814"/>
      <c r="AI453" s="814"/>
      <c r="AJ453" s="814"/>
      <c r="AK453" s="814"/>
      <c r="AL453" s="814"/>
      <c r="AM453" s="814"/>
      <c r="AN453" s="814"/>
      <c r="AO453" s="814"/>
      <c r="AP453" s="890"/>
      <c r="AQ453" s="815" t="s">
        <v>3697</v>
      </c>
      <c r="AR453" s="814" t="s">
        <v>3698</v>
      </c>
      <c r="AS453" s="814" t="s">
        <v>3699</v>
      </c>
      <c r="AT453" s="814" t="s">
        <v>3700</v>
      </c>
      <c r="AU453" s="891" t="s">
        <v>3701</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2260</v>
      </c>
      <c r="BW453" s="769" t="s">
        <v>2260</v>
      </c>
      <c r="BX453" s="769" t="s">
        <v>2260</v>
      </c>
      <c r="BY453" s="769" t="s">
        <v>2260</v>
      </c>
      <c r="BZ453" s="769" t="s">
        <v>2260</v>
      </c>
      <c r="CA453" s="777">
        <v>0</v>
      </c>
      <c r="CB453" s="769">
        <v>0</v>
      </c>
      <c r="CC453" s="769">
        <v>0</v>
      </c>
      <c r="CD453" s="769">
        <v>0</v>
      </c>
      <c r="CE453" s="774">
        <v>0</v>
      </c>
      <c r="CF453" s="769">
        <v>0</v>
      </c>
      <c r="CG453" s="769">
        <v>0</v>
      </c>
      <c r="CH453" s="769">
        <v>0</v>
      </c>
      <c r="CI453" s="769">
        <v>0</v>
      </c>
      <c r="CJ453" s="774">
        <v>0</v>
      </c>
      <c r="CK453" s="777" t="s">
        <v>2260</v>
      </c>
      <c r="CL453" s="769" t="s">
        <v>2260</v>
      </c>
      <c r="CM453" s="769" t="s">
        <v>2260</v>
      </c>
      <c r="CN453" s="769" t="s">
        <v>2260</v>
      </c>
      <c r="CO453" s="774" t="s">
        <v>2260</v>
      </c>
      <c r="CP453" s="777">
        <v>0</v>
      </c>
      <c r="CQ453" s="769">
        <v>0</v>
      </c>
      <c r="CR453" s="769">
        <v>0</v>
      </c>
      <c r="CS453" s="769">
        <v>0</v>
      </c>
      <c r="CT453" s="774">
        <v>0</v>
      </c>
      <c r="CU453" s="1253" t="s">
        <v>2260</v>
      </c>
      <c r="CV453" s="1252" t="s">
        <v>2260</v>
      </c>
      <c r="CW453" s="1252" t="s">
        <v>2260</v>
      </c>
      <c r="CX453" s="1254" t="s">
        <v>2260</v>
      </c>
      <c r="CY453" s="1252" t="s">
        <v>2260</v>
      </c>
      <c r="CZ453" s="1252" t="s">
        <v>2260</v>
      </c>
      <c r="DA453" s="1252" t="s">
        <v>2260</v>
      </c>
      <c r="DB453" s="1254" t="s">
        <v>2260</v>
      </c>
      <c r="DC453" s="754"/>
      <c r="DD453" s="782"/>
      <c r="DE453" s="783"/>
    </row>
    <row r="454" spans="1:109" ht="15.75" hidden="1" customHeight="1">
      <c r="A454" s="741" t="s">
        <v>1199</v>
      </c>
      <c r="B454" s="742">
        <v>448</v>
      </c>
      <c r="C454" s="758" t="s">
        <v>1181</v>
      </c>
      <c r="D454" s="742" t="s">
        <v>3702</v>
      </c>
      <c r="E454" s="742" t="s">
        <v>2231</v>
      </c>
      <c r="F454" s="754" t="s">
        <v>3703</v>
      </c>
      <c r="G454" s="759" t="s">
        <v>1085</v>
      </c>
      <c r="H454" s="760" t="s">
        <v>3704</v>
      </c>
      <c r="I454" s="761"/>
      <c r="J454" s="762"/>
      <c r="K454" s="762">
        <v>1</v>
      </c>
      <c r="L454" s="762"/>
      <c r="M454" s="762"/>
      <c r="N454" s="762"/>
      <c r="O454" s="762"/>
      <c r="P454" s="763"/>
      <c r="Q454" s="764">
        <f t="shared" si="6"/>
        <v>1</v>
      </c>
      <c r="R454" s="758" t="s">
        <v>1846</v>
      </c>
      <c r="S454" s="742" t="s">
        <v>1826</v>
      </c>
      <c r="T454" s="765" t="s">
        <v>1827</v>
      </c>
      <c r="U454" s="742" t="s">
        <v>2371</v>
      </c>
      <c r="V454" s="742" t="s">
        <v>321</v>
      </c>
      <c r="W454" s="742" t="s">
        <v>3705</v>
      </c>
      <c r="X454" s="1280">
        <v>2</v>
      </c>
      <c r="Y454" s="790" t="s">
        <v>1828</v>
      </c>
      <c r="Z454" s="759" t="s">
        <v>1085</v>
      </c>
      <c r="AA454" s="754"/>
      <c r="AB454" s="754"/>
      <c r="AC454" s="754"/>
      <c r="AD454" s="754"/>
      <c r="AE454" s="754"/>
      <c r="AF454" s="768"/>
      <c r="AG454" s="769"/>
      <c r="AH454" s="769"/>
      <c r="AI454" s="769"/>
      <c r="AJ454" s="769"/>
      <c r="AK454" s="769"/>
      <c r="AL454" s="769"/>
      <c r="AM454" s="769"/>
      <c r="AN454" s="769"/>
      <c r="AO454" s="769"/>
      <c r="AP454" s="769"/>
      <c r="AQ454" s="1369"/>
      <c r="AR454" s="1319"/>
      <c r="AS454" s="1319"/>
      <c r="AT454" s="1319"/>
      <c r="AU454" s="1320"/>
      <c r="AV454" s="777"/>
      <c r="AW454" s="769"/>
      <c r="AX454" s="769"/>
      <c r="AY454" s="769"/>
      <c r="AZ454" s="769"/>
      <c r="BA454" s="769"/>
      <c r="BB454" s="769"/>
      <c r="BC454" s="769"/>
      <c r="BD454" s="769"/>
      <c r="BE454" s="769"/>
      <c r="BF454" s="769"/>
      <c r="BG454" s="769"/>
      <c r="BH454" s="769"/>
      <c r="BI454" s="769"/>
      <c r="BJ454" s="769"/>
      <c r="BK454" s="774"/>
      <c r="BL454" s="1327"/>
      <c r="BM454" s="1328"/>
      <c r="BN454" s="1328"/>
      <c r="BO454" s="1328"/>
      <c r="BP454" s="1389"/>
      <c r="BQ454" s="1369"/>
      <c r="BR454" s="1319"/>
      <c r="BS454" s="1319"/>
      <c r="BT454" s="1319"/>
      <c r="BU454" s="1320"/>
      <c r="BV454" s="1369"/>
      <c r="BW454" s="1319"/>
      <c r="BX454" s="1319"/>
      <c r="BY454" s="1319"/>
      <c r="BZ454" s="1319"/>
      <c r="CA454" s="1369"/>
      <c r="CB454" s="1319"/>
      <c r="CC454" s="1319"/>
      <c r="CD454" s="1319"/>
      <c r="CE454" s="1320"/>
      <c r="CF454" s="1319"/>
      <c r="CG454" s="1319"/>
      <c r="CH454" s="1319"/>
      <c r="CI454" s="1319"/>
      <c r="CJ454" s="1320"/>
      <c r="CK454" s="1369"/>
      <c r="CL454" s="1319"/>
      <c r="CM454" s="1319"/>
      <c r="CN454" s="1319"/>
      <c r="CO454" s="1320"/>
      <c r="CP454" s="1369"/>
      <c r="CQ454" s="1319"/>
      <c r="CR454" s="1319"/>
      <c r="CS454" s="1319"/>
      <c r="CT454" s="1320"/>
      <c r="CU454" s="1467"/>
      <c r="CV454" s="1458"/>
      <c r="CW454" s="1458"/>
      <c r="CX454" s="1663"/>
      <c r="CY454" s="1458"/>
      <c r="CZ454" s="1458"/>
      <c r="DA454" s="1458"/>
      <c r="DB454" s="1663"/>
      <c r="DC454" s="1328"/>
      <c r="DD454" s="1664"/>
      <c r="DE454" s="1669"/>
    </row>
    <row r="455" spans="1:109" ht="15.75" hidden="1" customHeight="1">
      <c r="A455" s="741" t="s">
        <v>1199</v>
      </c>
      <c r="B455" s="742">
        <v>449</v>
      </c>
      <c r="C455" s="758" t="s">
        <v>1180</v>
      </c>
      <c r="D455" s="742" t="s">
        <v>3702</v>
      </c>
      <c r="E455" s="742" t="s">
        <v>2217</v>
      </c>
      <c r="F455" s="754" t="s">
        <v>3706</v>
      </c>
      <c r="G455" s="759" t="s">
        <v>795</v>
      </c>
      <c r="H455" s="760" t="s">
        <v>3707</v>
      </c>
      <c r="I455" s="761"/>
      <c r="J455" s="762"/>
      <c r="K455" s="762">
        <v>1</v>
      </c>
      <c r="L455" s="762"/>
      <c r="M455" s="762"/>
      <c r="N455" s="762"/>
      <c r="O455" s="762"/>
      <c r="P455" s="763"/>
      <c r="Q455" s="764">
        <f t="shared" si="6"/>
        <v>1</v>
      </c>
      <c r="R455" s="758" t="s">
        <v>1852</v>
      </c>
      <c r="S455" s="742" t="s">
        <v>1826</v>
      </c>
      <c r="T455" s="765" t="s">
        <v>1827</v>
      </c>
      <c r="U455" s="742" t="s">
        <v>2242</v>
      </c>
      <c r="V455" s="742" t="s">
        <v>1857</v>
      </c>
      <c r="W455" s="742" t="s">
        <v>3664</v>
      </c>
      <c r="X455" s="1280">
        <v>2</v>
      </c>
      <c r="Y455" s="790" t="s">
        <v>1838</v>
      </c>
      <c r="Z455" s="759" t="s">
        <v>795</v>
      </c>
      <c r="AA455" s="754"/>
      <c r="AB455" s="754"/>
      <c r="AC455" s="754"/>
      <c r="AD455" s="754"/>
      <c r="AE455" s="754"/>
      <c r="AF455" s="768"/>
      <c r="AG455" s="769"/>
      <c r="AH455" s="769"/>
      <c r="AI455" s="769"/>
      <c r="AJ455" s="769"/>
      <c r="AK455" s="769"/>
      <c r="AL455" s="769"/>
      <c r="AM455" s="769"/>
      <c r="AN455" s="769"/>
      <c r="AO455" s="769"/>
      <c r="AP455" s="769"/>
      <c r="AQ455" s="1716"/>
      <c r="AR455" s="1717"/>
      <c r="AS455" s="1717"/>
      <c r="AT455" s="1717"/>
      <c r="AU455" s="1718"/>
      <c r="AV455" s="777"/>
      <c r="AW455" s="769"/>
      <c r="AX455" s="769"/>
      <c r="AY455" s="769"/>
      <c r="AZ455" s="769"/>
      <c r="BA455" s="769"/>
      <c r="BB455" s="769"/>
      <c r="BC455" s="769"/>
      <c r="BD455" s="769"/>
      <c r="BE455" s="769"/>
      <c r="BF455" s="769"/>
      <c r="BG455" s="769"/>
      <c r="BH455" s="769"/>
      <c r="BI455" s="769"/>
      <c r="BJ455" s="769"/>
      <c r="BK455" s="774"/>
      <c r="BL455" s="1327"/>
      <c r="BM455" s="1328"/>
      <c r="BN455" s="1328"/>
      <c r="BO455" s="1328"/>
      <c r="BP455" s="1389"/>
      <c r="BQ455" s="1369"/>
      <c r="BR455" s="1319"/>
      <c r="BS455" s="1319"/>
      <c r="BT455" s="1319"/>
      <c r="BU455" s="1320"/>
      <c r="BV455" s="1369"/>
      <c r="BW455" s="1319"/>
      <c r="BX455" s="1319"/>
      <c r="BY455" s="1319"/>
      <c r="BZ455" s="1319"/>
      <c r="CA455" s="1369"/>
      <c r="CB455" s="1319"/>
      <c r="CC455" s="1319"/>
      <c r="CD455" s="1319"/>
      <c r="CE455" s="1320"/>
      <c r="CF455" s="1319"/>
      <c r="CG455" s="1319"/>
      <c r="CH455" s="1319"/>
      <c r="CI455" s="1319"/>
      <c r="CJ455" s="1320"/>
      <c r="CK455" s="1369"/>
      <c r="CL455" s="1319"/>
      <c r="CM455" s="1319"/>
      <c r="CN455" s="1319"/>
      <c r="CO455" s="1320"/>
      <c r="CP455" s="1369"/>
      <c r="CQ455" s="1319"/>
      <c r="CR455" s="1319"/>
      <c r="CS455" s="1319"/>
      <c r="CT455" s="1320"/>
      <c r="CU455" s="1467"/>
      <c r="CV455" s="1458"/>
      <c r="CW455" s="1458"/>
      <c r="CX455" s="1663"/>
      <c r="CY455" s="1458"/>
      <c r="CZ455" s="1458"/>
      <c r="DA455" s="1458"/>
      <c r="DB455" s="1663"/>
      <c r="DC455" s="1328"/>
      <c r="DD455" s="1664"/>
      <c r="DE455" s="1669"/>
    </row>
    <row r="456" spans="1:109" ht="15.75" hidden="1" customHeight="1">
      <c r="A456" s="741" t="s">
        <v>1199</v>
      </c>
      <c r="B456" s="742">
        <v>450</v>
      </c>
      <c r="C456" s="758" t="s">
        <v>1178</v>
      </c>
      <c r="D456" s="742" t="s">
        <v>3702</v>
      </c>
      <c r="E456" s="742" t="s">
        <v>2231</v>
      </c>
      <c r="F456" s="754" t="s">
        <v>3708</v>
      </c>
      <c r="G456" s="759" t="s">
        <v>784</v>
      </c>
      <c r="H456" s="760" t="s">
        <v>3709</v>
      </c>
      <c r="I456" s="761"/>
      <c r="J456" s="762"/>
      <c r="K456" s="762">
        <v>1</v>
      </c>
      <c r="L456" s="762"/>
      <c r="M456" s="762"/>
      <c r="N456" s="762"/>
      <c r="O456" s="762"/>
      <c r="P456" s="763"/>
      <c r="Q456" s="764">
        <f t="shared" si="6"/>
        <v>1</v>
      </c>
      <c r="R456" s="758" t="s">
        <v>1852</v>
      </c>
      <c r="S456" s="742" t="s">
        <v>1826</v>
      </c>
      <c r="T456" s="765" t="s">
        <v>1827</v>
      </c>
      <c r="U456" s="742" t="s">
        <v>2351</v>
      </c>
      <c r="V456" s="742" t="s">
        <v>1857</v>
      </c>
      <c r="W456" s="742" t="s">
        <v>3450</v>
      </c>
      <c r="X456" s="1280">
        <v>2</v>
      </c>
      <c r="Y456" s="788" t="s">
        <v>1838</v>
      </c>
      <c r="Z456" s="759" t="s">
        <v>784</v>
      </c>
      <c r="AA456" s="754"/>
      <c r="AB456" s="754"/>
      <c r="AC456" s="754"/>
      <c r="AD456" s="754"/>
      <c r="AE456" s="754"/>
      <c r="AF456" s="768"/>
      <c r="AG456" s="766"/>
      <c r="AH456" s="766"/>
      <c r="AI456" s="766"/>
      <c r="AJ456" s="766"/>
      <c r="AK456" s="766"/>
      <c r="AL456" s="766"/>
      <c r="AM456" s="766"/>
      <c r="AN456" s="766"/>
      <c r="AO456" s="766"/>
      <c r="AP456" s="766"/>
      <c r="AQ456" s="1675"/>
      <c r="AR456" s="1676"/>
      <c r="AS456" s="1676"/>
      <c r="AT456" s="1676"/>
      <c r="AU456" s="1684"/>
      <c r="AV456" s="796"/>
      <c r="AW456" s="766"/>
      <c r="AX456" s="766"/>
      <c r="AY456" s="766"/>
      <c r="AZ456" s="766"/>
      <c r="BA456" s="766"/>
      <c r="BB456" s="766"/>
      <c r="BC456" s="766"/>
      <c r="BD456" s="766"/>
      <c r="BE456" s="766"/>
      <c r="BF456" s="766"/>
      <c r="BG456" s="766"/>
      <c r="BH456" s="766"/>
      <c r="BI456" s="766"/>
      <c r="BJ456" s="766"/>
      <c r="BK456" s="810"/>
      <c r="BL456" s="1327"/>
      <c r="BM456" s="1328"/>
      <c r="BN456" s="1328"/>
      <c r="BO456" s="1328"/>
      <c r="BP456" s="1389"/>
      <c r="BQ456" s="1369"/>
      <c r="BR456" s="1319"/>
      <c r="BS456" s="1319"/>
      <c r="BT456" s="1319"/>
      <c r="BU456" s="1320"/>
      <c r="BV456" s="1690"/>
      <c r="BW456" s="1689"/>
      <c r="BX456" s="1689"/>
      <c r="BY456" s="1689"/>
      <c r="BZ456" s="1689"/>
      <c r="CA456" s="1369"/>
      <c r="CB456" s="1319"/>
      <c r="CC456" s="1319"/>
      <c r="CD456" s="1319"/>
      <c r="CE456" s="1320"/>
      <c r="CF456" s="1319"/>
      <c r="CG456" s="1319"/>
      <c r="CH456" s="1319"/>
      <c r="CI456" s="1319"/>
      <c r="CJ456" s="1320"/>
      <c r="CK456" s="1675"/>
      <c r="CL456" s="1676"/>
      <c r="CM456" s="1676"/>
      <c r="CN456" s="1676"/>
      <c r="CO456" s="1684"/>
      <c r="CP456" s="1369"/>
      <c r="CQ456" s="1319"/>
      <c r="CR456" s="1319"/>
      <c r="CS456" s="1319"/>
      <c r="CT456" s="1320"/>
      <c r="CU456" s="1467"/>
      <c r="CV456" s="1458"/>
      <c r="CW456" s="1458"/>
      <c r="CX456" s="1663"/>
      <c r="CY456" s="1458"/>
      <c r="CZ456" s="1458"/>
      <c r="DA456" s="1458"/>
      <c r="DB456" s="1663"/>
      <c r="DC456" s="1328"/>
      <c r="DD456" s="1664"/>
      <c r="DE456" s="1669"/>
    </row>
    <row r="457" spans="1:109" ht="15.75" hidden="1" customHeight="1">
      <c r="A457" s="741" t="s">
        <v>1199</v>
      </c>
      <c r="B457" s="742">
        <v>451</v>
      </c>
      <c r="C457" s="758" t="s">
        <v>1501</v>
      </c>
      <c r="D457" s="742" t="s">
        <v>3702</v>
      </c>
      <c r="E457" s="742" t="s">
        <v>2217</v>
      </c>
      <c r="F457" s="754" t="s">
        <v>3710</v>
      </c>
      <c r="G457" s="759" t="s">
        <v>3711</v>
      </c>
      <c r="H457" s="760" t="s">
        <v>3712</v>
      </c>
      <c r="I457" s="761"/>
      <c r="J457" s="762"/>
      <c r="K457" s="762">
        <v>1</v>
      </c>
      <c r="L457" s="762"/>
      <c r="M457" s="762"/>
      <c r="N457" s="762"/>
      <c r="O457" s="762"/>
      <c r="P457" s="763"/>
      <c r="Q457" s="764">
        <f t="shared" ref="Q457:Q520" si="7">SUM(I457:P457)</f>
        <v>1</v>
      </c>
      <c r="R457" s="758" t="s">
        <v>1852</v>
      </c>
      <c r="S457" s="742" t="s">
        <v>1826</v>
      </c>
      <c r="T457" s="765" t="s">
        <v>1827</v>
      </c>
      <c r="U457" s="742" t="s">
        <v>2351</v>
      </c>
      <c r="V457" s="742" t="s">
        <v>1857</v>
      </c>
      <c r="W457" s="742" t="s">
        <v>439</v>
      </c>
      <c r="X457" s="1279">
        <v>0</v>
      </c>
      <c r="Y457" s="788" t="s">
        <v>1838</v>
      </c>
      <c r="Z457" s="759" t="s">
        <v>2623</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210</v>
      </c>
      <c r="BM457" s="754" t="s">
        <v>210</v>
      </c>
      <c r="BN457" s="754" t="s">
        <v>210</v>
      </c>
      <c r="BO457" s="754" t="s">
        <v>210</v>
      </c>
      <c r="BP457" s="765" t="s">
        <v>210</v>
      </c>
      <c r="BQ457" s="777" t="s">
        <v>2260</v>
      </c>
      <c r="BR457" s="769" t="s">
        <v>2260</v>
      </c>
      <c r="BS457" s="769" t="s">
        <v>2260</v>
      </c>
      <c r="BT457" s="769" t="s">
        <v>2260</v>
      </c>
      <c r="BU457" s="774" t="s">
        <v>2260</v>
      </c>
      <c r="BV457" s="777">
        <v>108750</v>
      </c>
      <c r="BW457" s="769">
        <v>108750</v>
      </c>
      <c r="BX457" s="769">
        <v>108750</v>
      </c>
      <c r="BY457" s="769">
        <v>108750</v>
      </c>
      <c r="BZ457" s="769">
        <v>108750</v>
      </c>
      <c r="CA457" s="777" t="s">
        <v>2260</v>
      </c>
      <c r="CB457" s="769" t="s">
        <v>2260</v>
      </c>
      <c r="CC457" s="769" t="s">
        <v>2260</v>
      </c>
      <c r="CD457" s="769" t="s">
        <v>2260</v>
      </c>
      <c r="CE457" s="774" t="s">
        <v>2260</v>
      </c>
      <c r="CF457" s="769" t="s">
        <v>2260</v>
      </c>
      <c r="CG457" s="769" t="s">
        <v>2260</v>
      </c>
      <c r="CH457" s="769" t="s">
        <v>2260</v>
      </c>
      <c r="CI457" s="769" t="s">
        <v>2260</v>
      </c>
      <c r="CJ457" s="774" t="s">
        <v>2260</v>
      </c>
      <c r="CK457" s="777">
        <v>66288</v>
      </c>
      <c r="CL457" s="769">
        <v>63788</v>
      </c>
      <c r="CM457" s="769">
        <v>61288</v>
      </c>
      <c r="CN457" s="769">
        <v>58788</v>
      </c>
      <c r="CO457" s="774">
        <v>56288</v>
      </c>
      <c r="CP457" s="777" t="s">
        <v>2260</v>
      </c>
      <c r="CQ457" s="769" t="s">
        <v>2260</v>
      </c>
      <c r="CR457" s="769" t="s">
        <v>2260</v>
      </c>
      <c r="CS457" s="769" t="s">
        <v>2260</v>
      </c>
      <c r="CT457" s="774" t="s">
        <v>2260</v>
      </c>
      <c r="CU457" s="1253">
        <v>-1.403E-3</v>
      </c>
      <c r="CV457" s="1252" t="s">
        <v>2260</v>
      </c>
      <c r="CW457" s="1252" t="s">
        <v>2260</v>
      </c>
      <c r="CX457" s="1254" t="s">
        <v>2260</v>
      </c>
      <c r="CY457" s="1252">
        <v>7.0299999999999996E-4</v>
      </c>
      <c r="CZ457" s="1252" t="s">
        <v>2260</v>
      </c>
      <c r="DA457" s="1252" t="s">
        <v>2260</v>
      </c>
      <c r="DB457" s="1254" t="s">
        <v>2260</v>
      </c>
      <c r="DC457" s="754"/>
      <c r="DD457" s="782">
        <v>1</v>
      </c>
      <c r="DE457" s="783"/>
    </row>
    <row r="458" spans="1:109" ht="15.75" hidden="1" customHeight="1">
      <c r="A458" s="741" t="s">
        <v>1199</v>
      </c>
      <c r="B458" s="742">
        <v>452</v>
      </c>
      <c r="C458" s="758" t="s">
        <v>1512</v>
      </c>
      <c r="D458" s="742" t="s">
        <v>3702</v>
      </c>
      <c r="E458" s="742" t="s">
        <v>2231</v>
      </c>
      <c r="F458" s="754" t="s">
        <v>3713</v>
      </c>
      <c r="G458" s="759" t="s">
        <v>3714</v>
      </c>
      <c r="H458" s="760" t="s">
        <v>3715</v>
      </c>
      <c r="I458" s="761"/>
      <c r="J458" s="762"/>
      <c r="K458" s="762">
        <v>1</v>
      </c>
      <c r="L458" s="762"/>
      <c r="M458" s="762"/>
      <c r="N458" s="762"/>
      <c r="O458" s="762"/>
      <c r="P458" s="763"/>
      <c r="Q458" s="764">
        <f t="shared" si="7"/>
        <v>1</v>
      </c>
      <c r="R458" s="758" t="s">
        <v>1846</v>
      </c>
      <c r="S458" s="742" t="s">
        <v>1826</v>
      </c>
      <c r="T458" s="765" t="s">
        <v>1827</v>
      </c>
      <c r="U458" s="742" t="s">
        <v>2528</v>
      </c>
      <c r="V458" s="742" t="s">
        <v>321</v>
      </c>
      <c r="W458" s="742" t="s">
        <v>3716</v>
      </c>
      <c r="X458" s="1279">
        <v>1</v>
      </c>
      <c r="Y458" s="788" t="s">
        <v>1828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210</v>
      </c>
      <c r="BM458" s="754" t="s">
        <v>210</v>
      </c>
      <c r="BN458" s="754" t="s">
        <v>210</v>
      </c>
      <c r="BO458" s="754" t="s">
        <v>210</v>
      </c>
      <c r="BP458" s="765" t="s">
        <v>210</v>
      </c>
      <c r="BQ458" s="777" t="s">
        <v>2260</v>
      </c>
      <c r="BR458" s="769" t="s">
        <v>2260</v>
      </c>
      <c r="BS458" s="769" t="s">
        <v>2260</v>
      </c>
      <c r="BT458" s="769" t="s">
        <v>2260</v>
      </c>
      <c r="BU458" s="774" t="s">
        <v>2260</v>
      </c>
      <c r="BV458" s="777" t="s">
        <v>2260</v>
      </c>
      <c r="BW458" s="769" t="s">
        <v>2260</v>
      </c>
      <c r="BX458" s="769" t="s">
        <v>2260</v>
      </c>
      <c r="BY458" s="769" t="s">
        <v>2260</v>
      </c>
      <c r="BZ458" s="769" t="s">
        <v>2260</v>
      </c>
      <c r="CA458" s="777" t="s">
        <v>2260</v>
      </c>
      <c r="CB458" s="769" t="s">
        <v>2260</v>
      </c>
      <c r="CC458" s="769" t="s">
        <v>2260</v>
      </c>
      <c r="CD458" s="769" t="s">
        <v>2260</v>
      </c>
      <c r="CE458" s="774" t="s">
        <v>2260</v>
      </c>
      <c r="CF458" s="769" t="s">
        <v>2260</v>
      </c>
      <c r="CG458" s="769" t="s">
        <v>2260</v>
      </c>
      <c r="CH458" s="769" t="s">
        <v>2260</v>
      </c>
      <c r="CI458" s="769" t="s">
        <v>2260</v>
      </c>
      <c r="CJ458" s="774" t="s">
        <v>2260</v>
      </c>
      <c r="CK458" s="777" t="s">
        <v>2260</v>
      </c>
      <c r="CL458" s="769" t="s">
        <v>2260</v>
      </c>
      <c r="CM458" s="769" t="s">
        <v>2260</v>
      </c>
      <c r="CN458" s="769" t="s">
        <v>2260</v>
      </c>
      <c r="CO458" s="774" t="s">
        <v>2260</v>
      </c>
      <c r="CP458" s="777" t="s">
        <v>2260</v>
      </c>
      <c r="CQ458" s="769" t="s">
        <v>2260</v>
      </c>
      <c r="CR458" s="769" t="s">
        <v>2260</v>
      </c>
      <c r="CS458" s="769" t="s">
        <v>2260</v>
      </c>
      <c r="CT458" s="774" t="s">
        <v>2260</v>
      </c>
      <c r="CU458" s="1253">
        <v>-0.999</v>
      </c>
      <c r="CV458" s="1252" t="s">
        <v>2260</v>
      </c>
      <c r="CW458" s="1252" t="s">
        <v>2260</v>
      </c>
      <c r="CX458" s="1254" t="s">
        <v>2260</v>
      </c>
      <c r="CY458" s="1252" t="s">
        <v>2260</v>
      </c>
      <c r="CZ458" s="1252" t="s">
        <v>2260</v>
      </c>
      <c r="DA458" s="1252" t="s">
        <v>2260</v>
      </c>
      <c r="DB458" s="1254" t="s">
        <v>2260</v>
      </c>
      <c r="DC458" s="754"/>
      <c r="DD458" s="782">
        <v>1</v>
      </c>
      <c r="DE458" s="783"/>
    </row>
    <row r="459" spans="1:109" ht="15.75" hidden="1" customHeight="1">
      <c r="A459" s="741" t="s">
        <v>1199</v>
      </c>
      <c r="B459" s="742">
        <v>453</v>
      </c>
      <c r="C459" s="758" t="s">
        <v>1184</v>
      </c>
      <c r="D459" s="742" t="s">
        <v>3717</v>
      </c>
      <c r="E459" s="742" t="s">
        <v>2231</v>
      </c>
      <c r="F459" s="754" t="s">
        <v>3718</v>
      </c>
      <c r="G459" s="759" t="s">
        <v>891</v>
      </c>
      <c r="H459" s="760" t="s">
        <v>3719</v>
      </c>
      <c r="I459" s="761"/>
      <c r="J459" s="762"/>
      <c r="K459" s="762">
        <v>1</v>
      </c>
      <c r="L459" s="762"/>
      <c r="M459" s="762"/>
      <c r="N459" s="762"/>
      <c r="O459" s="762"/>
      <c r="P459" s="763"/>
      <c r="Q459" s="764">
        <f t="shared" si="7"/>
        <v>1</v>
      </c>
      <c r="R459" s="758" t="s">
        <v>1825</v>
      </c>
      <c r="S459" s="742"/>
      <c r="T459" s="765"/>
      <c r="U459" s="742" t="s">
        <v>2351</v>
      </c>
      <c r="V459" s="742" t="s">
        <v>321</v>
      </c>
      <c r="W459" s="742" t="s">
        <v>2016</v>
      </c>
      <c r="X459" s="1279">
        <v>2</v>
      </c>
      <c r="Y459" s="790" t="s">
        <v>1838</v>
      </c>
      <c r="Z459" s="759" t="s">
        <v>891</v>
      </c>
      <c r="AA459" s="754"/>
      <c r="AB459" s="754"/>
      <c r="AC459" s="754"/>
      <c r="AD459" s="754"/>
      <c r="AE459" s="754"/>
      <c r="AF459" s="768"/>
      <c r="AG459" s="769"/>
      <c r="AH459" s="769"/>
      <c r="AI459" s="769"/>
      <c r="AJ459" s="769"/>
      <c r="AK459" s="769"/>
      <c r="AL459" s="769"/>
      <c r="AM459" s="769"/>
      <c r="AN459" s="776"/>
      <c r="AO459" s="776"/>
      <c r="AP459" s="776"/>
      <c r="AQ459" s="1370"/>
      <c r="AR459" s="1324"/>
      <c r="AS459" s="1324"/>
      <c r="AT459" s="1324"/>
      <c r="AU459" s="1325"/>
      <c r="AV459" s="777"/>
      <c r="AW459" s="769"/>
      <c r="AX459" s="769"/>
      <c r="AY459" s="769"/>
      <c r="AZ459" s="832"/>
      <c r="BA459" s="769"/>
      <c r="BB459" s="769"/>
      <c r="BC459" s="769"/>
      <c r="BD459" s="769"/>
      <c r="BE459" s="832"/>
      <c r="BF459" s="769"/>
      <c r="BG459" s="769"/>
      <c r="BH459" s="769"/>
      <c r="BI459" s="769"/>
      <c r="BJ459" s="832"/>
      <c r="BK459" s="834"/>
      <c r="BL459" s="1327"/>
      <c r="BM459" s="1328"/>
      <c r="BN459" s="1328"/>
      <c r="BO459" s="1328"/>
      <c r="BP459" s="1389"/>
      <c r="BQ459" s="1369"/>
      <c r="BR459" s="1319"/>
      <c r="BS459" s="1319"/>
      <c r="BT459" s="1319"/>
      <c r="BU459" s="1320"/>
      <c r="BV459" s="1369"/>
      <c r="BW459" s="1319"/>
      <c r="BX459" s="1319"/>
      <c r="BY459" s="1319"/>
      <c r="BZ459" s="1319"/>
      <c r="CA459" s="1369"/>
      <c r="CB459" s="1319"/>
      <c r="CC459" s="1319"/>
      <c r="CD459" s="1319"/>
      <c r="CE459" s="1320"/>
      <c r="CF459" s="1319"/>
      <c r="CG459" s="1319"/>
      <c r="CH459" s="1319"/>
      <c r="CI459" s="1319"/>
      <c r="CJ459" s="1320"/>
      <c r="CK459" s="1369"/>
      <c r="CL459" s="1319"/>
      <c r="CM459" s="1319"/>
      <c r="CN459" s="1319"/>
      <c r="CO459" s="1320"/>
      <c r="CP459" s="1369"/>
      <c r="CQ459" s="1319"/>
      <c r="CR459" s="1319"/>
      <c r="CS459" s="1319"/>
      <c r="CT459" s="1320"/>
      <c r="CU459" s="1467"/>
      <c r="CV459" s="1458"/>
      <c r="CW459" s="1458"/>
      <c r="CX459" s="1663"/>
      <c r="CY459" s="1458"/>
      <c r="CZ459" s="1458"/>
      <c r="DA459" s="1458"/>
      <c r="DB459" s="1663"/>
      <c r="DC459" s="1328"/>
      <c r="DD459" s="1664"/>
      <c r="DE459" s="1669"/>
    </row>
    <row r="460" spans="1:109" ht="15.75" hidden="1" customHeight="1">
      <c r="A460" s="741" t="s">
        <v>1199</v>
      </c>
      <c r="B460" s="742">
        <v>454</v>
      </c>
      <c r="C460" s="758" t="s">
        <v>1523</v>
      </c>
      <c r="D460" s="742" t="s">
        <v>3717</v>
      </c>
      <c r="E460" s="742" t="s">
        <v>2217</v>
      </c>
      <c r="F460" s="754" t="s">
        <v>3720</v>
      </c>
      <c r="G460" s="759" t="s">
        <v>3227</v>
      </c>
      <c r="H460" s="760" t="s">
        <v>3721</v>
      </c>
      <c r="I460" s="761"/>
      <c r="J460" s="762"/>
      <c r="K460" s="762">
        <v>1</v>
      </c>
      <c r="L460" s="762"/>
      <c r="M460" s="762"/>
      <c r="N460" s="762"/>
      <c r="O460" s="762"/>
      <c r="P460" s="763"/>
      <c r="Q460" s="764">
        <f t="shared" si="7"/>
        <v>1</v>
      </c>
      <c r="R460" s="758" t="s">
        <v>1852</v>
      </c>
      <c r="S460" s="742" t="s">
        <v>1826</v>
      </c>
      <c r="T460" s="765" t="s">
        <v>1837</v>
      </c>
      <c r="U460" s="742" t="s">
        <v>2234</v>
      </c>
      <c r="V460" s="742" t="s">
        <v>2439</v>
      </c>
      <c r="W460" s="742" t="s">
        <v>3722</v>
      </c>
      <c r="X460" s="1280">
        <v>2</v>
      </c>
      <c r="Y460" s="788" t="s">
        <v>1828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210</v>
      </c>
      <c r="BQ460" s="777" t="s">
        <v>2260</v>
      </c>
      <c r="BR460" s="769" t="s">
        <v>2260</v>
      </c>
      <c r="BS460" s="769" t="s">
        <v>2260</v>
      </c>
      <c r="BT460" s="769" t="s">
        <v>2260</v>
      </c>
      <c r="BU460" s="774" t="s">
        <v>2260</v>
      </c>
      <c r="BV460" s="777" t="s">
        <v>2260</v>
      </c>
      <c r="BW460" s="769" t="s">
        <v>2260</v>
      </c>
      <c r="BX460" s="769" t="s">
        <v>2260</v>
      </c>
      <c r="BY460" s="769" t="s">
        <v>2260</v>
      </c>
      <c r="BZ460" s="769" t="s">
        <v>2260</v>
      </c>
      <c r="CA460" s="777" t="s">
        <v>2260</v>
      </c>
      <c r="CB460" s="769" t="s">
        <v>2260</v>
      </c>
      <c r="CC460" s="769" t="s">
        <v>2260</v>
      </c>
      <c r="CD460" s="769" t="s">
        <v>2260</v>
      </c>
      <c r="CE460" s="774" t="s">
        <v>2260</v>
      </c>
      <c r="CF460" s="769" t="s">
        <v>2260</v>
      </c>
      <c r="CG460" s="769" t="s">
        <v>2260</v>
      </c>
      <c r="CH460" s="769" t="s">
        <v>2260</v>
      </c>
      <c r="CI460" s="769" t="s">
        <v>2260</v>
      </c>
      <c r="CJ460" s="774" t="s">
        <v>2260</v>
      </c>
      <c r="CK460" s="777" t="s">
        <v>2260</v>
      </c>
      <c r="CL460" s="769" t="s">
        <v>2260</v>
      </c>
      <c r="CM460" s="769" t="s">
        <v>2260</v>
      </c>
      <c r="CN460" s="769" t="s">
        <v>2260</v>
      </c>
      <c r="CO460" s="774" t="s">
        <v>2260</v>
      </c>
      <c r="CP460" s="777" t="s">
        <v>2260</v>
      </c>
      <c r="CQ460" s="769" t="s">
        <v>2260</v>
      </c>
      <c r="CR460" s="769" t="s">
        <v>2260</v>
      </c>
      <c r="CS460" s="769" t="s">
        <v>2260</v>
      </c>
      <c r="CT460" s="774" t="s">
        <v>2260</v>
      </c>
      <c r="CU460" s="1253">
        <v>-5.6000000000000001E-2</v>
      </c>
      <c r="CV460" s="1252" t="s">
        <v>2260</v>
      </c>
      <c r="CW460" s="1252" t="s">
        <v>2260</v>
      </c>
      <c r="CX460" s="1254" t="s">
        <v>2260</v>
      </c>
      <c r="CY460" s="1252">
        <v>3.6999999999999998E-2</v>
      </c>
      <c r="CZ460" s="1252" t="s">
        <v>2260</v>
      </c>
      <c r="DA460" s="1252" t="s">
        <v>2260</v>
      </c>
      <c r="DB460" s="1254" t="s">
        <v>2260</v>
      </c>
      <c r="DC460" s="754"/>
      <c r="DD460" s="782">
        <v>1</v>
      </c>
      <c r="DE460" s="783"/>
    </row>
    <row r="461" spans="1:109" ht="15.75" hidden="1" customHeight="1">
      <c r="A461" s="741" t="s">
        <v>1199</v>
      </c>
      <c r="B461" s="742">
        <v>455</v>
      </c>
      <c r="C461" s="758" t="s">
        <v>1258</v>
      </c>
      <c r="D461" s="742" t="s">
        <v>3717</v>
      </c>
      <c r="E461" s="742" t="s">
        <v>2231</v>
      </c>
      <c r="F461" s="754" t="s">
        <v>3723</v>
      </c>
      <c r="G461" s="759" t="s">
        <v>567</v>
      </c>
      <c r="H461" s="760" t="s">
        <v>3724</v>
      </c>
      <c r="I461" s="761">
        <v>0.01</v>
      </c>
      <c r="J461" s="762">
        <v>0.99</v>
      </c>
      <c r="K461" s="762"/>
      <c r="L461" s="762"/>
      <c r="M461" s="762"/>
      <c r="N461" s="762"/>
      <c r="O461" s="762"/>
      <c r="P461" s="763"/>
      <c r="Q461" s="764">
        <f t="shared" si="7"/>
        <v>1</v>
      </c>
      <c r="R461" s="758" t="s">
        <v>1825</v>
      </c>
      <c r="S461" s="742"/>
      <c r="T461" s="765"/>
      <c r="U461" s="742" t="s">
        <v>2234</v>
      </c>
      <c r="V461" s="742" t="s">
        <v>321</v>
      </c>
      <c r="W461" s="742" t="s">
        <v>2016</v>
      </c>
      <c r="X461" s="1280">
        <v>1</v>
      </c>
      <c r="Y461" s="790" t="s">
        <v>1838</v>
      </c>
      <c r="Z461" s="759" t="s">
        <v>567</v>
      </c>
      <c r="AA461" s="754"/>
      <c r="AB461" s="754"/>
      <c r="AC461" s="754"/>
      <c r="AD461" s="754"/>
      <c r="AE461" s="754"/>
      <c r="AF461" s="768"/>
      <c r="AG461" s="769"/>
      <c r="AH461" s="769"/>
      <c r="AI461" s="769"/>
      <c r="AJ461" s="769"/>
      <c r="AK461" s="769"/>
      <c r="AL461" s="769"/>
      <c r="AM461" s="769"/>
      <c r="AN461" s="785"/>
      <c r="AO461" s="785"/>
      <c r="AP461" s="785"/>
      <c r="AQ461" s="1460"/>
      <c r="AR461" s="1665"/>
      <c r="AS461" s="1665"/>
      <c r="AT461" s="1665"/>
      <c r="AU461" s="1466"/>
      <c r="AV461" s="786"/>
      <c r="AW461" s="785"/>
      <c r="AX461" s="785"/>
      <c r="AY461" s="785"/>
      <c r="AZ461" s="785"/>
      <c r="BA461" s="785"/>
      <c r="BB461" s="785"/>
      <c r="BC461" s="785"/>
      <c r="BD461" s="785"/>
      <c r="BE461" s="785"/>
      <c r="BF461" s="785"/>
      <c r="BG461" s="785"/>
      <c r="BH461" s="785"/>
      <c r="BI461" s="785"/>
      <c r="BJ461" s="785"/>
      <c r="BK461" s="787"/>
      <c r="BL461" s="1327"/>
      <c r="BM461" s="1328"/>
      <c r="BN461" s="1328"/>
      <c r="BO461" s="1328"/>
      <c r="BP461" s="1389"/>
      <c r="BQ461" s="1369"/>
      <c r="BR461" s="1319"/>
      <c r="BS461" s="1319"/>
      <c r="BT461" s="1319"/>
      <c r="BU461" s="1320"/>
      <c r="BV461" s="1369"/>
      <c r="BW461" s="1319"/>
      <c r="BX461" s="1319"/>
      <c r="BY461" s="1319"/>
      <c r="BZ461" s="1319"/>
      <c r="CA461" s="1369"/>
      <c r="CB461" s="1319"/>
      <c r="CC461" s="1319"/>
      <c r="CD461" s="1319"/>
      <c r="CE461" s="1320"/>
      <c r="CF461" s="1319"/>
      <c r="CG461" s="1319"/>
      <c r="CH461" s="1319"/>
      <c r="CI461" s="1319"/>
      <c r="CJ461" s="1319"/>
      <c r="CK461" s="1369"/>
      <c r="CL461" s="1319"/>
      <c r="CM461" s="1319"/>
      <c r="CN461" s="1319"/>
      <c r="CO461" s="1320"/>
      <c r="CP461" s="1369"/>
      <c r="CQ461" s="1319"/>
      <c r="CR461" s="1319"/>
      <c r="CS461" s="1319"/>
      <c r="CT461" s="1320"/>
      <c r="CU461" s="1467"/>
      <c r="CV461" s="1458"/>
      <c r="CW461" s="1458"/>
      <c r="CX461" s="1663"/>
      <c r="CY461" s="1458"/>
      <c r="CZ461" s="1458"/>
      <c r="DA461" s="1458"/>
      <c r="DB461" s="1663"/>
      <c r="DC461" s="1328"/>
      <c r="DD461" s="1664"/>
      <c r="DE461" s="1669"/>
    </row>
    <row r="462" spans="1:109" ht="15.75" hidden="1" customHeight="1">
      <c r="A462" s="741" t="s">
        <v>1199</v>
      </c>
      <c r="B462" s="742">
        <v>456</v>
      </c>
      <c r="C462" s="758" t="s">
        <v>1384</v>
      </c>
      <c r="D462" s="742" t="s">
        <v>3717</v>
      </c>
      <c r="E462" s="742" t="s">
        <v>2223</v>
      </c>
      <c r="F462" s="754" t="s">
        <v>3725</v>
      </c>
      <c r="G462" s="759" t="s">
        <v>3726</v>
      </c>
      <c r="H462" s="760" t="s">
        <v>3727</v>
      </c>
      <c r="I462" s="761">
        <v>0.67</v>
      </c>
      <c r="J462" s="762">
        <v>0.33</v>
      </c>
      <c r="K462" s="762"/>
      <c r="L462" s="762"/>
      <c r="M462" s="762"/>
      <c r="N462" s="762"/>
      <c r="O462" s="762"/>
      <c r="P462" s="763"/>
      <c r="Q462" s="764">
        <f t="shared" si="7"/>
        <v>1</v>
      </c>
      <c r="R462" s="758" t="s">
        <v>1846</v>
      </c>
      <c r="S462" s="742" t="s">
        <v>1826</v>
      </c>
      <c r="T462" s="765" t="s">
        <v>1827</v>
      </c>
      <c r="U462" s="742" t="s">
        <v>2698</v>
      </c>
      <c r="V462" s="742" t="s">
        <v>1897</v>
      </c>
      <c r="W462" s="742" t="s">
        <v>3728</v>
      </c>
      <c r="X462" s="1279">
        <v>0</v>
      </c>
      <c r="Y462" s="790" t="s">
        <v>1828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210</v>
      </c>
      <c r="BM462" s="754" t="s">
        <v>210</v>
      </c>
      <c r="BN462" s="754" t="s">
        <v>210</v>
      </c>
      <c r="BO462" s="754" t="s">
        <v>210</v>
      </c>
      <c r="BP462" s="765" t="s">
        <v>210</v>
      </c>
      <c r="BQ462" s="777" t="s">
        <v>2260</v>
      </c>
      <c r="BR462" s="769" t="s">
        <v>2260</v>
      </c>
      <c r="BS462" s="769" t="s">
        <v>2260</v>
      </c>
      <c r="BT462" s="769" t="s">
        <v>2260</v>
      </c>
      <c r="BU462" s="774" t="s">
        <v>2260</v>
      </c>
      <c r="BV462" s="777" t="s">
        <v>2260</v>
      </c>
      <c r="BW462" s="769" t="s">
        <v>2260</v>
      </c>
      <c r="BX462" s="769" t="s">
        <v>2260</v>
      </c>
      <c r="BY462" s="769" t="s">
        <v>2260</v>
      </c>
      <c r="BZ462" s="769" t="s">
        <v>2260</v>
      </c>
      <c r="CA462" s="777" t="s">
        <v>2260</v>
      </c>
      <c r="CB462" s="769" t="s">
        <v>2260</v>
      </c>
      <c r="CC462" s="769" t="s">
        <v>2260</v>
      </c>
      <c r="CD462" s="769" t="s">
        <v>2260</v>
      </c>
      <c r="CE462" s="774" t="s">
        <v>2260</v>
      </c>
      <c r="CF462" s="769" t="s">
        <v>2260</v>
      </c>
      <c r="CG462" s="769" t="s">
        <v>2260</v>
      </c>
      <c r="CH462" s="769" t="s">
        <v>2260</v>
      </c>
      <c r="CI462" s="769" t="s">
        <v>2260</v>
      </c>
      <c r="CJ462" s="769" t="s">
        <v>2260</v>
      </c>
      <c r="CK462" s="777" t="s">
        <v>2260</v>
      </c>
      <c r="CL462" s="769" t="s">
        <v>2260</v>
      </c>
      <c r="CM462" s="769" t="s">
        <v>2260</v>
      </c>
      <c r="CN462" s="769" t="s">
        <v>2260</v>
      </c>
      <c r="CO462" s="774" t="s">
        <v>2260</v>
      </c>
      <c r="CP462" s="777" t="s">
        <v>2260</v>
      </c>
      <c r="CQ462" s="769" t="s">
        <v>2260</v>
      </c>
      <c r="CR462" s="769" t="s">
        <v>2260</v>
      </c>
      <c r="CS462" s="769" t="s">
        <v>2260</v>
      </c>
      <c r="CT462" s="774" t="s">
        <v>2260</v>
      </c>
      <c r="CU462" s="1253">
        <v>-0.224</v>
      </c>
      <c r="CV462" s="1252" t="s">
        <v>2260</v>
      </c>
      <c r="CW462" s="1252" t="s">
        <v>2260</v>
      </c>
      <c r="CX462" s="1254" t="s">
        <v>2260</v>
      </c>
      <c r="CY462" s="1252" t="s">
        <v>2260</v>
      </c>
      <c r="CZ462" s="1252" t="s">
        <v>2260</v>
      </c>
      <c r="DA462" s="1252" t="s">
        <v>2260</v>
      </c>
      <c r="DB462" s="1254" t="s">
        <v>2260</v>
      </c>
      <c r="DC462" s="754"/>
      <c r="DD462" s="782">
        <v>1</v>
      </c>
      <c r="DE462" s="783"/>
    </row>
    <row r="463" spans="1:109" ht="15.75" hidden="1" customHeight="1">
      <c r="A463" s="741" t="s">
        <v>1199</v>
      </c>
      <c r="B463" s="742">
        <v>457</v>
      </c>
      <c r="C463" s="758" t="s">
        <v>1401</v>
      </c>
      <c r="D463" s="742" t="s">
        <v>3717</v>
      </c>
      <c r="E463" s="742" t="s">
        <v>2231</v>
      </c>
      <c r="F463" s="754" t="s">
        <v>3729</v>
      </c>
      <c r="G463" s="759" t="s">
        <v>3730</v>
      </c>
      <c r="H463" s="760" t="s">
        <v>3731</v>
      </c>
      <c r="I463" s="761"/>
      <c r="J463" s="762">
        <v>0.67</v>
      </c>
      <c r="K463" s="762">
        <v>0.33</v>
      </c>
      <c r="L463" s="762"/>
      <c r="M463" s="762"/>
      <c r="N463" s="762"/>
      <c r="O463" s="762"/>
      <c r="P463" s="763"/>
      <c r="Q463" s="764">
        <f t="shared" si="7"/>
        <v>1</v>
      </c>
      <c r="R463" s="758" t="s">
        <v>1846</v>
      </c>
      <c r="S463" s="742" t="s">
        <v>1826</v>
      </c>
      <c r="T463" s="765" t="s">
        <v>1837</v>
      </c>
      <c r="U463" s="742" t="s">
        <v>2234</v>
      </c>
      <c r="V463" s="742" t="s">
        <v>1857</v>
      </c>
      <c r="W463" s="742" t="s">
        <v>2830</v>
      </c>
      <c r="X463" s="1279">
        <v>0</v>
      </c>
      <c r="Y463" s="790" t="s">
        <v>1828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210</v>
      </c>
      <c r="BQ463" s="777" t="s">
        <v>2260</v>
      </c>
      <c r="BR463" s="769" t="s">
        <v>2260</v>
      </c>
      <c r="BS463" s="769" t="s">
        <v>2260</v>
      </c>
      <c r="BT463" s="769" t="s">
        <v>2260</v>
      </c>
      <c r="BU463" s="774" t="s">
        <v>2260</v>
      </c>
      <c r="BV463" s="777" t="s">
        <v>2260</v>
      </c>
      <c r="BW463" s="769" t="s">
        <v>2260</v>
      </c>
      <c r="BX463" s="769" t="s">
        <v>2260</v>
      </c>
      <c r="BY463" s="769" t="s">
        <v>2260</v>
      </c>
      <c r="BZ463" s="769" t="s">
        <v>2260</v>
      </c>
      <c r="CA463" s="777" t="s">
        <v>2260</v>
      </c>
      <c r="CB463" s="769" t="s">
        <v>2260</v>
      </c>
      <c r="CC463" s="769" t="s">
        <v>2260</v>
      </c>
      <c r="CD463" s="769" t="s">
        <v>2260</v>
      </c>
      <c r="CE463" s="774" t="s">
        <v>2260</v>
      </c>
      <c r="CF463" s="769" t="s">
        <v>2260</v>
      </c>
      <c r="CG463" s="769" t="s">
        <v>2260</v>
      </c>
      <c r="CH463" s="769" t="s">
        <v>2260</v>
      </c>
      <c r="CI463" s="769" t="s">
        <v>2260</v>
      </c>
      <c r="CJ463" s="774" t="s">
        <v>2260</v>
      </c>
      <c r="CK463" s="777" t="s">
        <v>2260</v>
      </c>
      <c r="CL463" s="769" t="s">
        <v>2260</v>
      </c>
      <c r="CM463" s="769" t="s">
        <v>2260</v>
      </c>
      <c r="CN463" s="769" t="s">
        <v>2260</v>
      </c>
      <c r="CO463" s="774" t="s">
        <v>2260</v>
      </c>
      <c r="CP463" s="777" t="s">
        <v>2260</v>
      </c>
      <c r="CQ463" s="769" t="s">
        <v>2260</v>
      </c>
      <c r="CR463" s="769" t="s">
        <v>2260</v>
      </c>
      <c r="CS463" s="769" t="s">
        <v>2260</v>
      </c>
      <c r="CT463" s="774" t="s">
        <v>2260</v>
      </c>
      <c r="CU463" s="1253">
        <v>-0.23710000000000001</v>
      </c>
      <c r="CV463" s="1252" t="s">
        <v>2260</v>
      </c>
      <c r="CW463" s="1252" t="s">
        <v>2260</v>
      </c>
      <c r="CX463" s="1254" t="s">
        <v>2260</v>
      </c>
      <c r="CY463" s="1252" t="s">
        <v>2260</v>
      </c>
      <c r="CZ463" s="1252" t="s">
        <v>2260</v>
      </c>
      <c r="DA463" s="1252" t="s">
        <v>2260</v>
      </c>
      <c r="DB463" s="1254" t="s">
        <v>2260</v>
      </c>
      <c r="DC463" s="754"/>
      <c r="DD463" s="782">
        <v>1</v>
      </c>
      <c r="DE463" s="783"/>
    </row>
    <row r="464" spans="1:109" ht="15.75" hidden="1" customHeight="1">
      <c r="A464" s="741" t="s">
        <v>1199</v>
      </c>
      <c r="B464" s="742">
        <v>458</v>
      </c>
      <c r="C464" s="758" t="s">
        <v>1418</v>
      </c>
      <c r="D464" s="742" t="s">
        <v>3717</v>
      </c>
      <c r="E464" s="742" t="s">
        <v>2223</v>
      </c>
      <c r="F464" s="754" t="s">
        <v>3732</v>
      </c>
      <c r="G464" s="759" t="s">
        <v>3733</v>
      </c>
      <c r="H464" s="760" t="s">
        <v>3734</v>
      </c>
      <c r="I464" s="761"/>
      <c r="J464" s="762">
        <v>0.72</v>
      </c>
      <c r="K464" s="762">
        <v>0.28000000000000003</v>
      </c>
      <c r="L464" s="762"/>
      <c r="M464" s="762"/>
      <c r="N464" s="762"/>
      <c r="O464" s="762"/>
      <c r="P464" s="763"/>
      <c r="Q464" s="764">
        <f t="shared" si="7"/>
        <v>1</v>
      </c>
      <c r="R464" s="758" t="s">
        <v>1846</v>
      </c>
      <c r="S464" s="742" t="s">
        <v>1826</v>
      </c>
      <c r="T464" s="765" t="s">
        <v>1837</v>
      </c>
      <c r="U464" s="742" t="s">
        <v>3735</v>
      </c>
      <c r="V464" s="742" t="s">
        <v>321</v>
      </c>
      <c r="W464" s="742" t="s">
        <v>3736</v>
      </c>
      <c r="X464" s="1279">
        <v>1</v>
      </c>
      <c r="Y464" s="790" t="s">
        <v>1828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210</v>
      </c>
      <c r="BQ464" s="777" t="s">
        <v>2260</v>
      </c>
      <c r="BR464" s="769" t="s">
        <v>2260</v>
      </c>
      <c r="BS464" s="769" t="s">
        <v>2260</v>
      </c>
      <c r="BT464" s="769" t="s">
        <v>2260</v>
      </c>
      <c r="BU464" s="774" t="s">
        <v>2260</v>
      </c>
      <c r="BV464" s="777" t="s">
        <v>2260</v>
      </c>
      <c r="BW464" s="769" t="s">
        <v>2260</v>
      </c>
      <c r="BX464" s="769" t="s">
        <v>2260</v>
      </c>
      <c r="BY464" s="769" t="s">
        <v>2260</v>
      </c>
      <c r="BZ464" s="769" t="s">
        <v>2260</v>
      </c>
      <c r="CA464" s="777" t="s">
        <v>2260</v>
      </c>
      <c r="CB464" s="769" t="s">
        <v>2260</v>
      </c>
      <c r="CC464" s="769" t="s">
        <v>2260</v>
      </c>
      <c r="CD464" s="769" t="s">
        <v>2260</v>
      </c>
      <c r="CE464" s="774" t="s">
        <v>2260</v>
      </c>
      <c r="CF464" s="769" t="s">
        <v>2260</v>
      </c>
      <c r="CG464" s="769" t="s">
        <v>2260</v>
      </c>
      <c r="CH464" s="769" t="s">
        <v>2260</v>
      </c>
      <c r="CI464" s="769" t="s">
        <v>2260</v>
      </c>
      <c r="CJ464" s="774" t="s">
        <v>2260</v>
      </c>
      <c r="CK464" s="777" t="s">
        <v>2260</v>
      </c>
      <c r="CL464" s="769" t="s">
        <v>2260</v>
      </c>
      <c r="CM464" s="769" t="s">
        <v>2260</v>
      </c>
      <c r="CN464" s="769" t="s">
        <v>2260</v>
      </c>
      <c r="CO464" s="774" t="s">
        <v>2260</v>
      </c>
      <c r="CP464" s="777" t="s">
        <v>2260</v>
      </c>
      <c r="CQ464" s="769" t="s">
        <v>2260</v>
      </c>
      <c r="CR464" s="769" t="s">
        <v>2260</v>
      </c>
      <c r="CS464" s="769" t="s">
        <v>2260</v>
      </c>
      <c r="CT464" s="774" t="s">
        <v>2260</v>
      </c>
      <c r="CU464" s="1253">
        <v>-1.0999999999999999E-2</v>
      </c>
      <c r="CV464" s="1252" t="s">
        <v>2260</v>
      </c>
      <c r="CW464" s="1252" t="s">
        <v>2260</v>
      </c>
      <c r="CX464" s="1254" t="s">
        <v>2260</v>
      </c>
      <c r="CY464" s="1252" t="s">
        <v>2260</v>
      </c>
      <c r="CZ464" s="1252" t="s">
        <v>2260</v>
      </c>
      <c r="DA464" s="1252" t="s">
        <v>2260</v>
      </c>
      <c r="DB464" s="1254" t="s">
        <v>2260</v>
      </c>
      <c r="DC464" s="754" t="s">
        <v>173</v>
      </c>
      <c r="DD464" s="782">
        <v>1</v>
      </c>
      <c r="DE464" s="783"/>
    </row>
    <row r="465" spans="1:109" ht="15.75" hidden="1" customHeight="1">
      <c r="A465" s="741" t="s">
        <v>1199</v>
      </c>
      <c r="B465" s="742">
        <v>459</v>
      </c>
      <c r="C465" s="758" t="s">
        <v>1434</v>
      </c>
      <c r="D465" s="742"/>
      <c r="E465" s="742"/>
      <c r="F465" s="754" t="s">
        <v>3737</v>
      </c>
      <c r="G465" s="759" t="s">
        <v>3738</v>
      </c>
      <c r="H465" s="760"/>
      <c r="I465" s="761"/>
      <c r="J465" s="762">
        <v>0.754</v>
      </c>
      <c r="K465" s="762">
        <v>0.246</v>
      </c>
      <c r="L465" s="762"/>
      <c r="M465" s="762"/>
      <c r="N465" s="762"/>
      <c r="O465" s="762"/>
      <c r="P465" s="763"/>
      <c r="Q465" s="764">
        <f t="shared" si="7"/>
        <v>1</v>
      </c>
      <c r="R465" s="758" t="s">
        <v>1846</v>
      </c>
      <c r="S465" s="742" t="s">
        <v>1826</v>
      </c>
      <c r="T465" s="765" t="s">
        <v>1837</v>
      </c>
      <c r="U465" s="742" t="s">
        <v>3735</v>
      </c>
      <c r="V465" s="742" t="s">
        <v>2397</v>
      </c>
      <c r="W465" s="742"/>
      <c r="X465" s="1279">
        <v>1</v>
      </c>
      <c r="Y465" s="790" t="s">
        <v>1828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210</v>
      </c>
      <c r="BQ465" s="777" t="s">
        <v>2260</v>
      </c>
      <c r="BR465" s="769" t="s">
        <v>2260</v>
      </c>
      <c r="BS465" s="769" t="s">
        <v>2260</v>
      </c>
      <c r="BT465" s="769" t="s">
        <v>2260</v>
      </c>
      <c r="BU465" s="774" t="s">
        <v>2260</v>
      </c>
      <c r="BV465" s="777" t="s">
        <v>2260</v>
      </c>
      <c r="BW465" s="769" t="s">
        <v>2260</v>
      </c>
      <c r="BX465" s="769" t="s">
        <v>2260</v>
      </c>
      <c r="BY465" s="769" t="s">
        <v>2260</v>
      </c>
      <c r="BZ465" s="769" t="s">
        <v>2260</v>
      </c>
      <c r="CA465" s="777" t="s">
        <v>2260</v>
      </c>
      <c r="CB465" s="769" t="s">
        <v>2260</v>
      </c>
      <c r="CC465" s="769" t="s">
        <v>2260</v>
      </c>
      <c r="CD465" s="769" t="s">
        <v>2260</v>
      </c>
      <c r="CE465" s="774" t="s">
        <v>2260</v>
      </c>
      <c r="CF465" s="769" t="s">
        <v>2260</v>
      </c>
      <c r="CG465" s="769" t="s">
        <v>2260</v>
      </c>
      <c r="CH465" s="769" t="s">
        <v>2260</v>
      </c>
      <c r="CI465" s="769" t="s">
        <v>2260</v>
      </c>
      <c r="CJ465" s="774" t="s">
        <v>2260</v>
      </c>
      <c r="CK465" s="777" t="s">
        <v>2260</v>
      </c>
      <c r="CL465" s="769" t="s">
        <v>2260</v>
      </c>
      <c r="CM465" s="769" t="s">
        <v>2260</v>
      </c>
      <c r="CN465" s="769" t="s">
        <v>2260</v>
      </c>
      <c r="CO465" s="774" t="s">
        <v>2260</v>
      </c>
      <c r="CP465" s="777" t="s">
        <v>2260</v>
      </c>
      <c r="CQ465" s="769" t="s">
        <v>2260</v>
      </c>
      <c r="CR465" s="769" t="s">
        <v>2260</v>
      </c>
      <c r="CS465" s="769" t="s">
        <v>2260</v>
      </c>
      <c r="CT465" s="774" t="s">
        <v>2260</v>
      </c>
      <c r="CU465" s="1253">
        <v>-8.0500000000000002E-2</v>
      </c>
      <c r="CV465" s="1252" t="s">
        <v>2260</v>
      </c>
      <c r="CW465" s="1252" t="s">
        <v>2260</v>
      </c>
      <c r="CX465" s="1254" t="s">
        <v>2260</v>
      </c>
      <c r="CY465" s="1252" t="s">
        <v>2260</v>
      </c>
      <c r="CZ465" s="1252" t="s">
        <v>2260</v>
      </c>
      <c r="DA465" s="1252" t="s">
        <v>2260</v>
      </c>
      <c r="DB465" s="1254" t="s">
        <v>2260</v>
      </c>
      <c r="DC465" s="754"/>
      <c r="DD465" s="782"/>
      <c r="DE465" s="783"/>
    </row>
    <row r="466" spans="1:109" ht="15.75" hidden="1" customHeight="1">
      <c r="A466" s="741" t="s">
        <v>1199</v>
      </c>
      <c r="B466" s="742">
        <v>460</v>
      </c>
      <c r="C466" s="758" t="s">
        <v>1449</v>
      </c>
      <c r="D466" s="742" t="s">
        <v>3739</v>
      </c>
      <c r="E466" s="742" t="s">
        <v>2231</v>
      </c>
      <c r="F466" s="754" t="s">
        <v>3740</v>
      </c>
      <c r="G466" s="759" t="s">
        <v>3741</v>
      </c>
      <c r="H466" s="760" t="s">
        <v>3742</v>
      </c>
      <c r="I466" s="761"/>
      <c r="J466" s="762"/>
      <c r="K466" s="762"/>
      <c r="L466" s="762"/>
      <c r="M466" s="762">
        <v>1</v>
      </c>
      <c r="N466" s="762"/>
      <c r="O466" s="762"/>
      <c r="P466" s="763"/>
      <c r="Q466" s="764">
        <f t="shared" si="7"/>
        <v>1</v>
      </c>
      <c r="R466" s="758" t="s">
        <v>1846</v>
      </c>
      <c r="S466" s="742" t="s">
        <v>1826</v>
      </c>
      <c r="T466" s="765" t="s">
        <v>1827</v>
      </c>
      <c r="U466" s="742" t="s">
        <v>2892</v>
      </c>
      <c r="V466" s="742" t="s">
        <v>1890</v>
      </c>
      <c r="W466" s="742" t="s">
        <v>3743</v>
      </c>
      <c r="X466" s="1279">
        <v>0</v>
      </c>
      <c r="Y466" s="790" t="s">
        <v>1838</v>
      </c>
      <c r="Z466" s="759"/>
      <c r="AA466" s="754"/>
      <c r="AB466" s="754"/>
      <c r="AC466" s="754"/>
      <c r="AD466" s="754"/>
      <c r="AE466" s="754"/>
      <c r="AF466" s="768"/>
      <c r="AG466" s="769"/>
      <c r="AH466" s="769"/>
      <c r="AI466" s="769"/>
      <c r="AJ466" s="769"/>
      <c r="AK466" s="769"/>
      <c r="AL466" s="769"/>
      <c r="AM466" s="769"/>
      <c r="AN466" s="769"/>
      <c r="AO466" s="769"/>
      <c r="AP466" s="769"/>
      <c r="AQ466" s="777" t="s">
        <v>3743</v>
      </c>
      <c r="AR466" s="769" t="s">
        <v>3743</v>
      </c>
      <c r="AS466" s="769" t="s">
        <v>3743</v>
      </c>
      <c r="AT466" s="769" t="s">
        <v>3743</v>
      </c>
      <c r="AU466" s="774" t="s">
        <v>3743</v>
      </c>
      <c r="AV466" s="777"/>
      <c r="AW466" s="769"/>
      <c r="AX466" s="769"/>
      <c r="AY466" s="769"/>
      <c r="AZ466" s="769"/>
      <c r="BA466" s="769"/>
      <c r="BB466" s="769"/>
      <c r="BC466" s="769"/>
      <c r="BD466" s="769"/>
      <c r="BE466" s="769"/>
      <c r="BF466" s="769"/>
      <c r="BG466" s="769"/>
      <c r="BH466" s="769"/>
      <c r="BI466" s="769"/>
      <c r="BJ466" s="769"/>
      <c r="BK466" s="774"/>
      <c r="BL466" s="758" t="s">
        <v>210</v>
      </c>
      <c r="BM466" s="754" t="s">
        <v>210</v>
      </c>
      <c r="BN466" s="754" t="s">
        <v>210</v>
      </c>
      <c r="BO466" s="754" t="s">
        <v>210</v>
      </c>
      <c r="BP466" s="765" t="s">
        <v>210</v>
      </c>
      <c r="BQ466" s="777" t="s">
        <v>2260</v>
      </c>
      <c r="BR466" s="769" t="s">
        <v>2260</v>
      </c>
      <c r="BS466" s="769" t="s">
        <v>2260</v>
      </c>
      <c r="BT466" s="769" t="s">
        <v>2260</v>
      </c>
      <c r="BU466" s="774" t="s">
        <v>2260</v>
      </c>
      <c r="BV466" s="777" t="s">
        <v>2260</v>
      </c>
      <c r="BW466" s="769" t="s">
        <v>2260</v>
      </c>
      <c r="BX466" s="769" t="s">
        <v>2260</v>
      </c>
      <c r="BY466" s="769" t="s">
        <v>2260</v>
      </c>
      <c r="BZ466" s="769" t="s">
        <v>2260</v>
      </c>
      <c r="CA466" s="777" t="s">
        <v>2260</v>
      </c>
      <c r="CB466" s="769" t="s">
        <v>2260</v>
      </c>
      <c r="CC466" s="769" t="s">
        <v>2260</v>
      </c>
      <c r="CD466" s="769" t="s">
        <v>2260</v>
      </c>
      <c r="CE466" s="774" t="s">
        <v>2260</v>
      </c>
      <c r="CF466" s="769" t="s">
        <v>2260</v>
      </c>
      <c r="CG466" s="769" t="s">
        <v>2260</v>
      </c>
      <c r="CH466" s="769" t="s">
        <v>2260</v>
      </c>
      <c r="CI466" s="769" t="s">
        <v>2260</v>
      </c>
      <c r="CJ466" s="774" t="s">
        <v>2260</v>
      </c>
      <c r="CK466" s="777" t="s">
        <v>2260</v>
      </c>
      <c r="CL466" s="769" t="s">
        <v>2260</v>
      </c>
      <c r="CM466" s="769" t="s">
        <v>2260</v>
      </c>
      <c r="CN466" s="769" t="s">
        <v>2260</v>
      </c>
      <c r="CO466" s="774" t="s">
        <v>2260</v>
      </c>
      <c r="CP466" s="777" t="s">
        <v>2260</v>
      </c>
      <c r="CQ466" s="769" t="s">
        <v>2260</v>
      </c>
      <c r="CR466" s="769" t="s">
        <v>2260</v>
      </c>
      <c r="CS466" s="769" t="s">
        <v>2260</v>
      </c>
      <c r="CT466" s="774" t="s">
        <v>2260</v>
      </c>
      <c r="CU466" s="1253">
        <v>-0.21099999999999999</v>
      </c>
      <c r="CV466" s="1252" t="s">
        <v>2260</v>
      </c>
      <c r="CW466" s="1252" t="s">
        <v>2260</v>
      </c>
      <c r="CX466" s="1254" t="s">
        <v>2260</v>
      </c>
      <c r="CY466" s="1252" t="s">
        <v>2260</v>
      </c>
      <c r="CZ466" s="1252" t="s">
        <v>2260</v>
      </c>
      <c r="DA466" s="1252" t="s">
        <v>2260</v>
      </c>
      <c r="DB466" s="1254" t="s">
        <v>2260</v>
      </c>
      <c r="DC466" s="754" t="s">
        <v>173</v>
      </c>
      <c r="DD466" s="782">
        <v>1</v>
      </c>
      <c r="DE466" s="783"/>
    </row>
    <row r="467" spans="1:109" ht="15.75" hidden="1" customHeight="1">
      <c r="A467" s="741" t="s">
        <v>1199</v>
      </c>
      <c r="B467" s="742">
        <v>461</v>
      </c>
      <c r="C467" s="758" t="s">
        <v>1461</v>
      </c>
      <c r="D467" s="742" t="s">
        <v>3739</v>
      </c>
      <c r="E467" s="742" t="s">
        <v>2231</v>
      </c>
      <c r="F467" s="754" t="s">
        <v>3744</v>
      </c>
      <c r="G467" s="759" t="s">
        <v>3745</v>
      </c>
      <c r="H467" s="760" t="s">
        <v>3746</v>
      </c>
      <c r="I467" s="761"/>
      <c r="J467" s="762"/>
      <c r="K467" s="762"/>
      <c r="L467" s="762"/>
      <c r="M467" s="762">
        <v>1</v>
      </c>
      <c r="N467" s="762"/>
      <c r="O467" s="762"/>
      <c r="P467" s="763"/>
      <c r="Q467" s="764">
        <f t="shared" si="7"/>
        <v>1</v>
      </c>
      <c r="R467" s="758" t="s">
        <v>2882</v>
      </c>
      <c r="S467" s="742" t="s">
        <v>1826</v>
      </c>
      <c r="T467" s="765" t="s">
        <v>1827</v>
      </c>
      <c r="U467" s="742" t="s">
        <v>2892</v>
      </c>
      <c r="V467" s="742" t="s">
        <v>321</v>
      </c>
      <c r="W467" s="742" t="s">
        <v>3747</v>
      </c>
      <c r="X467" s="1279">
        <v>2</v>
      </c>
      <c r="Y467" s="795" t="s">
        <v>1838</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210</v>
      </c>
      <c r="BM467" s="754" t="s">
        <v>210</v>
      </c>
      <c r="BN467" s="754" t="s">
        <v>210</v>
      </c>
      <c r="BO467" s="754" t="s">
        <v>210</v>
      </c>
      <c r="BP467" s="765" t="s">
        <v>210</v>
      </c>
      <c r="BQ467" s="777" t="s">
        <v>2260</v>
      </c>
      <c r="BR467" s="769" t="s">
        <v>2260</v>
      </c>
      <c r="BS467" s="769" t="s">
        <v>2260</v>
      </c>
      <c r="BT467" s="769" t="s">
        <v>2260</v>
      </c>
      <c r="BU467" s="774" t="s">
        <v>2260</v>
      </c>
      <c r="BV467" s="775">
        <v>4.16</v>
      </c>
      <c r="BW467" s="776">
        <v>4</v>
      </c>
      <c r="BX467" s="776">
        <v>3.83</v>
      </c>
      <c r="BY467" s="776">
        <v>3.67</v>
      </c>
      <c r="BZ467" s="776">
        <v>3.52</v>
      </c>
      <c r="CA467" s="777" t="s">
        <v>2260</v>
      </c>
      <c r="CB467" s="769" t="s">
        <v>2260</v>
      </c>
      <c r="CC467" s="769" t="s">
        <v>2260</v>
      </c>
      <c r="CD467" s="769" t="s">
        <v>2260</v>
      </c>
      <c r="CE467" s="774" t="s">
        <v>2260</v>
      </c>
      <c r="CF467" s="769" t="s">
        <v>2260</v>
      </c>
      <c r="CG467" s="769" t="s">
        <v>2260</v>
      </c>
      <c r="CH467" s="769" t="s">
        <v>2260</v>
      </c>
      <c r="CI467" s="769" t="s">
        <v>2260</v>
      </c>
      <c r="CJ467" s="774" t="s">
        <v>2260</v>
      </c>
      <c r="CK467" s="777">
        <v>3.16</v>
      </c>
      <c r="CL467" s="769">
        <v>3</v>
      </c>
      <c r="CM467" s="769">
        <v>2.83</v>
      </c>
      <c r="CN467" s="769">
        <v>2.67</v>
      </c>
      <c r="CO467" s="774">
        <v>2.5</v>
      </c>
      <c r="CP467" s="777" t="s">
        <v>2260</v>
      </c>
      <c r="CQ467" s="769" t="s">
        <v>2260</v>
      </c>
      <c r="CR467" s="769" t="s">
        <v>2260</v>
      </c>
      <c r="CS467" s="769" t="s">
        <v>2260</v>
      </c>
      <c r="CT467" s="774" t="s">
        <v>2260</v>
      </c>
      <c r="CU467" s="1253">
        <v>-7.71</v>
      </c>
      <c r="CV467" s="1252" t="s">
        <v>2260</v>
      </c>
      <c r="CW467" s="1252" t="s">
        <v>2260</v>
      </c>
      <c r="CX467" s="1254" t="s">
        <v>2260</v>
      </c>
      <c r="CY467" s="1252">
        <v>7.71</v>
      </c>
      <c r="CZ467" s="1252" t="s">
        <v>2260</v>
      </c>
      <c r="DA467" s="1252" t="s">
        <v>2260</v>
      </c>
      <c r="DB467" s="1254" t="s">
        <v>2260</v>
      </c>
      <c r="DC467" s="754" t="s">
        <v>173</v>
      </c>
      <c r="DD467" s="782">
        <v>1</v>
      </c>
      <c r="DE467" s="783"/>
    </row>
    <row r="468" spans="1:109" ht="15.75" hidden="1" customHeight="1">
      <c r="A468" s="741" t="s">
        <v>1199</v>
      </c>
      <c r="B468" s="742">
        <v>462</v>
      </c>
      <c r="C468" s="758" t="s">
        <v>1649</v>
      </c>
      <c r="D468" s="742" t="s">
        <v>3739</v>
      </c>
      <c r="E468" s="742" t="s">
        <v>2231</v>
      </c>
      <c r="F468" s="754" t="s">
        <v>3748</v>
      </c>
      <c r="G468" s="759" t="s">
        <v>3749</v>
      </c>
      <c r="H468" s="760" t="s">
        <v>3750</v>
      </c>
      <c r="I468" s="761"/>
      <c r="J468" s="762"/>
      <c r="K468" s="762"/>
      <c r="L468" s="762"/>
      <c r="M468" s="762">
        <v>1</v>
      </c>
      <c r="N468" s="762"/>
      <c r="O468" s="762"/>
      <c r="P468" s="763"/>
      <c r="Q468" s="764">
        <f t="shared" si="7"/>
        <v>1</v>
      </c>
      <c r="R468" s="758" t="s">
        <v>1825</v>
      </c>
      <c r="S468" s="742"/>
      <c r="T468" s="765"/>
      <c r="U468" s="742" t="s">
        <v>2329</v>
      </c>
      <c r="V468" s="742" t="s">
        <v>1857</v>
      </c>
      <c r="W468" s="742" t="s">
        <v>3751</v>
      </c>
      <c r="X468" s="1279">
        <v>0</v>
      </c>
      <c r="Y468" s="788" t="s">
        <v>1828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2260</v>
      </c>
      <c r="BR468" s="894" t="s">
        <v>2260</v>
      </c>
      <c r="BS468" s="894" t="s">
        <v>2260</v>
      </c>
      <c r="BT468" s="894" t="s">
        <v>2260</v>
      </c>
      <c r="BU468" s="788" t="s">
        <v>2260</v>
      </c>
      <c r="BV468" s="773" t="s">
        <v>2260</v>
      </c>
      <c r="BW468" s="894" t="s">
        <v>2260</v>
      </c>
      <c r="BX468" s="894" t="s">
        <v>2260</v>
      </c>
      <c r="BY468" s="894" t="s">
        <v>2260</v>
      </c>
      <c r="BZ468" s="894" t="s">
        <v>2260</v>
      </c>
      <c r="CA468" s="773" t="s">
        <v>2260</v>
      </c>
      <c r="CB468" s="894" t="s">
        <v>2260</v>
      </c>
      <c r="CC468" s="894" t="s">
        <v>2260</v>
      </c>
      <c r="CD468" s="894" t="s">
        <v>2260</v>
      </c>
      <c r="CE468" s="788" t="s">
        <v>2260</v>
      </c>
      <c r="CF468" s="894" t="s">
        <v>2260</v>
      </c>
      <c r="CG468" s="894" t="s">
        <v>2260</v>
      </c>
      <c r="CH468" s="894" t="s">
        <v>2260</v>
      </c>
      <c r="CI468" s="894" t="s">
        <v>2260</v>
      </c>
      <c r="CJ468" s="788" t="s">
        <v>2260</v>
      </c>
      <c r="CK468" s="773" t="s">
        <v>2260</v>
      </c>
      <c r="CL468" s="894" t="s">
        <v>2260</v>
      </c>
      <c r="CM468" s="894" t="s">
        <v>2260</v>
      </c>
      <c r="CN468" s="894" t="s">
        <v>2260</v>
      </c>
      <c r="CO468" s="788" t="s">
        <v>2260</v>
      </c>
      <c r="CP468" s="773" t="s">
        <v>2260</v>
      </c>
      <c r="CQ468" s="894" t="s">
        <v>2260</v>
      </c>
      <c r="CR468" s="894" t="s">
        <v>2260</v>
      </c>
      <c r="CS468" s="894" t="s">
        <v>2260</v>
      </c>
      <c r="CT468" s="788" t="s">
        <v>2260</v>
      </c>
      <c r="CU468" s="1253" t="s">
        <v>2260</v>
      </c>
      <c r="CV468" s="1252" t="s">
        <v>2260</v>
      </c>
      <c r="CW468" s="1252" t="s">
        <v>2260</v>
      </c>
      <c r="CX468" s="1254" t="s">
        <v>2260</v>
      </c>
      <c r="CY468" s="1252" t="s">
        <v>2260</v>
      </c>
      <c r="CZ468" s="1252" t="s">
        <v>2260</v>
      </c>
      <c r="DA468" s="1252" t="s">
        <v>2260</v>
      </c>
      <c r="DB468" s="1254" t="s">
        <v>2260</v>
      </c>
      <c r="DC468" s="754"/>
      <c r="DD468" s="782">
        <v>1</v>
      </c>
      <c r="DE468" s="783"/>
    </row>
    <row r="469" spans="1:109" ht="15.75" hidden="1" customHeight="1">
      <c r="A469" s="741" t="s">
        <v>1199</v>
      </c>
      <c r="B469" s="742">
        <v>463</v>
      </c>
      <c r="C469" s="758" t="s">
        <v>1193</v>
      </c>
      <c r="D469" s="742" t="s">
        <v>3739</v>
      </c>
      <c r="E469" s="742" t="s">
        <v>2217</v>
      </c>
      <c r="F469" s="754" t="s">
        <v>3752</v>
      </c>
      <c r="G469" s="759" t="s">
        <v>788</v>
      </c>
      <c r="H469" s="760" t="s">
        <v>3753</v>
      </c>
      <c r="I469" s="761"/>
      <c r="J469" s="762"/>
      <c r="K469" s="762">
        <v>1</v>
      </c>
      <c r="L469" s="762"/>
      <c r="M469" s="762"/>
      <c r="N469" s="762"/>
      <c r="O469" s="762"/>
      <c r="P469" s="763"/>
      <c r="Q469" s="764">
        <f t="shared" si="7"/>
        <v>1</v>
      </c>
      <c r="R469" s="758" t="s">
        <v>1846</v>
      </c>
      <c r="S469" s="742" t="s">
        <v>1826</v>
      </c>
      <c r="T469" s="765" t="s">
        <v>1827</v>
      </c>
      <c r="U469" s="742" t="s">
        <v>788</v>
      </c>
      <c r="V469" s="742" t="s">
        <v>1857</v>
      </c>
      <c r="W469" s="742" t="s">
        <v>3754</v>
      </c>
      <c r="X469" s="1280">
        <v>2</v>
      </c>
      <c r="Y469" s="788" t="s">
        <v>1838</v>
      </c>
      <c r="Z469" s="759" t="s">
        <v>788</v>
      </c>
      <c r="AA469" s="754"/>
      <c r="AB469" s="754"/>
      <c r="AC469" s="754"/>
      <c r="AD469" s="754"/>
      <c r="AE469" s="754"/>
      <c r="AF469" s="768"/>
      <c r="AG469" s="769"/>
      <c r="AH469" s="769"/>
      <c r="AI469" s="769"/>
      <c r="AJ469" s="769"/>
      <c r="AK469" s="769"/>
      <c r="AL469" s="769"/>
      <c r="AM469" s="769"/>
      <c r="AN469" s="769"/>
      <c r="AO469" s="769"/>
      <c r="AP469" s="769"/>
      <c r="AQ469" s="1370"/>
      <c r="AR469" s="1324"/>
      <c r="AS469" s="1324"/>
      <c r="AT469" s="1324"/>
      <c r="AU469" s="1325"/>
      <c r="AV469" s="777"/>
      <c r="AW469" s="769"/>
      <c r="AX469" s="769"/>
      <c r="AY469" s="769"/>
      <c r="AZ469" s="769"/>
      <c r="BA469" s="769"/>
      <c r="BB469" s="769"/>
      <c r="BC469" s="769"/>
      <c r="BD469" s="769"/>
      <c r="BE469" s="769"/>
      <c r="BF469" s="769"/>
      <c r="BG469" s="769"/>
      <c r="BH469" s="769"/>
      <c r="BI469" s="769"/>
      <c r="BJ469" s="769"/>
      <c r="BK469" s="774"/>
      <c r="BL469" s="1327"/>
      <c r="BM469" s="1328"/>
      <c r="BN469" s="1328"/>
      <c r="BO469" s="1328"/>
      <c r="BP469" s="1389"/>
      <c r="BQ469" s="1659"/>
      <c r="BR469" s="1719"/>
      <c r="BS469" s="1719"/>
      <c r="BT469" s="1719"/>
      <c r="BU469" s="1720"/>
      <c r="BV469" s="1370"/>
      <c r="BW469" s="1324"/>
      <c r="BX469" s="1324"/>
      <c r="BY469" s="1324"/>
      <c r="BZ469" s="1324"/>
      <c r="CA469" s="1659"/>
      <c r="CB469" s="1719"/>
      <c r="CC469" s="1719"/>
      <c r="CD469" s="1719"/>
      <c r="CE469" s="1720"/>
      <c r="CF469" s="1719"/>
      <c r="CG469" s="1719"/>
      <c r="CH469" s="1719"/>
      <c r="CI469" s="1719"/>
      <c r="CJ469" s="1720"/>
      <c r="CK469" s="1659"/>
      <c r="CL469" s="1719"/>
      <c r="CM469" s="1721"/>
      <c r="CN469" s="1719"/>
      <c r="CO469" s="1720"/>
      <c r="CP469" s="1659"/>
      <c r="CQ469" s="1719"/>
      <c r="CR469" s="1719"/>
      <c r="CS469" s="1719"/>
      <c r="CT469" s="1720"/>
      <c r="CU469" s="1467"/>
      <c r="CV469" s="1458"/>
      <c r="CW469" s="1458"/>
      <c r="CX469" s="1663"/>
      <c r="CY469" s="1458"/>
      <c r="CZ469" s="1458"/>
      <c r="DA469" s="1458"/>
      <c r="DB469" s="1663"/>
      <c r="DC469" s="1328"/>
      <c r="DD469" s="1664"/>
      <c r="DE469" s="1669"/>
    </row>
    <row r="470" spans="1:109" ht="15.75" hidden="1" customHeight="1">
      <c r="A470" s="741" t="s">
        <v>1199</v>
      </c>
      <c r="B470" s="742">
        <v>464</v>
      </c>
      <c r="C470" s="897" t="s">
        <v>1533</v>
      </c>
      <c r="D470" s="742" t="s">
        <v>3739</v>
      </c>
      <c r="E470" s="742"/>
      <c r="F470" s="754" t="s">
        <v>3755</v>
      </c>
      <c r="G470" s="759" t="s">
        <v>3756</v>
      </c>
      <c r="H470" s="760" t="s">
        <v>3757</v>
      </c>
      <c r="I470" s="761">
        <v>0.10639999999999999</v>
      </c>
      <c r="J470" s="762">
        <v>2.4400000000000002E-2</v>
      </c>
      <c r="K470" s="762">
        <v>0.86919999999999997</v>
      </c>
      <c r="L470" s="762"/>
      <c r="M470" s="762"/>
      <c r="N470" s="762"/>
      <c r="O470" s="762"/>
      <c r="P470" s="763"/>
      <c r="Q470" s="764">
        <f t="shared" si="7"/>
        <v>1</v>
      </c>
      <c r="R470" s="758" t="s">
        <v>1846</v>
      </c>
      <c r="S470" s="742" t="s">
        <v>1826</v>
      </c>
      <c r="T470" s="765" t="s">
        <v>1827</v>
      </c>
      <c r="U470" s="742"/>
      <c r="V470" s="1217" t="s">
        <v>1857</v>
      </c>
      <c r="W470" s="742"/>
      <c r="X470" s="1279">
        <v>0</v>
      </c>
      <c r="Y470" s="767" t="s">
        <v>1828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210</v>
      </c>
      <c r="BM470" s="896" t="s">
        <v>210</v>
      </c>
      <c r="BN470" s="896" t="s">
        <v>210</v>
      </c>
      <c r="BO470" s="896" t="s">
        <v>210</v>
      </c>
      <c r="BP470" s="765" t="s">
        <v>210</v>
      </c>
      <c r="BQ470" s="773" t="s">
        <v>2260</v>
      </c>
      <c r="BR470" s="894" t="s">
        <v>2260</v>
      </c>
      <c r="BS470" s="894" t="s">
        <v>2260</v>
      </c>
      <c r="BT470" s="894" t="s">
        <v>2260</v>
      </c>
      <c r="BU470" s="788" t="s">
        <v>2260</v>
      </c>
      <c r="BV470" s="777" t="s">
        <v>2260</v>
      </c>
      <c r="BW470" s="769" t="s">
        <v>2260</v>
      </c>
      <c r="BX470" s="769" t="s">
        <v>2260</v>
      </c>
      <c r="BY470" s="769" t="s">
        <v>2260</v>
      </c>
      <c r="BZ470" s="769" t="s">
        <v>2260</v>
      </c>
      <c r="CA470" s="773" t="s">
        <v>2260</v>
      </c>
      <c r="CB470" s="894" t="s">
        <v>2260</v>
      </c>
      <c r="CC470" s="894" t="s">
        <v>2260</v>
      </c>
      <c r="CD470" s="894" t="s">
        <v>2260</v>
      </c>
      <c r="CE470" s="788" t="s">
        <v>2260</v>
      </c>
      <c r="CF470" s="894" t="s">
        <v>2260</v>
      </c>
      <c r="CG470" s="894" t="s">
        <v>2260</v>
      </c>
      <c r="CH470" s="894" t="s">
        <v>2260</v>
      </c>
      <c r="CI470" s="894" t="s">
        <v>2260</v>
      </c>
      <c r="CJ470" s="788" t="s">
        <v>2260</v>
      </c>
      <c r="CK470" s="773" t="s">
        <v>2260</v>
      </c>
      <c r="CL470" s="894" t="s">
        <v>2260</v>
      </c>
      <c r="CM470" s="895" t="s">
        <v>2260</v>
      </c>
      <c r="CN470" s="894" t="s">
        <v>2260</v>
      </c>
      <c r="CO470" s="788" t="s">
        <v>2260</v>
      </c>
      <c r="CP470" s="773" t="s">
        <v>2260</v>
      </c>
      <c r="CQ470" s="894" t="s">
        <v>2260</v>
      </c>
      <c r="CR470" s="894" t="s">
        <v>2260</v>
      </c>
      <c r="CS470" s="894" t="s">
        <v>2260</v>
      </c>
      <c r="CT470" s="788" t="s">
        <v>2260</v>
      </c>
      <c r="CU470" s="1253">
        <v>-5.1299999999999998E-2</v>
      </c>
      <c r="CV470" s="1252" t="s">
        <v>2260</v>
      </c>
      <c r="CW470" s="1252" t="s">
        <v>2260</v>
      </c>
      <c r="CX470" s="1254" t="s">
        <v>2260</v>
      </c>
      <c r="CY470" s="1252" t="s">
        <v>2260</v>
      </c>
      <c r="CZ470" s="1252" t="s">
        <v>2260</v>
      </c>
      <c r="DA470" s="1252" t="s">
        <v>2260</v>
      </c>
      <c r="DB470" s="1254" t="s">
        <v>2260</v>
      </c>
      <c r="DC470" s="754"/>
      <c r="DD470" s="782"/>
      <c r="DE470" s="783"/>
    </row>
    <row r="471" spans="1:109" ht="15.75" hidden="1" customHeight="1">
      <c r="A471" s="741" t="s">
        <v>1199</v>
      </c>
      <c r="B471" s="742">
        <v>465</v>
      </c>
      <c r="C471" s="758" t="s">
        <v>1543</v>
      </c>
      <c r="D471" s="742" t="s">
        <v>3739</v>
      </c>
      <c r="E471" s="742" t="s">
        <v>2231</v>
      </c>
      <c r="F471" s="754" t="s">
        <v>3758</v>
      </c>
      <c r="G471" s="759" t="s">
        <v>3759</v>
      </c>
      <c r="H471" s="760" t="s">
        <v>3760</v>
      </c>
      <c r="I471" s="761"/>
      <c r="J471" s="762"/>
      <c r="K471" s="762"/>
      <c r="L471" s="762">
        <v>1</v>
      </c>
      <c r="M471" s="762"/>
      <c r="N471" s="762"/>
      <c r="O471" s="762"/>
      <c r="P471" s="763"/>
      <c r="Q471" s="764">
        <f t="shared" si="7"/>
        <v>1</v>
      </c>
      <c r="R471" s="758" t="s">
        <v>1846</v>
      </c>
      <c r="S471" s="742" t="s">
        <v>1826</v>
      </c>
      <c r="T471" s="765" t="s">
        <v>1827</v>
      </c>
      <c r="U471" s="742" t="s">
        <v>815</v>
      </c>
      <c r="V471" s="742" t="s">
        <v>321</v>
      </c>
      <c r="W471" s="742" t="s">
        <v>2016</v>
      </c>
      <c r="X471" s="1279">
        <v>1</v>
      </c>
      <c r="Y471" s="767" t="s">
        <v>1828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210</v>
      </c>
      <c r="BM471" s="754" t="s">
        <v>210</v>
      </c>
      <c r="BN471" s="754" t="s">
        <v>210</v>
      </c>
      <c r="BO471" s="754" t="s">
        <v>210</v>
      </c>
      <c r="BP471" s="765" t="s">
        <v>210</v>
      </c>
      <c r="BQ471" s="773" t="s">
        <v>2260</v>
      </c>
      <c r="BR471" s="769" t="s">
        <v>2260</v>
      </c>
      <c r="BS471" s="769" t="s">
        <v>2260</v>
      </c>
      <c r="BT471" s="769" t="s">
        <v>2260</v>
      </c>
      <c r="BU471" s="774" t="s">
        <v>2260</v>
      </c>
      <c r="BV471" s="777" t="s">
        <v>2260</v>
      </c>
      <c r="BW471" s="769" t="s">
        <v>2260</v>
      </c>
      <c r="BX471" s="769" t="s">
        <v>2260</v>
      </c>
      <c r="BY471" s="769" t="s">
        <v>2260</v>
      </c>
      <c r="BZ471" s="769" t="s">
        <v>2260</v>
      </c>
      <c r="CA471" s="777" t="s">
        <v>2260</v>
      </c>
      <c r="CB471" s="769" t="s">
        <v>2260</v>
      </c>
      <c r="CC471" s="769" t="s">
        <v>2260</v>
      </c>
      <c r="CD471" s="769" t="s">
        <v>2260</v>
      </c>
      <c r="CE471" s="774" t="s">
        <v>2260</v>
      </c>
      <c r="CF471" s="769" t="s">
        <v>2260</v>
      </c>
      <c r="CG471" s="769" t="s">
        <v>2260</v>
      </c>
      <c r="CH471" s="769" t="s">
        <v>2260</v>
      </c>
      <c r="CI471" s="769" t="s">
        <v>2260</v>
      </c>
      <c r="CJ471" s="774" t="s">
        <v>2260</v>
      </c>
      <c r="CK471" s="777" t="s">
        <v>2260</v>
      </c>
      <c r="CL471" s="769" t="s">
        <v>2260</v>
      </c>
      <c r="CM471" s="769" t="s">
        <v>2260</v>
      </c>
      <c r="CN471" s="769" t="s">
        <v>2260</v>
      </c>
      <c r="CO471" s="774" t="s">
        <v>2260</v>
      </c>
      <c r="CP471" s="777" t="s">
        <v>2260</v>
      </c>
      <c r="CQ471" s="769" t="s">
        <v>2260</v>
      </c>
      <c r="CR471" s="769" t="s">
        <v>2260</v>
      </c>
      <c r="CS471" s="769" t="s">
        <v>2260</v>
      </c>
      <c r="CT471" s="774" t="s">
        <v>2260</v>
      </c>
      <c r="CU471" s="1253">
        <v>-0.41299999999999998</v>
      </c>
      <c r="CV471" s="1252" t="s">
        <v>2260</v>
      </c>
      <c r="CW471" s="1252" t="s">
        <v>2260</v>
      </c>
      <c r="CX471" s="1254" t="s">
        <v>2260</v>
      </c>
      <c r="CY471" s="1252" t="s">
        <v>2260</v>
      </c>
      <c r="CZ471" s="1252" t="s">
        <v>2260</v>
      </c>
      <c r="DA471" s="1252" t="s">
        <v>2260</v>
      </c>
      <c r="DB471" s="1254" t="s">
        <v>2260</v>
      </c>
      <c r="DC471" s="754"/>
      <c r="DD471" s="782">
        <v>1</v>
      </c>
      <c r="DE471" s="783"/>
    </row>
    <row r="472" spans="1:109" ht="15.75" hidden="1" customHeight="1">
      <c r="A472" s="741" t="s">
        <v>1199</v>
      </c>
      <c r="B472" s="742">
        <v>466</v>
      </c>
      <c r="C472" s="758" t="s">
        <v>1552</v>
      </c>
      <c r="D472" s="742" t="s">
        <v>3739</v>
      </c>
      <c r="E472" s="742" t="s">
        <v>2231</v>
      </c>
      <c r="F472" s="754" t="s">
        <v>3761</v>
      </c>
      <c r="G472" s="759" t="s">
        <v>3762</v>
      </c>
      <c r="H472" s="760" t="s">
        <v>3763</v>
      </c>
      <c r="I472" s="761"/>
      <c r="J472" s="762"/>
      <c r="K472" s="762"/>
      <c r="L472" s="762"/>
      <c r="M472" s="762"/>
      <c r="N472" s="762"/>
      <c r="O472" s="762"/>
      <c r="P472" s="763">
        <v>1</v>
      </c>
      <c r="Q472" s="764">
        <f t="shared" si="7"/>
        <v>1</v>
      </c>
      <c r="R472" s="758" t="s">
        <v>1846</v>
      </c>
      <c r="S472" s="742" t="s">
        <v>1826</v>
      </c>
      <c r="T472" s="765" t="s">
        <v>1827</v>
      </c>
      <c r="U472" s="742" t="s">
        <v>2234</v>
      </c>
      <c r="V472" s="1217" t="s">
        <v>1857</v>
      </c>
      <c r="W472" s="742" t="s">
        <v>3764</v>
      </c>
      <c r="X472" s="1279">
        <v>0</v>
      </c>
      <c r="Y472" s="767" t="s">
        <v>1838</v>
      </c>
      <c r="Z472" s="759"/>
      <c r="AA472" s="754"/>
      <c r="AB472" s="754"/>
      <c r="AC472" s="754"/>
      <c r="AD472" s="754"/>
      <c r="AE472" s="754"/>
      <c r="AF472" s="768"/>
      <c r="AG472" s="769"/>
      <c r="AH472" s="769"/>
      <c r="AI472" s="769"/>
      <c r="AJ472" s="769"/>
      <c r="AK472" s="769"/>
      <c r="AL472" s="769"/>
      <c r="AM472" s="769"/>
      <c r="AN472" s="769"/>
      <c r="AO472" s="769"/>
      <c r="AP472" s="769"/>
      <c r="AQ472" s="777" t="s">
        <v>1001</v>
      </c>
      <c r="AR472" s="769" t="s">
        <v>1001</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210</v>
      </c>
      <c r="BM472" s="754" t="s">
        <v>210</v>
      </c>
      <c r="BN472" s="754" t="s">
        <v>210</v>
      </c>
      <c r="BO472" s="754" t="s">
        <v>210</v>
      </c>
      <c r="BP472" s="765" t="s">
        <v>210</v>
      </c>
      <c r="BQ472" s="777" t="s">
        <v>2260</v>
      </c>
      <c r="BR472" s="769" t="s">
        <v>2260</v>
      </c>
      <c r="BS472" s="769" t="s">
        <v>2260</v>
      </c>
      <c r="BT472" s="769" t="s">
        <v>2260</v>
      </c>
      <c r="BU472" s="774" t="s">
        <v>2260</v>
      </c>
      <c r="BV472" s="777" t="s">
        <v>2260</v>
      </c>
      <c r="BW472" s="769" t="s">
        <v>2260</v>
      </c>
      <c r="BX472" s="769" t="s">
        <v>2260</v>
      </c>
      <c r="BY472" s="769" t="s">
        <v>2260</v>
      </c>
      <c r="BZ472" s="769" t="s">
        <v>2260</v>
      </c>
      <c r="CA472" s="777" t="s">
        <v>2260</v>
      </c>
      <c r="CB472" s="769" t="s">
        <v>2260</v>
      </c>
      <c r="CC472" s="769" t="s">
        <v>2260</v>
      </c>
      <c r="CD472" s="769" t="s">
        <v>2260</v>
      </c>
      <c r="CE472" s="774" t="s">
        <v>2260</v>
      </c>
      <c r="CF472" s="769" t="s">
        <v>2260</v>
      </c>
      <c r="CG472" s="769" t="s">
        <v>2260</v>
      </c>
      <c r="CH472" s="769" t="s">
        <v>2260</v>
      </c>
      <c r="CI472" s="769" t="s">
        <v>2260</v>
      </c>
      <c r="CJ472" s="774" t="s">
        <v>2260</v>
      </c>
      <c r="CK472" s="777" t="s">
        <v>2260</v>
      </c>
      <c r="CL472" s="769" t="s">
        <v>2260</v>
      </c>
      <c r="CM472" s="769" t="s">
        <v>2260</v>
      </c>
      <c r="CN472" s="769" t="s">
        <v>2260</v>
      </c>
      <c r="CO472" s="774" t="s">
        <v>2260</v>
      </c>
      <c r="CP472" s="777" t="s">
        <v>2260</v>
      </c>
      <c r="CQ472" s="769" t="s">
        <v>2260</v>
      </c>
      <c r="CR472" s="769" t="s">
        <v>2260</v>
      </c>
      <c r="CS472" s="769" t="s">
        <v>2260</v>
      </c>
      <c r="CT472" s="774" t="s">
        <v>2260</v>
      </c>
      <c r="CU472" s="1253">
        <v>-9.6600000000000005E-2</v>
      </c>
      <c r="CV472" s="1252" t="s">
        <v>2260</v>
      </c>
      <c r="CW472" s="1252" t="s">
        <v>2260</v>
      </c>
      <c r="CX472" s="1254" t="s">
        <v>2260</v>
      </c>
      <c r="CY472" s="1252" t="s">
        <v>2260</v>
      </c>
      <c r="CZ472" s="1252" t="s">
        <v>2260</v>
      </c>
      <c r="DA472" s="1252" t="s">
        <v>2260</v>
      </c>
      <c r="DB472" s="1254" t="s">
        <v>2260</v>
      </c>
      <c r="DC472" s="754" t="s">
        <v>173</v>
      </c>
      <c r="DD472" s="782">
        <v>1</v>
      </c>
      <c r="DE472" s="783"/>
    </row>
    <row r="473" spans="1:109" ht="15.75" hidden="1" customHeight="1">
      <c r="A473" s="741" t="s">
        <v>1199</v>
      </c>
      <c r="B473" s="742">
        <v>467</v>
      </c>
      <c r="C473" s="758" t="s">
        <v>1665</v>
      </c>
      <c r="D473" s="742" t="s">
        <v>3739</v>
      </c>
      <c r="E473" s="742" t="s">
        <v>2223</v>
      </c>
      <c r="F473" s="754" t="s">
        <v>3765</v>
      </c>
      <c r="G473" s="759" t="s">
        <v>3766</v>
      </c>
      <c r="H473" s="760" t="s">
        <v>3767</v>
      </c>
      <c r="I473" s="761"/>
      <c r="J473" s="762"/>
      <c r="K473" s="762"/>
      <c r="L473" s="762"/>
      <c r="M473" s="762"/>
      <c r="N473" s="762"/>
      <c r="O473" s="762"/>
      <c r="P473" s="763">
        <v>1</v>
      </c>
      <c r="Q473" s="764">
        <f t="shared" si="7"/>
        <v>1</v>
      </c>
      <c r="R473" s="758" t="s">
        <v>1825</v>
      </c>
      <c r="S473" s="742"/>
      <c r="T473" s="765"/>
      <c r="U473" s="742" t="s">
        <v>2610</v>
      </c>
      <c r="V473" s="742" t="s">
        <v>1897</v>
      </c>
      <c r="W473" s="742" t="s">
        <v>3768</v>
      </c>
      <c r="X473" s="1279">
        <v>1</v>
      </c>
      <c r="Y473" s="767" t="s">
        <v>1828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2260</v>
      </c>
      <c r="BR473" s="769" t="s">
        <v>2260</v>
      </c>
      <c r="BS473" s="769" t="s">
        <v>2260</v>
      </c>
      <c r="BT473" s="769" t="s">
        <v>2260</v>
      </c>
      <c r="BU473" s="774" t="s">
        <v>2260</v>
      </c>
      <c r="BV473" s="777" t="s">
        <v>2260</v>
      </c>
      <c r="BW473" s="769" t="s">
        <v>2260</v>
      </c>
      <c r="BX473" s="769" t="s">
        <v>2260</v>
      </c>
      <c r="BY473" s="769" t="s">
        <v>2260</v>
      </c>
      <c r="BZ473" s="769" t="s">
        <v>2260</v>
      </c>
      <c r="CA473" s="777" t="s">
        <v>2260</v>
      </c>
      <c r="CB473" s="769" t="s">
        <v>2260</v>
      </c>
      <c r="CC473" s="769" t="s">
        <v>2260</v>
      </c>
      <c r="CD473" s="769" t="s">
        <v>2260</v>
      </c>
      <c r="CE473" s="774" t="s">
        <v>2260</v>
      </c>
      <c r="CF473" s="769" t="s">
        <v>2260</v>
      </c>
      <c r="CG473" s="769" t="s">
        <v>2260</v>
      </c>
      <c r="CH473" s="769" t="s">
        <v>2260</v>
      </c>
      <c r="CI473" s="769" t="s">
        <v>2260</v>
      </c>
      <c r="CJ473" s="769" t="s">
        <v>2260</v>
      </c>
      <c r="CK473" s="777" t="s">
        <v>2260</v>
      </c>
      <c r="CL473" s="769" t="s">
        <v>2260</v>
      </c>
      <c r="CM473" s="769" t="s">
        <v>2260</v>
      </c>
      <c r="CN473" s="769" t="s">
        <v>2260</v>
      </c>
      <c r="CO473" s="774" t="s">
        <v>2260</v>
      </c>
      <c r="CP473" s="777" t="s">
        <v>2260</v>
      </c>
      <c r="CQ473" s="769" t="s">
        <v>2260</v>
      </c>
      <c r="CR473" s="769" t="s">
        <v>2260</v>
      </c>
      <c r="CS473" s="769" t="s">
        <v>2260</v>
      </c>
      <c r="CT473" s="774" t="s">
        <v>2260</v>
      </c>
      <c r="CU473" s="1253" t="s">
        <v>2260</v>
      </c>
      <c r="CV473" s="1252" t="s">
        <v>2260</v>
      </c>
      <c r="CW473" s="1252" t="s">
        <v>2260</v>
      </c>
      <c r="CX473" s="1254" t="s">
        <v>2260</v>
      </c>
      <c r="CY473" s="1252" t="s">
        <v>2260</v>
      </c>
      <c r="CZ473" s="1252" t="s">
        <v>2260</v>
      </c>
      <c r="DA473" s="1252" t="s">
        <v>2260</v>
      </c>
      <c r="DB473" s="1254" t="s">
        <v>2260</v>
      </c>
      <c r="DC473" s="754"/>
      <c r="DD473" s="782">
        <v>1</v>
      </c>
      <c r="DE473" s="783"/>
    </row>
    <row r="474" spans="1:109" ht="15.75" hidden="1" customHeight="1">
      <c r="A474" s="741" t="s">
        <v>1199</v>
      </c>
      <c r="B474" s="742">
        <v>468</v>
      </c>
      <c r="C474" s="758" t="s">
        <v>1561</v>
      </c>
      <c r="D474" s="742" t="s">
        <v>3739</v>
      </c>
      <c r="E474" s="742" t="s">
        <v>2231</v>
      </c>
      <c r="F474" s="754" t="s">
        <v>3769</v>
      </c>
      <c r="G474" s="759" t="s">
        <v>3770</v>
      </c>
      <c r="H474" s="760" t="s">
        <v>3771</v>
      </c>
      <c r="I474" s="761"/>
      <c r="J474" s="762"/>
      <c r="K474" s="762">
        <v>0.5</v>
      </c>
      <c r="L474" s="762"/>
      <c r="M474" s="762"/>
      <c r="N474" s="762"/>
      <c r="O474" s="762"/>
      <c r="P474" s="763">
        <v>0.5</v>
      </c>
      <c r="Q474" s="764">
        <f t="shared" si="7"/>
        <v>1</v>
      </c>
      <c r="R474" s="758" t="s">
        <v>1846</v>
      </c>
      <c r="S474" s="742" t="s">
        <v>1826</v>
      </c>
      <c r="T474" s="765" t="s">
        <v>1827</v>
      </c>
      <c r="U474" s="742" t="s">
        <v>2482</v>
      </c>
      <c r="V474" s="742" t="s">
        <v>1890</v>
      </c>
      <c r="W474" s="742" t="s">
        <v>3772</v>
      </c>
      <c r="X474" s="1279">
        <v>0</v>
      </c>
      <c r="Y474" s="767" t="s">
        <v>1838</v>
      </c>
      <c r="Z474" s="759"/>
      <c r="AA474" s="754"/>
      <c r="AB474" s="754"/>
      <c r="AC474" s="754"/>
      <c r="AD474" s="754"/>
      <c r="AE474" s="754"/>
      <c r="AF474" s="768"/>
      <c r="AG474" s="769"/>
      <c r="AH474" s="769"/>
      <c r="AI474" s="769"/>
      <c r="AJ474" s="769"/>
      <c r="AK474" s="769"/>
      <c r="AL474" s="769"/>
      <c r="AM474" s="769"/>
      <c r="AN474" s="769"/>
      <c r="AO474" s="769"/>
      <c r="AP474" s="769"/>
      <c r="AQ474" s="777" t="s">
        <v>1001</v>
      </c>
      <c r="AR474" s="769" t="s">
        <v>1001</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210</v>
      </c>
      <c r="BM474" s="754" t="s">
        <v>210</v>
      </c>
      <c r="BN474" s="754" t="s">
        <v>210</v>
      </c>
      <c r="BO474" s="754" t="s">
        <v>210</v>
      </c>
      <c r="BP474" s="765" t="s">
        <v>210</v>
      </c>
      <c r="BQ474" s="777" t="s">
        <v>2260</v>
      </c>
      <c r="BR474" s="769" t="s">
        <v>2260</v>
      </c>
      <c r="BS474" s="769" t="s">
        <v>2260</v>
      </c>
      <c r="BT474" s="769" t="s">
        <v>2260</v>
      </c>
      <c r="BU474" s="774" t="s">
        <v>2260</v>
      </c>
      <c r="BV474" s="777" t="s">
        <v>2260</v>
      </c>
      <c r="BW474" s="769" t="s">
        <v>2260</v>
      </c>
      <c r="BX474" s="769" t="s">
        <v>2260</v>
      </c>
      <c r="BY474" s="769" t="s">
        <v>2260</v>
      </c>
      <c r="BZ474" s="769" t="s">
        <v>2260</v>
      </c>
      <c r="CA474" s="777" t="s">
        <v>2260</v>
      </c>
      <c r="CB474" s="769" t="s">
        <v>2260</v>
      </c>
      <c r="CC474" s="769" t="s">
        <v>2260</v>
      </c>
      <c r="CD474" s="769" t="s">
        <v>2260</v>
      </c>
      <c r="CE474" s="774" t="s">
        <v>2260</v>
      </c>
      <c r="CF474" s="769" t="s">
        <v>2260</v>
      </c>
      <c r="CG474" s="769" t="s">
        <v>2260</v>
      </c>
      <c r="CH474" s="769" t="s">
        <v>2260</v>
      </c>
      <c r="CI474" s="769" t="s">
        <v>2260</v>
      </c>
      <c r="CJ474" s="774" t="s">
        <v>2260</v>
      </c>
      <c r="CK474" s="777" t="s">
        <v>2260</v>
      </c>
      <c r="CL474" s="769" t="s">
        <v>2260</v>
      </c>
      <c r="CM474" s="769" t="s">
        <v>2260</v>
      </c>
      <c r="CN474" s="769" t="s">
        <v>2260</v>
      </c>
      <c r="CO474" s="774" t="s">
        <v>2260</v>
      </c>
      <c r="CP474" s="777" t="s">
        <v>2260</v>
      </c>
      <c r="CQ474" s="769" t="s">
        <v>2260</v>
      </c>
      <c r="CR474" s="769" t="s">
        <v>2260</v>
      </c>
      <c r="CS474" s="769" t="s">
        <v>2260</v>
      </c>
      <c r="CT474" s="774" t="s">
        <v>2260</v>
      </c>
      <c r="CU474" s="1253">
        <v>-6.2590000000000003</v>
      </c>
      <c r="CV474" s="1252" t="s">
        <v>2260</v>
      </c>
      <c r="CW474" s="1252" t="s">
        <v>2260</v>
      </c>
      <c r="CX474" s="1254" t="s">
        <v>2260</v>
      </c>
      <c r="CY474" s="1252" t="s">
        <v>2260</v>
      </c>
      <c r="CZ474" s="1252" t="s">
        <v>2260</v>
      </c>
      <c r="DA474" s="1252" t="s">
        <v>2260</v>
      </c>
      <c r="DB474" s="1254" t="s">
        <v>2260</v>
      </c>
      <c r="DC474" s="754" t="s">
        <v>173</v>
      </c>
      <c r="DD474" s="782">
        <v>1</v>
      </c>
      <c r="DE474" s="783"/>
    </row>
    <row r="475" spans="1:109" ht="15.75" hidden="1" customHeight="1">
      <c r="A475" s="741" t="s">
        <v>1199</v>
      </c>
      <c r="B475" s="742">
        <v>469</v>
      </c>
      <c r="C475" s="758" t="s">
        <v>1679</v>
      </c>
      <c r="D475" s="742" t="s">
        <v>3739</v>
      </c>
      <c r="E475" s="742" t="s">
        <v>2231</v>
      </c>
      <c r="F475" s="754" t="s">
        <v>3773</v>
      </c>
      <c r="G475" s="759" t="s">
        <v>3774</v>
      </c>
      <c r="H475" s="760"/>
      <c r="I475" s="761"/>
      <c r="J475" s="762"/>
      <c r="K475" s="762"/>
      <c r="L475" s="762"/>
      <c r="M475" s="762"/>
      <c r="N475" s="762"/>
      <c r="O475" s="762"/>
      <c r="P475" s="763"/>
      <c r="Q475" s="764">
        <f t="shared" si="7"/>
        <v>0</v>
      </c>
      <c r="R475" s="758" t="s">
        <v>1825</v>
      </c>
      <c r="S475" s="742"/>
      <c r="T475" s="765"/>
      <c r="U475" s="742"/>
      <c r="V475" s="742" t="s">
        <v>321</v>
      </c>
      <c r="W475" s="742" t="s">
        <v>3775</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2260</v>
      </c>
      <c r="BR475" s="769" t="s">
        <v>2260</v>
      </c>
      <c r="BS475" s="769" t="s">
        <v>2260</v>
      </c>
      <c r="BT475" s="769" t="s">
        <v>2260</v>
      </c>
      <c r="BU475" s="774" t="s">
        <v>2260</v>
      </c>
      <c r="BV475" s="777" t="s">
        <v>2260</v>
      </c>
      <c r="BW475" s="769" t="s">
        <v>2260</v>
      </c>
      <c r="BX475" s="769" t="s">
        <v>2260</v>
      </c>
      <c r="BY475" s="769" t="s">
        <v>2260</v>
      </c>
      <c r="BZ475" s="769" t="s">
        <v>2260</v>
      </c>
      <c r="CA475" s="777" t="s">
        <v>2260</v>
      </c>
      <c r="CB475" s="769" t="s">
        <v>2260</v>
      </c>
      <c r="CC475" s="769" t="s">
        <v>2260</v>
      </c>
      <c r="CD475" s="769" t="s">
        <v>2260</v>
      </c>
      <c r="CE475" s="774" t="s">
        <v>2260</v>
      </c>
      <c r="CF475" s="769" t="s">
        <v>2260</v>
      </c>
      <c r="CG475" s="769" t="s">
        <v>2260</v>
      </c>
      <c r="CH475" s="769" t="s">
        <v>2260</v>
      </c>
      <c r="CI475" s="769" t="s">
        <v>2260</v>
      </c>
      <c r="CJ475" s="774" t="s">
        <v>2260</v>
      </c>
      <c r="CK475" s="777" t="s">
        <v>2260</v>
      </c>
      <c r="CL475" s="769" t="s">
        <v>2260</v>
      </c>
      <c r="CM475" s="769" t="s">
        <v>2260</v>
      </c>
      <c r="CN475" s="769" t="s">
        <v>2260</v>
      </c>
      <c r="CO475" s="774" t="s">
        <v>2260</v>
      </c>
      <c r="CP475" s="777" t="s">
        <v>2260</v>
      </c>
      <c r="CQ475" s="769" t="s">
        <v>2260</v>
      </c>
      <c r="CR475" s="769" t="s">
        <v>2260</v>
      </c>
      <c r="CS475" s="769" t="s">
        <v>2260</v>
      </c>
      <c r="CT475" s="774" t="s">
        <v>2260</v>
      </c>
      <c r="CU475" s="1253" t="s">
        <v>2260</v>
      </c>
      <c r="CV475" s="1252" t="s">
        <v>2260</v>
      </c>
      <c r="CW475" s="1252" t="s">
        <v>2260</v>
      </c>
      <c r="CX475" s="1254" t="s">
        <v>2260</v>
      </c>
      <c r="CY475" s="1252" t="s">
        <v>2260</v>
      </c>
      <c r="CZ475" s="1252" t="s">
        <v>2260</v>
      </c>
      <c r="DA475" s="1252" t="s">
        <v>2260</v>
      </c>
      <c r="DB475" s="1254" t="s">
        <v>2260</v>
      </c>
      <c r="DC475" s="754"/>
      <c r="DD475" s="782"/>
      <c r="DE475" s="783"/>
    </row>
    <row r="476" spans="1:109" ht="15.75" hidden="1" customHeight="1">
      <c r="A476" s="741" t="s">
        <v>1199</v>
      </c>
      <c r="B476" s="742">
        <v>470</v>
      </c>
      <c r="C476" s="758" t="s">
        <v>1691</v>
      </c>
      <c r="D476" s="742" t="s">
        <v>3739</v>
      </c>
      <c r="E476" s="742" t="s">
        <v>2231</v>
      </c>
      <c r="F476" s="754" t="s">
        <v>3776</v>
      </c>
      <c r="G476" s="759" t="s">
        <v>3777</v>
      </c>
      <c r="H476" s="760"/>
      <c r="I476" s="761"/>
      <c r="J476" s="762"/>
      <c r="K476" s="762"/>
      <c r="L476" s="762"/>
      <c r="M476" s="762"/>
      <c r="N476" s="762"/>
      <c r="O476" s="762"/>
      <c r="P476" s="763">
        <v>1</v>
      </c>
      <c r="Q476" s="764">
        <f t="shared" si="7"/>
        <v>1</v>
      </c>
      <c r="R476" s="758" t="s">
        <v>1825</v>
      </c>
      <c r="S476" s="742"/>
      <c r="T476" s="765"/>
      <c r="U476" s="742"/>
      <c r="V476" s="742" t="s">
        <v>165</v>
      </c>
      <c r="W476" s="742"/>
      <c r="X476" s="1279">
        <v>1</v>
      </c>
      <c r="Y476" s="767" t="s">
        <v>1828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210</v>
      </c>
      <c r="BM476" s="754" t="s">
        <v>210</v>
      </c>
      <c r="BN476" s="754" t="s">
        <v>210</v>
      </c>
      <c r="BO476" s="754" t="s">
        <v>210</v>
      </c>
      <c r="BP476" s="765" t="s">
        <v>210</v>
      </c>
      <c r="BQ476" s="777" t="s">
        <v>2260</v>
      </c>
      <c r="BR476" s="769" t="s">
        <v>2260</v>
      </c>
      <c r="BS476" s="769" t="s">
        <v>2260</v>
      </c>
      <c r="BT476" s="769" t="s">
        <v>2260</v>
      </c>
      <c r="BU476" s="774" t="s">
        <v>2260</v>
      </c>
      <c r="BV476" s="777" t="s">
        <v>2260</v>
      </c>
      <c r="BW476" s="769" t="s">
        <v>2260</v>
      </c>
      <c r="BX476" s="769" t="s">
        <v>2260</v>
      </c>
      <c r="BY476" s="769" t="s">
        <v>2260</v>
      </c>
      <c r="BZ476" s="769" t="s">
        <v>2260</v>
      </c>
      <c r="CA476" s="777" t="s">
        <v>2260</v>
      </c>
      <c r="CB476" s="769" t="s">
        <v>2260</v>
      </c>
      <c r="CC476" s="769" t="s">
        <v>2260</v>
      </c>
      <c r="CD476" s="769" t="s">
        <v>2260</v>
      </c>
      <c r="CE476" s="774" t="s">
        <v>2260</v>
      </c>
      <c r="CF476" s="769" t="s">
        <v>2260</v>
      </c>
      <c r="CG476" s="769" t="s">
        <v>2260</v>
      </c>
      <c r="CH476" s="769" t="s">
        <v>2260</v>
      </c>
      <c r="CI476" s="769" t="s">
        <v>2260</v>
      </c>
      <c r="CJ476" s="774" t="s">
        <v>2260</v>
      </c>
      <c r="CK476" s="777" t="s">
        <v>2260</v>
      </c>
      <c r="CL476" s="769" t="s">
        <v>2260</v>
      </c>
      <c r="CM476" s="769" t="s">
        <v>2260</v>
      </c>
      <c r="CN476" s="769" t="s">
        <v>2260</v>
      </c>
      <c r="CO476" s="774" t="s">
        <v>2260</v>
      </c>
      <c r="CP476" s="777" t="s">
        <v>2260</v>
      </c>
      <c r="CQ476" s="769" t="s">
        <v>2260</v>
      </c>
      <c r="CR476" s="769" t="s">
        <v>2260</v>
      </c>
      <c r="CS476" s="769" t="s">
        <v>2260</v>
      </c>
      <c r="CT476" s="774" t="s">
        <v>2260</v>
      </c>
      <c r="CU476" s="1253">
        <v>-0.2</v>
      </c>
      <c r="CV476" s="1252" t="s">
        <v>2260</v>
      </c>
      <c r="CW476" s="1252" t="s">
        <v>2260</v>
      </c>
      <c r="CX476" s="1254" t="s">
        <v>2260</v>
      </c>
      <c r="CY476" s="1252">
        <v>0.2</v>
      </c>
      <c r="CZ476" s="1252" t="s">
        <v>2260</v>
      </c>
      <c r="DA476" s="1252" t="s">
        <v>2260</v>
      </c>
      <c r="DB476" s="1254" t="s">
        <v>2260</v>
      </c>
      <c r="DC476" s="754"/>
      <c r="DD476" s="782"/>
      <c r="DE476" s="783"/>
    </row>
    <row r="477" spans="1:109" ht="15.75" hidden="1" customHeight="1">
      <c r="A477" s="741" t="s">
        <v>1199</v>
      </c>
      <c r="B477" s="742">
        <v>471</v>
      </c>
      <c r="C477" s="758" t="s">
        <v>1469</v>
      </c>
      <c r="D477" s="742" t="s">
        <v>3739</v>
      </c>
      <c r="E477" s="742" t="s">
        <v>2223</v>
      </c>
      <c r="F477" s="754" t="s">
        <v>3778</v>
      </c>
      <c r="G477" s="759" t="s">
        <v>2540</v>
      </c>
      <c r="H477" s="760" t="s">
        <v>3779</v>
      </c>
      <c r="I477" s="761">
        <v>1</v>
      </c>
      <c r="J477" s="762"/>
      <c r="K477" s="762"/>
      <c r="L477" s="762"/>
      <c r="M477" s="762"/>
      <c r="N477" s="762"/>
      <c r="O477" s="762"/>
      <c r="P477" s="763"/>
      <c r="Q477" s="764">
        <f t="shared" si="7"/>
        <v>1</v>
      </c>
      <c r="R477" s="758" t="s">
        <v>1852</v>
      </c>
      <c r="S477" s="742" t="s">
        <v>1826</v>
      </c>
      <c r="T477" s="765" t="s">
        <v>1827</v>
      </c>
      <c r="U477" s="742" t="s">
        <v>2290</v>
      </c>
      <c r="V477" s="742" t="s">
        <v>1857</v>
      </c>
      <c r="W477" s="742" t="s">
        <v>2542</v>
      </c>
      <c r="X477" s="1279">
        <v>1</v>
      </c>
      <c r="Y477" s="788" t="s">
        <v>1838</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210</v>
      </c>
      <c r="BM477" s="754" t="s">
        <v>210</v>
      </c>
      <c r="BN477" s="754" t="s">
        <v>210</v>
      </c>
      <c r="BO477" s="754" t="s">
        <v>210</v>
      </c>
      <c r="BP477" s="765" t="s">
        <v>210</v>
      </c>
      <c r="BQ477" s="777" t="s">
        <v>2260</v>
      </c>
      <c r="BR477" s="769" t="s">
        <v>2260</v>
      </c>
      <c r="BS477" s="769" t="s">
        <v>2260</v>
      </c>
      <c r="BT477" s="769" t="s">
        <v>2260</v>
      </c>
      <c r="BU477" s="774" t="s">
        <v>2260</v>
      </c>
      <c r="BV477" s="777" t="s">
        <v>2260</v>
      </c>
      <c r="BW477" s="769" t="s">
        <v>2260</v>
      </c>
      <c r="BX477" s="769" t="s">
        <v>2260</v>
      </c>
      <c r="BY477" s="769" t="s">
        <v>2260</v>
      </c>
      <c r="BZ477" s="769" t="s">
        <v>2260</v>
      </c>
      <c r="CA477" s="777" t="s">
        <v>2260</v>
      </c>
      <c r="CB477" s="769" t="s">
        <v>2260</v>
      </c>
      <c r="CC477" s="769" t="s">
        <v>2260</v>
      </c>
      <c r="CD477" s="769" t="s">
        <v>2260</v>
      </c>
      <c r="CE477" s="774" t="s">
        <v>2260</v>
      </c>
      <c r="CF477" s="769" t="s">
        <v>2260</v>
      </c>
      <c r="CG477" s="769" t="s">
        <v>2260</v>
      </c>
      <c r="CH477" s="769" t="s">
        <v>2260</v>
      </c>
      <c r="CI477" s="769" t="s">
        <v>2260</v>
      </c>
      <c r="CJ477" s="774" t="s">
        <v>2260</v>
      </c>
      <c r="CK477" s="777" t="s">
        <v>2260</v>
      </c>
      <c r="CL477" s="769" t="s">
        <v>2260</v>
      </c>
      <c r="CM477" s="769" t="s">
        <v>2260</v>
      </c>
      <c r="CN477" s="769" t="s">
        <v>2260</v>
      </c>
      <c r="CO477" s="774" t="s">
        <v>2260</v>
      </c>
      <c r="CP477" s="777" t="s">
        <v>2260</v>
      </c>
      <c r="CQ477" s="769" t="s">
        <v>2260</v>
      </c>
      <c r="CR477" s="769" t="s">
        <v>2260</v>
      </c>
      <c r="CS477" s="769" t="s">
        <v>2260</v>
      </c>
      <c r="CT477" s="774" t="s">
        <v>2260</v>
      </c>
      <c r="CU477" s="1253">
        <v>-6.9999999999999999E-6</v>
      </c>
      <c r="CV477" s="1252" t="s">
        <v>2260</v>
      </c>
      <c r="CW477" s="1252" t="s">
        <v>2260</v>
      </c>
      <c r="CX477" s="1254" t="s">
        <v>2260</v>
      </c>
      <c r="CY477" s="1252">
        <v>6.0000000000000002E-6</v>
      </c>
      <c r="CZ477" s="1252" t="s">
        <v>2260</v>
      </c>
      <c r="DA477" s="1252" t="s">
        <v>2260</v>
      </c>
      <c r="DB477" s="1254" t="s">
        <v>2260</v>
      </c>
      <c r="DC477" s="754"/>
      <c r="DD477" s="782">
        <v>1</v>
      </c>
      <c r="DE477" s="783"/>
    </row>
    <row r="478" spans="1:109" ht="15.75" hidden="1" customHeight="1">
      <c r="A478" s="741" t="s">
        <v>1199</v>
      </c>
      <c r="B478" s="742">
        <v>472</v>
      </c>
      <c r="C478" s="758" t="s">
        <v>1569</v>
      </c>
      <c r="D478" s="742" t="s">
        <v>3739</v>
      </c>
      <c r="E478" s="742" t="s">
        <v>2231</v>
      </c>
      <c r="F478" s="754" t="s">
        <v>3780</v>
      </c>
      <c r="G478" s="759" t="s">
        <v>3781</v>
      </c>
      <c r="H478" s="760" t="s">
        <v>3782</v>
      </c>
      <c r="I478" s="761">
        <v>0.08</v>
      </c>
      <c r="J478" s="762">
        <v>0.3</v>
      </c>
      <c r="K478" s="762">
        <v>0.57999999999999996</v>
      </c>
      <c r="L478" s="762">
        <v>0.04</v>
      </c>
      <c r="M478" s="762"/>
      <c r="N478" s="762"/>
      <c r="O478" s="762"/>
      <c r="P478" s="763"/>
      <c r="Q478" s="764">
        <f t="shared" si="7"/>
        <v>1</v>
      </c>
      <c r="R478" s="758" t="s">
        <v>1852</v>
      </c>
      <c r="S478" s="742" t="s">
        <v>1826</v>
      </c>
      <c r="T478" s="765" t="s">
        <v>1837</v>
      </c>
      <c r="U478" s="742" t="s">
        <v>2523</v>
      </c>
      <c r="V478" s="742" t="s">
        <v>1857</v>
      </c>
      <c r="W478" s="742" t="s">
        <v>3783</v>
      </c>
      <c r="X478" s="1279">
        <v>0</v>
      </c>
      <c r="Y478" s="788" t="s">
        <v>1828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210</v>
      </c>
      <c r="BQ478" s="777" t="s">
        <v>2260</v>
      </c>
      <c r="BR478" s="769" t="s">
        <v>2260</v>
      </c>
      <c r="BS478" s="769" t="s">
        <v>2260</v>
      </c>
      <c r="BT478" s="769" t="s">
        <v>2260</v>
      </c>
      <c r="BU478" s="774" t="s">
        <v>2260</v>
      </c>
      <c r="BV478" s="777" t="s">
        <v>2260</v>
      </c>
      <c r="BW478" s="769" t="s">
        <v>2260</v>
      </c>
      <c r="BX478" s="769" t="s">
        <v>2260</v>
      </c>
      <c r="BY478" s="769" t="s">
        <v>2260</v>
      </c>
      <c r="BZ478" s="769" t="s">
        <v>2260</v>
      </c>
      <c r="CA478" s="777" t="s">
        <v>2260</v>
      </c>
      <c r="CB478" s="769" t="s">
        <v>2260</v>
      </c>
      <c r="CC478" s="769" t="s">
        <v>2260</v>
      </c>
      <c r="CD478" s="769" t="s">
        <v>2260</v>
      </c>
      <c r="CE478" s="774" t="s">
        <v>2260</v>
      </c>
      <c r="CF478" s="769" t="s">
        <v>2260</v>
      </c>
      <c r="CG478" s="769" t="s">
        <v>2260</v>
      </c>
      <c r="CH478" s="769" t="s">
        <v>2260</v>
      </c>
      <c r="CI478" s="769" t="s">
        <v>2260</v>
      </c>
      <c r="CJ478" s="774" t="s">
        <v>2260</v>
      </c>
      <c r="CK478" s="777" t="s">
        <v>2260</v>
      </c>
      <c r="CL478" s="769" t="s">
        <v>2260</v>
      </c>
      <c r="CM478" s="769" t="s">
        <v>2260</v>
      </c>
      <c r="CN478" s="769" t="s">
        <v>2260</v>
      </c>
      <c r="CO478" s="774">
        <v>4167</v>
      </c>
      <c r="CP478" s="777" t="s">
        <v>2260</v>
      </c>
      <c r="CQ478" s="769" t="s">
        <v>2260</v>
      </c>
      <c r="CR478" s="769" t="s">
        <v>2260</v>
      </c>
      <c r="CS478" s="769" t="s">
        <v>2260</v>
      </c>
      <c r="CT478" s="774" t="s">
        <v>2260</v>
      </c>
      <c r="CU478" s="1253">
        <v>-2.6999999999999999E-5</v>
      </c>
      <c r="CV478" s="1252" t="s">
        <v>2260</v>
      </c>
      <c r="CW478" s="1252" t="s">
        <v>2260</v>
      </c>
      <c r="CX478" s="1254" t="s">
        <v>2260</v>
      </c>
      <c r="CY478" s="1252">
        <v>2.4000000000000001E-5</v>
      </c>
      <c r="CZ478" s="1252" t="s">
        <v>2260</v>
      </c>
      <c r="DA478" s="1252" t="s">
        <v>2260</v>
      </c>
      <c r="DB478" s="1254" t="s">
        <v>2260</v>
      </c>
      <c r="DC478" s="754"/>
      <c r="DD478" s="782">
        <v>1</v>
      </c>
      <c r="DE478" s="783"/>
    </row>
    <row r="479" spans="1:109" ht="15.75" hidden="1" customHeight="1">
      <c r="A479" s="741" t="s">
        <v>1199</v>
      </c>
      <c r="B479" s="742">
        <v>473</v>
      </c>
      <c r="C479" s="758" t="s">
        <v>1577</v>
      </c>
      <c r="D479" s="742" t="s">
        <v>3739</v>
      </c>
      <c r="E479" s="742" t="s">
        <v>2231</v>
      </c>
      <c r="F479" s="754" t="s">
        <v>3784</v>
      </c>
      <c r="G479" s="759" t="s">
        <v>3785</v>
      </c>
      <c r="H479" s="760" t="s">
        <v>3786</v>
      </c>
      <c r="I479" s="761"/>
      <c r="J479" s="762"/>
      <c r="K479" s="762">
        <v>1</v>
      </c>
      <c r="L479" s="762"/>
      <c r="M479" s="762"/>
      <c r="N479" s="762"/>
      <c r="O479" s="762"/>
      <c r="P479" s="763"/>
      <c r="Q479" s="764">
        <f t="shared" si="7"/>
        <v>1</v>
      </c>
      <c r="R479" s="758" t="s">
        <v>1846</v>
      </c>
      <c r="S479" s="742" t="s">
        <v>1826</v>
      </c>
      <c r="T479" s="765" t="s">
        <v>1827</v>
      </c>
      <c r="U479" s="742" t="s">
        <v>2280</v>
      </c>
      <c r="V479" s="742" t="s">
        <v>1857</v>
      </c>
      <c r="W479" s="742" t="s">
        <v>3787</v>
      </c>
      <c r="X479" s="1279">
        <v>0</v>
      </c>
      <c r="Y479" s="791" t="s">
        <v>1828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210</v>
      </c>
      <c r="BM479" s="754" t="s">
        <v>210</v>
      </c>
      <c r="BN479" s="754" t="s">
        <v>210</v>
      </c>
      <c r="BO479" s="754" t="s">
        <v>210</v>
      </c>
      <c r="BP479" s="765" t="s">
        <v>210</v>
      </c>
      <c r="BQ479" s="777" t="s">
        <v>2260</v>
      </c>
      <c r="BR479" s="769" t="s">
        <v>2260</v>
      </c>
      <c r="BS479" s="769" t="s">
        <v>2260</v>
      </c>
      <c r="BT479" s="769" t="s">
        <v>2260</v>
      </c>
      <c r="BU479" s="774" t="s">
        <v>2260</v>
      </c>
      <c r="BV479" s="777" t="s">
        <v>2260</v>
      </c>
      <c r="BW479" s="769" t="s">
        <v>2260</v>
      </c>
      <c r="BX479" s="769" t="s">
        <v>2260</v>
      </c>
      <c r="BY479" s="769" t="s">
        <v>2260</v>
      </c>
      <c r="BZ479" s="769" t="s">
        <v>2260</v>
      </c>
      <c r="CA479" s="777" t="s">
        <v>2260</v>
      </c>
      <c r="CB479" s="769" t="s">
        <v>2260</v>
      </c>
      <c r="CC479" s="769" t="s">
        <v>2260</v>
      </c>
      <c r="CD479" s="769" t="s">
        <v>2260</v>
      </c>
      <c r="CE479" s="774" t="s">
        <v>2260</v>
      </c>
      <c r="CF479" s="769" t="s">
        <v>2260</v>
      </c>
      <c r="CG479" s="769" t="s">
        <v>2260</v>
      </c>
      <c r="CH479" s="769" t="s">
        <v>2260</v>
      </c>
      <c r="CI479" s="769" t="s">
        <v>2260</v>
      </c>
      <c r="CJ479" s="774" t="s">
        <v>2260</v>
      </c>
      <c r="CK479" s="777" t="s">
        <v>2260</v>
      </c>
      <c r="CL479" s="769" t="s">
        <v>2260</v>
      </c>
      <c r="CM479" s="769" t="s">
        <v>2260</v>
      </c>
      <c r="CN479" s="769" t="s">
        <v>2260</v>
      </c>
      <c r="CO479" s="774" t="s">
        <v>2260</v>
      </c>
      <c r="CP479" s="777" t="s">
        <v>2260</v>
      </c>
      <c r="CQ479" s="769" t="s">
        <v>2260</v>
      </c>
      <c r="CR479" s="769" t="s">
        <v>2260</v>
      </c>
      <c r="CS479" s="769" t="s">
        <v>2260</v>
      </c>
      <c r="CT479" s="774" t="s">
        <v>2260</v>
      </c>
      <c r="CU479" s="1253">
        <v>-0.81100000000000005</v>
      </c>
      <c r="CV479" s="1252" t="s">
        <v>2260</v>
      </c>
      <c r="CW479" s="1252" t="s">
        <v>2260</v>
      </c>
      <c r="CX479" s="1254" t="s">
        <v>2260</v>
      </c>
      <c r="CY479" s="1252" t="s">
        <v>2260</v>
      </c>
      <c r="CZ479" s="1252" t="s">
        <v>2260</v>
      </c>
      <c r="DA479" s="1252" t="s">
        <v>2260</v>
      </c>
      <c r="DB479" s="1254" t="s">
        <v>2260</v>
      </c>
      <c r="DC479" s="754"/>
      <c r="DD479" s="782">
        <v>1</v>
      </c>
      <c r="DE479" s="783"/>
    </row>
    <row r="480" spans="1:109" ht="15.75" hidden="1" customHeight="1">
      <c r="A480" s="741" t="s">
        <v>1199</v>
      </c>
      <c r="B480" s="742">
        <v>474</v>
      </c>
      <c r="C480" s="758" t="s">
        <v>1581</v>
      </c>
      <c r="D480" s="742" t="s">
        <v>3739</v>
      </c>
      <c r="E480" s="742" t="s">
        <v>2231</v>
      </c>
      <c r="F480" s="754" t="s">
        <v>3788</v>
      </c>
      <c r="G480" s="759" t="s">
        <v>3789</v>
      </c>
      <c r="H480" s="760" t="s">
        <v>3790</v>
      </c>
      <c r="I480" s="761"/>
      <c r="J480" s="762"/>
      <c r="K480" s="762">
        <v>0.1</v>
      </c>
      <c r="L480" s="762">
        <v>0.9</v>
      </c>
      <c r="M480" s="762"/>
      <c r="N480" s="762"/>
      <c r="O480" s="762"/>
      <c r="P480" s="763"/>
      <c r="Q480" s="764">
        <f t="shared" si="7"/>
        <v>1</v>
      </c>
      <c r="R480" s="758" t="s">
        <v>1852</v>
      </c>
      <c r="S480" s="742" t="s">
        <v>1826</v>
      </c>
      <c r="T480" s="765" t="s">
        <v>1827</v>
      </c>
      <c r="U480" s="742" t="s">
        <v>2408</v>
      </c>
      <c r="V480" s="742" t="s">
        <v>1857</v>
      </c>
      <c r="W480" s="742" t="s">
        <v>3791</v>
      </c>
      <c r="X480" s="1279">
        <v>0</v>
      </c>
      <c r="Y480" s="795" t="s">
        <v>1828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210</v>
      </c>
      <c r="BM480" s="754" t="s">
        <v>210</v>
      </c>
      <c r="BN480" s="754" t="s">
        <v>210</v>
      </c>
      <c r="BO480" s="754" t="s">
        <v>210</v>
      </c>
      <c r="BP480" s="765" t="s">
        <v>210</v>
      </c>
      <c r="BQ480" s="777" t="s">
        <v>2260</v>
      </c>
      <c r="BR480" s="769" t="s">
        <v>2260</v>
      </c>
      <c r="BS480" s="769" t="s">
        <v>2260</v>
      </c>
      <c r="BT480" s="769" t="s">
        <v>2260</v>
      </c>
      <c r="BU480" s="774" t="s">
        <v>2260</v>
      </c>
      <c r="BV480" s="777">
        <v>453</v>
      </c>
      <c r="BW480" s="769">
        <v>461</v>
      </c>
      <c r="BX480" s="769">
        <v>468</v>
      </c>
      <c r="BY480" s="769">
        <v>471</v>
      </c>
      <c r="BZ480" s="769">
        <v>475</v>
      </c>
      <c r="CA480" s="777" t="s">
        <v>2260</v>
      </c>
      <c r="CB480" s="769" t="s">
        <v>2260</v>
      </c>
      <c r="CC480" s="769" t="s">
        <v>2260</v>
      </c>
      <c r="CD480" s="769" t="s">
        <v>2260</v>
      </c>
      <c r="CE480" s="774" t="s">
        <v>2260</v>
      </c>
      <c r="CF480" s="769" t="s">
        <v>2260</v>
      </c>
      <c r="CG480" s="769" t="s">
        <v>2260</v>
      </c>
      <c r="CH480" s="769" t="s">
        <v>2260</v>
      </c>
      <c r="CI480" s="769" t="s">
        <v>2260</v>
      </c>
      <c r="CJ480" s="774" t="s">
        <v>2260</v>
      </c>
      <c r="CK480" s="777">
        <v>533</v>
      </c>
      <c r="CL480" s="769">
        <v>542</v>
      </c>
      <c r="CM480" s="769">
        <v>551</v>
      </c>
      <c r="CN480" s="769">
        <v>554</v>
      </c>
      <c r="CO480" s="774">
        <v>559</v>
      </c>
      <c r="CP480" s="777" t="s">
        <v>2260</v>
      </c>
      <c r="CQ480" s="769" t="s">
        <v>2260</v>
      </c>
      <c r="CR480" s="769" t="s">
        <v>2260</v>
      </c>
      <c r="CS480" s="769" t="s">
        <v>2260</v>
      </c>
      <c r="CT480" s="774" t="s">
        <v>2260</v>
      </c>
      <c r="CU480" s="1253">
        <v>-8.0600000000000005E-2</v>
      </c>
      <c r="CV480" s="1252" t="s">
        <v>2260</v>
      </c>
      <c r="CW480" s="1252" t="s">
        <v>2260</v>
      </c>
      <c r="CX480" s="1254" t="s">
        <v>2260</v>
      </c>
      <c r="CY480" s="1252">
        <v>8.0600000000000005E-2</v>
      </c>
      <c r="CZ480" s="1252" t="s">
        <v>2260</v>
      </c>
      <c r="DA480" s="1252" t="s">
        <v>2260</v>
      </c>
      <c r="DB480" s="1254" t="s">
        <v>2260</v>
      </c>
      <c r="DC480" s="754"/>
      <c r="DD480" s="782">
        <v>1</v>
      </c>
      <c r="DE480" s="783"/>
    </row>
    <row r="481" spans="1:109" ht="15.75" hidden="1" customHeight="1">
      <c r="A481" s="741" t="s">
        <v>1199</v>
      </c>
      <c r="B481" s="742">
        <v>475</v>
      </c>
      <c r="C481" s="758" t="s">
        <v>1702</v>
      </c>
      <c r="D481" s="742" t="s">
        <v>3739</v>
      </c>
      <c r="E481" s="742" t="s">
        <v>2231</v>
      </c>
      <c r="F481" s="754" t="s">
        <v>3792</v>
      </c>
      <c r="G481" s="759" t="s">
        <v>3793</v>
      </c>
      <c r="H481" s="760" t="s">
        <v>3794</v>
      </c>
      <c r="I481" s="761">
        <v>0.25</v>
      </c>
      <c r="J481" s="762">
        <v>0.25</v>
      </c>
      <c r="K481" s="762">
        <v>0.25</v>
      </c>
      <c r="L481" s="762">
        <v>0.25</v>
      </c>
      <c r="M481" s="762"/>
      <c r="N481" s="762"/>
      <c r="O481" s="762"/>
      <c r="P481" s="763"/>
      <c r="Q481" s="764">
        <f t="shared" si="7"/>
        <v>1</v>
      </c>
      <c r="R481" s="758" t="s">
        <v>1825</v>
      </c>
      <c r="S481" s="742"/>
      <c r="T481" s="765"/>
      <c r="U481" s="742" t="s">
        <v>2387</v>
      </c>
      <c r="V481" s="742" t="s">
        <v>321</v>
      </c>
      <c r="W481" s="742" t="s">
        <v>3795</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2260</v>
      </c>
      <c r="BR481" s="769" t="s">
        <v>2260</v>
      </c>
      <c r="BS481" s="769" t="s">
        <v>2260</v>
      </c>
      <c r="BT481" s="769" t="s">
        <v>2260</v>
      </c>
      <c r="BU481" s="774" t="s">
        <v>2260</v>
      </c>
      <c r="BV481" s="777" t="s">
        <v>2260</v>
      </c>
      <c r="BW481" s="769" t="s">
        <v>2260</v>
      </c>
      <c r="BX481" s="769" t="s">
        <v>2260</v>
      </c>
      <c r="BY481" s="769" t="s">
        <v>2260</v>
      </c>
      <c r="BZ481" s="769" t="s">
        <v>2260</v>
      </c>
      <c r="CA481" s="777" t="s">
        <v>2260</v>
      </c>
      <c r="CB481" s="769" t="s">
        <v>2260</v>
      </c>
      <c r="CC481" s="769" t="s">
        <v>2260</v>
      </c>
      <c r="CD481" s="769" t="s">
        <v>2260</v>
      </c>
      <c r="CE481" s="774" t="s">
        <v>2260</v>
      </c>
      <c r="CF481" s="769" t="s">
        <v>2260</v>
      </c>
      <c r="CG481" s="769" t="s">
        <v>2260</v>
      </c>
      <c r="CH481" s="769" t="s">
        <v>2260</v>
      </c>
      <c r="CI481" s="769" t="s">
        <v>2260</v>
      </c>
      <c r="CJ481" s="774" t="s">
        <v>2260</v>
      </c>
      <c r="CK481" s="777" t="s">
        <v>2260</v>
      </c>
      <c r="CL481" s="769" t="s">
        <v>2260</v>
      </c>
      <c r="CM481" s="769" t="s">
        <v>2260</v>
      </c>
      <c r="CN481" s="769" t="s">
        <v>2260</v>
      </c>
      <c r="CO481" s="774" t="s">
        <v>2260</v>
      </c>
      <c r="CP481" s="777" t="s">
        <v>2260</v>
      </c>
      <c r="CQ481" s="769" t="s">
        <v>2260</v>
      </c>
      <c r="CR481" s="769" t="s">
        <v>2260</v>
      </c>
      <c r="CS481" s="769" t="s">
        <v>2260</v>
      </c>
      <c r="CT481" s="774" t="s">
        <v>2260</v>
      </c>
      <c r="CU481" s="1253" t="s">
        <v>2260</v>
      </c>
      <c r="CV481" s="1252" t="s">
        <v>2260</v>
      </c>
      <c r="CW481" s="1252" t="s">
        <v>2260</v>
      </c>
      <c r="CX481" s="1254" t="s">
        <v>2260</v>
      </c>
      <c r="CY481" s="1252" t="s">
        <v>2260</v>
      </c>
      <c r="CZ481" s="1252" t="s">
        <v>2260</v>
      </c>
      <c r="DA481" s="1252" t="s">
        <v>2260</v>
      </c>
      <c r="DB481" s="1254" t="s">
        <v>2260</v>
      </c>
      <c r="DC481" s="754"/>
      <c r="DD481" s="782">
        <v>1</v>
      </c>
      <c r="DE481" s="783"/>
    </row>
    <row r="482" spans="1:109" ht="15.75" hidden="1" customHeight="1">
      <c r="A482" s="741" t="s">
        <v>1199</v>
      </c>
      <c r="B482" s="742">
        <v>476</v>
      </c>
      <c r="C482" s="758" t="s">
        <v>1476</v>
      </c>
      <c r="D482" s="742" t="s">
        <v>3739</v>
      </c>
      <c r="E482" s="742" t="s">
        <v>2231</v>
      </c>
      <c r="F482" s="754" t="s">
        <v>3796</v>
      </c>
      <c r="G482" s="759" t="s">
        <v>3797</v>
      </c>
      <c r="H482" s="760" t="s">
        <v>3798</v>
      </c>
      <c r="I482" s="761"/>
      <c r="J482" s="762">
        <v>0.5</v>
      </c>
      <c r="K482" s="762">
        <v>0.5</v>
      </c>
      <c r="L482" s="762"/>
      <c r="M482" s="762"/>
      <c r="N482" s="762"/>
      <c r="O482" s="762"/>
      <c r="P482" s="763"/>
      <c r="Q482" s="764">
        <f t="shared" si="7"/>
        <v>1</v>
      </c>
      <c r="R482" s="758" t="s">
        <v>1835</v>
      </c>
      <c r="S482" s="742" t="s">
        <v>1826</v>
      </c>
      <c r="T482" s="765" t="s">
        <v>1827</v>
      </c>
      <c r="U482" s="742" t="s">
        <v>2892</v>
      </c>
      <c r="V482" s="742" t="s">
        <v>1857</v>
      </c>
      <c r="W482" s="742" t="s">
        <v>3799</v>
      </c>
      <c r="X482" s="1279">
        <v>0</v>
      </c>
      <c r="Y482" s="795" t="s">
        <v>1828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210</v>
      </c>
      <c r="BM482" s="754" t="s">
        <v>210</v>
      </c>
      <c r="BN482" s="754" t="s">
        <v>210</v>
      </c>
      <c r="BO482" s="754" t="s">
        <v>210</v>
      </c>
      <c r="BP482" s="765" t="s">
        <v>210</v>
      </c>
      <c r="BQ482" s="777" t="s">
        <v>2260</v>
      </c>
      <c r="BR482" s="769" t="s">
        <v>2260</v>
      </c>
      <c r="BS482" s="769" t="s">
        <v>2260</v>
      </c>
      <c r="BT482" s="769" t="s">
        <v>2260</v>
      </c>
      <c r="BU482" s="774" t="s">
        <v>2260</v>
      </c>
      <c r="BV482" s="777" t="s">
        <v>2260</v>
      </c>
      <c r="BW482" s="769" t="s">
        <v>2260</v>
      </c>
      <c r="BX482" s="769" t="s">
        <v>2260</v>
      </c>
      <c r="BY482" s="769" t="s">
        <v>2260</v>
      </c>
      <c r="BZ482" s="769" t="s">
        <v>2260</v>
      </c>
      <c r="CA482" s="777" t="s">
        <v>2260</v>
      </c>
      <c r="CB482" s="769" t="s">
        <v>2260</v>
      </c>
      <c r="CC482" s="769" t="s">
        <v>2260</v>
      </c>
      <c r="CD482" s="769" t="s">
        <v>2260</v>
      </c>
      <c r="CE482" s="774" t="s">
        <v>2260</v>
      </c>
      <c r="CF482" s="769" t="s">
        <v>2260</v>
      </c>
      <c r="CG482" s="769" t="s">
        <v>2260</v>
      </c>
      <c r="CH482" s="769" t="s">
        <v>2260</v>
      </c>
      <c r="CI482" s="769" t="s">
        <v>2260</v>
      </c>
      <c r="CJ482" s="774" t="s">
        <v>2260</v>
      </c>
      <c r="CK482" s="777">
        <v>4814</v>
      </c>
      <c r="CL482" s="769">
        <v>4814</v>
      </c>
      <c r="CM482" s="769">
        <v>4814</v>
      </c>
      <c r="CN482" s="769">
        <v>4814</v>
      </c>
      <c r="CO482" s="774">
        <v>4814</v>
      </c>
      <c r="CP482" s="777" t="s">
        <v>2260</v>
      </c>
      <c r="CQ482" s="769" t="s">
        <v>2260</v>
      </c>
      <c r="CR482" s="769" t="s">
        <v>2260</v>
      </c>
      <c r="CS482" s="769" t="s">
        <v>2260</v>
      </c>
      <c r="CT482" s="774" t="s">
        <v>2260</v>
      </c>
      <c r="CU482" s="1253" t="s">
        <v>2260</v>
      </c>
      <c r="CV482" s="1252" t="s">
        <v>2260</v>
      </c>
      <c r="CW482" s="1252" t="s">
        <v>2260</v>
      </c>
      <c r="CX482" s="1254" t="s">
        <v>2260</v>
      </c>
      <c r="CY482" s="1252">
        <v>1.1400000000000001E-4</v>
      </c>
      <c r="CZ482" s="1252" t="s">
        <v>2260</v>
      </c>
      <c r="DA482" s="1252" t="s">
        <v>2260</v>
      </c>
      <c r="DB482" s="1254" t="s">
        <v>2260</v>
      </c>
      <c r="DC482" s="754" t="s">
        <v>173</v>
      </c>
      <c r="DD482" s="782"/>
      <c r="DE482" s="783"/>
    </row>
    <row r="483" spans="1:109" ht="15.75" hidden="1" customHeight="1">
      <c r="A483" s="741" t="s">
        <v>1199</v>
      </c>
      <c r="B483" s="742">
        <v>477</v>
      </c>
      <c r="C483" s="758" t="s">
        <v>1259</v>
      </c>
      <c r="D483" s="742" t="s">
        <v>3649</v>
      </c>
      <c r="E483" s="742" t="s">
        <v>2231</v>
      </c>
      <c r="F483" s="754" t="s">
        <v>3800</v>
      </c>
      <c r="G483" s="759" t="s">
        <v>755</v>
      </c>
      <c r="H483" s="760" t="s">
        <v>3801</v>
      </c>
      <c r="I483" s="761"/>
      <c r="J483" s="762"/>
      <c r="K483" s="762"/>
      <c r="L483" s="762"/>
      <c r="M483" s="762">
        <v>1</v>
      </c>
      <c r="N483" s="762"/>
      <c r="O483" s="762"/>
      <c r="P483" s="763"/>
      <c r="Q483" s="764">
        <f t="shared" si="7"/>
        <v>1</v>
      </c>
      <c r="R483" s="758" t="s">
        <v>1825</v>
      </c>
      <c r="S483" s="742"/>
      <c r="T483" s="765"/>
      <c r="U483" s="742" t="s">
        <v>2329</v>
      </c>
      <c r="V483" s="742" t="s">
        <v>321</v>
      </c>
      <c r="W483" s="742" t="s">
        <v>3802</v>
      </c>
      <c r="X483" s="1280">
        <v>1</v>
      </c>
      <c r="Y483" s="790" t="s">
        <v>1828</v>
      </c>
      <c r="Z483" s="759" t="s">
        <v>755</v>
      </c>
      <c r="AA483" s="754"/>
      <c r="AB483" s="754"/>
      <c r="AC483" s="754"/>
      <c r="AD483" s="754"/>
      <c r="AE483" s="754"/>
      <c r="AF483" s="768"/>
      <c r="AG483" s="769"/>
      <c r="AH483" s="769"/>
      <c r="AI483" s="769"/>
      <c r="AJ483" s="769"/>
      <c r="AK483" s="769"/>
      <c r="AL483" s="769"/>
      <c r="AM483" s="769"/>
      <c r="AN483" s="769"/>
      <c r="AO483" s="769"/>
      <c r="AP483" s="769"/>
      <c r="AQ483" s="1369"/>
      <c r="AR483" s="1319"/>
      <c r="AS483" s="1319"/>
      <c r="AT483" s="1319"/>
      <c r="AU483" s="1320"/>
      <c r="AV483" s="777"/>
      <c r="AW483" s="769"/>
      <c r="AX483" s="769"/>
      <c r="AY483" s="769"/>
      <c r="AZ483" s="769"/>
      <c r="BA483" s="769"/>
      <c r="BB483" s="769"/>
      <c r="BC483" s="769"/>
      <c r="BD483" s="769"/>
      <c r="BE483" s="769"/>
      <c r="BF483" s="769"/>
      <c r="BG483" s="769"/>
      <c r="BH483" s="769"/>
      <c r="BI483" s="769"/>
      <c r="BJ483" s="769"/>
      <c r="BK483" s="774"/>
      <c r="BL483" s="1327"/>
      <c r="BM483" s="1328"/>
      <c r="BN483" s="1328"/>
      <c r="BO483" s="1328"/>
      <c r="BP483" s="1389"/>
      <c r="BQ483" s="1369"/>
      <c r="BR483" s="1319"/>
      <c r="BS483" s="1319"/>
      <c r="BT483" s="1319"/>
      <c r="BU483" s="1320"/>
      <c r="BV483" s="1369"/>
      <c r="BW483" s="1319"/>
      <c r="BX483" s="1319"/>
      <c r="BY483" s="1319"/>
      <c r="BZ483" s="1319"/>
      <c r="CA483" s="1369"/>
      <c r="CB483" s="1319"/>
      <c r="CC483" s="1319"/>
      <c r="CD483" s="1319"/>
      <c r="CE483" s="1320"/>
      <c r="CF483" s="1319"/>
      <c r="CG483" s="1319"/>
      <c r="CH483" s="1319"/>
      <c r="CI483" s="1319"/>
      <c r="CJ483" s="1319"/>
      <c r="CK483" s="1369"/>
      <c r="CL483" s="1319"/>
      <c r="CM483" s="1319"/>
      <c r="CN483" s="1319"/>
      <c r="CO483" s="1320"/>
      <c r="CP483" s="1369"/>
      <c r="CQ483" s="1319"/>
      <c r="CR483" s="1319"/>
      <c r="CS483" s="1319"/>
      <c r="CT483" s="1320"/>
      <c r="CU483" s="1467"/>
      <c r="CV483" s="1458"/>
      <c r="CW483" s="1458"/>
      <c r="CX483" s="1663"/>
      <c r="CY483" s="1458"/>
      <c r="CZ483" s="1458"/>
      <c r="DA483" s="1458"/>
      <c r="DB483" s="1663"/>
      <c r="DC483" s="1328"/>
      <c r="DD483" s="1664"/>
      <c r="DE483" s="1669"/>
    </row>
    <row r="484" spans="1:109" ht="15.75" hidden="1" customHeight="1">
      <c r="A484" s="741" t="s">
        <v>1199</v>
      </c>
      <c r="B484" s="742">
        <v>478</v>
      </c>
      <c r="C484" s="758" t="s">
        <v>1712</v>
      </c>
      <c r="D484" s="742" t="s">
        <v>3649</v>
      </c>
      <c r="E484" s="742" t="s">
        <v>2231</v>
      </c>
      <c r="F484" s="754" t="s">
        <v>3803</v>
      </c>
      <c r="G484" s="759" t="s">
        <v>3804</v>
      </c>
      <c r="H484" s="760" t="s">
        <v>3805</v>
      </c>
      <c r="I484" s="761"/>
      <c r="J484" s="762"/>
      <c r="K484" s="762"/>
      <c r="L484" s="762"/>
      <c r="M484" s="762">
        <v>1</v>
      </c>
      <c r="N484" s="762"/>
      <c r="O484" s="762"/>
      <c r="P484" s="763"/>
      <c r="Q484" s="764">
        <f t="shared" si="7"/>
        <v>1</v>
      </c>
      <c r="R484" s="758" t="s">
        <v>1825</v>
      </c>
      <c r="S484" s="742"/>
      <c r="T484" s="765"/>
      <c r="U484" s="742" t="s">
        <v>2329</v>
      </c>
      <c r="V484" s="742" t="s">
        <v>1890</v>
      </c>
      <c r="W484" s="742" t="s">
        <v>3806</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3807</v>
      </c>
      <c r="AR484" s="769" t="s">
        <v>605</v>
      </c>
      <c r="AS484" s="769" t="s">
        <v>605</v>
      </c>
      <c r="AT484" s="769" t="s">
        <v>605</v>
      </c>
      <c r="AU484" s="774" t="s">
        <v>605</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2260</v>
      </c>
      <c r="BR484" s="769" t="s">
        <v>2260</v>
      </c>
      <c r="BS484" s="769" t="s">
        <v>2260</v>
      </c>
      <c r="BT484" s="769" t="s">
        <v>2260</v>
      </c>
      <c r="BU484" s="774" t="s">
        <v>2260</v>
      </c>
      <c r="BV484" s="777" t="s">
        <v>2260</v>
      </c>
      <c r="BW484" s="769" t="s">
        <v>2260</v>
      </c>
      <c r="BX484" s="769" t="s">
        <v>2260</v>
      </c>
      <c r="BY484" s="769" t="s">
        <v>2260</v>
      </c>
      <c r="BZ484" s="769" t="s">
        <v>2260</v>
      </c>
      <c r="CA484" s="777" t="s">
        <v>2260</v>
      </c>
      <c r="CB484" s="769" t="s">
        <v>2260</v>
      </c>
      <c r="CC484" s="769" t="s">
        <v>2260</v>
      </c>
      <c r="CD484" s="769" t="s">
        <v>2260</v>
      </c>
      <c r="CE484" s="774" t="s">
        <v>2260</v>
      </c>
      <c r="CF484" s="769" t="s">
        <v>2260</v>
      </c>
      <c r="CG484" s="769" t="s">
        <v>2260</v>
      </c>
      <c r="CH484" s="769" t="s">
        <v>2260</v>
      </c>
      <c r="CI484" s="769" t="s">
        <v>2260</v>
      </c>
      <c r="CJ484" s="774" t="s">
        <v>2260</v>
      </c>
      <c r="CK484" s="777" t="s">
        <v>2260</v>
      </c>
      <c r="CL484" s="769" t="s">
        <v>2260</v>
      </c>
      <c r="CM484" s="769" t="s">
        <v>2260</v>
      </c>
      <c r="CN484" s="769" t="s">
        <v>2260</v>
      </c>
      <c r="CO484" s="774" t="s">
        <v>2260</v>
      </c>
      <c r="CP484" s="777" t="s">
        <v>2260</v>
      </c>
      <c r="CQ484" s="769" t="s">
        <v>2260</v>
      </c>
      <c r="CR484" s="769" t="s">
        <v>2260</v>
      </c>
      <c r="CS484" s="769" t="s">
        <v>2260</v>
      </c>
      <c r="CT484" s="774" t="s">
        <v>2260</v>
      </c>
      <c r="CU484" s="1253" t="s">
        <v>2260</v>
      </c>
      <c r="CV484" s="1252" t="s">
        <v>2260</v>
      </c>
      <c r="CW484" s="1252" t="s">
        <v>2260</v>
      </c>
      <c r="CX484" s="1254" t="s">
        <v>2260</v>
      </c>
      <c r="CY484" s="1252" t="s">
        <v>2260</v>
      </c>
      <c r="CZ484" s="1252" t="s">
        <v>2260</v>
      </c>
      <c r="DA484" s="1252" t="s">
        <v>2260</v>
      </c>
      <c r="DB484" s="1254" t="s">
        <v>2260</v>
      </c>
      <c r="DC484" s="754"/>
      <c r="DD484" s="782">
        <v>1</v>
      </c>
      <c r="DE484" s="783"/>
    </row>
    <row r="485" spans="1:109" ht="15.75" hidden="1" customHeight="1">
      <c r="A485" s="741" t="s">
        <v>1199</v>
      </c>
      <c r="B485" s="742">
        <v>479</v>
      </c>
      <c r="C485" s="758" t="s">
        <v>1482</v>
      </c>
      <c r="D485" s="742"/>
      <c r="E485" s="742"/>
      <c r="F485" s="754" t="s">
        <v>3808</v>
      </c>
      <c r="G485" s="759" t="s">
        <v>3809</v>
      </c>
      <c r="H485" s="760"/>
      <c r="I485" s="761"/>
      <c r="J485" s="762">
        <v>1</v>
      </c>
      <c r="K485" s="762"/>
      <c r="L485" s="762"/>
      <c r="M485" s="762"/>
      <c r="N485" s="762"/>
      <c r="O485" s="762"/>
      <c r="P485" s="763"/>
      <c r="Q485" s="764">
        <f t="shared" si="7"/>
        <v>1</v>
      </c>
      <c r="R485" s="758" t="s">
        <v>1846</v>
      </c>
      <c r="S485" s="742" t="s">
        <v>1826</v>
      </c>
      <c r="T485" s="765" t="s">
        <v>1837</v>
      </c>
      <c r="U485" s="742"/>
      <c r="V485" s="1217" t="s">
        <v>1857</v>
      </c>
      <c r="W485" s="742"/>
      <c r="X485" s="1279">
        <v>0</v>
      </c>
      <c r="Y485" s="790" t="s">
        <v>1828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210</v>
      </c>
      <c r="BQ485" s="777" t="s">
        <v>2260</v>
      </c>
      <c r="BR485" s="769" t="s">
        <v>2260</v>
      </c>
      <c r="BS485" s="769" t="s">
        <v>2260</v>
      </c>
      <c r="BT485" s="769" t="s">
        <v>2260</v>
      </c>
      <c r="BU485" s="774" t="s">
        <v>2260</v>
      </c>
      <c r="BV485" s="777" t="s">
        <v>2260</v>
      </c>
      <c r="BW485" s="769" t="s">
        <v>2260</v>
      </c>
      <c r="BX485" s="769" t="s">
        <v>2260</v>
      </c>
      <c r="BY485" s="769" t="s">
        <v>2260</v>
      </c>
      <c r="BZ485" s="769" t="s">
        <v>2260</v>
      </c>
      <c r="CA485" s="777" t="s">
        <v>2260</v>
      </c>
      <c r="CB485" s="769" t="s">
        <v>2260</v>
      </c>
      <c r="CC485" s="769" t="s">
        <v>2260</v>
      </c>
      <c r="CD485" s="769" t="s">
        <v>2260</v>
      </c>
      <c r="CE485" s="774" t="s">
        <v>2260</v>
      </c>
      <c r="CF485" s="769" t="s">
        <v>2260</v>
      </c>
      <c r="CG485" s="769" t="s">
        <v>2260</v>
      </c>
      <c r="CH485" s="769" t="s">
        <v>2260</v>
      </c>
      <c r="CI485" s="769" t="s">
        <v>2260</v>
      </c>
      <c r="CJ485" s="774" t="s">
        <v>2260</v>
      </c>
      <c r="CK485" s="777" t="s">
        <v>2260</v>
      </c>
      <c r="CL485" s="769" t="s">
        <v>2260</v>
      </c>
      <c r="CM485" s="769" t="s">
        <v>2260</v>
      </c>
      <c r="CN485" s="769" t="s">
        <v>2260</v>
      </c>
      <c r="CO485" s="774" t="s">
        <v>2260</v>
      </c>
      <c r="CP485" s="777" t="s">
        <v>2260</v>
      </c>
      <c r="CQ485" s="769" t="s">
        <v>2260</v>
      </c>
      <c r="CR485" s="769" t="s">
        <v>2260</v>
      </c>
      <c r="CS485" s="769" t="s">
        <v>2260</v>
      </c>
      <c r="CT485" s="774" t="s">
        <v>2260</v>
      </c>
      <c r="CU485" s="1253">
        <v>-3.6999999999999998E-5</v>
      </c>
      <c r="CV485" s="1252" t="s">
        <v>2260</v>
      </c>
      <c r="CW485" s="1252" t="s">
        <v>2260</v>
      </c>
      <c r="CX485" s="1254" t="s">
        <v>2260</v>
      </c>
      <c r="CY485" s="1252" t="s">
        <v>2260</v>
      </c>
      <c r="CZ485" s="1252" t="s">
        <v>2260</v>
      </c>
      <c r="DA485" s="1252" t="s">
        <v>2260</v>
      </c>
      <c r="DB485" s="1254" t="s">
        <v>2260</v>
      </c>
      <c r="DC485" s="754"/>
      <c r="DD485" s="782"/>
      <c r="DE485" s="783"/>
    </row>
    <row r="486" spans="1:109" ht="15.75" hidden="1" customHeight="1">
      <c r="A486" s="741" t="s">
        <v>1199</v>
      </c>
      <c r="B486" s="742">
        <v>480</v>
      </c>
      <c r="C486" s="758" t="s">
        <v>1488</v>
      </c>
      <c r="D486" s="742"/>
      <c r="E486" s="742"/>
      <c r="F486" s="754" t="s">
        <v>3810</v>
      </c>
      <c r="G486" s="759" t="s">
        <v>3811</v>
      </c>
      <c r="H486" s="760"/>
      <c r="I486" s="761"/>
      <c r="J486" s="762">
        <v>1</v>
      </c>
      <c r="K486" s="762"/>
      <c r="L486" s="762"/>
      <c r="M486" s="762"/>
      <c r="N486" s="762"/>
      <c r="O486" s="762"/>
      <c r="P486" s="763"/>
      <c r="Q486" s="764">
        <f t="shared" si="7"/>
        <v>1</v>
      </c>
      <c r="R486" s="758" t="s">
        <v>1846</v>
      </c>
      <c r="S486" s="742" t="s">
        <v>1826</v>
      </c>
      <c r="T486" s="765" t="s">
        <v>1837</v>
      </c>
      <c r="U486" s="742"/>
      <c r="V486" s="1217" t="s">
        <v>1857</v>
      </c>
      <c r="W486" s="742"/>
      <c r="X486" s="1279">
        <v>0</v>
      </c>
      <c r="Y486" s="790" t="s">
        <v>1828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210</v>
      </c>
      <c r="BQ486" s="777" t="s">
        <v>2260</v>
      </c>
      <c r="BR486" s="769" t="s">
        <v>2260</v>
      </c>
      <c r="BS486" s="769" t="s">
        <v>2260</v>
      </c>
      <c r="BT486" s="769" t="s">
        <v>2260</v>
      </c>
      <c r="BU486" s="774" t="s">
        <v>2260</v>
      </c>
      <c r="BV486" s="777" t="s">
        <v>2260</v>
      </c>
      <c r="BW486" s="769" t="s">
        <v>2260</v>
      </c>
      <c r="BX486" s="769" t="s">
        <v>2260</v>
      </c>
      <c r="BY486" s="769" t="s">
        <v>2260</v>
      </c>
      <c r="BZ486" s="769" t="s">
        <v>2260</v>
      </c>
      <c r="CA486" s="777" t="s">
        <v>2260</v>
      </c>
      <c r="CB486" s="769" t="s">
        <v>2260</v>
      </c>
      <c r="CC486" s="769" t="s">
        <v>2260</v>
      </c>
      <c r="CD486" s="769" t="s">
        <v>2260</v>
      </c>
      <c r="CE486" s="774" t="s">
        <v>2260</v>
      </c>
      <c r="CF486" s="769" t="s">
        <v>2260</v>
      </c>
      <c r="CG486" s="769" t="s">
        <v>2260</v>
      </c>
      <c r="CH486" s="769" t="s">
        <v>2260</v>
      </c>
      <c r="CI486" s="769" t="s">
        <v>2260</v>
      </c>
      <c r="CJ486" s="774" t="s">
        <v>2260</v>
      </c>
      <c r="CK486" s="777" t="s">
        <v>2260</v>
      </c>
      <c r="CL486" s="769" t="s">
        <v>2260</v>
      </c>
      <c r="CM486" s="769" t="s">
        <v>2260</v>
      </c>
      <c r="CN486" s="769" t="s">
        <v>2260</v>
      </c>
      <c r="CO486" s="774" t="s">
        <v>2260</v>
      </c>
      <c r="CP486" s="777" t="s">
        <v>2260</v>
      </c>
      <c r="CQ486" s="769" t="s">
        <v>2260</v>
      </c>
      <c r="CR486" s="769" t="s">
        <v>2260</v>
      </c>
      <c r="CS486" s="769" t="s">
        <v>2260</v>
      </c>
      <c r="CT486" s="774" t="s">
        <v>2260</v>
      </c>
      <c r="CU486" s="1253">
        <v>-1.8E-5</v>
      </c>
      <c r="CV486" s="1252" t="s">
        <v>2260</v>
      </c>
      <c r="CW486" s="1252" t="s">
        <v>2260</v>
      </c>
      <c r="CX486" s="1254" t="s">
        <v>2260</v>
      </c>
      <c r="CY486" s="1252" t="s">
        <v>2260</v>
      </c>
      <c r="CZ486" s="1252" t="s">
        <v>2260</v>
      </c>
      <c r="DA486" s="1252" t="s">
        <v>2260</v>
      </c>
      <c r="DB486" s="1254" t="s">
        <v>2260</v>
      </c>
      <c r="DC486" s="754"/>
      <c r="DD486" s="782"/>
      <c r="DE486" s="783"/>
    </row>
    <row r="487" spans="1:109" ht="15.75" hidden="1" customHeight="1">
      <c r="A487" s="741" t="s">
        <v>1199</v>
      </c>
      <c r="B487" s="742">
        <v>481</v>
      </c>
      <c r="C487" s="758" t="s">
        <v>1720</v>
      </c>
      <c r="D487" s="742"/>
      <c r="E487" s="742"/>
      <c r="F487" s="754" t="s">
        <v>2331</v>
      </c>
      <c r="G487" s="759" t="s">
        <v>2332</v>
      </c>
      <c r="H487" s="760"/>
      <c r="I487" s="761"/>
      <c r="J487" s="762"/>
      <c r="K487" s="762"/>
      <c r="L487" s="762"/>
      <c r="M487" s="762"/>
      <c r="N487" s="762"/>
      <c r="O487" s="762"/>
      <c r="P487" s="763"/>
      <c r="Q487" s="764">
        <f t="shared" si="7"/>
        <v>0</v>
      </c>
      <c r="R487" s="758" t="s">
        <v>1825</v>
      </c>
      <c r="S487" s="742"/>
      <c r="T487" s="765"/>
      <c r="U487" s="742"/>
      <c r="V487" s="742"/>
      <c r="W487" s="742" t="s">
        <v>2333</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2334</v>
      </c>
      <c r="AR487" s="769" t="s">
        <v>2334</v>
      </c>
      <c r="AS487" s="769" t="s">
        <v>2334</v>
      </c>
      <c r="AT487" s="769" t="s">
        <v>2334</v>
      </c>
      <c r="AU487" s="774" t="s">
        <v>2334</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2260</v>
      </c>
      <c r="BR487" s="769" t="s">
        <v>2260</v>
      </c>
      <c r="BS487" s="769" t="s">
        <v>2260</v>
      </c>
      <c r="BT487" s="769" t="s">
        <v>2260</v>
      </c>
      <c r="BU487" s="774" t="s">
        <v>2260</v>
      </c>
      <c r="BV487" s="777" t="s">
        <v>2260</v>
      </c>
      <c r="BW487" s="769" t="s">
        <v>2260</v>
      </c>
      <c r="BX487" s="769" t="s">
        <v>2260</v>
      </c>
      <c r="BY487" s="769" t="s">
        <v>2260</v>
      </c>
      <c r="BZ487" s="769" t="s">
        <v>2260</v>
      </c>
      <c r="CA487" s="777" t="s">
        <v>2260</v>
      </c>
      <c r="CB487" s="769" t="s">
        <v>2260</v>
      </c>
      <c r="CC487" s="769" t="s">
        <v>2260</v>
      </c>
      <c r="CD487" s="769" t="s">
        <v>2260</v>
      </c>
      <c r="CE487" s="774" t="s">
        <v>2260</v>
      </c>
      <c r="CF487" s="769" t="s">
        <v>2260</v>
      </c>
      <c r="CG487" s="769" t="s">
        <v>2260</v>
      </c>
      <c r="CH487" s="769" t="s">
        <v>2260</v>
      </c>
      <c r="CI487" s="769" t="s">
        <v>2260</v>
      </c>
      <c r="CJ487" s="774" t="s">
        <v>2260</v>
      </c>
      <c r="CK487" s="777" t="s">
        <v>2260</v>
      </c>
      <c r="CL487" s="769" t="s">
        <v>2260</v>
      </c>
      <c r="CM487" s="769" t="s">
        <v>2260</v>
      </c>
      <c r="CN487" s="769" t="s">
        <v>2260</v>
      </c>
      <c r="CO487" s="774" t="s">
        <v>2260</v>
      </c>
      <c r="CP487" s="777" t="s">
        <v>2260</v>
      </c>
      <c r="CQ487" s="769" t="s">
        <v>2260</v>
      </c>
      <c r="CR487" s="769" t="s">
        <v>2260</v>
      </c>
      <c r="CS487" s="769" t="s">
        <v>2260</v>
      </c>
      <c r="CT487" s="774" t="s">
        <v>2260</v>
      </c>
      <c r="CU487" s="1253" t="s">
        <v>2260</v>
      </c>
      <c r="CV487" s="1252" t="s">
        <v>2260</v>
      </c>
      <c r="CW487" s="1252" t="s">
        <v>2260</v>
      </c>
      <c r="CX487" s="1254" t="s">
        <v>2260</v>
      </c>
      <c r="CY487" s="1252" t="s">
        <v>2260</v>
      </c>
      <c r="CZ487" s="1252" t="s">
        <v>2260</v>
      </c>
      <c r="DA487" s="1252" t="s">
        <v>2260</v>
      </c>
      <c r="DB487" s="1254" t="s">
        <v>2260</v>
      </c>
      <c r="DC487" s="754"/>
      <c r="DD487" s="782"/>
      <c r="DE487" s="783"/>
    </row>
    <row r="488" spans="1:109" ht="15.75" hidden="1" customHeight="1">
      <c r="A488" s="741" t="s">
        <v>1199</v>
      </c>
      <c r="B488" s="742">
        <v>482</v>
      </c>
      <c r="C488" s="758" t="s">
        <v>1727</v>
      </c>
      <c r="D488" s="742"/>
      <c r="E488" s="742"/>
      <c r="F488" s="754" t="s">
        <v>3812</v>
      </c>
      <c r="G488" s="759" t="s">
        <v>2840</v>
      </c>
      <c r="H488" s="760"/>
      <c r="I488" s="761"/>
      <c r="J488" s="762"/>
      <c r="K488" s="762"/>
      <c r="L488" s="762"/>
      <c r="M488" s="762"/>
      <c r="N488" s="762"/>
      <c r="O488" s="762"/>
      <c r="P488" s="763"/>
      <c r="Q488" s="764">
        <f t="shared" si="7"/>
        <v>0</v>
      </c>
      <c r="R488" s="758" t="s">
        <v>1825</v>
      </c>
      <c r="S488" s="742"/>
      <c r="T488" s="765"/>
      <c r="U488" s="742"/>
      <c r="V488" s="742" t="s">
        <v>321</v>
      </c>
      <c r="W488" s="742" t="s">
        <v>2841</v>
      </c>
      <c r="X488" s="1279">
        <v>0</v>
      </c>
      <c r="Y488" s="788" t="s">
        <v>1828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2260</v>
      </c>
      <c r="BR488" s="769" t="s">
        <v>2260</v>
      </c>
      <c r="BS488" s="769" t="s">
        <v>2260</v>
      </c>
      <c r="BT488" s="769" t="s">
        <v>2260</v>
      </c>
      <c r="BU488" s="774" t="s">
        <v>2260</v>
      </c>
      <c r="BV488" s="777" t="s">
        <v>2260</v>
      </c>
      <c r="BW488" s="769" t="s">
        <v>2260</v>
      </c>
      <c r="BX488" s="769" t="s">
        <v>2260</v>
      </c>
      <c r="BY488" s="769" t="s">
        <v>2260</v>
      </c>
      <c r="BZ488" s="769" t="s">
        <v>2260</v>
      </c>
      <c r="CA488" s="777" t="s">
        <v>2260</v>
      </c>
      <c r="CB488" s="769" t="s">
        <v>2260</v>
      </c>
      <c r="CC488" s="769" t="s">
        <v>2260</v>
      </c>
      <c r="CD488" s="769" t="s">
        <v>2260</v>
      </c>
      <c r="CE488" s="774" t="s">
        <v>2260</v>
      </c>
      <c r="CF488" s="769" t="s">
        <v>2260</v>
      </c>
      <c r="CG488" s="769" t="s">
        <v>2260</v>
      </c>
      <c r="CH488" s="769" t="s">
        <v>2260</v>
      </c>
      <c r="CI488" s="769" t="s">
        <v>2260</v>
      </c>
      <c r="CJ488" s="774" t="s">
        <v>2260</v>
      </c>
      <c r="CK488" s="777" t="s">
        <v>2260</v>
      </c>
      <c r="CL488" s="769" t="s">
        <v>2260</v>
      </c>
      <c r="CM488" s="769" t="s">
        <v>2260</v>
      </c>
      <c r="CN488" s="769" t="s">
        <v>2260</v>
      </c>
      <c r="CO488" s="774" t="s">
        <v>2260</v>
      </c>
      <c r="CP488" s="777" t="s">
        <v>2260</v>
      </c>
      <c r="CQ488" s="769" t="s">
        <v>2260</v>
      </c>
      <c r="CR488" s="769" t="s">
        <v>2260</v>
      </c>
      <c r="CS488" s="769" t="s">
        <v>2260</v>
      </c>
      <c r="CT488" s="774" t="s">
        <v>2260</v>
      </c>
      <c r="CU488" s="1253" t="s">
        <v>2260</v>
      </c>
      <c r="CV488" s="1252" t="s">
        <v>2260</v>
      </c>
      <c r="CW488" s="1252" t="s">
        <v>2260</v>
      </c>
      <c r="CX488" s="1254" t="s">
        <v>2260</v>
      </c>
      <c r="CY488" s="1252" t="s">
        <v>2260</v>
      </c>
      <c r="CZ488" s="1252" t="s">
        <v>2260</v>
      </c>
      <c r="DA488" s="1252" t="s">
        <v>2260</v>
      </c>
      <c r="DB488" s="1254" t="s">
        <v>2260</v>
      </c>
      <c r="DC488" s="754"/>
      <c r="DD488" s="782"/>
      <c r="DE488" s="783"/>
    </row>
    <row r="489" spans="1:109" ht="15.75" hidden="1" customHeight="1">
      <c r="A489" s="741" t="s">
        <v>1199</v>
      </c>
      <c r="B489" s="742">
        <v>483</v>
      </c>
      <c r="C489" s="758" t="s">
        <v>1734</v>
      </c>
      <c r="D489" s="742"/>
      <c r="E489" s="742"/>
      <c r="F489" s="754" t="s">
        <v>3813</v>
      </c>
      <c r="G489" s="759" t="s">
        <v>3814</v>
      </c>
      <c r="H489" s="760"/>
      <c r="I489" s="761"/>
      <c r="J489" s="762"/>
      <c r="K489" s="762"/>
      <c r="L489" s="762"/>
      <c r="M489" s="762"/>
      <c r="N489" s="762"/>
      <c r="O489" s="762"/>
      <c r="P489" s="763"/>
      <c r="Q489" s="764">
        <f t="shared" si="7"/>
        <v>0</v>
      </c>
      <c r="R489" s="758" t="s">
        <v>1825</v>
      </c>
      <c r="S489" s="742"/>
      <c r="T489" s="765"/>
      <c r="U489" s="742"/>
      <c r="V489" s="742" t="s">
        <v>1890</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2260</v>
      </c>
      <c r="AR489" s="769" t="s">
        <v>2260</v>
      </c>
      <c r="AS489" s="769" t="s">
        <v>2260</v>
      </c>
      <c r="AT489" s="769" t="s">
        <v>3815</v>
      </c>
      <c r="AU489" s="774" t="s">
        <v>2260</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2260</v>
      </c>
      <c r="BR489" s="769" t="s">
        <v>2260</v>
      </c>
      <c r="BS489" s="769" t="s">
        <v>2260</v>
      </c>
      <c r="BT489" s="769" t="s">
        <v>2260</v>
      </c>
      <c r="BU489" s="774" t="s">
        <v>2260</v>
      </c>
      <c r="BV489" s="777" t="s">
        <v>2260</v>
      </c>
      <c r="BW489" s="769" t="s">
        <v>2260</v>
      </c>
      <c r="BX489" s="769" t="s">
        <v>2260</v>
      </c>
      <c r="BY489" s="769" t="s">
        <v>2260</v>
      </c>
      <c r="BZ489" s="769" t="s">
        <v>2260</v>
      </c>
      <c r="CA489" s="777" t="s">
        <v>2260</v>
      </c>
      <c r="CB489" s="769" t="s">
        <v>2260</v>
      </c>
      <c r="CC489" s="769" t="s">
        <v>2260</v>
      </c>
      <c r="CD489" s="769" t="s">
        <v>2260</v>
      </c>
      <c r="CE489" s="774" t="s">
        <v>2260</v>
      </c>
      <c r="CF489" s="769" t="s">
        <v>2260</v>
      </c>
      <c r="CG489" s="769" t="s">
        <v>2260</v>
      </c>
      <c r="CH489" s="769" t="s">
        <v>2260</v>
      </c>
      <c r="CI489" s="769" t="s">
        <v>2260</v>
      </c>
      <c r="CJ489" s="774" t="s">
        <v>2260</v>
      </c>
      <c r="CK489" s="777" t="s">
        <v>2260</v>
      </c>
      <c r="CL489" s="769" t="s">
        <v>2260</v>
      </c>
      <c r="CM489" s="769" t="s">
        <v>2260</v>
      </c>
      <c r="CN489" s="769" t="s">
        <v>2260</v>
      </c>
      <c r="CO489" s="774" t="s">
        <v>2260</v>
      </c>
      <c r="CP489" s="777" t="s">
        <v>2260</v>
      </c>
      <c r="CQ489" s="769" t="s">
        <v>2260</v>
      </c>
      <c r="CR489" s="769" t="s">
        <v>2260</v>
      </c>
      <c r="CS489" s="769" t="s">
        <v>2260</v>
      </c>
      <c r="CT489" s="774" t="s">
        <v>2260</v>
      </c>
      <c r="CU489" s="1253" t="s">
        <v>2260</v>
      </c>
      <c r="CV489" s="1252" t="s">
        <v>2260</v>
      </c>
      <c r="CW489" s="1252" t="s">
        <v>2260</v>
      </c>
      <c r="CX489" s="1254" t="s">
        <v>2260</v>
      </c>
      <c r="CY489" s="1252" t="s">
        <v>2260</v>
      </c>
      <c r="CZ489" s="1252" t="s">
        <v>2260</v>
      </c>
      <c r="DA489" s="1252" t="s">
        <v>2260</v>
      </c>
      <c r="DB489" s="1254" t="s">
        <v>2260</v>
      </c>
      <c r="DC489" s="754"/>
      <c r="DD489" s="782"/>
      <c r="DE489" s="783"/>
    </row>
    <row r="490" spans="1:109" ht="15.75" hidden="1" customHeight="1">
      <c r="A490" s="741" t="s">
        <v>1199</v>
      </c>
      <c r="B490" s="742">
        <v>484</v>
      </c>
      <c r="C490" s="758" t="s">
        <v>1584</v>
      </c>
      <c r="D490" s="742"/>
      <c r="E490" s="742"/>
      <c r="F490" s="754" t="s">
        <v>3816</v>
      </c>
      <c r="G490" s="759" t="s">
        <v>2087</v>
      </c>
      <c r="H490" s="760"/>
      <c r="I490" s="761"/>
      <c r="J490" s="762"/>
      <c r="K490" s="762"/>
      <c r="L490" s="762"/>
      <c r="M490" s="762"/>
      <c r="N490" s="762"/>
      <c r="O490" s="762"/>
      <c r="P490" s="763">
        <v>1</v>
      </c>
      <c r="Q490" s="764">
        <f t="shared" si="7"/>
        <v>1</v>
      </c>
      <c r="R490" s="758" t="s">
        <v>1852</v>
      </c>
      <c r="S490" s="742" t="s">
        <v>1826</v>
      </c>
      <c r="T490" s="765" t="s">
        <v>1837</v>
      </c>
      <c r="U490" s="742"/>
      <c r="V490" s="742" t="s">
        <v>2844</v>
      </c>
      <c r="W490" s="742"/>
      <c r="X490" s="1279">
        <v>0</v>
      </c>
      <c r="Y490" s="788" t="s">
        <v>1828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210</v>
      </c>
      <c r="BM490" s="754" t="s">
        <v>210</v>
      </c>
      <c r="BN490" s="754" t="s">
        <v>210</v>
      </c>
      <c r="BO490" s="754" t="s">
        <v>210</v>
      </c>
      <c r="BP490" s="765" t="s">
        <v>210</v>
      </c>
      <c r="BQ490" s="777" t="s">
        <v>2260</v>
      </c>
      <c r="BR490" s="769" t="s">
        <v>2260</v>
      </c>
      <c r="BS490" s="769" t="s">
        <v>2260</v>
      </c>
      <c r="BT490" s="769" t="s">
        <v>2260</v>
      </c>
      <c r="BU490" s="774" t="s">
        <v>2260</v>
      </c>
      <c r="BV490" s="777" t="s">
        <v>2260</v>
      </c>
      <c r="BW490" s="769" t="s">
        <v>2260</v>
      </c>
      <c r="BX490" s="769" t="s">
        <v>2260</v>
      </c>
      <c r="BY490" s="769" t="s">
        <v>2260</v>
      </c>
      <c r="BZ490" s="769" t="s">
        <v>2260</v>
      </c>
      <c r="CA490" s="777" t="s">
        <v>2260</v>
      </c>
      <c r="CB490" s="769" t="s">
        <v>2260</v>
      </c>
      <c r="CC490" s="769" t="s">
        <v>2260</v>
      </c>
      <c r="CD490" s="769" t="s">
        <v>2260</v>
      </c>
      <c r="CE490" s="774" t="s">
        <v>2260</v>
      </c>
      <c r="CF490" s="769" t="s">
        <v>2260</v>
      </c>
      <c r="CG490" s="769" t="s">
        <v>2260</v>
      </c>
      <c r="CH490" s="769" t="s">
        <v>2260</v>
      </c>
      <c r="CI490" s="769" t="s">
        <v>2260</v>
      </c>
      <c r="CJ490" s="774" t="s">
        <v>2260</v>
      </c>
      <c r="CK490" s="777" t="s">
        <v>2260</v>
      </c>
      <c r="CL490" s="769" t="s">
        <v>2260</v>
      </c>
      <c r="CM490" s="769" t="s">
        <v>2260</v>
      </c>
      <c r="CN490" s="769" t="s">
        <v>2260</v>
      </c>
      <c r="CO490" s="774" t="s">
        <v>2260</v>
      </c>
      <c r="CP490" s="777" t="s">
        <v>2260</v>
      </c>
      <c r="CQ490" s="769" t="s">
        <v>2260</v>
      </c>
      <c r="CR490" s="769" t="s">
        <v>2260</v>
      </c>
      <c r="CS490" s="769" t="s">
        <v>2260</v>
      </c>
      <c r="CT490" s="774" t="s">
        <v>2260</v>
      </c>
      <c r="CU490" s="1253">
        <v>-0.02</v>
      </c>
      <c r="CV490" s="1252" t="s">
        <v>2260</v>
      </c>
      <c r="CW490" s="1252" t="s">
        <v>2260</v>
      </c>
      <c r="CX490" s="1254" t="s">
        <v>2260</v>
      </c>
      <c r="CY490" s="1252">
        <v>0.02</v>
      </c>
      <c r="CZ490" s="1252" t="s">
        <v>2260</v>
      </c>
      <c r="DA490" s="1252" t="s">
        <v>2260</v>
      </c>
      <c r="DB490" s="1254" t="s">
        <v>2260</v>
      </c>
      <c r="DC490" s="754"/>
      <c r="DD490" s="782"/>
      <c r="DE490" s="783"/>
    </row>
    <row r="491" spans="1:109" ht="15.75" hidden="1" customHeight="1">
      <c r="A491" s="741" t="s">
        <v>1213</v>
      </c>
      <c r="B491" s="742">
        <v>485</v>
      </c>
      <c r="C491" s="897" t="s">
        <v>1261</v>
      </c>
      <c r="D491" s="742" t="s">
        <v>3817</v>
      </c>
      <c r="E491" s="742" t="s">
        <v>2231</v>
      </c>
      <c r="F491" s="754" t="s">
        <v>3818</v>
      </c>
      <c r="G491" s="759" t="s">
        <v>172</v>
      </c>
      <c r="H491" s="760" t="s">
        <v>3819</v>
      </c>
      <c r="I491" s="761">
        <v>0.1</v>
      </c>
      <c r="J491" s="762">
        <v>0.9</v>
      </c>
      <c r="K491" s="762"/>
      <c r="L491" s="762"/>
      <c r="M491" s="762"/>
      <c r="N491" s="762"/>
      <c r="O491" s="762"/>
      <c r="P491" s="763"/>
      <c r="Q491" s="764">
        <f t="shared" si="7"/>
        <v>1</v>
      </c>
      <c r="R491" s="758" t="s">
        <v>1846</v>
      </c>
      <c r="S491" s="742" t="s">
        <v>1826</v>
      </c>
      <c r="T491" s="765" t="s">
        <v>1827</v>
      </c>
      <c r="U491" s="742" t="s">
        <v>2247</v>
      </c>
      <c r="V491" s="742" t="s">
        <v>1897</v>
      </c>
      <c r="W491" s="742" t="s">
        <v>3820</v>
      </c>
      <c r="X491" s="798">
        <v>2</v>
      </c>
      <c r="Y491" s="788" t="s">
        <v>1838</v>
      </c>
      <c r="Z491" s="759" t="s">
        <v>172</v>
      </c>
      <c r="AA491" s="754"/>
      <c r="AB491" s="754"/>
      <c r="AC491" s="754"/>
      <c r="AD491" s="754"/>
      <c r="AE491" s="754"/>
      <c r="AF491" s="768"/>
      <c r="AG491" s="769"/>
      <c r="AH491" s="769"/>
      <c r="AI491" s="769"/>
      <c r="AJ491" s="769"/>
      <c r="AK491" s="769"/>
      <c r="AL491" s="769"/>
      <c r="AM491" s="769"/>
      <c r="AN491" s="769"/>
      <c r="AO491" s="769"/>
      <c r="AP491" s="769"/>
      <c r="AQ491" s="1690"/>
      <c r="AR491" s="1689"/>
      <c r="AS491" s="1689"/>
      <c r="AT491" s="1689"/>
      <c r="AU491" s="1691"/>
      <c r="AV491" s="777"/>
      <c r="AW491" s="769"/>
      <c r="AX491" s="769"/>
      <c r="AY491" s="769"/>
      <c r="AZ491" s="769"/>
      <c r="BA491" s="769"/>
      <c r="BB491" s="769"/>
      <c r="BC491" s="769"/>
      <c r="BD491" s="769"/>
      <c r="BE491" s="769"/>
      <c r="BF491" s="769"/>
      <c r="BG491" s="769"/>
      <c r="BH491" s="769"/>
      <c r="BI491" s="769"/>
      <c r="BJ491" s="769"/>
      <c r="BK491" s="774"/>
      <c r="BL491" s="1327"/>
      <c r="BM491" s="1328"/>
      <c r="BN491" s="1328"/>
      <c r="BO491" s="1328"/>
      <c r="BP491" s="1389"/>
      <c r="BQ491" s="1369"/>
      <c r="BR491" s="1319"/>
      <c r="BS491" s="1319"/>
      <c r="BT491" s="1319"/>
      <c r="BU491" s="1320"/>
      <c r="BV491" s="1460"/>
      <c r="BW491" s="1665"/>
      <c r="BX491" s="1665"/>
      <c r="BY491" s="1665"/>
      <c r="BZ491" s="1665"/>
      <c r="CA491" s="1690"/>
      <c r="CB491" s="1689"/>
      <c r="CC491" s="1689"/>
      <c r="CD491" s="1689"/>
      <c r="CE491" s="1691"/>
      <c r="CF491" s="1319"/>
      <c r="CG491" s="1319"/>
      <c r="CH491" s="1319"/>
      <c r="CI491" s="1319"/>
      <c r="CJ491" s="1320"/>
      <c r="CK491" s="1369"/>
      <c r="CL491" s="1319"/>
      <c r="CM491" s="1319"/>
      <c r="CN491" s="1319"/>
      <c r="CO491" s="1320"/>
      <c r="CP491" s="1369"/>
      <c r="CQ491" s="1319"/>
      <c r="CR491" s="1319"/>
      <c r="CS491" s="1319"/>
      <c r="CT491" s="1320"/>
      <c r="CU491" s="1467"/>
      <c r="CV491" s="1458"/>
      <c r="CW491" s="1458"/>
      <c r="CX491" s="1663"/>
      <c r="CY491" s="1458"/>
      <c r="CZ491" s="1458"/>
      <c r="DA491" s="1458"/>
      <c r="DB491" s="1663"/>
      <c r="DC491" s="1328"/>
      <c r="DD491" s="1664"/>
      <c r="DE491" s="1669"/>
    </row>
    <row r="492" spans="1:109" ht="15.75" hidden="1" customHeight="1">
      <c r="A492" s="741" t="s">
        <v>1213</v>
      </c>
      <c r="B492" s="742">
        <v>486</v>
      </c>
      <c r="C492" s="758" t="s">
        <v>1317</v>
      </c>
      <c r="D492" s="742" t="s">
        <v>3817</v>
      </c>
      <c r="E492" s="742" t="s">
        <v>2217</v>
      </c>
      <c r="F492" s="754" t="s">
        <v>3821</v>
      </c>
      <c r="G492" s="759" t="s">
        <v>3822</v>
      </c>
      <c r="H492" s="760" t="s">
        <v>3823</v>
      </c>
      <c r="I492" s="761"/>
      <c r="J492" s="762">
        <v>1</v>
      </c>
      <c r="K492" s="762"/>
      <c r="L492" s="762"/>
      <c r="M492" s="762"/>
      <c r="N492" s="762"/>
      <c r="O492" s="762"/>
      <c r="P492" s="763"/>
      <c r="Q492" s="764">
        <f t="shared" si="7"/>
        <v>1</v>
      </c>
      <c r="R492" s="758" t="s">
        <v>1852</v>
      </c>
      <c r="S492" s="742" t="s">
        <v>1826</v>
      </c>
      <c r="T492" s="765" t="s">
        <v>1827</v>
      </c>
      <c r="U492" s="742" t="s">
        <v>2421</v>
      </c>
      <c r="V492" s="742" t="s">
        <v>1857</v>
      </c>
      <c r="W492" s="742" t="s">
        <v>3824</v>
      </c>
      <c r="X492" s="798">
        <v>1</v>
      </c>
      <c r="Y492" s="788" t="s">
        <v>1838</v>
      </c>
      <c r="Z492" s="759" t="s">
        <v>2309</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210</v>
      </c>
      <c r="BM492" s="754" t="s">
        <v>210</v>
      </c>
      <c r="BN492" s="754" t="s">
        <v>210</v>
      </c>
      <c r="BO492" s="754" t="s">
        <v>210</v>
      </c>
      <c r="BP492" s="765" t="s">
        <v>210</v>
      </c>
      <c r="BQ492" s="777" t="s">
        <v>2260</v>
      </c>
      <c r="BR492" s="769" t="s">
        <v>2260</v>
      </c>
      <c r="BS492" s="769" t="s">
        <v>2260</v>
      </c>
      <c r="BT492" s="769" t="s">
        <v>2260</v>
      </c>
      <c r="BU492" s="774" t="s">
        <v>2260</v>
      </c>
      <c r="BV492" s="899">
        <v>34.5</v>
      </c>
      <c r="BW492" s="900">
        <v>34.5</v>
      </c>
      <c r="BX492" s="900">
        <v>34.5</v>
      </c>
      <c r="BY492" s="900">
        <v>34.5</v>
      </c>
      <c r="BZ492" s="900">
        <v>34.5</v>
      </c>
      <c r="CA492" s="899" t="s">
        <v>2260</v>
      </c>
      <c r="CB492" s="900" t="s">
        <v>2260</v>
      </c>
      <c r="CC492" s="900" t="s">
        <v>2260</v>
      </c>
      <c r="CD492" s="900" t="s">
        <v>2260</v>
      </c>
      <c r="CE492" s="901" t="s">
        <v>2260</v>
      </c>
      <c r="CF492" s="769" t="s">
        <v>2260</v>
      </c>
      <c r="CG492" s="769" t="s">
        <v>2260</v>
      </c>
      <c r="CH492" s="769" t="s">
        <v>2260</v>
      </c>
      <c r="CI492" s="769" t="s">
        <v>2260</v>
      </c>
      <c r="CJ492" s="774" t="s">
        <v>2260</v>
      </c>
      <c r="CK492" s="777">
        <v>15.4</v>
      </c>
      <c r="CL492" s="769">
        <v>14.3</v>
      </c>
      <c r="CM492" s="769">
        <v>13.1</v>
      </c>
      <c r="CN492" s="769">
        <v>12</v>
      </c>
      <c r="CO492" s="774">
        <v>10.8</v>
      </c>
      <c r="CP492" s="777" t="s">
        <v>2260</v>
      </c>
      <c r="CQ492" s="769" t="s">
        <v>2260</v>
      </c>
      <c r="CR492" s="769" t="s">
        <v>2260</v>
      </c>
      <c r="CS492" s="769" t="s">
        <v>2260</v>
      </c>
      <c r="CT492" s="774" t="s">
        <v>2260</v>
      </c>
      <c r="CU492" s="1258">
        <v>-2.4910000000000001</v>
      </c>
      <c r="CV492" s="1252" t="s">
        <v>2260</v>
      </c>
      <c r="CW492" s="1252" t="s">
        <v>2260</v>
      </c>
      <c r="CX492" s="1254" t="s">
        <v>2260</v>
      </c>
      <c r="CY492" s="1252">
        <v>2.0760000000000001</v>
      </c>
      <c r="CZ492" s="1252" t="s">
        <v>2260</v>
      </c>
      <c r="DA492" s="1252" t="s">
        <v>2260</v>
      </c>
      <c r="DB492" s="1254" t="s">
        <v>2260</v>
      </c>
      <c r="DC492" s="754" t="s">
        <v>2260</v>
      </c>
      <c r="DD492" s="782">
        <v>1</v>
      </c>
      <c r="DE492" s="783" t="s">
        <v>2260</v>
      </c>
    </row>
    <row r="493" spans="1:109" ht="15.75" hidden="1" customHeight="1">
      <c r="A493" s="741" t="s">
        <v>1213</v>
      </c>
      <c r="B493" s="742">
        <v>487</v>
      </c>
      <c r="C493" s="758" t="s">
        <v>1334</v>
      </c>
      <c r="D493" s="742" t="s">
        <v>3817</v>
      </c>
      <c r="E493" s="742" t="s">
        <v>2231</v>
      </c>
      <c r="F493" s="754" t="s">
        <v>3825</v>
      </c>
      <c r="G493" s="759" t="s">
        <v>3826</v>
      </c>
      <c r="H493" s="760" t="s">
        <v>3827</v>
      </c>
      <c r="I493" s="761"/>
      <c r="J493" s="762">
        <v>1</v>
      </c>
      <c r="K493" s="762"/>
      <c r="L493" s="762"/>
      <c r="M493" s="762"/>
      <c r="N493" s="762"/>
      <c r="O493" s="762"/>
      <c r="P493" s="763"/>
      <c r="Q493" s="764">
        <f t="shared" si="7"/>
        <v>1</v>
      </c>
      <c r="R493" s="758" t="s">
        <v>1852</v>
      </c>
      <c r="S493" s="742" t="s">
        <v>1826</v>
      </c>
      <c r="T493" s="765" t="s">
        <v>1827</v>
      </c>
      <c r="U493" s="742" t="s">
        <v>2247</v>
      </c>
      <c r="V493" s="742" t="s">
        <v>1857</v>
      </c>
      <c r="W493" s="742" t="s">
        <v>3828</v>
      </c>
      <c r="X493" s="798">
        <v>0</v>
      </c>
      <c r="Y493" s="788" t="s">
        <v>1828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210</v>
      </c>
      <c r="BM493" s="754" t="s">
        <v>210</v>
      </c>
      <c r="BN493" s="754" t="s">
        <v>210</v>
      </c>
      <c r="BO493" s="754" t="s">
        <v>210</v>
      </c>
      <c r="BP493" s="765" t="s">
        <v>210</v>
      </c>
      <c r="BQ493" s="777" t="s">
        <v>2260</v>
      </c>
      <c r="BR493" s="769" t="s">
        <v>2260</v>
      </c>
      <c r="BS493" s="769" t="s">
        <v>2260</v>
      </c>
      <c r="BT493" s="769" t="s">
        <v>2260</v>
      </c>
      <c r="BU493" s="774" t="s">
        <v>2260</v>
      </c>
      <c r="BV493" s="899">
        <v>0</v>
      </c>
      <c r="BW493" s="900">
        <v>0</v>
      </c>
      <c r="BX493" s="900">
        <v>0</v>
      </c>
      <c r="BY493" s="900">
        <v>0</v>
      </c>
      <c r="BZ493" s="900">
        <v>0</v>
      </c>
      <c r="CA493" s="899" t="s">
        <v>2260</v>
      </c>
      <c r="CB493" s="900" t="s">
        <v>2260</v>
      </c>
      <c r="CC493" s="900" t="s">
        <v>2260</v>
      </c>
      <c r="CD493" s="900" t="s">
        <v>2260</v>
      </c>
      <c r="CE493" s="901" t="s">
        <v>2260</v>
      </c>
      <c r="CF493" s="769" t="s">
        <v>2260</v>
      </c>
      <c r="CG493" s="769" t="s">
        <v>2260</v>
      </c>
      <c r="CH493" s="769" t="s">
        <v>2260</v>
      </c>
      <c r="CI493" s="769" t="s">
        <v>2260</v>
      </c>
      <c r="CJ493" s="774" t="s">
        <v>2260</v>
      </c>
      <c r="CK493" s="1921"/>
      <c r="CL493" s="1922"/>
      <c r="CM493" s="1922"/>
      <c r="CN493" s="1922"/>
      <c r="CO493" s="1923">
        <v>14100</v>
      </c>
      <c r="CP493" s="777" t="s">
        <v>2260</v>
      </c>
      <c r="CQ493" s="769" t="s">
        <v>2260</v>
      </c>
      <c r="CR493" s="769" t="s">
        <v>2260</v>
      </c>
      <c r="CS493" s="769" t="s">
        <v>2260</v>
      </c>
      <c r="CT493" s="774" t="s">
        <v>2260</v>
      </c>
      <c r="CU493" s="1258">
        <v>-1.1199999999999999E-3</v>
      </c>
      <c r="CV493" s="1252" t="s">
        <v>2260</v>
      </c>
      <c r="CW493" s="1252" t="s">
        <v>2260</v>
      </c>
      <c r="CX493" s="1254" t="s">
        <v>2260</v>
      </c>
      <c r="CY493" s="1252">
        <v>1.1199999999999999E-3</v>
      </c>
      <c r="CZ493" s="1252" t="s">
        <v>2260</v>
      </c>
      <c r="DA493" s="1252" t="s">
        <v>2260</v>
      </c>
      <c r="DB493" s="1254" t="s">
        <v>2260</v>
      </c>
      <c r="DC493" s="754" t="s">
        <v>173</v>
      </c>
      <c r="DD493" s="782">
        <v>1</v>
      </c>
      <c r="DE493" s="783" t="s">
        <v>259</v>
      </c>
    </row>
    <row r="494" spans="1:109" ht="15.75" hidden="1" customHeight="1">
      <c r="A494" s="741" t="s">
        <v>1213</v>
      </c>
      <c r="B494" s="742">
        <v>488</v>
      </c>
      <c r="C494" s="758" t="s">
        <v>1351</v>
      </c>
      <c r="D494" s="742" t="s">
        <v>3817</v>
      </c>
      <c r="E494" s="742" t="s">
        <v>2231</v>
      </c>
      <c r="F494" s="754" t="s">
        <v>3829</v>
      </c>
      <c r="G494" s="759" t="s">
        <v>3830</v>
      </c>
      <c r="H494" s="760" t="s">
        <v>3831</v>
      </c>
      <c r="I494" s="761"/>
      <c r="J494" s="762">
        <v>1</v>
      </c>
      <c r="K494" s="762"/>
      <c r="L494" s="762"/>
      <c r="M494" s="762"/>
      <c r="N494" s="762"/>
      <c r="O494" s="762"/>
      <c r="P494" s="763"/>
      <c r="Q494" s="764">
        <f t="shared" si="7"/>
        <v>1</v>
      </c>
      <c r="R494" s="758" t="s">
        <v>1852</v>
      </c>
      <c r="S494" s="742" t="s">
        <v>1826</v>
      </c>
      <c r="T494" s="765" t="s">
        <v>1827</v>
      </c>
      <c r="U494" s="742" t="s">
        <v>2610</v>
      </c>
      <c r="V494" s="742" t="s">
        <v>321</v>
      </c>
      <c r="W494" s="742" t="s">
        <v>3832</v>
      </c>
      <c r="X494" s="798">
        <v>1</v>
      </c>
      <c r="Y494" s="790" t="s">
        <v>1828</v>
      </c>
      <c r="Z494" s="759" t="s">
        <v>2260</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210</v>
      </c>
      <c r="BM494" s="754" t="s">
        <v>210</v>
      </c>
      <c r="BN494" s="754" t="s">
        <v>210</v>
      </c>
      <c r="BO494" s="754" t="s">
        <v>210</v>
      </c>
      <c r="BP494" s="765" t="s">
        <v>210</v>
      </c>
      <c r="BQ494" s="777" t="s">
        <v>2260</v>
      </c>
      <c r="BR494" s="769" t="s">
        <v>2260</v>
      </c>
      <c r="BS494" s="769" t="s">
        <v>2260</v>
      </c>
      <c r="BT494" s="769" t="s">
        <v>2260</v>
      </c>
      <c r="BU494" s="774" t="s">
        <v>2260</v>
      </c>
      <c r="BV494" s="899" t="s">
        <v>2260</v>
      </c>
      <c r="BW494" s="900" t="s">
        <v>2260</v>
      </c>
      <c r="BX494" s="900" t="s">
        <v>2260</v>
      </c>
      <c r="BY494" s="900" t="s">
        <v>2260</v>
      </c>
      <c r="BZ494" s="900" t="s">
        <v>2260</v>
      </c>
      <c r="CA494" s="899" t="s">
        <v>2260</v>
      </c>
      <c r="CB494" s="900" t="s">
        <v>2260</v>
      </c>
      <c r="CC494" s="900" t="s">
        <v>2260</v>
      </c>
      <c r="CD494" s="900" t="s">
        <v>2260</v>
      </c>
      <c r="CE494" s="901" t="s">
        <v>2260</v>
      </c>
      <c r="CF494" s="769" t="s">
        <v>2260</v>
      </c>
      <c r="CG494" s="769" t="s">
        <v>2260</v>
      </c>
      <c r="CH494" s="769" t="s">
        <v>2260</v>
      </c>
      <c r="CI494" s="769" t="s">
        <v>2260</v>
      </c>
      <c r="CJ494" s="774" t="s">
        <v>2260</v>
      </c>
      <c r="CK494" s="777" t="s">
        <v>2260</v>
      </c>
      <c r="CL494" s="769" t="s">
        <v>2260</v>
      </c>
      <c r="CM494" s="769" t="s">
        <v>2260</v>
      </c>
      <c r="CN494" s="769" t="s">
        <v>2260</v>
      </c>
      <c r="CO494" s="774" t="s">
        <v>2260</v>
      </c>
      <c r="CP494" s="777" t="s">
        <v>2260</v>
      </c>
      <c r="CQ494" s="769" t="s">
        <v>2260</v>
      </c>
      <c r="CR494" s="769" t="s">
        <v>2260</v>
      </c>
      <c r="CS494" s="769" t="s">
        <v>2260</v>
      </c>
      <c r="CT494" s="774" t="s">
        <v>2260</v>
      </c>
      <c r="CU494" s="1258">
        <v>-7.2999999999999995E-2</v>
      </c>
      <c r="CV494" s="1252" t="s">
        <v>2260</v>
      </c>
      <c r="CW494" s="1252" t="s">
        <v>2260</v>
      </c>
      <c r="CX494" s="1254" t="s">
        <v>2260</v>
      </c>
      <c r="CY494" s="1252">
        <v>7.2999999999999995E-2</v>
      </c>
      <c r="CZ494" s="1252" t="s">
        <v>2260</v>
      </c>
      <c r="DA494" s="1252" t="s">
        <v>2260</v>
      </c>
      <c r="DB494" s="1254" t="s">
        <v>2260</v>
      </c>
      <c r="DC494" s="754" t="s">
        <v>2260</v>
      </c>
      <c r="DD494" s="782">
        <v>1</v>
      </c>
      <c r="DE494" s="783" t="s">
        <v>2260</v>
      </c>
    </row>
    <row r="495" spans="1:109" ht="15.75" hidden="1" customHeight="1">
      <c r="A495" s="741" t="s">
        <v>1213</v>
      </c>
      <c r="B495" s="742">
        <v>489</v>
      </c>
      <c r="C495" s="758" t="s">
        <v>1368</v>
      </c>
      <c r="D495" s="742" t="s">
        <v>3817</v>
      </c>
      <c r="E495" s="742" t="s">
        <v>2231</v>
      </c>
      <c r="F495" s="754" t="s">
        <v>3833</v>
      </c>
      <c r="G495" s="759" t="s">
        <v>3834</v>
      </c>
      <c r="H495" s="760" t="s">
        <v>3835</v>
      </c>
      <c r="I495" s="761"/>
      <c r="J495" s="762">
        <v>1</v>
      </c>
      <c r="K495" s="762"/>
      <c r="L495" s="762"/>
      <c r="M495" s="762"/>
      <c r="N495" s="762"/>
      <c r="O495" s="762"/>
      <c r="P495" s="763"/>
      <c r="Q495" s="764">
        <f t="shared" si="7"/>
        <v>1</v>
      </c>
      <c r="R495" s="758" t="s">
        <v>1835</v>
      </c>
      <c r="S495" s="742" t="s">
        <v>1826</v>
      </c>
      <c r="T495" s="765" t="s">
        <v>1827</v>
      </c>
      <c r="U495" s="742" t="s">
        <v>2421</v>
      </c>
      <c r="V495" s="742" t="s">
        <v>1857</v>
      </c>
      <c r="W495" s="742" t="s">
        <v>3836</v>
      </c>
      <c r="X495" s="798">
        <v>2</v>
      </c>
      <c r="Y495" s="790" t="s">
        <v>1828</v>
      </c>
      <c r="Z495" s="759" t="s">
        <v>2260</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210</v>
      </c>
      <c r="BM495" s="754" t="s">
        <v>210</v>
      </c>
      <c r="BN495" s="754" t="s">
        <v>210</v>
      </c>
      <c r="BO495" s="754" t="s">
        <v>210</v>
      </c>
      <c r="BP495" s="765" t="s">
        <v>210</v>
      </c>
      <c r="BQ495" s="777" t="s">
        <v>2260</v>
      </c>
      <c r="BR495" s="769" t="s">
        <v>2260</v>
      </c>
      <c r="BS495" s="769" t="s">
        <v>2260</v>
      </c>
      <c r="BT495" s="769" t="s">
        <v>2260</v>
      </c>
      <c r="BU495" s="774" t="s">
        <v>2260</v>
      </c>
      <c r="BV495" s="899" t="s">
        <v>2260</v>
      </c>
      <c r="BW495" s="900" t="s">
        <v>2260</v>
      </c>
      <c r="BX495" s="900" t="s">
        <v>2260</v>
      </c>
      <c r="BY495" s="900" t="s">
        <v>2260</v>
      </c>
      <c r="BZ495" s="900" t="s">
        <v>2260</v>
      </c>
      <c r="CA495" s="899" t="s">
        <v>2260</v>
      </c>
      <c r="CB495" s="900" t="s">
        <v>2260</v>
      </c>
      <c r="CC495" s="900" t="s">
        <v>2260</v>
      </c>
      <c r="CD495" s="900" t="s">
        <v>2260</v>
      </c>
      <c r="CE495" s="901" t="s">
        <v>2260</v>
      </c>
      <c r="CF495" s="769" t="s">
        <v>2260</v>
      </c>
      <c r="CG495" s="769" t="s">
        <v>2260</v>
      </c>
      <c r="CH495" s="769" t="s">
        <v>2260</v>
      </c>
      <c r="CI495" s="769" t="s">
        <v>2260</v>
      </c>
      <c r="CJ495" s="774" t="s">
        <v>2260</v>
      </c>
      <c r="CK495" s="777">
        <v>0</v>
      </c>
      <c r="CL495" s="769">
        <v>0</v>
      </c>
      <c r="CM495" s="769">
        <v>0</v>
      </c>
      <c r="CN495" s="769">
        <v>35.25</v>
      </c>
      <c r="CO495" s="774">
        <v>58.99</v>
      </c>
      <c r="CP495" s="777" t="s">
        <v>2260</v>
      </c>
      <c r="CQ495" s="769" t="s">
        <v>2260</v>
      </c>
      <c r="CR495" s="769" t="s">
        <v>2260</v>
      </c>
      <c r="CS495" s="769" t="s">
        <v>2260</v>
      </c>
      <c r="CT495" s="774" t="s">
        <v>2260</v>
      </c>
      <c r="CU495" s="1258" t="s">
        <v>2260</v>
      </c>
      <c r="CV495" s="1252" t="s">
        <v>2260</v>
      </c>
      <c r="CW495" s="1252" t="s">
        <v>2260</v>
      </c>
      <c r="CX495" s="1254" t="s">
        <v>2260</v>
      </c>
      <c r="CY495" s="1252">
        <v>0.54800000000000004</v>
      </c>
      <c r="CZ495" s="1252" t="s">
        <v>2260</v>
      </c>
      <c r="DA495" s="1252" t="s">
        <v>2260</v>
      </c>
      <c r="DB495" s="1254" t="s">
        <v>2260</v>
      </c>
      <c r="DC495" s="754" t="s">
        <v>2260</v>
      </c>
      <c r="DD495" s="782">
        <v>1</v>
      </c>
      <c r="DE495" s="783"/>
    </row>
    <row r="496" spans="1:109" ht="15.75" hidden="1" customHeight="1">
      <c r="A496" s="741" t="s">
        <v>1213</v>
      </c>
      <c r="B496" s="742">
        <v>490</v>
      </c>
      <c r="C496" s="897" t="s">
        <v>1281</v>
      </c>
      <c r="D496" s="742" t="s">
        <v>3837</v>
      </c>
      <c r="E496" s="742" t="s">
        <v>2217</v>
      </c>
      <c r="F496" s="754" t="s">
        <v>3838</v>
      </c>
      <c r="G496" s="759" t="s">
        <v>705</v>
      </c>
      <c r="H496" s="760" t="s">
        <v>3819</v>
      </c>
      <c r="I496" s="761"/>
      <c r="J496" s="762">
        <v>1</v>
      </c>
      <c r="K496" s="762"/>
      <c r="L496" s="762"/>
      <c r="M496" s="762"/>
      <c r="N496" s="762"/>
      <c r="O496" s="762"/>
      <c r="P496" s="763"/>
      <c r="Q496" s="764">
        <f t="shared" si="7"/>
        <v>1</v>
      </c>
      <c r="R496" s="758" t="s">
        <v>1852</v>
      </c>
      <c r="S496" s="742" t="s">
        <v>1826</v>
      </c>
      <c r="T496" s="765" t="s">
        <v>1827</v>
      </c>
      <c r="U496" s="742" t="s">
        <v>705</v>
      </c>
      <c r="V496" s="742" t="s">
        <v>321</v>
      </c>
      <c r="W496" s="742" t="s">
        <v>3839</v>
      </c>
      <c r="X496" s="798">
        <v>1</v>
      </c>
      <c r="Y496" s="790" t="s">
        <v>1838</v>
      </c>
      <c r="Z496" s="759" t="s">
        <v>705</v>
      </c>
      <c r="AA496" s="754"/>
      <c r="AB496" s="754"/>
      <c r="AC496" s="754"/>
      <c r="AD496" s="754"/>
      <c r="AE496" s="754"/>
      <c r="AF496" s="768"/>
      <c r="AG496" s="769"/>
      <c r="AH496" s="769"/>
      <c r="AI496" s="769"/>
      <c r="AJ496" s="769"/>
      <c r="AK496" s="769"/>
      <c r="AL496" s="769"/>
      <c r="AM496" s="769"/>
      <c r="AN496" s="769"/>
      <c r="AO496" s="769"/>
      <c r="AP496" s="769"/>
      <c r="AQ496" s="1370"/>
      <c r="AR496" s="1324"/>
      <c r="AS496" s="1324"/>
      <c r="AT496" s="1324"/>
      <c r="AU496" s="1325"/>
      <c r="AV496" s="777"/>
      <c r="AW496" s="769"/>
      <c r="AX496" s="769"/>
      <c r="AY496" s="769"/>
      <c r="AZ496" s="769"/>
      <c r="BA496" s="769"/>
      <c r="BB496" s="769"/>
      <c r="BC496" s="769"/>
      <c r="BD496" s="769"/>
      <c r="BE496" s="769"/>
      <c r="BF496" s="769"/>
      <c r="BG496" s="769"/>
      <c r="BH496" s="769"/>
      <c r="BI496" s="769"/>
      <c r="BJ496" s="769"/>
      <c r="BK496" s="774"/>
      <c r="BL496" s="1327"/>
      <c r="BM496" s="1328"/>
      <c r="BN496" s="1328"/>
      <c r="BO496" s="1328"/>
      <c r="BP496" s="1389"/>
      <c r="BQ496" s="1369"/>
      <c r="BR496" s="1319"/>
      <c r="BS496" s="1319"/>
      <c r="BT496" s="1319"/>
      <c r="BU496" s="1320"/>
      <c r="BV496" s="1370"/>
      <c r="BW496" s="1324"/>
      <c r="BX496" s="1324"/>
      <c r="BY496" s="1324"/>
      <c r="BZ496" s="1324"/>
      <c r="CA496" s="1369"/>
      <c r="CB496" s="1319"/>
      <c r="CC496" s="1319"/>
      <c r="CD496" s="1319"/>
      <c r="CE496" s="1320"/>
      <c r="CF496" s="1319"/>
      <c r="CG496" s="1319"/>
      <c r="CH496" s="1319"/>
      <c r="CI496" s="1319"/>
      <c r="CJ496" s="1320"/>
      <c r="CK496" s="1369"/>
      <c r="CL496" s="1319"/>
      <c r="CM496" s="1319"/>
      <c r="CN496" s="1319"/>
      <c r="CO496" s="1320"/>
      <c r="CP496" s="1369"/>
      <c r="CQ496" s="1319"/>
      <c r="CR496" s="1319"/>
      <c r="CS496" s="1319"/>
      <c r="CT496" s="1320"/>
      <c r="CU496" s="1467"/>
      <c r="CV496" s="1458"/>
      <c r="CW496" s="1458"/>
      <c r="CX496" s="1663"/>
      <c r="CY496" s="1458"/>
      <c r="CZ496" s="1458"/>
      <c r="DA496" s="1458"/>
      <c r="DB496" s="1663"/>
      <c r="DC496" s="1328"/>
      <c r="DD496" s="1664"/>
      <c r="DE496" s="1669"/>
    </row>
    <row r="497" spans="1:109" ht="15.75" hidden="1" customHeight="1">
      <c r="A497" s="741" t="s">
        <v>1213</v>
      </c>
      <c r="B497" s="742">
        <v>491</v>
      </c>
      <c r="C497" s="758" t="s">
        <v>1265</v>
      </c>
      <c r="D497" s="742" t="s">
        <v>3837</v>
      </c>
      <c r="E497" s="742" t="s">
        <v>2217</v>
      </c>
      <c r="F497" s="754" t="s">
        <v>3840</v>
      </c>
      <c r="G497" s="759" t="s">
        <v>203</v>
      </c>
      <c r="H497" s="760" t="s">
        <v>3819</v>
      </c>
      <c r="I497" s="761"/>
      <c r="J497" s="762">
        <v>1</v>
      </c>
      <c r="K497" s="762"/>
      <c r="L497" s="762"/>
      <c r="M497" s="762"/>
      <c r="N497" s="762"/>
      <c r="O497" s="762"/>
      <c r="P497" s="763"/>
      <c r="Q497" s="764">
        <f t="shared" si="7"/>
        <v>1</v>
      </c>
      <c r="R497" s="758" t="s">
        <v>1852</v>
      </c>
      <c r="S497" s="742" t="s">
        <v>1826</v>
      </c>
      <c r="T497" s="765" t="s">
        <v>1827</v>
      </c>
      <c r="U497" s="742" t="s">
        <v>2363</v>
      </c>
      <c r="V497" s="742" t="s">
        <v>1857</v>
      </c>
      <c r="W497" s="742" t="s">
        <v>3841</v>
      </c>
      <c r="X497" s="1243">
        <v>1</v>
      </c>
      <c r="Y497" s="790" t="s">
        <v>1838</v>
      </c>
      <c r="Z497" s="759" t="s">
        <v>203</v>
      </c>
      <c r="AA497" s="754"/>
      <c r="AB497" s="754"/>
      <c r="AC497" s="754"/>
      <c r="AD497" s="754"/>
      <c r="AE497" s="754"/>
      <c r="AF497" s="768"/>
      <c r="AG497" s="770"/>
      <c r="AH497" s="770"/>
      <c r="AI497" s="770"/>
      <c r="AJ497" s="770"/>
      <c r="AK497" s="770"/>
      <c r="AL497" s="770"/>
      <c r="AM497" s="770"/>
      <c r="AN497" s="770"/>
      <c r="AO497" s="770"/>
      <c r="AP497" s="770"/>
      <c r="AQ497" s="1656"/>
      <c r="AR497" s="1657"/>
      <c r="AS497" s="1657"/>
      <c r="AT497" s="1657"/>
      <c r="AU497" s="1658"/>
      <c r="AV497" s="771"/>
      <c r="AW497" s="770"/>
      <c r="AX497" s="770"/>
      <c r="AY497" s="770"/>
      <c r="AZ497" s="770"/>
      <c r="BA497" s="770"/>
      <c r="BB497" s="770"/>
      <c r="BC497" s="770"/>
      <c r="BD497" s="770"/>
      <c r="BE497" s="770"/>
      <c r="BF497" s="770"/>
      <c r="BG497" s="770"/>
      <c r="BH497" s="770"/>
      <c r="BI497" s="770"/>
      <c r="BJ497" s="770"/>
      <c r="BK497" s="772"/>
      <c r="BL497" s="1327"/>
      <c r="BM497" s="1328"/>
      <c r="BN497" s="1328"/>
      <c r="BO497" s="1328"/>
      <c r="BP497" s="1389"/>
      <c r="BQ497" s="1656"/>
      <c r="BR497" s="1657"/>
      <c r="BS497" s="1657"/>
      <c r="BT497" s="1657"/>
      <c r="BU497" s="1658"/>
      <c r="BV497" s="1656"/>
      <c r="BW497" s="1657"/>
      <c r="BX497" s="1657"/>
      <c r="BY497" s="1657"/>
      <c r="BZ497" s="1657"/>
      <c r="CA497" s="1656"/>
      <c r="CB497" s="1657"/>
      <c r="CC497" s="1657"/>
      <c r="CD497" s="1657"/>
      <c r="CE497" s="1658"/>
      <c r="CF497" s="1657"/>
      <c r="CG497" s="1657"/>
      <c r="CH497" s="1657"/>
      <c r="CI497" s="1657"/>
      <c r="CJ497" s="1658"/>
      <c r="CK497" s="1656"/>
      <c r="CL497" s="1657"/>
      <c r="CM497" s="1657"/>
      <c r="CN497" s="1657"/>
      <c r="CO497" s="1658"/>
      <c r="CP497" s="1656"/>
      <c r="CQ497" s="1657"/>
      <c r="CR497" s="1657"/>
      <c r="CS497" s="1657"/>
      <c r="CT497" s="1658"/>
      <c r="CU497" s="1467"/>
      <c r="CV497" s="1458"/>
      <c r="CW497" s="1458"/>
      <c r="CX497" s="1663"/>
      <c r="CY497" s="1458"/>
      <c r="CZ497" s="1458"/>
      <c r="DA497" s="1458"/>
      <c r="DB497" s="1663"/>
      <c r="DC497" s="1328"/>
      <c r="DD497" s="1664"/>
      <c r="DE497" s="1669"/>
    </row>
    <row r="498" spans="1:109" ht="15.75" hidden="1" customHeight="1">
      <c r="A498" s="741" t="s">
        <v>1213</v>
      </c>
      <c r="B498" s="742">
        <v>492</v>
      </c>
      <c r="C498" s="897" t="s">
        <v>1262</v>
      </c>
      <c r="D498" s="742" t="s">
        <v>3837</v>
      </c>
      <c r="E498" s="742" t="s">
        <v>2217</v>
      </c>
      <c r="F498" s="754" t="s">
        <v>3842</v>
      </c>
      <c r="G498" s="759" t="s">
        <v>179</v>
      </c>
      <c r="H498" s="760" t="s">
        <v>3819</v>
      </c>
      <c r="I498" s="761"/>
      <c r="J498" s="762">
        <v>1</v>
      </c>
      <c r="K498" s="762"/>
      <c r="L498" s="762"/>
      <c r="M498" s="762"/>
      <c r="N498" s="762"/>
      <c r="O498" s="762"/>
      <c r="P498" s="763"/>
      <c r="Q498" s="764">
        <f t="shared" si="7"/>
        <v>1</v>
      </c>
      <c r="R498" s="758" t="s">
        <v>1852</v>
      </c>
      <c r="S498" s="742" t="s">
        <v>1826</v>
      </c>
      <c r="T498" s="765" t="s">
        <v>1827</v>
      </c>
      <c r="U498" s="742" t="s">
        <v>2220</v>
      </c>
      <c r="V498" s="742" t="s">
        <v>1851</v>
      </c>
      <c r="W498" s="742" t="s">
        <v>3843</v>
      </c>
      <c r="X498" s="1243">
        <v>0</v>
      </c>
      <c r="Y498" s="790" t="s">
        <v>1838</v>
      </c>
      <c r="Z498" s="759" t="s">
        <v>179</v>
      </c>
      <c r="AA498" s="754"/>
      <c r="AB498" s="754"/>
      <c r="AC498" s="754"/>
      <c r="AD498" s="754"/>
      <c r="AE498" s="754"/>
      <c r="AF498" s="768"/>
      <c r="AG498" s="769"/>
      <c r="AH498" s="814"/>
      <c r="AI498" s="814"/>
      <c r="AJ498" s="814"/>
      <c r="AK498" s="814"/>
      <c r="AL498" s="814"/>
      <c r="AM498" s="814"/>
      <c r="AN498" s="814"/>
      <c r="AO498" s="814"/>
      <c r="AP498" s="814"/>
      <c r="AQ498" s="1321"/>
      <c r="AR498" s="1322"/>
      <c r="AS498" s="1322"/>
      <c r="AT498" s="1322"/>
      <c r="AU498" s="1323"/>
      <c r="AV498" s="815"/>
      <c r="AW498" s="814"/>
      <c r="AX498" s="814"/>
      <c r="AY498" s="814"/>
      <c r="AZ498" s="814"/>
      <c r="BA498" s="814"/>
      <c r="BB498" s="814"/>
      <c r="BC498" s="814"/>
      <c r="BD498" s="814"/>
      <c r="BE498" s="814"/>
      <c r="BF498" s="814"/>
      <c r="BG498" s="814"/>
      <c r="BH498" s="814"/>
      <c r="BI498" s="814"/>
      <c r="BJ498" s="814"/>
      <c r="BK498" s="816"/>
      <c r="BL498" s="1327"/>
      <c r="BM498" s="1328"/>
      <c r="BN498" s="1328"/>
      <c r="BO498" s="1328"/>
      <c r="BP498" s="1389"/>
      <c r="BQ498" s="1369"/>
      <c r="BR498" s="1319"/>
      <c r="BS498" s="1319"/>
      <c r="BT498" s="1319"/>
      <c r="BU498" s="1320"/>
      <c r="BV498" s="1321"/>
      <c r="BW498" s="1322"/>
      <c r="BX498" s="1322"/>
      <c r="BY498" s="1322"/>
      <c r="BZ498" s="1322"/>
      <c r="CA498" s="1369"/>
      <c r="CB498" s="1319"/>
      <c r="CC498" s="1319"/>
      <c r="CD498" s="1319"/>
      <c r="CE498" s="1320"/>
      <c r="CF498" s="1319"/>
      <c r="CG498" s="1319"/>
      <c r="CH498" s="1319"/>
      <c r="CI498" s="1319"/>
      <c r="CJ498" s="1319"/>
      <c r="CK498" s="1321"/>
      <c r="CL498" s="1322"/>
      <c r="CM498" s="1322"/>
      <c r="CN498" s="1322"/>
      <c r="CO498" s="1323"/>
      <c r="CP498" s="1369"/>
      <c r="CQ498" s="1319"/>
      <c r="CR498" s="1319"/>
      <c r="CS498" s="1319"/>
      <c r="CT498" s="1320"/>
      <c r="CU498" s="1467"/>
      <c r="CV498" s="1458"/>
      <c r="CW498" s="1458"/>
      <c r="CX498" s="1663"/>
      <c r="CY498" s="1458"/>
      <c r="CZ498" s="1458"/>
      <c r="DA498" s="1458"/>
      <c r="DB498" s="1663"/>
      <c r="DC498" s="1328"/>
      <c r="DD498" s="1664"/>
      <c r="DE498" s="1669"/>
    </row>
    <row r="499" spans="1:109" ht="15.75" hidden="1" customHeight="1">
      <c r="A499" s="741" t="s">
        <v>1213</v>
      </c>
      <c r="B499" s="742">
        <v>493</v>
      </c>
      <c r="C499" s="758" t="s">
        <v>1266</v>
      </c>
      <c r="D499" s="742" t="s">
        <v>3837</v>
      </c>
      <c r="E499" s="742" t="s">
        <v>2231</v>
      </c>
      <c r="F499" s="754" t="s">
        <v>3844</v>
      </c>
      <c r="G499" s="759" t="s">
        <v>209</v>
      </c>
      <c r="H499" s="760" t="s">
        <v>3819</v>
      </c>
      <c r="I499" s="761">
        <v>0.05</v>
      </c>
      <c r="J499" s="762">
        <v>0.95</v>
      </c>
      <c r="K499" s="762"/>
      <c r="L499" s="762"/>
      <c r="M499" s="762"/>
      <c r="N499" s="762"/>
      <c r="O499" s="762"/>
      <c r="P499" s="763"/>
      <c r="Q499" s="764">
        <f t="shared" si="7"/>
        <v>1</v>
      </c>
      <c r="R499" s="758" t="s">
        <v>1846</v>
      </c>
      <c r="S499" s="742" t="s">
        <v>1826</v>
      </c>
      <c r="T499" s="765" t="s">
        <v>1827</v>
      </c>
      <c r="U499" s="742" t="s">
        <v>2238</v>
      </c>
      <c r="V499" s="742" t="s">
        <v>321</v>
      </c>
      <c r="W499" s="742" t="s">
        <v>3845</v>
      </c>
      <c r="X499" s="798">
        <v>2</v>
      </c>
      <c r="Y499" s="790" t="s">
        <v>1838</v>
      </c>
      <c r="Z499" s="759" t="s">
        <v>209</v>
      </c>
      <c r="AA499" s="754"/>
      <c r="AB499" s="754"/>
      <c r="AC499" s="754"/>
      <c r="AD499" s="754"/>
      <c r="AE499" s="754"/>
      <c r="AF499" s="768"/>
      <c r="AG499" s="769"/>
      <c r="AH499" s="769"/>
      <c r="AI499" s="769"/>
      <c r="AJ499" s="769"/>
      <c r="AK499" s="769"/>
      <c r="AL499" s="769"/>
      <c r="AM499" s="769"/>
      <c r="AN499" s="769"/>
      <c r="AO499" s="769"/>
      <c r="AP499" s="769"/>
      <c r="AQ499" s="1370"/>
      <c r="AR499" s="1324"/>
      <c r="AS499" s="1324"/>
      <c r="AT499" s="1324"/>
      <c r="AU499" s="1325"/>
      <c r="AV499" s="777"/>
      <c r="AW499" s="769"/>
      <c r="AX499" s="769"/>
      <c r="AY499" s="769"/>
      <c r="AZ499" s="769"/>
      <c r="BA499" s="769"/>
      <c r="BB499" s="769"/>
      <c r="BC499" s="769"/>
      <c r="BD499" s="769"/>
      <c r="BE499" s="769"/>
      <c r="BF499" s="769"/>
      <c r="BG499" s="769"/>
      <c r="BH499" s="769"/>
      <c r="BI499" s="769"/>
      <c r="BJ499" s="769"/>
      <c r="BK499" s="774"/>
      <c r="BL499" s="1327"/>
      <c r="BM499" s="1328"/>
      <c r="BN499" s="1328"/>
      <c r="BO499" s="1328"/>
      <c r="BP499" s="1389"/>
      <c r="BQ499" s="1369"/>
      <c r="BR499" s="1319"/>
      <c r="BS499" s="1319"/>
      <c r="BT499" s="1319"/>
      <c r="BU499" s="1320"/>
      <c r="BV499" s="1370"/>
      <c r="BW499" s="1324"/>
      <c r="BX499" s="1324"/>
      <c r="BY499" s="1324"/>
      <c r="BZ499" s="1324"/>
      <c r="CA499" s="1369"/>
      <c r="CB499" s="1319"/>
      <c r="CC499" s="1319"/>
      <c r="CD499" s="1319"/>
      <c r="CE499" s="1320"/>
      <c r="CF499" s="1319"/>
      <c r="CG499" s="1319"/>
      <c r="CH499" s="1319"/>
      <c r="CI499" s="1319"/>
      <c r="CJ499" s="1320"/>
      <c r="CK499" s="1369"/>
      <c r="CL499" s="1319"/>
      <c r="CM499" s="1319"/>
      <c r="CN499" s="1319"/>
      <c r="CO499" s="1320"/>
      <c r="CP499" s="1369"/>
      <c r="CQ499" s="1319"/>
      <c r="CR499" s="1319"/>
      <c r="CS499" s="1319"/>
      <c r="CT499" s="1320"/>
      <c r="CU499" s="1467"/>
      <c r="CV499" s="1458"/>
      <c r="CW499" s="1458"/>
      <c r="CX499" s="1663"/>
      <c r="CY499" s="1458"/>
      <c r="CZ499" s="1458"/>
      <c r="DA499" s="1458"/>
      <c r="DB499" s="1663"/>
      <c r="DC499" s="1328"/>
      <c r="DD499" s="1664"/>
      <c r="DE499" s="1669"/>
    </row>
    <row r="500" spans="1:109" ht="15.75" hidden="1" customHeight="1">
      <c r="A500" s="741" t="s">
        <v>1213</v>
      </c>
      <c r="B500" s="742">
        <v>494</v>
      </c>
      <c r="C500" s="758" t="s">
        <v>1273</v>
      </c>
      <c r="D500" s="742" t="s">
        <v>3837</v>
      </c>
      <c r="E500" s="742" t="s">
        <v>2231</v>
      </c>
      <c r="F500" s="754" t="s">
        <v>3846</v>
      </c>
      <c r="G500" s="759" t="s">
        <v>1084</v>
      </c>
      <c r="H500" s="760" t="s">
        <v>3819</v>
      </c>
      <c r="I500" s="761"/>
      <c r="J500" s="762">
        <v>1</v>
      </c>
      <c r="K500" s="762"/>
      <c r="L500" s="762"/>
      <c r="M500" s="762"/>
      <c r="N500" s="762"/>
      <c r="O500" s="762"/>
      <c r="P500" s="763"/>
      <c r="Q500" s="764">
        <f t="shared" si="7"/>
        <v>1</v>
      </c>
      <c r="R500" s="758" t="s">
        <v>1852</v>
      </c>
      <c r="S500" s="742" t="s">
        <v>1826</v>
      </c>
      <c r="T500" s="1389" t="s">
        <v>1837</v>
      </c>
      <c r="U500" s="742" t="s">
        <v>2348</v>
      </c>
      <c r="V500" s="742" t="s">
        <v>321</v>
      </c>
      <c r="W500" s="742" t="s">
        <v>3839</v>
      </c>
      <c r="X500" s="1243">
        <v>1</v>
      </c>
      <c r="Y500" s="790" t="s">
        <v>1838</v>
      </c>
      <c r="Z500" s="759" t="s">
        <v>1084</v>
      </c>
      <c r="AA500" s="754"/>
      <c r="AB500" s="754"/>
      <c r="AC500" s="754"/>
      <c r="AD500" s="754"/>
      <c r="AE500" s="754"/>
      <c r="AF500" s="768"/>
      <c r="AG500" s="769"/>
      <c r="AH500" s="769"/>
      <c r="AI500" s="769"/>
      <c r="AJ500" s="769"/>
      <c r="AK500" s="769"/>
      <c r="AL500" s="769"/>
      <c r="AM500" s="769"/>
      <c r="AN500" s="769"/>
      <c r="AO500" s="769"/>
      <c r="AP500" s="769"/>
      <c r="AQ500" s="1369"/>
      <c r="AR500" s="1319"/>
      <c r="AS500" s="1319"/>
      <c r="AT500" s="1319"/>
      <c r="AU500" s="1320"/>
      <c r="AV500" s="777"/>
      <c r="AW500" s="769"/>
      <c r="AX500" s="769"/>
      <c r="AY500" s="769"/>
      <c r="AZ500" s="769"/>
      <c r="BA500" s="769"/>
      <c r="BB500" s="769"/>
      <c r="BC500" s="769"/>
      <c r="BD500" s="769"/>
      <c r="BE500" s="769"/>
      <c r="BF500" s="769"/>
      <c r="BG500" s="769"/>
      <c r="BH500" s="769"/>
      <c r="BI500" s="769"/>
      <c r="BJ500" s="769"/>
      <c r="BK500" s="774"/>
      <c r="BL500" s="1327"/>
      <c r="BM500" s="1328"/>
      <c r="BN500" s="1328"/>
      <c r="BO500" s="1328"/>
      <c r="BP500" s="1389"/>
      <c r="BQ500" s="1369"/>
      <c r="BR500" s="1319"/>
      <c r="BS500" s="1319"/>
      <c r="BT500" s="1319"/>
      <c r="BU500" s="1320"/>
      <c r="BV500" s="1369"/>
      <c r="BW500" s="1319"/>
      <c r="BX500" s="1319"/>
      <c r="BY500" s="1319"/>
      <c r="BZ500" s="1319"/>
      <c r="CA500" s="1369"/>
      <c r="CB500" s="1319"/>
      <c r="CC500" s="1319"/>
      <c r="CD500" s="1319"/>
      <c r="CE500" s="1320"/>
      <c r="CF500" s="1319"/>
      <c r="CG500" s="1319"/>
      <c r="CH500" s="1319"/>
      <c r="CI500" s="1319"/>
      <c r="CJ500" s="1320"/>
      <c r="CK500" s="1369"/>
      <c r="CL500" s="1319"/>
      <c r="CM500" s="1319"/>
      <c r="CN500" s="1319"/>
      <c r="CO500" s="1320"/>
      <c r="CP500" s="1369"/>
      <c r="CQ500" s="1319"/>
      <c r="CR500" s="1319"/>
      <c r="CS500" s="1319"/>
      <c r="CT500" s="1320"/>
      <c r="CU500" s="1467"/>
      <c r="CV500" s="1458"/>
      <c r="CW500" s="1458"/>
      <c r="CX500" s="1663"/>
      <c r="CY500" s="1458"/>
      <c r="CZ500" s="1458"/>
      <c r="DA500" s="1458"/>
      <c r="DB500" s="1663"/>
      <c r="DC500" s="1328"/>
      <c r="DD500" s="1664"/>
      <c r="DE500" s="1669"/>
    </row>
    <row r="501" spans="1:109" ht="15.75" hidden="1" customHeight="1">
      <c r="A501" s="741" t="s">
        <v>1213</v>
      </c>
      <c r="B501" s="742">
        <v>495</v>
      </c>
      <c r="C501" s="758" t="s">
        <v>1267</v>
      </c>
      <c r="D501" s="742" t="s">
        <v>3837</v>
      </c>
      <c r="E501" s="742" t="s">
        <v>2231</v>
      </c>
      <c r="F501" s="754" t="s">
        <v>3847</v>
      </c>
      <c r="G501" s="759" t="s">
        <v>567</v>
      </c>
      <c r="H501" s="760" t="s">
        <v>3819</v>
      </c>
      <c r="I501" s="761">
        <v>0.5</v>
      </c>
      <c r="J501" s="762">
        <v>0.5</v>
      </c>
      <c r="K501" s="762"/>
      <c r="L501" s="762"/>
      <c r="M501" s="762"/>
      <c r="N501" s="762"/>
      <c r="O501" s="762"/>
      <c r="P501" s="763"/>
      <c r="Q501" s="764">
        <f t="shared" si="7"/>
        <v>1</v>
      </c>
      <c r="R501" s="758" t="s">
        <v>1825</v>
      </c>
      <c r="S501" s="742"/>
      <c r="T501" s="765" t="s">
        <v>2260</v>
      </c>
      <c r="U501" s="742" t="s">
        <v>2234</v>
      </c>
      <c r="V501" s="742" t="s">
        <v>321</v>
      </c>
      <c r="W501" s="742" t="s">
        <v>3848</v>
      </c>
      <c r="X501" s="798">
        <v>1</v>
      </c>
      <c r="Y501" s="790" t="s">
        <v>1838</v>
      </c>
      <c r="Z501" s="759" t="s">
        <v>567</v>
      </c>
      <c r="AA501" s="754"/>
      <c r="AB501" s="754"/>
      <c r="AC501" s="754"/>
      <c r="AD501" s="754"/>
      <c r="AE501" s="754"/>
      <c r="AF501" s="768"/>
      <c r="AG501" s="769"/>
      <c r="AH501" s="769"/>
      <c r="AI501" s="769"/>
      <c r="AJ501" s="769"/>
      <c r="AK501" s="769"/>
      <c r="AL501" s="769"/>
      <c r="AM501" s="769"/>
      <c r="AN501" s="769"/>
      <c r="AO501" s="769"/>
      <c r="AP501" s="785"/>
      <c r="AQ501" s="1460"/>
      <c r="AR501" s="1665"/>
      <c r="AS501" s="1665"/>
      <c r="AT501" s="1665"/>
      <c r="AU501" s="1466"/>
      <c r="AV501" s="786"/>
      <c r="AW501" s="785"/>
      <c r="AX501" s="785"/>
      <c r="AY501" s="785"/>
      <c r="AZ501" s="785"/>
      <c r="BA501" s="785"/>
      <c r="BB501" s="785"/>
      <c r="BC501" s="785"/>
      <c r="BD501" s="785"/>
      <c r="BE501" s="785"/>
      <c r="BF501" s="785"/>
      <c r="BG501" s="785"/>
      <c r="BH501" s="785"/>
      <c r="BI501" s="785"/>
      <c r="BJ501" s="785"/>
      <c r="BK501" s="787"/>
      <c r="BL501" s="1327"/>
      <c r="BM501" s="1328"/>
      <c r="BN501" s="1328"/>
      <c r="BO501" s="1328"/>
      <c r="BP501" s="1389"/>
      <c r="BQ501" s="1369"/>
      <c r="BR501" s="1319"/>
      <c r="BS501" s="1319"/>
      <c r="BT501" s="1319"/>
      <c r="BU501" s="1320"/>
      <c r="BV501" s="1369"/>
      <c r="BW501" s="1319"/>
      <c r="BX501" s="1319"/>
      <c r="BY501" s="1319"/>
      <c r="BZ501" s="1319"/>
      <c r="CA501" s="1369"/>
      <c r="CB501" s="1319"/>
      <c r="CC501" s="1319"/>
      <c r="CD501" s="1319"/>
      <c r="CE501" s="1320"/>
      <c r="CF501" s="1319"/>
      <c r="CG501" s="1319"/>
      <c r="CH501" s="1319"/>
      <c r="CI501" s="1319"/>
      <c r="CJ501" s="1320"/>
      <c r="CK501" s="1369"/>
      <c r="CL501" s="1319"/>
      <c r="CM501" s="1319"/>
      <c r="CN501" s="1319"/>
      <c r="CO501" s="1320"/>
      <c r="CP501" s="1369"/>
      <c r="CQ501" s="1319"/>
      <c r="CR501" s="1319"/>
      <c r="CS501" s="1319"/>
      <c r="CT501" s="1320"/>
      <c r="CU501" s="1467"/>
      <c r="CV501" s="1458"/>
      <c r="CW501" s="1458"/>
      <c r="CX501" s="1663"/>
      <c r="CY501" s="1458"/>
      <c r="CZ501" s="1458"/>
      <c r="DA501" s="1458"/>
      <c r="DB501" s="1663"/>
      <c r="DC501" s="1328"/>
      <c r="DD501" s="1664"/>
      <c r="DE501" s="1669"/>
    </row>
    <row r="502" spans="1:109" ht="15.75" hidden="1" customHeight="1">
      <c r="A502" s="741" t="s">
        <v>1213</v>
      </c>
      <c r="B502" s="742">
        <v>496</v>
      </c>
      <c r="C502" s="758" t="s">
        <v>1385</v>
      </c>
      <c r="D502" s="742" t="s">
        <v>3837</v>
      </c>
      <c r="E502" s="742" t="s">
        <v>2217</v>
      </c>
      <c r="F502" s="754" t="s">
        <v>3849</v>
      </c>
      <c r="G502" s="759" t="s">
        <v>3850</v>
      </c>
      <c r="H502" s="760" t="s">
        <v>3851</v>
      </c>
      <c r="I502" s="761"/>
      <c r="J502" s="762">
        <v>1</v>
      </c>
      <c r="K502" s="762"/>
      <c r="L502" s="762"/>
      <c r="M502" s="762"/>
      <c r="N502" s="762"/>
      <c r="O502" s="762"/>
      <c r="P502" s="763"/>
      <c r="Q502" s="764">
        <f t="shared" si="7"/>
        <v>1</v>
      </c>
      <c r="R502" s="758" t="s">
        <v>1852</v>
      </c>
      <c r="S502" s="742" t="s">
        <v>1826</v>
      </c>
      <c r="T502" s="765" t="s">
        <v>1827</v>
      </c>
      <c r="U502" s="742" t="s">
        <v>2295</v>
      </c>
      <c r="V502" s="742" t="s">
        <v>1857</v>
      </c>
      <c r="W502" s="742" t="s">
        <v>3852</v>
      </c>
      <c r="X502" s="1316">
        <v>3</v>
      </c>
      <c r="Y502" s="790" t="s">
        <v>1838</v>
      </c>
      <c r="Z502" s="759" t="s">
        <v>2297</v>
      </c>
      <c r="AA502" s="754"/>
      <c r="AB502" s="754"/>
      <c r="AC502" s="754"/>
      <c r="AD502" s="754"/>
      <c r="AE502" s="754"/>
      <c r="AF502" s="768"/>
      <c r="AG502" s="769"/>
      <c r="AH502" s="769"/>
      <c r="AI502" s="769"/>
      <c r="AJ502" s="769"/>
      <c r="AK502" s="769"/>
      <c r="AL502" s="769"/>
      <c r="AM502" s="769"/>
      <c r="AN502" s="769"/>
      <c r="AO502" s="769"/>
      <c r="AP502" s="769"/>
      <c r="AQ502" s="1313">
        <v>0.76</v>
      </c>
      <c r="AR502" s="1314">
        <v>0.72</v>
      </c>
      <c r="AS502" s="1314">
        <v>0.67</v>
      </c>
      <c r="AT502" s="1314">
        <v>0.62</v>
      </c>
      <c r="AU502" s="1315">
        <v>0.57999999999999996</v>
      </c>
      <c r="AV502" s="777"/>
      <c r="AW502" s="769"/>
      <c r="AX502" s="769"/>
      <c r="AY502" s="769"/>
      <c r="AZ502" s="769"/>
      <c r="BA502" s="769"/>
      <c r="BB502" s="769"/>
      <c r="BC502" s="769"/>
      <c r="BD502" s="769"/>
      <c r="BE502" s="769"/>
      <c r="BF502" s="769"/>
      <c r="BG502" s="769"/>
      <c r="BH502" s="769"/>
      <c r="BI502" s="769"/>
      <c r="BJ502" s="769"/>
      <c r="BK502" s="774"/>
      <c r="BL502" s="758" t="s">
        <v>210</v>
      </c>
      <c r="BM502" s="754" t="s">
        <v>210</v>
      </c>
      <c r="BN502" s="754" t="s">
        <v>210</v>
      </c>
      <c r="BO502" s="754" t="s">
        <v>210</v>
      </c>
      <c r="BP502" s="765" t="s">
        <v>210</v>
      </c>
      <c r="BQ502" s="777" t="s">
        <v>2260</v>
      </c>
      <c r="BR502" s="769" t="s">
        <v>2260</v>
      </c>
      <c r="BS502" s="769" t="s">
        <v>2260</v>
      </c>
      <c r="BT502" s="769" t="s">
        <v>2260</v>
      </c>
      <c r="BU502" s="774" t="s">
        <v>2260</v>
      </c>
      <c r="BV502" s="777" t="s">
        <v>2260</v>
      </c>
      <c r="BW502" s="769" t="s">
        <v>2260</v>
      </c>
      <c r="BX502" s="769" t="s">
        <v>2260</v>
      </c>
      <c r="BY502" s="769" t="s">
        <v>2260</v>
      </c>
      <c r="BZ502" s="769" t="s">
        <v>2260</v>
      </c>
      <c r="CA502" s="777" t="s">
        <v>2260</v>
      </c>
      <c r="CB502" s="769" t="s">
        <v>2260</v>
      </c>
      <c r="CC502" s="769" t="s">
        <v>2260</v>
      </c>
      <c r="CD502" s="769" t="s">
        <v>2260</v>
      </c>
      <c r="CE502" s="774" t="s">
        <v>2260</v>
      </c>
      <c r="CF502" s="769" t="s">
        <v>2260</v>
      </c>
      <c r="CG502" s="769" t="s">
        <v>2260</v>
      </c>
      <c r="CH502" s="769" t="s">
        <v>2260</v>
      </c>
      <c r="CI502" s="769" t="s">
        <v>2260</v>
      </c>
      <c r="CJ502" s="774" t="s">
        <v>2260</v>
      </c>
      <c r="CK502" s="777" t="s">
        <v>2260</v>
      </c>
      <c r="CL502" s="769" t="s">
        <v>2260</v>
      </c>
      <c r="CM502" s="769" t="s">
        <v>2260</v>
      </c>
      <c r="CN502" s="769" t="s">
        <v>2260</v>
      </c>
      <c r="CO502" s="774" t="s">
        <v>2260</v>
      </c>
      <c r="CP502" s="777" t="s">
        <v>2260</v>
      </c>
      <c r="CQ502" s="769" t="s">
        <v>2260</v>
      </c>
      <c r="CR502" s="769" t="s">
        <v>2260</v>
      </c>
      <c r="CS502" s="769" t="s">
        <v>2260</v>
      </c>
      <c r="CT502" s="774" t="s">
        <v>2260</v>
      </c>
      <c r="CU502" s="1253">
        <v>-0.34200000000000003</v>
      </c>
      <c r="CV502" s="1252" t="s">
        <v>2260</v>
      </c>
      <c r="CW502" s="1252" t="s">
        <v>2260</v>
      </c>
      <c r="CX502" s="1254" t="s">
        <v>2260</v>
      </c>
      <c r="CY502" s="1252">
        <v>0.34200000000000003</v>
      </c>
      <c r="CZ502" s="1252" t="s">
        <v>2260</v>
      </c>
      <c r="DA502" s="1252" t="s">
        <v>2260</v>
      </c>
      <c r="DB502" s="1254" t="s">
        <v>2260</v>
      </c>
      <c r="DC502" s="754" t="s">
        <v>2260</v>
      </c>
      <c r="DD502" s="782">
        <v>1</v>
      </c>
      <c r="DE502" s="783" t="s">
        <v>2260</v>
      </c>
    </row>
    <row r="503" spans="1:109" ht="15.75" hidden="1" customHeight="1">
      <c r="A503" s="741" t="s">
        <v>1213</v>
      </c>
      <c r="B503" s="742">
        <v>497</v>
      </c>
      <c r="C503" s="758" t="s">
        <v>1402</v>
      </c>
      <c r="D503" s="742" t="s">
        <v>3837</v>
      </c>
      <c r="E503" s="742" t="s">
        <v>2231</v>
      </c>
      <c r="F503" s="754" t="s">
        <v>3853</v>
      </c>
      <c r="G503" s="759" t="s">
        <v>3854</v>
      </c>
      <c r="H503" s="760" t="s">
        <v>3855</v>
      </c>
      <c r="I503" s="761"/>
      <c r="J503" s="762">
        <v>1</v>
      </c>
      <c r="K503" s="762"/>
      <c r="L503" s="762"/>
      <c r="M503" s="762"/>
      <c r="N503" s="762"/>
      <c r="O503" s="762"/>
      <c r="P503" s="763"/>
      <c r="Q503" s="764">
        <f t="shared" si="7"/>
        <v>1</v>
      </c>
      <c r="R503" s="758" t="s">
        <v>1852</v>
      </c>
      <c r="S503" s="742" t="s">
        <v>1826</v>
      </c>
      <c r="T503" s="765" t="s">
        <v>1827</v>
      </c>
      <c r="U503" s="742" t="s">
        <v>2242</v>
      </c>
      <c r="V503" s="742" t="s">
        <v>1857</v>
      </c>
      <c r="W503" s="742" t="s">
        <v>3856</v>
      </c>
      <c r="X503" s="798">
        <v>0</v>
      </c>
      <c r="Y503" s="790" t="s">
        <v>1828</v>
      </c>
      <c r="Z503" s="759" t="s">
        <v>2260</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210</v>
      </c>
      <c r="BM503" s="754" t="s">
        <v>210</v>
      </c>
      <c r="BN503" s="754" t="s">
        <v>210</v>
      </c>
      <c r="BO503" s="754" t="s">
        <v>210</v>
      </c>
      <c r="BP503" s="765" t="s">
        <v>210</v>
      </c>
      <c r="BQ503" s="777" t="s">
        <v>2260</v>
      </c>
      <c r="BR503" s="769" t="s">
        <v>2260</v>
      </c>
      <c r="BS503" s="769" t="s">
        <v>2260</v>
      </c>
      <c r="BT503" s="769" t="s">
        <v>2260</v>
      </c>
      <c r="BU503" s="774" t="s">
        <v>2260</v>
      </c>
      <c r="BV503" s="801">
        <v>0</v>
      </c>
      <c r="BW503" s="802">
        <v>0</v>
      </c>
      <c r="BX503" s="802">
        <v>0</v>
      </c>
      <c r="BY503" s="802">
        <v>0</v>
      </c>
      <c r="BZ503" s="802">
        <v>0</v>
      </c>
      <c r="CA503" s="777" t="s">
        <v>2260</v>
      </c>
      <c r="CB503" s="769" t="s">
        <v>2260</v>
      </c>
      <c r="CC503" s="769" t="s">
        <v>2260</v>
      </c>
      <c r="CD503" s="769" t="s">
        <v>2260</v>
      </c>
      <c r="CE503" s="774" t="s">
        <v>2260</v>
      </c>
      <c r="CF503" s="769" t="s">
        <v>2260</v>
      </c>
      <c r="CG503" s="769" t="s">
        <v>2260</v>
      </c>
      <c r="CH503" s="769" t="s">
        <v>2260</v>
      </c>
      <c r="CI503" s="769" t="s">
        <v>2260</v>
      </c>
      <c r="CJ503" s="774" t="s">
        <v>2260</v>
      </c>
      <c r="CK503" s="1924">
        <v>0</v>
      </c>
      <c r="CL503" s="1925">
        <v>1023</v>
      </c>
      <c r="CM503" s="1925">
        <v>2046</v>
      </c>
      <c r="CN503" s="1925">
        <v>3068</v>
      </c>
      <c r="CO503" s="1926">
        <v>4089</v>
      </c>
      <c r="CP503" s="777" t="s">
        <v>2260</v>
      </c>
      <c r="CQ503" s="769" t="s">
        <v>2260</v>
      </c>
      <c r="CR503" s="769" t="s">
        <v>2260</v>
      </c>
      <c r="CS503" s="769" t="s">
        <v>2260</v>
      </c>
      <c r="CT503" s="774" t="s">
        <v>2260</v>
      </c>
      <c r="CU503" s="1253">
        <v>-3.617E-3</v>
      </c>
      <c r="CV503" s="1252" t="s">
        <v>2260</v>
      </c>
      <c r="CW503" s="1252" t="s">
        <v>2260</v>
      </c>
      <c r="CX503" s="1254" t="s">
        <v>2260</v>
      </c>
      <c r="CY503" s="1252">
        <v>3.617E-3</v>
      </c>
      <c r="CZ503" s="1252" t="s">
        <v>2260</v>
      </c>
      <c r="DA503" s="1252" t="s">
        <v>2260</v>
      </c>
      <c r="DB503" s="1254" t="s">
        <v>2260</v>
      </c>
      <c r="DC503" s="754" t="s">
        <v>173</v>
      </c>
      <c r="DD503" s="782">
        <v>1</v>
      </c>
      <c r="DE503" s="783" t="s">
        <v>2260</v>
      </c>
    </row>
    <row r="504" spans="1:109" ht="15.75" hidden="1" customHeight="1">
      <c r="A504" s="741" t="s">
        <v>1213</v>
      </c>
      <c r="B504" s="742">
        <v>498</v>
      </c>
      <c r="C504" s="758" t="s">
        <v>1419</v>
      </c>
      <c r="D504" s="742" t="s">
        <v>3837</v>
      </c>
      <c r="E504" s="742" t="s">
        <v>2231</v>
      </c>
      <c r="F504" s="754" t="s">
        <v>3857</v>
      </c>
      <c r="G504" s="759" t="s">
        <v>2088</v>
      </c>
      <c r="H504" s="760" t="s">
        <v>3858</v>
      </c>
      <c r="I504" s="761"/>
      <c r="J504" s="762">
        <v>1</v>
      </c>
      <c r="K504" s="762"/>
      <c r="L504" s="762"/>
      <c r="M504" s="762"/>
      <c r="N504" s="762"/>
      <c r="O504" s="762"/>
      <c r="P504" s="763"/>
      <c r="Q504" s="764">
        <f t="shared" si="7"/>
        <v>1</v>
      </c>
      <c r="R504" s="758" t="s">
        <v>3859</v>
      </c>
      <c r="S504" s="742" t="s">
        <v>1826</v>
      </c>
      <c r="T504" s="765" t="s">
        <v>1837</v>
      </c>
      <c r="U504" s="742" t="s">
        <v>2234</v>
      </c>
      <c r="V504" s="742" t="s">
        <v>3860</v>
      </c>
      <c r="W504" s="742" t="s">
        <v>3861</v>
      </c>
      <c r="X504" s="798">
        <v>0</v>
      </c>
      <c r="Y504" s="790" t="s">
        <v>1828</v>
      </c>
      <c r="Z504" s="759" t="s">
        <v>2260</v>
      </c>
      <c r="AA504" s="754"/>
      <c r="AB504" s="754"/>
      <c r="AC504" s="754"/>
      <c r="AD504" s="754"/>
      <c r="AE504" s="754"/>
      <c r="AF504" s="768"/>
      <c r="AG504" s="769"/>
      <c r="AH504" s="769"/>
      <c r="AI504" s="769"/>
      <c r="AJ504" s="769"/>
      <c r="AK504" s="769"/>
      <c r="AL504" s="769"/>
      <c r="AM504" s="769"/>
      <c r="AN504" s="769"/>
      <c r="AO504" s="769"/>
      <c r="AP504" s="769"/>
      <c r="AQ504" s="1921">
        <v>1</v>
      </c>
      <c r="AR504" s="769">
        <v>0</v>
      </c>
      <c r="AS504" s="1922">
        <v>1</v>
      </c>
      <c r="AT504" s="1922">
        <v>1</v>
      </c>
      <c r="AU504" s="774">
        <v>0</v>
      </c>
      <c r="AV504" s="777"/>
      <c r="AW504" s="769"/>
      <c r="AX504" s="769"/>
      <c r="AY504" s="769"/>
      <c r="AZ504" s="769"/>
      <c r="BA504" s="769"/>
      <c r="BB504" s="769"/>
      <c r="BC504" s="769"/>
      <c r="BD504" s="769"/>
      <c r="BE504" s="769"/>
      <c r="BF504" s="769"/>
      <c r="BG504" s="769"/>
      <c r="BH504" s="769"/>
      <c r="BI504" s="769"/>
      <c r="BJ504" s="769"/>
      <c r="BK504" s="774"/>
      <c r="BL504" s="1828" t="s">
        <v>210</v>
      </c>
      <c r="BM504" s="1829" t="s">
        <v>210</v>
      </c>
      <c r="BN504" s="1829" t="s">
        <v>210</v>
      </c>
      <c r="BO504" s="1829" t="s">
        <v>210</v>
      </c>
      <c r="BP504" s="765" t="s">
        <v>210</v>
      </c>
      <c r="BQ504" s="777" t="s">
        <v>2260</v>
      </c>
      <c r="BR504" s="769" t="s">
        <v>2260</v>
      </c>
      <c r="BS504" s="769" t="s">
        <v>2260</v>
      </c>
      <c r="BT504" s="769" t="s">
        <v>2260</v>
      </c>
      <c r="BU504" s="774" t="s">
        <v>2260</v>
      </c>
      <c r="BV504" s="777" t="s">
        <v>2260</v>
      </c>
      <c r="BW504" s="769" t="s">
        <v>2260</v>
      </c>
      <c r="BX504" s="769" t="s">
        <v>2260</v>
      </c>
      <c r="BY504" s="769" t="s">
        <v>2260</v>
      </c>
      <c r="BZ504" s="769" t="s">
        <v>2260</v>
      </c>
      <c r="CA504" s="777" t="s">
        <v>2260</v>
      </c>
      <c r="CB504" s="769" t="s">
        <v>2260</v>
      </c>
      <c r="CC504" s="769" t="s">
        <v>2260</v>
      </c>
      <c r="CD504" s="769" t="s">
        <v>2260</v>
      </c>
      <c r="CE504" s="774" t="s">
        <v>2260</v>
      </c>
      <c r="CF504" s="769" t="s">
        <v>2260</v>
      </c>
      <c r="CG504" s="769" t="s">
        <v>2260</v>
      </c>
      <c r="CH504" s="769" t="s">
        <v>2260</v>
      </c>
      <c r="CI504" s="769" t="s">
        <v>2260</v>
      </c>
      <c r="CJ504" s="774" t="s">
        <v>2260</v>
      </c>
      <c r="CK504" s="777" t="s">
        <v>2260</v>
      </c>
      <c r="CL504" s="769" t="s">
        <v>2260</v>
      </c>
      <c r="CM504" s="769" t="s">
        <v>2260</v>
      </c>
      <c r="CN504" s="769" t="s">
        <v>2260</v>
      </c>
      <c r="CO504" s="774" t="s">
        <v>2260</v>
      </c>
      <c r="CP504" s="777" t="s">
        <v>2260</v>
      </c>
      <c r="CQ504" s="769" t="s">
        <v>2260</v>
      </c>
      <c r="CR504" s="769" t="s">
        <v>2260</v>
      </c>
      <c r="CS504" s="769" t="s">
        <v>2260</v>
      </c>
      <c r="CT504" s="774" t="s">
        <v>2260</v>
      </c>
      <c r="CU504" s="1253">
        <v>-1.9139999999999999</v>
      </c>
      <c r="CV504" s="1252" t="s">
        <v>2260</v>
      </c>
      <c r="CW504" s="1252" t="s">
        <v>2260</v>
      </c>
      <c r="CX504" s="1254" t="s">
        <v>2260</v>
      </c>
      <c r="CY504" s="1252" t="s">
        <v>2260</v>
      </c>
      <c r="CZ504" s="1252" t="s">
        <v>2260</v>
      </c>
      <c r="DA504" s="1252" t="s">
        <v>2260</v>
      </c>
      <c r="DB504" s="1254" t="s">
        <v>2260</v>
      </c>
      <c r="DC504" s="754" t="s">
        <v>2260</v>
      </c>
      <c r="DD504" s="782">
        <v>1</v>
      </c>
      <c r="DE504" s="783" t="s">
        <v>2260</v>
      </c>
    </row>
    <row r="505" spans="1:109" ht="15.75" hidden="1" customHeight="1">
      <c r="A505" s="741" t="s">
        <v>1213</v>
      </c>
      <c r="B505" s="742">
        <v>499</v>
      </c>
      <c r="C505" s="758" t="s">
        <v>1435</v>
      </c>
      <c r="D505" s="742" t="s">
        <v>3837</v>
      </c>
      <c r="E505" s="742" t="s">
        <v>2217</v>
      </c>
      <c r="F505" s="754" t="s">
        <v>3862</v>
      </c>
      <c r="G505" s="759" t="s">
        <v>3863</v>
      </c>
      <c r="H505" s="760" t="s">
        <v>3864</v>
      </c>
      <c r="I505" s="761">
        <v>1</v>
      </c>
      <c r="J505" s="762"/>
      <c r="K505" s="762"/>
      <c r="L505" s="762"/>
      <c r="M505" s="762"/>
      <c r="N505" s="762"/>
      <c r="O505" s="762"/>
      <c r="P505" s="763"/>
      <c r="Q505" s="764">
        <f t="shared" si="7"/>
        <v>1</v>
      </c>
      <c r="R505" s="758" t="s">
        <v>2882</v>
      </c>
      <c r="S505" s="742" t="s">
        <v>1826</v>
      </c>
      <c r="T505" s="765" t="s">
        <v>1837</v>
      </c>
      <c r="U505" s="742" t="s">
        <v>2927</v>
      </c>
      <c r="V505" s="742" t="s">
        <v>3865</v>
      </c>
      <c r="W505" s="742" t="s">
        <v>3866</v>
      </c>
      <c r="X505" s="798">
        <v>5</v>
      </c>
      <c r="Y505" s="788" t="s">
        <v>1828</v>
      </c>
      <c r="Z505" s="759" t="s">
        <v>2260</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210</v>
      </c>
      <c r="BQ505" s="777" t="s">
        <v>2260</v>
      </c>
      <c r="BR505" s="769" t="s">
        <v>2260</v>
      </c>
      <c r="BS505" s="769" t="s">
        <v>2260</v>
      </c>
      <c r="BT505" s="769" t="s">
        <v>2260</v>
      </c>
      <c r="BU505" s="774" t="s">
        <v>2260</v>
      </c>
      <c r="BV505" s="777" t="s">
        <v>2260</v>
      </c>
      <c r="BW505" s="769" t="s">
        <v>2260</v>
      </c>
      <c r="BX505" s="769" t="s">
        <v>2260</v>
      </c>
      <c r="BY505" s="769" t="s">
        <v>2260</v>
      </c>
      <c r="BZ505" s="769" t="s">
        <v>2260</v>
      </c>
      <c r="CA505" s="777" t="s">
        <v>2260</v>
      </c>
      <c r="CB505" s="769" t="s">
        <v>2260</v>
      </c>
      <c r="CC505" s="769" t="s">
        <v>2260</v>
      </c>
      <c r="CD505" s="769" t="s">
        <v>2260</v>
      </c>
      <c r="CE505" s="774" t="s">
        <v>2260</v>
      </c>
      <c r="CF505" s="769" t="s">
        <v>2260</v>
      </c>
      <c r="CG505" s="769" t="s">
        <v>2260</v>
      </c>
      <c r="CH505" s="769" t="s">
        <v>2260</v>
      </c>
      <c r="CI505" s="769" t="s">
        <v>2260</v>
      </c>
      <c r="CJ505" s="774" t="s">
        <v>2260</v>
      </c>
      <c r="CK505" s="777" t="s">
        <v>2260</v>
      </c>
      <c r="CL505" s="769" t="s">
        <v>2260</v>
      </c>
      <c r="CM505" s="769" t="s">
        <v>2260</v>
      </c>
      <c r="CN505" s="769" t="s">
        <v>2260</v>
      </c>
      <c r="CO505" s="774" t="s">
        <v>2260</v>
      </c>
      <c r="CP505" s="777" t="s">
        <v>2260</v>
      </c>
      <c r="CQ505" s="769" t="s">
        <v>2260</v>
      </c>
      <c r="CR505" s="769" t="s">
        <v>2260</v>
      </c>
      <c r="CS505" s="769" t="s">
        <v>2260</v>
      </c>
      <c r="CT505" s="774" t="s">
        <v>2260</v>
      </c>
      <c r="CU505" s="1253">
        <v>-3.2025000000000001</v>
      </c>
      <c r="CV505" s="1252" t="s">
        <v>2260</v>
      </c>
      <c r="CW505" s="1252" t="s">
        <v>2260</v>
      </c>
      <c r="CX505" s="1254" t="s">
        <v>2260</v>
      </c>
      <c r="CY505" s="1252">
        <v>3.2025000000000001</v>
      </c>
      <c r="CZ505" s="1252" t="s">
        <v>2260</v>
      </c>
      <c r="DA505" s="1252" t="s">
        <v>2260</v>
      </c>
      <c r="DB505" s="1254" t="s">
        <v>2260</v>
      </c>
      <c r="DC505" s="754" t="s">
        <v>173</v>
      </c>
      <c r="DD505" s="782">
        <v>1</v>
      </c>
      <c r="DE505" s="783" t="s">
        <v>2260</v>
      </c>
    </row>
    <row r="506" spans="1:109" ht="15.75" hidden="1" customHeight="1">
      <c r="A506" s="741" t="s">
        <v>1213</v>
      </c>
      <c r="B506" s="742">
        <v>500</v>
      </c>
      <c r="C506" s="758" t="s">
        <v>1450</v>
      </c>
      <c r="D506" s="742" t="s">
        <v>3837</v>
      </c>
      <c r="E506" s="742" t="s">
        <v>2223</v>
      </c>
      <c r="F506" s="754" t="s">
        <v>3867</v>
      </c>
      <c r="G506" s="759" t="s">
        <v>3868</v>
      </c>
      <c r="H506" s="760" t="s">
        <v>3869</v>
      </c>
      <c r="I506" s="761"/>
      <c r="J506" s="762">
        <v>1</v>
      </c>
      <c r="K506" s="762"/>
      <c r="L506" s="762"/>
      <c r="M506" s="762"/>
      <c r="N506" s="762"/>
      <c r="O506" s="762"/>
      <c r="P506" s="763"/>
      <c r="Q506" s="764">
        <f t="shared" si="7"/>
        <v>1</v>
      </c>
      <c r="R506" s="758" t="s">
        <v>1852</v>
      </c>
      <c r="S506" s="742" t="s">
        <v>1826</v>
      </c>
      <c r="T506" s="765" t="s">
        <v>1827</v>
      </c>
      <c r="U506" s="742" t="s">
        <v>2698</v>
      </c>
      <c r="V506" s="742" t="s">
        <v>321</v>
      </c>
      <c r="W506" s="742" t="s">
        <v>3870</v>
      </c>
      <c r="X506" s="1243">
        <v>0</v>
      </c>
      <c r="Y506" s="788" t="s">
        <v>1828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210</v>
      </c>
      <c r="BM506" s="754" t="s">
        <v>210</v>
      </c>
      <c r="BN506" s="754" t="s">
        <v>210</v>
      </c>
      <c r="BO506" s="754" t="s">
        <v>210</v>
      </c>
      <c r="BP506" s="765" t="s">
        <v>210</v>
      </c>
      <c r="BQ506" s="777" t="s">
        <v>2260</v>
      </c>
      <c r="BR506" s="769" t="s">
        <v>2260</v>
      </c>
      <c r="BS506" s="769" t="s">
        <v>2260</v>
      </c>
      <c r="BT506" s="769" t="s">
        <v>2260</v>
      </c>
      <c r="BU506" s="774" t="s">
        <v>2260</v>
      </c>
      <c r="BV506" s="777">
        <v>99</v>
      </c>
      <c r="BW506" s="769">
        <v>100</v>
      </c>
      <c r="BX506" s="769">
        <v>100</v>
      </c>
      <c r="BY506" s="769">
        <v>100</v>
      </c>
      <c r="BZ506" s="769">
        <v>100</v>
      </c>
      <c r="CA506" s="777" t="s">
        <v>2260</v>
      </c>
      <c r="CB506" s="769" t="s">
        <v>2260</v>
      </c>
      <c r="CC506" s="769" t="s">
        <v>2260</v>
      </c>
      <c r="CD506" s="769" t="s">
        <v>2260</v>
      </c>
      <c r="CE506" s="774" t="s">
        <v>2260</v>
      </c>
      <c r="CF506" s="769" t="s">
        <v>2260</v>
      </c>
      <c r="CG506" s="769" t="s">
        <v>2260</v>
      </c>
      <c r="CH506" s="769" t="s">
        <v>2260</v>
      </c>
      <c r="CI506" s="769" t="s">
        <v>2260</v>
      </c>
      <c r="CJ506" s="774" t="s">
        <v>2260</v>
      </c>
      <c r="CK506" s="777">
        <v>100</v>
      </c>
      <c r="CL506" s="769">
        <v>100</v>
      </c>
      <c r="CM506" s="769">
        <v>100</v>
      </c>
      <c r="CN506" s="769">
        <v>100</v>
      </c>
      <c r="CO506" s="774">
        <v>100</v>
      </c>
      <c r="CP506" s="777" t="s">
        <v>2260</v>
      </c>
      <c r="CQ506" s="769" t="s">
        <v>2260</v>
      </c>
      <c r="CR506" s="769" t="s">
        <v>2260</v>
      </c>
      <c r="CS506" s="769" t="s">
        <v>2260</v>
      </c>
      <c r="CT506" s="774" t="s">
        <v>2260</v>
      </c>
      <c r="CU506" s="1317">
        <v>-2.34</v>
      </c>
      <c r="CV506" s="1252" t="s">
        <v>2260</v>
      </c>
      <c r="CW506" s="1252" t="s">
        <v>2260</v>
      </c>
      <c r="CX506" s="1254" t="s">
        <v>2260</v>
      </c>
      <c r="CY506" s="1318">
        <v>1.17</v>
      </c>
      <c r="CZ506" s="1252" t="s">
        <v>2260</v>
      </c>
      <c r="DA506" s="1252" t="s">
        <v>2260</v>
      </c>
      <c r="DB506" s="1254" t="s">
        <v>2260</v>
      </c>
      <c r="DC506" s="754"/>
      <c r="DD506" s="782">
        <v>1</v>
      </c>
      <c r="DE506" s="783"/>
    </row>
    <row r="507" spans="1:109" ht="15.75" hidden="1" customHeight="1">
      <c r="A507" s="741" t="s">
        <v>1213</v>
      </c>
      <c r="B507" s="742">
        <v>501</v>
      </c>
      <c r="C507" s="758" t="s">
        <v>1207</v>
      </c>
      <c r="D507" s="742" t="s">
        <v>3871</v>
      </c>
      <c r="E507" s="742" t="s">
        <v>2217</v>
      </c>
      <c r="F507" s="754" t="s">
        <v>3872</v>
      </c>
      <c r="G507" s="759" t="s">
        <v>788</v>
      </c>
      <c r="H507" s="760" t="s">
        <v>3819</v>
      </c>
      <c r="I507" s="761"/>
      <c r="J507" s="762"/>
      <c r="K507" s="762">
        <v>1</v>
      </c>
      <c r="L507" s="762"/>
      <c r="M507" s="762"/>
      <c r="N507" s="762"/>
      <c r="O507" s="762"/>
      <c r="P507" s="763"/>
      <c r="Q507" s="764">
        <f t="shared" si="7"/>
        <v>1</v>
      </c>
      <c r="R507" s="758" t="s">
        <v>1852</v>
      </c>
      <c r="S507" s="742" t="s">
        <v>1826</v>
      </c>
      <c r="T507" s="765" t="s">
        <v>1827</v>
      </c>
      <c r="U507" s="742" t="s">
        <v>788</v>
      </c>
      <c r="V507" s="742" t="s">
        <v>1857</v>
      </c>
      <c r="W507" s="742" t="s">
        <v>3873</v>
      </c>
      <c r="X507" s="1243">
        <v>2</v>
      </c>
      <c r="Y507" s="795" t="s">
        <v>1838</v>
      </c>
      <c r="Z507" s="759" t="s">
        <v>788</v>
      </c>
      <c r="AA507" s="754"/>
      <c r="AB507" s="754"/>
      <c r="AC507" s="754"/>
      <c r="AD507" s="754"/>
      <c r="AE507" s="754"/>
      <c r="AF507" s="768"/>
      <c r="AG507" s="769"/>
      <c r="AH507" s="769"/>
      <c r="AI507" s="769"/>
      <c r="AJ507" s="769"/>
      <c r="AK507" s="769"/>
      <c r="AL507" s="769"/>
      <c r="AM507" s="769"/>
      <c r="AN507" s="769"/>
      <c r="AO507" s="769"/>
      <c r="AP507" s="769"/>
      <c r="AQ507" s="1370"/>
      <c r="AR507" s="1324"/>
      <c r="AS507" s="1324"/>
      <c r="AT507" s="1324"/>
      <c r="AU507" s="1325"/>
      <c r="AV507" s="777"/>
      <c r="AW507" s="769"/>
      <c r="AX507" s="769"/>
      <c r="AY507" s="769"/>
      <c r="AZ507" s="769"/>
      <c r="BA507" s="769"/>
      <c r="BB507" s="769"/>
      <c r="BC507" s="769"/>
      <c r="BD507" s="769"/>
      <c r="BE507" s="769"/>
      <c r="BF507" s="769"/>
      <c r="BG507" s="769"/>
      <c r="BH507" s="769"/>
      <c r="BI507" s="769"/>
      <c r="BJ507" s="769"/>
      <c r="BK507" s="774"/>
      <c r="BL507" s="1672"/>
      <c r="BM507" s="1673"/>
      <c r="BN507" s="1673"/>
      <c r="BO507" s="1673"/>
      <c r="BP507" s="1674"/>
      <c r="BQ507" s="1370"/>
      <c r="BR507" s="1324"/>
      <c r="BS507" s="1324"/>
      <c r="BT507" s="1324"/>
      <c r="BU507" s="1325"/>
      <c r="BV507" s="1370"/>
      <c r="BW507" s="1324"/>
      <c r="BX507" s="1324"/>
      <c r="BY507" s="1324"/>
      <c r="BZ507" s="1324"/>
      <c r="CA507" s="1369"/>
      <c r="CB507" s="1319"/>
      <c r="CC507" s="1319"/>
      <c r="CD507" s="1319"/>
      <c r="CE507" s="1320"/>
      <c r="CF507" s="1319"/>
      <c r="CG507" s="1319"/>
      <c r="CH507" s="1319"/>
      <c r="CI507" s="1319"/>
      <c r="CJ507" s="1320"/>
      <c r="CK507" s="1370"/>
      <c r="CL507" s="1324"/>
      <c r="CM507" s="1324"/>
      <c r="CN507" s="1324"/>
      <c r="CO507" s="1325"/>
      <c r="CP507" s="1370"/>
      <c r="CQ507" s="1324"/>
      <c r="CR507" s="1324"/>
      <c r="CS507" s="1324"/>
      <c r="CT507" s="1325"/>
      <c r="CU507" s="1467"/>
      <c r="CV507" s="1458"/>
      <c r="CW507" s="1458"/>
      <c r="CX507" s="1663"/>
      <c r="CY507" s="1458"/>
      <c r="CZ507" s="1458"/>
      <c r="DA507" s="1458"/>
      <c r="DB507" s="1663"/>
      <c r="DC507" s="1328"/>
      <c r="DD507" s="1664"/>
      <c r="DE507" s="1669"/>
    </row>
    <row r="508" spans="1:109" ht="15.75" hidden="1" customHeight="1">
      <c r="A508" s="741" t="s">
        <v>1213</v>
      </c>
      <c r="B508" s="742">
        <v>502</v>
      </c>
      <c r="C508" s="758" t="s">
        <v>1195</v>
      </c>
      <c r="D508" s="742" t="s">
        <v>3871</v>
      </c>
      <c r="E508" s="742" t="s">
        <v>2217</v>
      </c>
      <c r="F508" s="754" t="s">
        <v>3874</v>
      </c>
      <c r="G508" s="759" t="s">
        <v>1085</v>
      </c>
      <c r="H508" s="760" t="s">
        <v>3819</v>
      </c>
      <c r="I508" s="761"/>
      <c r="J508" s="762">
        <v>0.06</v>
      </c>
      <c r="K508" s="762">
        <v>0.94</v>
      </c>
      <c r="L508" s="762"/>
      <c r="M508" s="762"/>
      <c r="N508" s="762"/>
      <c r="O508" s="762"/>
      <c r="P508" s="763"/>
      <c r="Q508" s="764">
        <f t="shared" si="7"/>
        <v>1</v>
      </c>
      <c r="R508" s="758" t="s">
        <v>1846</v>
      </c>
      <c r="S508" s="742" t="s">
        <v>1826</v>
      </c>
      <c r="T508" s="765" t="s">
        <v>1827</v>
      </c>
      <c r="U508" s="742" t="s">
        <v>2371</v>
      </c>
      <c r="V508" s="742" t="s">
        <v>321</v>
      </c>
      <c r="W508" s="742" t="s">
        <v>3875</v>
      </c>
      <c r="X508" s="1243">
        <v>2</v>
      </c>
      <c r="Y508" s="790" t="s">
        <v>1828</v>
      </c>
      <c r="Z508" s="759" t="s">
        <v>1085</v>
      </c>
      <c r="AA508" s="754"/>
      <c r="AB508" s="754"/>
      <c r="AC508" s="754"/>
      <c r="AD508" s="754"/>
      <c r="AE508" s="754"/>
      <c r="AF508" s="768"/>
      <c r="AG508" s="769"/>
      <c r="AH508" s="769"/>
      <c r="AI508" s="769"/>
      <c r="AJ508" s="769"/>
      <c r="AK508" s="769"/>
      <c r="AL508" s="769"/>
      <c r="AM508" s="769"/>
      <c r="AN508" s="769"/>
      <c r="AO508" s="769"/>
      <c r="AP508" s="769"/>
      <c r="AQ508" s="1369"/>
      <c r="AR508" s="1319"/>
      <c r="AS508" s="1319"/>
      <c r="AT508" s="1319"/>
      <c r="AU508" s="1320"/>
      <c r="AV508" s="777"/>
      <c r="AW508" s="769"/>
      <c r="AX508" s="769"/>
      <c r="AY508" s="769"/>
      <c r="AZ508" s="769"/>
      <c r="BA508" s="769"/>
      <c r="BB508" s="769"/>
      <c r="BC508" s="769"/>
      <c r="BD508" s="769"/>
      <c r="BE508" s="769"/>
      <c r="BF508" s="769"/>
      <c r="BG508" s="769"/>
      <c r="BH508" s="769"/>
      <c r="BI508" s="769"/>
      <c r="BJ508" s="769"/>
      <c r="BK508" s="774"/>
      <c r="BL508" s="1327"/>
      <c r="BM508" s="1328"/>
      <c r="BN508" s="1328"/>
      <c r="BO508" s="1328"/>
      <c r="BP508" s="1389"/>
      <c r="BQ508" s="1369"/>
      <c r="BR508" s="1319"/>
      <c r="BS508" s="1319"/>
      <c r="BT508" s="1319"/>
      <c r="BU508" s="1320"/>
      <c r="BV508" s="1369"/>
      <c r="BW508" s="1319"/>
      <c r="BX508" s="1319"/>
      <c r="BY508" s="1319"/>
      <c r="BZ508" s="1319"/>
      <c r="CA508" s="1369"/>
      <c r="CB508" s="1319"/>
      <c r="CC508" s="1319"/>
      <c r="CD508" s="1319"/>
      <c r="CE508" s="1320"/>
      <c r="CF508" s="1319"/>
      <c r="CG508" s="1319"/>
      <c r="CH508" s="1319"/>
      <c r="CI508" s="1319"/>
      <c r="CJ508" s="1320"/>
      <c r="CK508" s="1369"/>
      <c r="CL508" s="1319"/>
      <c r="CM508" s="1319"/>
      <c r="CN508" s="1319"/>
      <c r="CO508" s="1320"/>
      <c r="CP508" s="1369"/>
      <c r="CQ508" s="1319"/>
      <c r="CR508" s="1319"/>
      <c r="CS508" s="1319"/>
      <c r="CT508" s="1320"/>
      <c r="CU508" s="1467"/>
      <c r="CV508" s="1458"/>
      <c r="CW508" s="1458"/>
      <c r="CX508" s="1663"/>
      <c r="CY508" s="1458"/>
      <c r="CZ508" s="1458"/>
      <c r="DA508" s="1458"/>
      <c r="DB508" s="1663"/>
      <c r="DC508" s="1328"/>
      <c r="DD508" s="1664"/>
      <c r="DE508" s="1669"/>
    </row>
    <row r="509" spans="1:109" ht="15.75" hidden="1" customHeight="1">
      <c r="A509" s="741" t="s">
        <v>1213</v>
      </c>
      <c r="B509" s="742">
        <v>503</v>
      </c>
      <c r="C509" s="897" t="s">
        <v>1462</v>
      </c>
      <c r="D509" s="742" t="s">
        <v>3871</v>
      </c>
      <c r="E509" s="742" t="s">
        <v>2217</v>
      </c>
      <c r="F509" s="754" t="s">
        <v>3876</v>
      </c>
      <c r="G509" s="759" t="s">
        <v>2988</v>
      </c>
      <c r="H509" s="760" t="s">
        <v>3877</v>
      </c>
      <c r="I509" s="761">
        <v>1</v>
      </c>
      <c r="J509" s="762"/>
      <c r="K509" s="762"/>
      <c r="L509" s="762"/>
      <c r="M509" s="762"/>
      <c r="N509" s="762"/>
      <c r="O509" s="762"/>
      <c r="P509" s="763"/>
      <c r="Q509" s="764">
        <f t="shared" si="7"/>
        <v>1</v>
      </c>
      <c r="R509" s="758" t="s">
        <v>1852</v>
      </c>
      <c r="S509" s="742" t="s">
        <v>1826</v>
      </c>
      <c r="T509" s="765" t="s">
        <v>1827</v>
      </c>
      <c r="U509" s="742" t="s">
        <v>2290</v>
      </c>
      <c r="V509" s="825" t="s">
        <v>2291</v>
      </c>
      <c r="W509" s="742" t="s">
        <v>2542</v>
      </c>
      <c r="X509" s="798">
        <v>1</v>
      </c>
      <c r="Y509" s="790" t="s">
        <v>1838</v>
      </c>
      <c r="Z509" s="759" t="s">
        <v>2260</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210</v>
      </c>
      <c r="BM509" s="754" t="s">
        <v>210</v>
      </c>
      <c r="BN509" s="754" t="s">
        <v>210</v>
      </c>
      <c r="BO509" s="754" t="s">
        <v>210</v>
      </c>
      <c r="BP509" s="765" t="s">
        <v>210</v>
      </c>
      <c r="BQ509" s="777" t="s">
        <v>2260</v>
      </c>
      <c r="BR509" s="769" t="s">
        <v>2260</v>
      </c>
      <c r="BS509" s="769" t="s">
        <v>2260</v>
      </c>
      <c r="BT509" s="769" t="s">
        <v>2260</v>
      </c>
      <c r="BU509" s="774" t="s">
        <v>2260</v>
      </c>
      <c r="BV509" s="777" t="s">
        <v>2260</v>
      </c>
      <c r="BW509" s="769" t="s">
        <v>2260</v>
      </c>
      <c r="BX509" s="769" t="s">
        <v>2260</v>
      </c>
      <c r="BY509" s="769" t="s">
        <v>2260</v>
      </c>
      <c r="BZ509" s="769" t="s">
        <v>2260</v>
      </c>
      <c r="CA509" s="777" t="s">
        <v>2260</v>
      </c>
      <c r="CB509" s="769" t="s">
        <v>2260</v>
      </c>
      <c r="CC509" s="769" t="s">
        <v>2260</v>
      </c>
      <c r="CD509" s="769" t="s">
        <v>2260</v>
      </c>
      <c r="CE509" s="774" t="s">
        <v>2260</v>
      </c>
      <c r="CF509" s="769" t="s">
        <v>2260</v>
      </c>
      <c r="CG509" s="769" t="s">
        <v>2260</v>
      </c>
      <c r="CH509" s="769" t="s">
        <v>2260</v>
      </c>
      <c r="CI509" s="769" t="s">
        <v>2260</v>
      </c>
      <c r="CJ509" s="774" t="s">
        <v>2260</v>
      </c>
      <c r="CK509" s="777" t="s">
        <v>2260</v>
      </c>
      <c r="CL509" s="769" t="s">
        <v>2260</v>
      </c>
      <c r="CM509" s="769" t="s">
        <v>2260</v>
      </c>
      <c r="CN509" s="769" t="s">
        <v>2260</v>
      </c>
      <c r="CO509" s="774" t="s">
        <v>2260</v>
      </c>
      <c r="CP509" s="777" t="s">
        <v>2260</v>
      </c>
      <c r="CQ509" s="769" t="s">
        <v>2260</v>
      </c>
      <c r="CR509" s="769" t="s">
        <v>2260</v>
      </c>
      <c r="CS509" s="769" t="s">
        <v>2260</v>
      </c>
      <c r="CT509" s="774" t="s">
        <v>2260</v>
      </c>
      <c r="CU509" s="1253" t="s">
        <v>3878</v>
      </c>
      <c r="CV509" s="1252" t="s">
        <v>2260</v>
      </c>
      <c r="CW509" s="1252" t="s">
        <v>2260</v>
      </c>
      <c r="CX509" s="1254" t="s">
        <v>2260</v>
      </c>
      <c r="CY509" s="1252" t="s">
        <v>3878</v>
      </c>
      <c r="CZ509" s="1252" t="s">
        <v>2260</v>
      </c>
      <c r="DA509" s="1252" t="s">
        <v>2260</v>
      </c>
      <c r="DB509" s="1254" t="s">
        <v>2260</v>
      </c>
      <c r="DC509" s="754" t="s">
        <v>173</v>
      </c>
      <c r="DD509" s="782">
        <v>1</v>
      </c>
      <c r="DE509" s="783" t="s">
        <v>2260</v>
      </c>
    </row>
    <row r="510" spans="1:109" ht="15.75" hidden="1" customHeight="1">
      <c r="A510" s="741" t="s">
        <v>1213</v>
      </c>
      <c r="B510" s="742">
        <v>504</v>
      </c>
      <c r="C510" s="758" t="s">
        <v>1470</v>
      </c>
      <c r="D510" s="742" t="s">
        <v>3871</v>
      </c>
      <c r="E510" s="742" t="s">
        <v>2217</v>
      </c>
      <c r="F510" s="754" t="s">
        <v>3879</v>
      </c>
      <c r="G510" s="759" t="s">
        <v>3880</v>
      </c>
      <c r="H510" s="760" t="s">
        <v>3881</v>
      </c>
      <c r="I510" s="761">
        <v>1</v>
      </c>
      <c r="J510" s="762"/>
      <c r="K510" s="762"/>
      <c r="L510" s="762"/>
      <c r="M510" s="762"/>
      <c r="N510" s="762"/>
      <c r="O510" s="762"/>
      <c r="P510" s="763"/>
      <c r="Q510" s="764">
        <f t="shared" si="7"/>
        <v>1</v>
      </c>
      <c r="R510" s="758" t="s">
        <v>1846</v>
      </c>
      <c r="S510" s="742" t="s">
        <v>1826</v>
      </c>
      <c r="T510" s="765" t="s">
        <v>1827</v>
      </c>
      <c r="U510" s="742" t="s">
        <v>2387</v>
      </c>
      <c r="V510" s="742" t="s">
        <v>1857</v>
      </c>
      <c r="W510" s="742" t="s">
        <v>3882</v>
      </c>
      <c r="X510" s="798">
        <v>0</v>
      </c>
      <c r="Y510" s="790" t="s">
        <v>1828</v>
      </c>
      <c r="Z510" s="759" t="s">
        <v>2260</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28" t="s">
        <v>210</v>
      </c>
      <c r="BM510" s="1829" t="s">
        <v>210</v>
      </c>
      <c r="BN510" s="1829" t="s">
        <v>210</v>
      </c>
      <c r="BO510" s="1829" t="s">
        <v>210</v>
      </c>
      <c r="BP510" s="765" t="s">
        <v>210</v>
      </c>
      <c r="BQ510" s="777" t="s">
        <v>2260</v>
      </c>
      <c r="BR510" s="769" t="s">
        <v>2260</v>
      </c>
      <c r="BS510" s="769" t="s">
        <v>2260</v>
      </c>
      <c r="BT510" s="769" t="s">
        <v>2260</v>
      </c>
      <c r="BU510" s="774" t="s">
        <v>2260</v>
      </c>
      <c r="BV510" s="777" t="s">
        <v>2260</v>
      </c>
      <c r="BW510" s="769" t="s">
        <v>2260</v>
      </c>
      <c r="BX510" s="769" t="s">
        <v>2260</v>
      </c>
      <c r="BY510" s="769" t="s">
        <v>2260</v>
      </c>
      <c r="BZ510" s="769" t="s">
        <v>2260</v>
      </c>
      <c r="CA510" s="777" t="s">
        <v>2260</v>
      </c>
      <c r="CB510" s="769" t="s">
        <v>2260</v>
      </c>
      <c r="CC510" s="769" t="s">
        <v>2260</v>
      </c>
      <c r="CD510" s="769" t="s">
        <v>2260</v>
      </c>
      <c r="CE510" s="774" t="s">
        <v>2260</v>
      </c>
      <c r="CF510" s="769" t="s">
        <v>2260</v>
      </c>
      <c r="CG510" s="769" t="s">
        <v>2260</v>
      </c>
      <c r="CH510" s="769" t="s">
        <v>2260</v>
      </c>
      <c r="CI510" s="769" t="s">
        <v>2260</v>
      </c>
      <c r="CJ510" s="774" t="s">
        <v>2260</v>
      </c>
      <c r="CK510" s="777" t="s">
        <v>2260</v>
      </c>
      <c r="CL510" s="769" t="s">
        <v>2260</v>
      </c>
      <c r="CM510" s="769" t="s">
        <v>2260</v>
      </c>
      <c r="CN510" s="769" t="s">
        <v>2260</v>
      </c>
      <c r="CO510" s="774" t="s">
        <v>2260</v>
      </c>
      <c r="CP510" s="777" t="s">
        <v>2260</v>
      </c>
      <c r="CQ510" s="769" t="s">
        <v>2260</v>
      </c>
      <c r="CR510" s="769" t="s">
        <v>2260</v>
      </c>
      <c r="CS510" s="769" t="s">
        <v>2260</v>
      </c>
      <c r="CT510" s="774" t="s">
        <v>2260</v>
      </c>
      <c r="CU510" s="1253">
        <v>-0.01</v>
      </c>
      <c r="CV510" s="1252" t="s">
        <v>2260</v>
      </c>
      <c r="CW510" s="1252" t="s">
        <v>2260</v>
      </c>
      <c r="CX510" s="1254" t="s">
        <v>2260</v>
      </c>
      <c r="CY510" s="1252" t="s">
        <v>2260</v>
      </c>
      <c r="CZ510" s="1252" t="s">
        <v>2260</v>
      </c>
      <c r="DA510" s="1252" t="s">
        <v>2260</v>
      </c>
      <c r="DB510" s="1254" t="s">
        <v>2260</v>
      </c>
      <c r="DC510" s="754" t="s">
        <v>173</v>
      </c>
      <c r="DD510" s="782">
        <v>1</v>
      </c>
      <c r="DE510" s="783" t="s">
        <v>2260</v>
      </c>
    </row>
    <row r="511" spans="1:109" ht="15.75" hidden="1" customHeight="1">
      <c r="A511" s="741" t="s">
        <v>1213</v>
      </c>
      <c r="B511" s="742">
        <v>505</v>
      </c>
      <c r="C511" s="758" t="s">
        <v>1502</v>
      </c>
      <c r="D511" s="742" t="s">
        <v>3871</v>
      </c>
      <c r="E511" s="742" t="s">
        <v>2217</v>
      </c>
      <c r="F511" s="754" t="s">
        <v>3883</v>
      </c>
      <c r="G511" s="759" t="s">
        <v>3884</v>
      </c>
      <c r="H511" s="760" t="s">
        <v>3881</v>
      </c>
      <c r="I511" s="761"/>
      <c r="J511" s="762"/>
      <c r="K511" s="762">
        <v>1</v>
      </c>
      <c r="L511" s="762"/>
      <c r="M511" s="762"/>
      <c r="N511" s="762"/>
      <c r="O511" s="762"/>
      <c r="P511" s="763"/>
      <c r="Q511" s="764">
        <f t="shared" si="7"/>
        <v>1</v>
      </c>
      <c r="R511" s="758" t="s">
        <v>1846</v>
      </c>
      <c r="S511" s="742" t="s">
        <v>1826</v>
      </c>
      <c r="T511" s="765" t="s">
        <v>1827</v>
      </c>
      <c r="U511" s="742" t="s">
        <v>2387</v>
      </c>
      <c r="V511" s="742" t="s">
        <v>1857</v>
      </c>
      <c r="W511" s="742" t="s">
        <v>3885</v>
      </c>
      <c r="X511" s="798">
        <v>0</v>
      </c>
      <c r="Y511" s="790" t="s">
        <v>1828</v>
      </c>
      <c r="Z511" s="759" t="s">
        <v>2260</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28" t="s">
        <v>210</v>
      </c>
      <c r="BM511" s="1829" t="s">
        <v>210</v>
      </c>
      <c r="BN511" s="1829" t="s">
        <v>210</v>
      </c>
      <c r="BO511" s="1829" t="s">
        <v>210</v>
      </c>
      <c r="BP511" s="765" t="s">
        <v>210</v>
      </c>
      <c r="BQ511" s="777" t="s">
        <v>2260</v>
      </c>
      <c r="BR511" s="769" t="s">
        <v>2260</v>
      </c>
      <c r="BS511" s="769" t="s">
        <v>2260</v>
      </c>
      <c r="BT511" s="769" t="s">
        <v>2260</v>
      </c>
      <c r="BU511" s="774" t="s">
        <v>2260</v>
      </c>
      <c r="BV511" s="777" t="s">
        <v>2260</v>
      </c>
      <c r="BW511" s="769" t="s">
        <v>2260</v>
      </c>
      <c r="BX511" s="769" t="s">
        <v>2260</v>
      </c>
      <c r="BY511" s="769" t="s">
        <v>2260</v>
      </c>
      <c r="BZ511" s="769" t="s">
        <v>2260</v>
      </c>
      <c r="CA511" s="777" t="s">
        <v>2260</v>
      </c>
      <c r="CB511" s="769" t="s">
        <v>2260</v>
      </c>
      <c r="CC511" s="769" t="s">
        <v>2260</v>
      </c>
      <c r="CD511" s="769" t="s">
        <v>2260</v>
      </c>
      <c r="CE511" s="774" t="s">
        <v>2260</v>
      </c>
      <c r="CF511" s="769" t="s">
        <v>2260</v>
      </c>
      <c r="CG511" s="769" t="s">
        <v>2260</v>
      </c>
      <c r="CH511" s="769" t="s">
        <v>2260</v>
      </c>
      <c r="CI511" s="769" t="s">
        <v>2260</v>
      </c>
      <c r="CJ511" s="769" t="s">
        <v>2260</v>
      </c>
      <c r="CK511" s="777" t="s">
        <v>2260</v>
      </c>
      <c r="CL511" s="769" t="s">
        <v>2260</v>
      </c>
      <c r="CM511" s="769" t="s">
        <v>2260</v>
      </c>
      <c r="CN511" s="769" t="s">
        <v>2260</v>
      </c>
      <c r="CO511" s="774" t="s">
        <v>2260</v>
      </c>
      <c r="CP511" s="777" t="s">
        <v>2260</v>
      </c>
      <c r="CQ511" s="769" t="s">
        <v>2260</v>
      </c>
      <c r="CR511" s="769" t="s">
        <v>2260</v>
      </c>
      <c r="CS511" s="769" t="s">
        <v>2260</v>
      </c>
      <c r="CT511" s="774" t="s">
        <v>2260</v>
      </c>
      <c r="CU511" s="1253">
        <v>-1.4500000000000001E-2</v>
      </c>
      <c r="CV511" s="1252" t="s">
        <v>2260</v>
      </c>
      <c r="CW511" s="1252" t="s">
        <v>2260</v>
      </c>
      <c r="CX511" s="1254" t="s">
        <v>2260</v>
      </c>
      <c r="CY511" s="1252" t="s">
        <v>2260</v>
      </c>
      <c r="CZ511" s="1252" t="s">
        <v>2260</v>
      </c>
      <c r="DA511" s="1252" t="s">
        <v>2260</v>
      </c>
      <c r="DB511" s="1254" t="s">
        <v>2260</v>
      </c>
      <c r="DC511" s="754"/>
      <c r="DD511" s="782"/>
      <c r="DE511" s="783"/>
    </row>
    <row r="512" spans="1:109" ht="15.75" hidden="1" customHeight="1">
      <c r="A512" s="741" t="s">
        <v>1213</v>
      </c>
      <c r="B512" s="742">
        <v>506</v>
      </c>
      <c r="C512" s="758" t="s">
        <v>1513</v>
      </c>
      <c r="D512" s="742" t="s">
        <v>3871</v>
      </c>
      <c r="E512" s="742" t="s">
        <v>2217</v>
      </c>
      <c r="F512" s="754" t="s">
        <v>3886</v>
      </c>
      <c r="G512" s="759" t="s">
        <v>2089</v>
      </c>
      <c r="H512" s="760" t="s">
        <v>3887</v>
      </c>
      <c r="I512" s="761"/>
      <c r="J512" s="762"/>
      <c r="K512" s="762">
        <v>1</v>
      </c>
      <c r="L512" s="762"/>
      <c r="M512" s="762"/>
      <c r="N512" s="762"/>
      <c r="O512" s="762"/>
      <c r="P512" s="763"/>
      <c r="Q512" s="764">
        <f t="shared" si="7"/>
        <v>1</v>
      </c>
      <c r="R512" s="758" t="s">
        <v>1852</v>
      </c>
      <c r="S512" s="742" t="s">
        <v>1826</v>
      </c>
      <c r="T512" s="765" t="s">
        <v>1837</v>
      </c>
      <c r="U512" s="742" t="s">
        <v>2387</v>
      </c>
      <c r="V512" s="742" t="s">
        <v>1857</v>
      </c>
      <c r="W512" s="742" t="s">
        <v>3888</v>
      </c>
      <c r="X512" s="798">
        <v>0</v>
      </c>
      <c r="Y512" s="790" t="s">
        <v>1828</v>
      </c>
      <c r="Z512" s="759" t="s">
        <v>2260</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210</v>
      </c>
      <c r="BM512" s="754" t="s">
        <v>210</v>
      </c>
      <c r="BN512" s="754" t="s">
        <v>210</v>
      </c>
      <c r="BO512" s="754" t="s">
        <v>210</v>
      </c>
      <c r="BP512" s="765" t="s">
        <v>210</v>
      </c>
      <c r="BQ512" s="777" t="s">
        <v>2260</v>
      </c>
      <c r="BR512" s="769" t="s">
        <v>2260</v>
      </c>
      <c r="BS512" s="769" t="s">
        <v>2260</v>
      </c>
      <c r="BT512" s="769" t="s">
        <v>2260</v>
      </c>
      <c r="BU512" s="774" t="s">
        <v>2260</v>
      </c>
      <c r="BV512" s="777" t="s">
        <v>2260</v>
      </c>
      <c r="BW512" s="769" t="s">
        <v>2260</v>
      </c>
      <c r="BX512" s="769" t="s">
        <v>2260</v>
      </c>
      <c r="BY512" s="769" t="s">
        <v>2260</v>
      </c>
      <c r="BZ512" s="769" t="s">
        <v>2260</v>
      </c>
      <c r="CA512" s="777" t="s">
        <v>2260</v>
      </c>
      <c r="CB512" s="769" t="s">
        <v>2260</v>
      </c>
      <c r="CC512" s="769" t="s">
        <v>2260</v>
      </c>
      <c r="CD512" s="769" t="s">
        <v>2260</v>
      </c>
      <c r="CE512" s="774" t="s">
        <v>2260</v>
      </c>
      <c r="CF512" s="769" t="s">
        <v>2260</v>
      </c>
      <c r="CG512" s="769" t="s">
        <v>2260</v>
      </c>
      <c r="CH512" s="769" t="s">
        <v>2260</v>
      </c>
      <c r="CI512" s="769" t="s">
        <v>2260</v>
      </c>
      <c r="CJ512" s="769" t="s">
        <v>2260</v>
      </c>
      <c r="CK512" s="777" t="s">
        <v>2260</v>
      </c>
      <c r="CL512" s="769" t="s">
        <v>2260</v>
      </c>
      <c r="CM512" s="769" t="s">
        <v>2260</v>
      </c>
      <c r="CN512" s="769" t="s">
        <v>2260</v>
      </c>
      <c r="CO512" s="774" t="s">
        <v>2260</v>
      </c>
      <c r="CP512" s="777" t="s">
        <v>2260</v>
      </c>
      <c r="CQ512" s="769" t="s">
        <v>2260</v>
      </c>
      <c r="CR512" s="769" t="s">
        <v>2260</v>
      </c>
      <c r="CS512" s="769" t="s">
        <v>2260</v>
      </c>
      <c r="CT512" s="774" t="s">
        <v>2260</v>
      </c>
      <c r="CU512" s="1253">
        <v>-1.7E-5</v>
      </c>
      <c r="CV512" s="1252" t="s">
        <v>2260</v>
      </c>
      <c r="CW512" s="1252" t="s">
        <v>2260</v>
      </c>
      <c r="CX512" s="1254" t="s">
        <v>2260</v>
      </c>
      <c r="CY512" s="1252">
        <v>1.7E-5</v>
      </c>
      <c r="CZ512" s="1252" t="s">
        <v>2260</v>
      </c>
      <c r="DA512" s="1252" t="s">
        <v>2260</v>
      </c>
      <c r="DB512" s="1254" t="s">
        <v>2260</v>
      </c>
      <c r="DC512" s="754" t="s">
        <v>2260</v>
      </c>
      <c r="DD512" s="782">
        <v>1</v>
      </c>
      <c r="DE512" s="783" t="s">
        <v>2260</v>
      </c>
    </row>
    <row r="513" spans="1:109" ht="15.75" hidden="1" customHeight="1">
      <c r="A513" s="741" t="s">
        <v>1213</v>
      </c>
      <c r="B513" s="742">
        <v>507</v>
      </c>
      <c r="C513" s="758" t="s">
        <v>1524</v>
      </c>
      <c r="D513" s="742" t="s">
        <v>3871</v>
      </c>
      <c r="E513" s="742" t="s">
        <v>2231</v>
      </c>
      <c r="F513" s="754" t="s">
        <v>3889</v>
      </c>
      <c r="G513" s="759" t="s">
        <v>3890</v>
      </c>
      <c r="H513" s="760" t="s">
        <v>3891</v>
      </c>
      <c r="I513" s="761">
        <v>0.1</v>
      </c>
      <c r="J513" s="762">
        <v>0.05</v>
      </c>
      <c r="K513" s="762">
        <v>0.8</v>
      </c>
      <c r="L513" s="762">
        <v>0.05</v>
      </c>
      <c r="M513" s="762"/>
      <c r="N513" s="762"/>
      <c r="O513" s="762"/>
      <c r="P513" s="763"/>
      <c r="Q513" s="764">
        <f t="shared" si="7"/>
        <v>1</v>
      </c>
      <c r="R513" s="758" t="s">
        <v>1852</v>
      </c>
      <c r="S513" s="742" t="s">
        <v>1826</v>
      </c>
      <c r="T513" s="765" t="s">
        <v>1827</v>
      </c>
      <c r="U513" s="742" t="s">
        <v>2387</v>
      </c>
      <c r="V513" s="742" t="s">
        <v>165</v>
      </c>
      <c r="W513" s="742" t="s">
        <v>3892</v>
      </c>
      <c r="X513" s="798">
        <v>3</v>
      </c>
      <c r="Y513" s="790" t="s">
        <v>1828</v>
      </c>
      <c r="Z513" s="759" t="s">
        <v>2260</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210</v>
      </c>
      <c r="BM513" s="754" t="s">
        <v>210</v>
      </c>
      <c r="BN513" s="754" t="s">
        <v>210</v>
      </c>
      <c r="BO513" s="754" t="s">
        <v>210</v>
      </c>
      <c r="BP513" s="765" t="s">
        <v>210</v>
      </c>
      <c r="BQ513" s="777" t="s">
        <v>2260</v>
      </c>
      <c r="BR513" s="769" t="s">
        <v>2260</v>
      </c>
      <c r="BS513" s="769" t="s">
        <v>2260</v>
      </c>
      <c r="BT513" s="769" t="s">
        <v>2260</v>
      </c>
      <c r="BU513" s="774" t="s">
        <v>2260</v>
      </c>
      <c r="BV513" s="1370"/>
      <c r="BW513" s="1324"/>
      <c r="BX513" s="1324"/>
      <c r="BY513" s="1324"/>
      <c r="BZ513" s="1324"/>
      <c r="CA513" s="777" t="s">
        <v>2260</v>
      </c>
      <c r="CB513" s="769" t="s">
        <v>2260</v>
      </c>
      <c r="CC513" s="769" t="s">
        <v>2260</v>
      </c>
      <c r="CD513" s="769" t="s">
        <v>2260</v>
      </c>
      <c r="CE513" s="774" t="s">
        <v>2260</v>
      </c>
      <c r="CF513" s="769" t="s">
        <v>2260</v>
      </c>
      <c r="CG513" s="769" t="s">
        <v>2260</v>
      </c>
      <c r="CH513" s="769" t="s">
        <v>2260</v>
      </c>
      <c r="CI513" s="769" t="s">
        <v>2260</v>
      </c>
      <c r="CJ513" s="769" t="s">
        <v>2260</v>
      </c>
      <c r="CK513" s="1921">
        <v>9</v>
      </c>
      <c r="CL513" s="1922">
        <v>5.75</v>
      </c>
      <c r="CM513" s="1922">
        <v>4</v>
      </c>
      <c r="CN513" s="1922">
        <v>4</v>
      </c>
      <c r="CO513" s="1923">
        <v>9</v>
      </c>
      <c r="CP513" s="777" t="s">
        <v>2260</v>
      </c>
      <c r="CQ513" s="769" t="s">
        <v>2260</v>
      </c>
      <c r="CR513" s="769" t="s">
        <v>2260</v>
      </c>
      <c r="CS513" s="769" t="s">
        <v>2260</v>
      </c>
      <c r="CT513" s="774" t="s">
        <v>2260</v>
      </c>
      <c r="CU513" s="1253">
        <v>-0.5</v>
      </c>
      <c r="CV513" s="1252" t="s">
        <v>2260</v>
      </c>
      <c r="CW513" s="1252" t="s">
        <v>2260</v>
      </c>
      <c r="CX513" s="1254" t="s">
        <v>2260</v>
      </c>
      <c r="CY513" s="1252">
        <v>0.5</v>
      </c>
      <c r="CZ513" s="1252" t="s">
        <v>2260</v>
      </c>
      <c r="DA513" s="1252" t="s">
        <v>2260</v>
      </c>
      <c r="DB513" s="1254" t="s">
        <v>2260</v>
      </c>
      <c r="DC513" s="754" t="s">
        <v>173</v>
      </c>
      <c r="DD513" s="782">
        <v>1</v>
      </c>
      <c r="DE513" s="783" t="s">
        <v>2260</v>
      </c>
    </row>
    <row r="514" spans="1:109" ht="15.75" hidden="1" customHeight="1">
      <c r="A514" s="741" t="s">
        <v>1213</v>
      </c>
      <c r="B514" s="742">
        <v>508</v>
      </c>
      <c r="C514" s="758" t="s">
        <v>1534</v>
      </c>
      <c r="D514" s="742" t="s">
        <v>3871</v>
      </c>
      <c r="E514" s="742" t="s">
        <v>2217</v>
      </c>
      <c r="F514" s="754" t="s">
        <v>3893</v>
      </c>
      <c r="G514" s="759" t="s">
        <v>3894</v>
      </c>
      <c r="H514" s="760" t="s">
        <v>3895</v>
      </c>
      <c r="I514" s="761"/>
      <c r="J514" s="762"/>
      <c r="K514" s="762"/>
      <c r="L514" s="762">
        <v>1</v>
      </c>
      <c r="M514" s="762"/>
      <c r="N514" s="762"/>
      <c r="O514" s="762"/>
      <c r="P514" s="763"/>
      <c r="Q514" s="764">
        <f t="shared" si="7"/>
        <v>1</v>
      </c>
      <c r="R514" s="758" t="s">
        <v>1852</v>
      </c>
      <c r="S514" s="742" t="s">
        <v>1826</v>
      </c>
      <c r="T514" s="765" t="s">
        <v>1827</v>
      </c>
      <c r="U514" s="742" t="s">
        <v>815</v>
      </c>
      <c r="V514" s="742" t="s">
        <v>321</v>
      </c>
      <c r="W514" s="742" t="s">
        <v>3896</v>
      </c>
      <c r="X514" s="798">
        <v>2</v>
      </c>
      <c r="Y514" s="790" t="s">
        <v>1828</v>
      </c>
      <c r="Z514" s="759" t="s">
        <v>2260</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210</v>
      </c>
      <c r="BM514" s="754" t="s">
        <v>210</v>
      </c>
      <c r="BN514" s="754" t="s">
        <v>210</v>
      </c>
      <c r="BO514" s="754" t="s">
        <v>210</v>
      </c>
      <c r="BP514" s="765" t="s">
        <v>210</v>
      </c>
      <c r="BQ514" s="777" t="s">
        <v>2260</v>
      </c>
      <c r="BR514" s="769" t="s">
        <v>2260</v>
      </c>
      <c r="BS514" s="769" t="s">
        <v>2260</v>
      </c>
      <c r="BT514" s="769" t="s">
        <v>2260</v>
      </c>
      <c r="BU514" s="774" t="s">
        <v>2260</v>
      </c>
      <c r="BV514" s="777" t="s">
        <v>2260</v>
      </c>
      <c r="BW514" s="769" t="s">
        <v>2260</v>
      </c>
      <c r="BX514" s="769" t="s">
        <v>2260</v>
      </c>
      <c r="BY514" s="769" t="s">
        <v>2260</v>
      </c>
      <c r="BZ514" s="769" t="s">
        <v>2260</v>
      </c>
      <c r="CA514" s="777" t="s">
        <v>2260</v>
      </c>
      <c r="CB514" s="769" t="s">
        <v>2260</v>
      </c>
      <c r="CC514" s="769" t="s">
        <v>2260</v>
      </c>
      <c r="CD514" s="769" t="s">
        <v>2260</v>
      </c>
      <c r="CE514" s="774" t="s">
        <v>2260</v>
      </c>
      <c r="CF514" s="769" t="s">
        <v>2260</v>
      </c>
      <c r="CG514" s="769" t="s">
        <v>2260</v>
      </c>
      <c r="CH514" s="769" t="s">
        <v>2260</v>
      </c>
      <c r="CI514" s="769" t="s">
        <v>2260</v>
      </c>
      <c r="CJ514" s="774" t="s">
        <v>2260</v>
      </c>
      <c r="CK514" s="777" t="s">
        <v>2260</v>
      </c>
      <c r="CL514" s="769" t="s">
        <v>2260</v>
      </c>
      <c r="CM514" s="769" t="s">
        <v>2260</v>
      </c>
      <c r="CN514" s="769" t="s">
        <v>2260</v>
      </c>
      <c r="CO514" s="774" t="s">
        <v>2260</v>
      </c>
      <c r="CP514" s="777" t="s">
        <v>2260</v>
      </c>
      <c r="CQ514" s="769" t="s">
        <v>2260</v>
      </c>
      <c r="CR514" s="769" t="s">
        <v>2260</v>
      </c>
      <c r="CS514" s="769" t="s">
        <v>2260</v>
      </c>
      <c r="CT514" s="774" t="s">
        <v>2260</v>
      </c>
      <c r="CU514" s="1253">
        <v>-0.16</v>
      </c>
      <c r="CV514" s="1252" t="s">
        <v>2260</v>
      </c>
      <c r="CW514" s="1252" t="s">
        <v>2260</v>
      </c>
      <c r="CX514" s="1254" t="s">
        <v>2260</v>
      </c>
      <c r="CY514" s="1252">
        <v>1.5</v>
      </c>
      <c r="CZ514" s="1252">
        <v>1.5</v>
      </c>
      <c r="DA514" s="1252" t="s">
        <v>2260</v>
      </c>
      <c r="DB514" s="1254" t="s">
        <v>2260</v>
      </c>
      <c r="DC514" s="754" t="s">
        <v>173</v>
      </c>
      <c r="DD514" s="782">
        <v>1</v>
      </c>
      <c r="DE514" s="783" t="s">
        <v>2260</v>
      </c>
    </row>
    <row r="515" spans="1:109" ht="15.75" hidden="1" customHeight="1">
      <c r="A515" s="741" t="s">
        <v>1213</v>
      </c>
      <c r="B515" s="742">
        <v>509</v>
      </c>
      <c r="C515" s="758" t="s">
        <v>1544</v>
      </c>
      <c r="D515" s="742" t="s">
        <v>3871</v>
      </c>
      <c r="E515" s="742" t="s">
        <v>2231</v>
      </c>
      <c r="F515" s="754" t="s">
        <v>3897</v>
      </c>
      <c r="G515" s="759" t="s">
        <v>3898</v>
      </c>
      <c r="H515" s="760" t="s">
        <v>3899</v>
      </c>
      <c r="I515" s="761"/>
      <c r="J515" s="762"/>
      <c r="K515" s="762"/>
      <c r="L515" s="762">
        <v>1</v>
      </c>
      <c r="M515" s="762"/>
      <c r="N515" s="762"/>
      <c r="O515" s="762"/>
      <c r="P515" s="763"/>
      <c r="Q515" s="764">
        <f t="shared" si="7"/>
        <v>1</v>
      </c>
      <c r="R515" s="758" t="s">
        <v>1852</v>
      </c>
      <c r="S515" s="742" t="s">
        <v>1826</v>
      </c>
      <c r="T515" s="765" t="s">
        <v>1827</v>
      </c>
      <c r="U515" s="742" t="s">
        <v>2408</v>
      </c>
      <c r="V515" s="742" t="s">
        <v>1857</v>
      </c>
      <c r="W515" s="742" t="s">
        <v>3900</v>
      </c>
      <c r="X515" s="798">
        <v>2</v>
      </c>
      <c r="Y515" s="790" t="s">
        <v>1838</v>
      </c>
      <c r="Z515" s="759" t="s">
        <v>2260</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210</v>
      </c>
      <c r="BM515" s="754" t="s">
        <v>210</v>
      </c>
      <c r="BN515" s="754" t="s">
        <v>210</v>
      </c>
      <c r="BO515" s="754" t="s">
        <v>210</v>
      </c>
      <c r="BP515" s="765" t="s">
        <v>210</v>
      </c>
      <c r="BQ515" s="777" t="s">
        <v>2260</v>
      </c>
      <c r="BR515" s="769" t="s">
        <v>2260</v>
      </c>
      <c r="BS515" s="769" t="s">
        <v>2260</v>
      </c>
      <c r="BT515" s="769" t="s">
        <v>2260</v>
      </c>
      <c r="BU515" s="774" t="s">
        <v>2260</v>
      </c>
      <c r="BV515" s="777" t="s">
        <v>2260</v>
      </c>
      <c r="BW515" s="769" t="s">
        <v>2260</v>
      </c>
      <c r="BX515" s="769" t="s">
        <v>2260</v>
      </c>
      <c r="BY515" s="769" t="s">
        <v>2260</v>
      </c>
      <c r="BZ515" s="769" t="s">
        <v>2260</v>
      </c>
      <c r="CA515" s="777" t="s">
        <v>2260</v>
      </c>
      <c r="CB515" s="769" t="s">
        <v>2260</v>
      </c>
      <c r="CC515" s="769" t="s">
        <v>2260</v>
      </c>
      <c r="CD515" s="769" t="s">
        <v>2260</v>
      </c>
      <c r="CE515" s="774" t="s">
        <v>2260</v>
      </c>
      <c r="CF515" s="769" t="s">
        <v>2260</v>
      </c>
      <c r="CG515" s="769" t="s">
        <v>2260</v>
      </c>
      <c r="CH515" s="769" t="s">
        <v>2260</v>
      </c>
      <c r="CI515" s="769" t="s">
        <v>2260</v>
      </c>
      <c r="CJ515" s="774" t="s">
        <v>2260</v>
      </c>
      <c r="CK515" s="777" t="s">
        <v>2260</v>
      </c>
      <c r="CL515" s="769" t="s">
        <v>2260</v>
      </c>
      <c r="CM515" s="769" t="s">
        <v>2260</v>
      </c>
      <c r="CN515" s="769" t="s">
        <v>2260</v>
      </c>
      <c r="CO515" s="774" t="s">
        <v>2260</v>
      </c>
      <c r="CP515" s="777" t="s">
        <v>2260</v>
      </c>
      <c r="CQ515" s="769" t="s">
        <v>2260</v>
      </c>
      <c r="CR515" s="769" t="s">
        <v>2260</v>
      </c>
      <c r="CS515" s="769" t="s">
        <v>2260</v>
      </c>
      <c r="CT515" s="774" t="s">
        <v>2260</v>
      </c>
      <c r="CU515" s="1253">
        <v>-2.69E-2</v>
      </c>
      <c r="CV515" s="1252" t="s">
        <v>2260</v>
      </c>
      <c r="CW515" s="1252" t="s">
        <v>2260</v>
      </c>
      <c r="CX515" s="1254" t="s">
        <v>2260</v>
      </c>
      <c r="CY515" s="1252">
        <v>2.69E-2</v>
      </c>
      <c r="CZ515" s="1252" t="s">
        <v>2260</v>
      </c>
      <c r="DA515" s="1252" t="s">
        <v>2260</v>
      </c>
      <c r="DB515" s="1254" t="s">
        <v>2260</v>
      </c>
      <c r="DC515" s="754"/>
      <c r="DD515" s="782">
        <v>1</v>
      </c>
      <c r="DE515" s="783" t="s">
        <v>3901</v>
      </c>
    </row>
    <row r="516" spans="1:109" ht="15.75" hidden="1" customHeight="1">
      <c r="A516" s="741" t="s">
        <v>1213</v>
      </c>
      <c r="B516" s="742">
        <v>510</v>
      </c>
      <c r="C516" s="758" t="s">
        <v>1789</v>
      </c>
      <c r="D516" s="742" t="s">
        <v>3902</v>
      </c>
      <c r="E516" s="742" t="s">
        <v>2231</v>
      </c>
      <c r="F516" s="754" t="s">
        <v>3903</v>
      </c>
      <c r="G516" s="759" t="s">
        <v>2251</v>
      </c>
      <c r="H516" s="760" t="s">
        <v>3819</v>
      </c>
      <c r="I516" s="761"/>
      <c r="J516" s="762"/>
      <c r="K516" s="762"/>
      <c r="L516" s="762"/>
      <c r="M516" s="762">
        <v>1</v>
      </c>
      <c r="N516" s="762"/>
      <c r="O516" s="762"/>
      <c r="P516" s="763"/>
      <c r="Q516" s="764">
        <f t="shared" si="7"/>
        <v>1</v>
      </c>
      <c r="R516" s="758" t="s">
        <v>1852</v>
      </c>
      <c r="S516" s="742" t="s">
        <v>1826</v>
      </c>
      <c r="T516" s="765" t="s">
        <v>1827</v>
      </c>
      <c r="U516" s="742" t="s">
        <v>1888</v>
      </c>
      <c r="V516" s="742" t="s">
        <v>1897</v>
      </c>
      <c r="W516" s="742" t="s">
        <v>2337</v>
      </c>
      <c r="X516" s="1243">
        <v>2</v>
      </c>
      <c r="Y516" s="790" t="s">
        <v>1828</v>
      </c>
      <c r="Z516" s="759" t="s">
        <v>2251</v>
      </c>
      <c r="AA516" s="754"/>
      <c r="AB516" s="754"/>
      <c r="AC516" s="754"/>
      <c r="AD516" s="754"/>
      <c r="AE516" s="754"/>
      <c r="AF516" s="768"/>
      <c r="AG516" s="769"/>
      <c r="AH516" s="769"/>
      <c r="AI516" s="769"/>
      <c r="AJ516" s="769"/>
      <c r="AK516" s="769"/>
      <c r="AL516" s="769"/>
      <c r="AM516" s="769"/>
      <c r="AN516" s="769"/>
      <c r="AO516" s="769"/>
      <c r="AP516" s="769"/>
      <c r="AQ516" s="1369"/>
      <c r="AR516" s="1319"/>
      <c r="AS516" s="1319"/>
      <c r="AT516" s="1319"/>
      <c r="AU516" s="1320"/>
      <c r="AV516" s="777"/>
      <c r="AW516" s="769"/>
      <c r="AX516" s="769"/>
      <c r="AY516" s="769"/>
      <c r="AZ516" s="769"/>
      <c r="BA516" s="769"/>
      <c r="BB516" s="769"/>
      <c r="BC516" s="769"/>
      <c r="BD516" s="769"/>
      <c r="BE516" s="769"/>
      <c r="BF516" s="769"/>
      <c r="BG516" s="769"/>
      <c r="BH516" s="769"/>
      <c r="BI516" s="769"/>
      <c r="BJ516" s="769"/>
      <c r="BK516" s="774"/>
      <c r="BL516" s="1696"/>
      <c r="BM516" s="1697"/>
      <c r="BN516" s="1697"/>
      <c r="BO516" s="1697"/>
      <c r="BP516" s="1698"/>
      <c r="BQ516" s="1369"/>
      <c r="BR516" s="1319"/>
      <c r="BS516" s="1319"/>
      <c r="BT516" s="1319"/>
      <c r="BU516" s="1320"/>
      <c r="BV516" s="1369"/>
      <c r="BW516" s="1319"/>
      <c r="BX516" s="1319"/>
      <c r="BY516" s="1319"/>
      <c r="BZ516" s="1319"/>
      <c r="CA516" s="1369"/>
      <c r="CB516" s="1319"/>
      <c r="CC516" s="1319"/>
      <c r="CD516" s="1319"/>
      <c r="CE516" s="1320"/>
      <c r="CF516" s="1319"/>
      <c r="CG516" s="1319"/>
      <c r="CH516" s="1319"/>
      <c r="CI516" s="1319"/>
      <c r="CJ516" s="1320"/>
      <c r="CK516" s="1369"/>
      <c r="CL516" s="1319"/>
      <c r="CM516" s="1319"/>
      <c r="CN516" s="1319"/>
      <c r="CO516" s="1320"/>
      <c r="CP516" s="1369"/>
      <c r="CQ516" s="1319"/>
      <c r="CR516" s="1319"/>
      <c r="CS516" s="1319"/>
      <c r="CT516" s="1320"/>
      <c r="CU516" s="1467"/>
      <c r="CV516" s="1458"/>
      <c r="CW516" s="1458"/>
      <c r="CX516" s="1663"/>
      <c r="CY516" s="1458"/>
      <c r="CZ516" s="1458"/>
      <c r="DA516" s="1458"/>
      <c r="DB516" s="1663"/>
      <c r="DC516" s="1328"/>
      <c r="DD516" s="1664"/>
      <c r="DE516" s="1669"/>
    </row>
    <row r="517" spans="1:109" ht="15.75" hidden="1" customHeight="1">
      <c r="A517" s="741" t="s">
        <v>1213</v>
      </c>
      <c r="B517" s="742">
        <v>511</v>
      </c>
      <c r="C517" s="758" t="s">
        <v>1772</v>
      </c>
      <c r="D517" s="742" t="s">
        <v>3902</v>
      </c>
      <c r="E517" s="742" t="s">
        <v>2231</v>
      </c>
      <c r="F517" s="754" t="s">
        <v>3904</v>
      </c>
      <c r="G517" s="759" t="s">
        <v>2254</v>
      </c>
      <c r="H517" s="760" t="s">
        <v>3819</v>
      </c>
      <c r="I517" s="761"/>
      <c r="J517" s="762">
        <v>0.23</v>
      </c>
      <c r="K517" s="762">
        <v>0.77</v>
      </c>
      <c r="L517" s="762"/>
      <c r="M517" s="762"/>
      <c r="N517" s="762"/>
      <c r="O517" s="762"/>
      <c r="P517" s="763"/>
      <c r="Q517" s="764">
        <f t="shared" si="7"/>
        <v>1</v>
      </c>
      <c r="R517" s="758" t="s">
        <v>1852</v>
      </c>
      <c r="S517" s="742" t="s">
        <v>1826</v>
      </c>
      <c r="T517" s="765" t="s">
        <v>1827</v>
      </c>
      <c r="U517" s="742" t="s">
        <v>1891</v>
      </c>
      <c r="V517" s="742" t="s">
        <v>1897</v>
      </c>
      <c r="W517" s="742" t="s">
        <v>470</v>
      </c>
      <c r="X517" s="1243">
        <v>2</v>
      </c>
      <c r="Y517" s="790" t="s">
        <v>1828</v>
      </c>
      <c r="Z517" s="759" t="s">
        <v>2254</v>
      </c>
      <c r="AA517" s="754"/>
      <c r="AB517" s="754"/>
      <c r="AC517" s="754"/>
      <c r="AD517" s="754"/>
      <c r="AE517" s="754"/>
      <c r="AF517" s="768"/>
      <c r="AG517" s="769"/>
      <c r="AH517" s="769"/>
      <c r="AI517" s="769"/>
      <c r="AJ517" s="769"/>
      <c r="AK517" s="769"/>
      <c r="AL517" s="769"/>
      <c r="AM517" s="769"/>
      <c r="AN517" s="769"/>
      <c r="AO517" s="769"/>
      <c r="AP517" s="769"/>
      <c r="AQ517" s="1369"/>
      <c r="AR517" s="1319"/>
      <c r="AS517" s="1319"/>
      <c r="AT517" s="1319"/>
      <c r="AU517" s="1320"/>
      <c r="AV517" s="777"/>
      <c r="AW517" s="769"/>
      <c r="AX517" s="769"/>
      <c r="AY517" s="769"/>
      <c r="AZ517" s="769"/>
      <c r="BA517" s="769"/>
      <c r="BB517" s="769"/>
      <c r="BC517" s="769"/>
      <c r="BD517" s="769"/>
      <c r="BE517" s="769"/>
      <c r="BF517" s="769"/>
      <c r="BG517" s="769"/>
      <c r="BH517" s="769"/>
      <c r="BI517" s="769"/>
      <c r="BJ517" s="769"/>
      <c r="BK517" s="774"/>
      <c r="BL517" s="1327"/>
      <c r="BM517" s="1328"/>
      <c r="BN517" s="1328"/>
      <c r="BO517" s="1328"/>
      <c r="BP517" s="1389"/>
      <c r="BQ517" s="1369"/>
      <c r="BR517" s="1319"/>
      <c r="BS517" s="1319"/>
      <c r="BT517" s="1319"/>
      <c r="BU517" s="1320"/>
      <c r="BV517" s="1369"/>
      <c r="BW517" s="1319"/>
      <c r="BX517" s="1319"/>
      <c r="BY517" s="1319"/>
      <c r="BZ517" s="1319"/>
      <c r="CA517" s="1369"/>
      <c r="CB517" s="1319"/>
      <c r="CC517" s="1319"/>
      <c r="CD517" s="1319"/>
      <c r="CE517" s="1320"/>
      <c r="CF517" s="1319"/>
      <c r="CG517" s="1319"/>
      <c r="CH517" s="1319"/>
      <c r="CI517" s="1319"/>
      <c r="CJ517" s="1320"/>
      <c r="CK517" s="1369"/>
      <c r="CL517" s="1319"/>
      <c r="CM517" s="1319"/>
      <c r="CN517" s="1319"/>
      <c r="CO517" s="1320"/>
      <c r="CP517" s="1369"/>
      <c r="CQ517" s="1319"/>
      <c r="CR517" s="1319"/>
      <c r="CS517" s="1319"/>
      <c r="CT517" s="1320"/>
      <c r="CU517" s="1467"/>
      <c r="CV517" s="1458"/>
      <c r="CW517" s="1458"/>
      <c r="CX517" s="1663"/>
      <c r="CY517" s="1458"/>
      <c r="CZ517" s="1458"/>
      <c r="DA517" s="1458"/>
      <c r="DB517" s="1663"/>
      <c r="DC517" s="1328"/>
      <c r="DD517" s="1664"/>
      <c r="DE517" s="1669"/>
    </row>
    <row r="518" spans="1:109" ht="15.75" hidden="1" customHeight="1">
      <c r="A518" s="741" t="s">
        <v>1213</v>
      </c>
      <c r="B518" s="742">
        <v>512</v>
      </c>
      <c r="C518" s="758" t="s">
        <v>1268</v>
      </c>
      <c r="D518" s="742" t="s">
        <v>3902</v>
      </c>
      <c r="E518" s="742" t="s">
        <v>2231</v>
      </c>
      <c r="F518" s="754" t="s">
        <v>3905</v>
      </c>
      <c r="G518" s="759" t="s">
        <v>755</v>
      </c>
      <c r="H518" s="760" t="s">
        <v>3906</v>
      </c>
      <c r="I518" s="761"/>
      <c r="J518" s="762"/>
      <c r="K518" s="762"/>
      <c r="L518" s="762"/>
      <c r="M518" s="762">
        <v>1</v>
      </c>
      <c r="N518" s="762"/>
      <c r="O518" s="762"/>
      <c r="P518" s="763"/>
      <c r="Q518" s="764">
        <f t="shared" si="7"/>
        <v>1</v>
      </c>
      <c r="R518" s="758" t="s">
        <v>1825</v>
      </c>
      <c r="S518" s="742"/>
      <c r="T518" s="765"/>
      <c r="U518" s="742" t="s">
        <v>2396</v>
      </c>
      <c r="V518" s="742" t="s">
        <v>321</v>
      </c>
      <c r="W518" s="742" t="s">
        <v>3907</v>
      </c>
      <c r="X518" s="798">
        <v>1</v>
      </c>
      <c r="Y518" s="790" t="s">
        <v>1828</v>
      </c>
      <c r="Z518" s="759" t="s">
        <v>755</v>
      </c>
      <c r="AA518" s="754"/>
      <c r="AB518" s="754"/>
      <c r="AC518" s="754"/>
      <c r="AD518" s="754"/>
      <c r="AE518" s="754"/>
      <c r="AF518" s="768"/>
      <c r="AG518" s="769"/>
      <c r="AH518" s="769"/>
      <c r="AI518" s="769"/>
      <c r="AJ518" s="769"/>
      <c r="AK518" s="769"/>
      <c r="AL518" s="769"/>
      <c r="AM518" s="769"/>
      <c r="AN518" s="769"/>
      <c r="AO518" s="769"/>
      <c r="AP518" s="769"/>
      <c r="AQ518" s="1369"/>
      <c r="AR518" s="1319"/>
      <c r="AS518" s="1319"/>
      <c r="AT518" s="1319"/>
      <c r="AU518" s="1320"/>
      <c r="AV518" s="777"/>
      <c r="AW518" s="769"/>
      <c r="AX518" s="769"/>
      <c r="AY518" s="769"/>
      <c r="AZ518" s="769"/>
      <c r="BA518" s="769"/>
      <c r="BB518" s="769"/>
      <c r="BC518" s="769"/>
      <c r="BD518" s="769"/>
      <c r="BE518" s="769"/>
      <c r="BF518" s="769"/>
      <c r="BG518" s="769"/>
      <c r="BH518" s="769"/>
      <c r="BI518" s="769"/>
      <c r="BJ518" s="769"/>
      <c r="BK518" s="774"/>
      <c r="BL518" s="1327"/>
      <c r="BM518" s="1328"/>
      <c r="BN518" s="1328"/>
      <c r="BO518" s="1328"/>
      <c r="BP518" s="1389"/>
      <c r="BQ518" s="1369"/>
      <c r="BR518" s="1319"/>
      <c r="BS518" s="1319"/>
      <c r="BT518" s="1319"/>
      <c r="BU518" s="1320"/>
      <c r="BV518" s="1369"/>
      <c r="BW518" s="1319"/>
      <c r="BX518" s="1319"/>
      <c r="BY518" s="1319"/>
      <c r="BZ518" s="1319"/>
      <c r="CA518" s="1369"/>
      <c r="CB518" s="1319"/>
      <c r="CC518" s="1319"/>
      <c r="CD518" s="1319"/>
      <c r="CE518" s="1320"/>
      <c r="CF518" s="1319"/>
      <c r="CG518" s="1319"/>
      <c r="CH518" s="1319"/>
      <c r="CI518" s="1319"/>
      <c r="CJ518" s="1320"/>
      <c r="CK518" s="1369"/>
      <c r="CL518" s="1319"/>
      <c r="CM518" s="1319"/>
      <c r="CN518" s="1319"/>
      <c r="CO518" s="1320"/>
      <c r="CP518" s="1369"/>
      <c r="CQ518" s="1319"/>
      <c r="CR518" s="1319"/>
      <c r="CS518" s="1319"/>
      <c r="CT518" s="1320"/>
      <c r="CU518" s="1467"/>
      <c r="CV518" s="1458"/>
      <c r="CW518" s="1458"/>
      <c r="CX518" s="1663"/>
      <c r="CY518" s="1458"/>
      <c r="CZ518" s="1458"/>
      <c r="DA518" s="1458"/>
      <c r="DB518" s="1663"/>
      <c r="DC518" s="1328"/>
      <c r="DD518" s="1664"/>
      <c r="DE518" s="1669"/>
    </row>
    <row r="519" spans="1:109" ht="15.75" hidden="1" customHeight="1">
      <c r="A519" s="741" t="s">
        <v>1213</v>
      </c>
      <c r="B519" s="742">
        <v>513</v>
      </c>
      <c r="C519" s="758" t="s">
        <v>1600</v>
      </c>
      <c r="D519" s="742" t="s">
        <v>3902</v>
      </c>
      <c r="E519" s="742" t="s">
        <v>2231</v>
      </c>
      <c r="F519" s="754" t="s">
        <v>3908</v>
      </c>
      <c r="G519" s="759" t="s">
        <v>3909</v>
      </c>
      <c r="H519" s="760" t="s">
        <v>3910</v>
      </c>
      <c r="I519" s="761"/>
      <c r="J519" s="762">
        <v>0.91</v>
      </c>
      <c r="K519" s="762">
        <v>0.09</v>
      </c>
      <c r="L519" s="762"/>
      <c r="M519" s="762"/>
      <c r="N519" s="762"/>
      <c r="O519" s="762"/>
      <c r="P519" s="763"/>
      <c r="Q519" s="764">
        <f t="shared" si="7"/>
        <v>1</v>
      </c>
      <c r="R519" s="758" t="s">
        <v>1825</v>
      </c>
      <c r="S519" s="742"/>
      <c r="T519" s="765"/>
      <c r="U519" s="742" t="s">
        <v>3911</v>
      </c>
      <c r="V519" s="742" t="s">
        <v>321</v>
      </c>
      <c r="W519" s="742" t="s">
        <v>3912</v>
      </c>
      <c r="X519" s="798">
        <v>2</v>
      </c>
      <c r="Y519" s="790" t="s">
        <v>1838</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2260</v>
      </c>
      <c r="BR519" s="769" t="s">
        <v>2260</v>
      </c>
      <c r="BS519" s="769" t="s">
        <v>2260</v>
      </c>
      <c r="BT519" s="769" t="s">
        <v>2260</v>
      </c>
      <c r="BU519" s="774" t="s">
        <v>2260</v>
      </c>
      <c r="BV519" s="777" t="s">
        <v>2260</v>
      </c>
      <c r="BW519" s="769" t="s">
        <v>2260</v>
      </c>
      <c r="BX519" s="769" t="s">
        <v>2260</v>
      </c>
      <c r="BY519" s="769" t="s">
        <v>2260</v>
      </c>
      <c r="BZ519" s="769" t="s">
        <v>2260</v>
      </c>
      <c r="CA519" s="777" t="s">
        <v>2260</v>
      </c>
      <c r="CB519" s="769" t="s">
        <v>2260</v>
      </c>
      <c r="CC519" s="769" t="s">
        <v>2260</v>
      </c>
      <c r="CD519" s="769" t="s">
        <v>2260</v>
      </c>
      <c r="CE519" s="774" t="s">
        <v>2260</v>
      </c>
      <c r="CF519" s="769" t="s">
        <v>2260</v>
      </c>
      <c r="CG519" s="769" t="s">
        <v>2260</v>
      </c>
      <c r="CH519" s="769" t="s">
        <v>2260</v>
      </c>
      <c r="CI519" s="769" t="s">
        <v>2260</v>
      </c>
      <c r="CJ519" s="774" t="s">
        <v>2260</v>
      </c>
      <c r="CK519" s="777" t="s">
        <v>2260</v>
      </c>
      <c r="CL519" s="769" t="s">
        <v>2260</v>
      </c>
      <c r="CM519" s="769" t="s">
        <v>2260</v>
      </c>
      <c r="CN519" s="769" t="s">
        <v>2260</v>
      </c>
      <c r="CO519" s="774" t="s">
        <v>2260</v>
      </c>
      <c r="CP519" s="777" t="s">
        <v>2260</v>
      </c>
      <c r="CQ519" s="769" t="s">
        <v>2260</v>
      </c>
      <c r="CR519" s="769" t="s">
        <v>2260</v>
      </c>
      <c r="CS519" s="769" t="s">
        <v>2260</v>
      </c>
      <c r="CT519" s="774" t="s">
        <v>2260</v>
      </c>
      <c r="CU519" s="1253" t="s">
        <v>2260</v>
      </c>
      <c r="CV519" s="1252" t="s">
        <v>2260</v>
      </c>
      <c r="CW519" s="1252" t="s">
        <v>2260</v>
      </c>
      <c r="CX519" s="1254" t="s">
        <v>2260</v>
      </c>
      <c r="CY519" s="1252" t="s">
        <v>2260</v>
      </c>
      <c r="CZ519" s="1252" t="s">
        <v>2260</v>
      </c>
      <c r="DA519" s="1252" t="s">
        <v>2260</v>
      </c>
      <c r="DB519" s="1254" t="s">
        <v>2260</v>
      </c>
      <c r="DC519" s="754" t="s">
        <v>2260</v>
      </c>
      <c r="DD519" s="782">
        <v>1</v>
      </c>
      <c r="DE519" s="783" t="s">
        <v>2260</v>
      </c>
    </row>
    <row r="520" spans="1:109" ht="15.75" hidden="1" customHeight="1">
      <c r="A520" s="741" t="s">
        <v>1213</v>
      </c>
      <c r="B520" s="742">
        <v>514</v>
      </c>
      <c r="C520" s="758" t="s">
        <v>1617</v>
      </c>
      <c r="D520" s="742" t="s">
        <v>3902</v>
      </c>
      <c r="E520" s="742" t="s">
        <v>2231</v>
      </c>
      <c r="F520" s="754" t="s">
        <v>3913</v>
      </c>
      <c r="G520" s="759" t="s">
        <v>3914</v>
      </c>
      <c r="H520" s="760" t="s">
        <v>3915</v>
      </c>
      <c r="I520" s="761"/>
      <c r="J520" s="762"/>
      <c r="K520" s="762"/>
      <c r="L520" s="762"/>
      <c r="M520" s="762">
        <v>1</v>
      </c>
      <c r="N520" s="762"/>
      <c r="O520" s="762"/>
      <c r="P520" s="763"/>
      <c r="Q520" s="764">
        <f t="shared" si="7"/>
        <v>1</v>
      </c>
      <c r="R520" s="758" t="s">
        <v>1825</v>
      </c>
      <c r="S520" s="742"/>
      <c r="T520" s="765"/>
      <c r="U520" s="742" t="s">
        <v>2396</v>
      </c>
      <c r="V520" s="742" t="s">
        <v>1890</v>
      </c>
      <c r="W520" s="742" t="s">
        <v>2316</v>
      </c>
      <c r="X520" s="798">
        <v>0</v>
      </c>
      <c r="Y520" s="790" t="s">
        <v>1828</v>
      </c>
      <c r="Z520" s="759"/>
      <c r="AA520" s="754"/>
      <c r="AB520" s="754"/>
      <c r="AC520" s="754"/>
      <c r="AD520" s="754"/>
      <c r="AE520" s="754"/>
      <c r="AF520" s="768"/>
      <c r="AG520" s="769"/>
      <c r="AH520" s="769"/>
      <c r="AI520" s="769"/>
      <c r="AJ520" s="769"/>
      <c r="AK520" s="769"/>
      <c r="AL520" s="769"/>
      <c r="AM520" s="769"/>
      <c r="AN520" s="769"/>
      <c r="AO520" s="769"/>
      <c r="AP520" s="769"/>
      <c r="AQ520" s="777" t="s">
        <v>3807</v>
      </c>
      <c r="AR520" s="769" t="s">
        <v>605</v>
      </c>
      <c r="AS520" s="769" t="s">
        <v>605</v>
      </c>
      <c r="AT520" s="769" t="s">
        <v>605</v>
      </c>
      <c r="AU520" s="774" t="s">
        <v>605</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2260</v>
      </c>
      <c r="BR520" s="769" t="s">
        <v>2260</v>
      </c>
      <c r="BS520" s="769" t="s">
        <v>2260</v>
      </c>
      <c r="BT520" s="769" t="s">
        <v>2260</v>
      </c>
      <c r="BU520" s="774" t="s">
        <v>2260</v>
      </c>
      <c r="BV520" s="777" t="s">
        <v>2260</v>
      </c>
      <c r="BW520" s="769" t="s">
        <v>2260</v>
      </c>
      <c r="BX520" s="769" t="s">
        <v>2260</v>
      </c>
      <c r="BY520" s="769" t="s">
        <v>2260</v>
      </c>
      <c r="BZ520" s="769" t="s">
        <v>2260</v>
      </c>
      <c r="CA520" s="777" t="s">
        <v>2260</v>
      </c>
      <c r="CB520" s="769" t="s">
        <v>2260</v>
      </c>
      <c r="CC520" s="769" t="s">
        <v>2260</v>
      </c>
      <c r="CD520" s="769" t="s">
        <v>2260</v>
      </c>
      <c r="CE520" s="774" t="s">
        <v>2260</v>
      </c>
      <c r="CF520" s="769" t="s">
        <v>2260</v>
      </c>
      <c r="CG520" s="769" t="s">
        <v>2260</v>
      </c>
      <c r="CH520" s="769" t="s">
        <v>2260</v>
      </c>
      <c r="CI520" s="769" t="s">
        <v>2260</v>
      </c>
      <c r="CJ520" s="774" t="s">
        <v>2260</v>
      </c>
      <c r="CK520" s="777" t="s">
        <v>2260</v>
      </c>
      <c r="CL520" s="769" t="s">
        <v>2260</v>
      </c>
      <c r="CM520" s="769" t="s">
        <v>2260</v>
      </c>
      <c r="CN520" s="769" t="s">
        <v>2260</v>
      </c>
      <c r="CO520" s="774" t="s">
        <v>2260</v>
      </c>
      <c r="CP520" s="777" t="s">
        <v>2260</v>
      </c>
      <c r="CQ520" s="769" t="s">
        <v>2260</v>
      </c>
      <c r="CR520" s="769" t="s">
        <v>2260</v>
      </c>
      <c r="CS520" s="769" t="s">
        <v>2260</v>
      </c>
      <c r="CT520" s="774" t="s">
        <v>2260</v>
      </c>
      <c r="CU520" s="1253" t="s">
        <v>2260</v>
      </c>
      <c r="CV520" s="1252" t="s">
        <v>2260</v>
      </c>
      <c r="CW520" s="1252" t="s">
        <v>2260</v>
      </c>
      <c r="CX520" s="1254" t="s">
        <v>2260</v>
      </c>
      <c r="CY520" s="1252" t="s">
        <v>2260</v>
      </c>
      <c r="CZ520" s="1252" t="s">
        <v>2260</v>
      </c>
      <c r="DA520" s="1252" t="s">
        <v>2260</v>
      </c>
      <c r="DB520" s="1254" t="s">
        <v>2260</v>
      </c>
      <c r="DC520" s="754"/>
      <c r="DD520" s="782">
        <v>1</v>
      </c>
      <c r="DE520" s="783"/>
    </row>
    <row r="521" spans="1:109" ht="15.75" hidden="1" customHeight="1">
      <c r="A521" s="741" t="s">
        <v>1213</v>
      </c>
      <c r="B521" s="742">
        <v>515</v>
      </c>
      <c r="C521" s="758" t="s">
        <v>1477</v>
      </c>
      <c r="D521" s="742" t="s">
        <v>3916</v>
      </c>
      <c r="E521" s="742" t="s">
        <v>2231</v>
      </c>
      <c r="F521" s="754" t="s">
        <v>3917</v>
      </c>
      <c r="G521" s="759" t="s">
        <v>3918</v>
      </c>
      <c r="H521" s="760" t="s">
        <v>3919</v>
      </c>
      <c r="I521" s="761"/>
      <c r="J521" s="762"/>
      <c r="K521" s="762"/>
      <c r="L521" s="762"/>
      <c r="M521" s="762">
        <v>1</v>
      </c>
      <c r="N521" s="762"/>
      <c r="O521" s="762"/>
      <c r="P521" s="763"/>
      <c r="Q521" s="764">
        <f t="shared" ref="Q521:Q584" si="8">SUM(I521:P521)</f>
        <v>1</v>
      </c>
      <c r="R521" s="758" t="s">
        <v>1852</v>
      </c>
      <c r="S521" s="742" t="s">
        <v>1826</v>
      </c>
      <c r="T521" s="765" t="s">
        <v>1827</v>
      </c>
      <c r="U521" s="742" t="s">
        <v>2396</v>
      </c>
      <c r="V521" s="742" t="s">
        <v>1857</v>
      </c>
      <c r="W521" s="742" t="s">
        <v>3920</v>
      </c>
      <c r="X521" s="798">
        <v>0</v>
      </c>
      <c r="Y521" s="788" t="s">
        <v>1828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210</v>
      </c>
      <c r="BM521" s="754" t="s">
        <v>210</v>
      </c>
      <c r="BN521" s="754" t="s">
        <v>210</v>
      </c>
      <c r="BO521" s="754" t="s">
        <v>210</v>
      </c>
      <c r="BP521" s="765" t="s">
        <v>210</v>
      </c>
      <c r="BQ521" s="777" t="s">
        <v>2260</v>
      </c>
      <c r="BR521" s="769" t="s">
        <v>2260</v>
      </c>
      <c r="BS521" s="769" t="s">
        <v>2260</v>
      </c>
      <c r="BT521" s="769" t="s">
        <v>2260</v>
      </c>
      <c r="BU521" s="774" t="s">
        <v>2260</v>
      </c>
      <c r="BV521" s="777">
        <v>46102</v>
      </c>
      <c r="BW521" s="769">
        <v>47875</v>
      </c>
      <c r="BX521" s="769">
        <v>49648</v>
      </c>
      <c r="BY521" s="769">
        <v>51422</v>
      </c>
      <c r="BZ521" s="769">
        <v>53195</v>
      </c>
      <c r="CA521" s="777" t="s">
        <v>2260</v>
      </c>
      <c r="CB521" s="769" t="s">
        <v>2260</v>
      </c>
      <c r="CC521" s="769" t="s">
        <v>2260</v>
      </c>
      <c r="CD521" s="769" t="s">
        <v>2260</v>
      </c>
      <c r="CE521" s="774" t="s">
        <v>2260</v>
      </c>
      <c r="CF521" s="769" t="s">
        <v>2260</v>
      </c>
      <c r="CG521" s="769" t="s">
        <v>2260</v>
      </c>
      <c r="CH521" s="769" t="s">
        <v>2260</v>
      </c>
      <c r="CI521" s="769" t="s">
        <v>2260</v>
      </c>
      <c r="CJ521" s="774" t="s">
        <v>2260</v>
      </c>
      <c r="CK521" s="777">
        <v>69153</v>
      </c>
      <c r="CL521" s="769">
        <v>71813</v>
      </c>
      <c r="CM521" s="769">
        <v>74473</v>
      </c>
      <c r="CN521" s="769">
        <v>77132</v>
      </c>
      <c r="CO521" s="774">
        <v>79792</v>
      </c>
      <c r="CP521" s="777" t="s">
        <v>2260</v>
      </c>
      <c r="CQ521" s="769" t="s">
        <v>2260</v>
      </c>
      <c r="CR521" s="769" t="s">
        <v>2260</v>
      </c>
      <c r="CS521" s="769" t="s">
        <v>2260</v>
      </c>
      <c r="CT521" s="774" t="s">
        <v>2260</v>
      </c>
      <c r="CU521" s="1253">
        <v>-2.2000000000000001E-4</v>
      </c>
      <c r="CV521" s="1252" t="s">
        <v>2260</v>
      </c>
      <c r="CW521" s="1252" t="s">
        <v>2260</v>
      </c>
      <c r="CX521" s="1254" t="s">
        <v>2260</v>
      </c>
      <c r="CY521" s="1252">
        <v>2.2000000000000001E-4</v>
      </c>
      <c r="CZ521" s="1252" t="s">
        <v>2260</v>
      </c>
      <c r="DA521" s="1252" t="s">
        <v>2260</v>
      </c>
      <c r="DB521" s="1254" t="s">
        <v>2260</v>
      </c>
      <c r="DC521" s="754"/>
      <c r="DD521" s="782">
        <v>1</v>
      </c>
      <c r="DE521" s="783"/>
    </row>
    <row r="522" spans="1:109" ht="15.75" hidden="1" customHeight="1">
      <c r="A522" s="741" t="s">
        <v>1213</v>
      </c>
      <c r="B522" s="742">
        <v>516</v>
      </c>
      <c r="C522" s="758" t="s">
        <v>1483</v>
      </c>
      <c r="D522" s="742"/>
      <c r="E522" s="742"/>
      <c r="F522" s="754" t="s">
        <v>3921</v>
      </c>
      <c r="G522" s="759" t="s">
        <v>2890</v>
      </c>
      <c r="H522" s="760"/>
      <c r="I522" s="761"/>
      <c r="J522" s="762"/>
      <c r="K522" s="762"/>
      <c r="L522" s="762"/>
      <c r="M522" s="762">
        <v>1</v>
      </c>
      <c r="N522" s="762"/>
      <c r="O522" s="762"/>
      <c r="P522" s="763"/>
      <c r="Q522" s="764">
        <f t="shared" si="8"/>
        <v>1</v>
      </c>
      <c r="R522" s="758" t="s">
        <v>1852</v>
      </c>
      <c r="S522" s="742" t="s">
        <v>1826</v>
      </c>
      <c r="T522" s="765" t="s">
        <v>1827</v>
      </c>
      <c r="U522" s="742" t="s">
        <v>2396</v>
      </c>
      <c r="V522" s="742" t="s">
        <v>321</v>
      </c>
      <c r="W522" s="742" t="s">
        <v>3922</v>
      </c>
      <c r="X522" s="798">
        <v>2</v>
      </c>
      <c r="Y522" s="790" t="s">
        <v>1838</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210</v>
      </c>
      <c r="BM522" s="754" t="s">
        <v>210</v>
      </c>
      <c r="BN522" s="754" t="s">
        <v>210</v>
      </c>
      <c r="BO522" s="754" t="s">
        <v>210</v>
      </c>
      <c r="BP522" s="765" t="s">
        <v>210</v>
      </c>
      <c r="BQ522" s="773" t="s">
        <v>2260</v>
      </c>
      <c r="BR522" s="769" t="s">
        <v>2260</v>
      </c>
      <c r="BS522" s="769" t="s">
        <v>2260</v>
      </c>
      <c r="BT522" s="769" t="s">
        <v>2260</v>
      </c>
      <c r="BU522" s="774" t="s">
        <v>2260</v>
      </c>
      <c r="BV522" s="775">
        <v>7.38</v>
      </c>
      <c r="BW522" s="776">
        <v>7.38</v>
      </c>
      <c r="BX522" s="776">
        <v>7.38</v>
      </c>
      <c r="BY522" s="776">
        <v>7.38</v>
      </c>
      <c r="BZ522" s="776">
        <v>7.38</v>
      </c>
      <c r="CA522" s="777" t="s">
        <v>2260</v>
      </c>
      <c r="CB522" s="769" t="s">
        <v>2260</v>
      </c>
      <c r="CC522" s="769" t="s">
        <v>2260</v>
      </c>
      <c r="CD522" s="769" t="s">
        <v>2260</v>
      </c>
      <c r="CE522" s="774" t="s">
        <v>2260</v>
      </c>
      <c r="CF522" s="769" t="s">
        <v>2260</v>
      </c>
      <c r="CG522" s="769" t="s">
        <v>2260</v>
      </c>
      <c r="CH522" s="769" t="s">
        <v>2260</v>
      </c>
      <c r="CI522" s="769" t="s">
        <v>2260</v>
      </c>
      <c r="CJ522" s="774" t="s">
        <v>2260</v>
      </c>
      <c r="CK522" s="777">
        <v>6.02</v>
      </c>
      <c r="CL522" s="769">
        <v>5.24</v>
      </c>
      <c r="CM522" s="769">
        <v>4.46</v>
      </c>
      <c r="CN522" s="769">
        <v>3.68</v>
      </c>
      <c r="CO522" s="774">
        <v>2.92</v>
      </c>
      <c r="CP522" s="777" t="s">
        <v>2260</v>
      </c>
      <c r="CQ522" s="769" t="s">
        <v>2260</v>
      </c>
      <c r="CR522" s="769" t="s">
        <v>2260</v>
      </c>
      <c r="CS522" s="769" t="s">
        <v>2260</v>
      </c>
      <c r="CT522" s="774" t="s">
        <v>2260</v>
      </c>
      <c r="CU522" s="1253">
        <v>-5.63</v>
      </c>
      <c r="CV522" s="1252" t="s">
        <v>2260</v>
      </c>
      <c r="CW522" s="1252" t="s">
        <v>2260</v>
      </c>
      <c r="CX522" s="1254" t="s">
        <v>2260</v>
      </c>
      <c r="CY522" s="1252">
        <v>5.63</v>
      </c>
      <c r="CZ522" s="1252" t="s">
        <v>2260</v>
      </c>
      <c r="DA522" s="1252" t="s">
        <v>2260</v>
      </c>
      <c r="DB522" s="1254" t="s">
        <v>2260</v>
      </c>
      <c r="DC522" s="754"/>
      <c r="DD522" s="782">
        <v>1</v>
      </c>
      <c r="DE522" s="783"/>
    </row>
    <row r="523" spans="1:109" ht="15.75" hidden="1" customHeight="1">
      <c r="A523" s="741" t="s">
        <v>1213</v>
      </c>
      <c r="B523" s="742">
        <v>517</v>
      </c>
      <c r="C523" s="758" t="s">
        <v>1489</v>
      </c>
      <c r="D523" s="742" t="s">
        <v>3916</v>
      </c>
      <c r="E523" s="742" t="s">
        <v>2231</v>
      </c>
      <c r="F523" s="754" t="s">
        <v>3923</v>
      </c>
      <c r="G523" s="759" t="s">
        <v>3924</v>
      </c>
      <c r="H523" s="760" t="s">
        <v>3925</v>
      </c>
      <c r="I523" s="761"/>
      <c r="J523" s="762">
        <v>0.5</v>
      </c>
      <c r="K523" s="762">
        <v>0.5</v>
      </c>
      <c r="L523" s="762"/>
      <c r="M523" s="762"/>
      <c r="N523" s="762"/>
      <c r="O523" s="762"/>
      <c r="P523" s="763"/>
      <c r="Q523" s="764">
        <f t="shared" si="8"/>
        <v>1</v>
      </c>
      <c r="R523" s="758" t="s">
        <v>1835</v>
      </c>
      <c r="S523" s="742" t="s">
        <v>1826</v>
      </c>
      <c r="T523" s="765" t="s">
        <v>1827</v>
      </c>
      <c r="U523" s="742" t="s">
        <v>2892</v>
      </c>
      <c r="V523" s="742" t="s">
        <v>1857</v>
      </c>
      <c r="W523" s="742" t="s">
        <v>3926</v>
      </c>
      <c r="X523" s="798">
        <v>0</v>
      </c>
      <c r="Y523" s="767" t="s">
        <v>1828</v>
      </c>
      <c r="Z523" s="759" t="s">
        <v>2260</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210</v>
      </c>
      <c r="BM523" s="754" t="s">
        <v>210</v>
      </c>
      <c r="BN523" s="754" t="s">
        <v>210</v>
      </c>
      <c r="BO523" s="754" t="s">
        <v>210</v>
      </c>
      <c r="BP523" s="765" t="s">
        <v>210</v>
      </c>
      <c r="BQ523" s="777" t="s">
        <v>2260</v>
      </c>
      <c r="BR523" s="769" t="s">
        <v>2260</v>
      </c>
      <c r="BS523" s="769" t="s">
        <v>2260</v>
      </c>
      <c r="BT523" s="769" t="s">
        <v>2260</v>
      </c>
      <c r="BU523" s="774" t="s">
        <v>2260</v>
      </c>
      <c r="BV523" s="777" t="s">
        <v>2260</v>
      </c>
      <c r="BW523" s="769" t="s">
        <v>2260</v>
      </c>
      <c r="BX523" s="769" t="s">
        <v>2260</v>
      </c>
      <c r="BY523" s="769" t="s">
        <v>2260</v>
      </c>
      <c r="BZ523" s="769" t="s">
        <v>2260</v>
      </c>
      <c r="CA523" s="777" t="s">
        <v>2260</v>
      </c>
      <c r="CB523" s="769" t="s">
        <v>2260</v>
      </c>
      <c r="CC523" s="769" t="s">
        <v>2260</v>
      </c>
      <c r="CD523" s="769" t="s">
        <v>2260</v>
      </c>
      <c r="CE523" s="774" t="s">
        <v>2260</v>
      </c>
      <c r="CF523" s="769" t="s">
        <v>2260</v>
      </c>
      <c r="CG523" s="769" t="s">
        <v>2260</v>
      </c>
      <c r="CH523" s="769" t="s">
        <v>2260</v>
      </c>
      <c r="CI523" s="769" t="s">
        <v>2260</v>
      </c>
      <c r="CJ523" s="774" t="s">
        <v>2260</v>
      </c>
      <c r="CK523" s="777" t="s">
        <v>2260</v>
      </c>
      <c r="CL523" s="769" t="s">
        <v>2260</v>
      </c>
      <c r="CM523" s="769" t="s">
        <v>2260</v>
      </c>
      <c r="CN523" s="769" t="s">
        <v>2260</v>
      </c>
      <c r="CO523" s="774" t="s">
        <v>2260</v>
      </c>
      <c r="CP523" s="777" t="s">
        <v>2260</v>
      </c>
      <c r="CQ523" s="769" t="s">
        <v>2260</v>
      </c>
      <c r="CR523" s="769" t="s">
        <v>2260</v>
      </c>
      <c r="CS523" s="769" t="s">
        <v>2260</v>
      </c>
      <c r="CT523" s="774" t="s">
        <v>2260</v>
      </c>
      <c r="CU523" s="1253" t="s">
        <v>2260</v>
      </c>
      <c r="CV523" s="1252" t="s">
        <v>2260</v>
      </c>
      <c r="CW523" s="1252" t="s">
        <v>2260</v>
      </c>
      <c r="CX523" s="1254" t="s">
        <v>2260</v>
      </c>
      <c r="CY523" s="1252">
        <v>1.36E-4</v>
      </c>
      <c r="CZ523" s="1252" t="s">
        <v>2260</v>
      </c>
      <c r="DA523" s="1252" t="s">
        <v>2260</v>
      </c>
      <c r="DB523" s="1254" t="s">
        <v>2260</v>
      </c>
      <c r="DC523" s="754" t="s">
        <v>2260</v>
      </c>
      <c r="DD523" s="782">
        <v>1</v>
      </c>
      <c r="DE523" s="783" t="s">
        <v>2260</v>
      </c>
    </row>
    <row r="524" spans="1:109" ht="15.75" hidden="1" customHeight="1">
      <c r="A524" s="741" t="s">
        <v>1213</v>
      </c>
      <c r="B524" s="742">
        <v>518</v>
      </c>
      <c r="C524" s="758" t="s">
        <v>1491</v>
      </c>
      <c r="D524" s="742" t="s">
        <v>3916</v>
      </c>
      <c r="E524" s="742" t="s">
        <v>2231</v>
      </c>
      <c r="F524" s="754" t="s">
        <v>3927</v>
      </c>
      <c r="G524" s="759" t="s">
        <v>3928</v>
      </c>
      <c r="H524" s="760" t="s">
        <v>3929</v>
      </c>
      <c r="I524" s="761"/>
      <c r="J524" s="762">
        <v>0.5</v>
      </c>
      <c r="K524" s="762">
        <v>0.5</v>
      </c>
      <c r="L524" s="762"/>
      <c r="M524" s="762"/>
      <c r="N524" s="762"/>
      <c r="O524" s="762"/>
      <c r="P524" s="763"/>
      <c r="Q524" s="764">
        <f t="shared" si="8"/>
        <v>1</v>
      </c>
      <c r="R524" s="758" t="s">
        <v>1835</v>
      </c>
      <c r="S524" s="742" t="s">
        <v>1826</v>
      </c>
      <c r="T524" s="765" t="s">
        <v>1827</v>
      </c>
      <c r="U524" s="742" t="s">
        <v>2396</v>
      </c>
      <c r="V524" s="742" t="s">
        <v>1857</v>
      </c>
      <c r="W524" s="742" t="s">
        <v>3930</v>
      </c>
      <c r="X524" s="798">
        <v>0</v>
      </c>
      <c r="Y524" s="767" t="s">
        <v>1828</v>
      </c>
      <c r="Z524" s="759" t="s">
        <v>2260</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210</v>
      </c>
      <c r="BM524" s="754" t="s">
        <v>210</v>
      </c>
      <c r="BN524" s="754" t="s">
        <v>210</v>
      </c>
      <c r="BO524" s="754" t="s">
        <v>210</v>
      </c>
      <c r="BP524" s="765" t="s">
        <v>210</v>
      </c>
      <c r="BQ524" s="777" t="s">
        <v>2260</v>
      </c>
      <c r="BR524" s="769" t="s">
        <v>2260</v>
      </c>
      <c r="BS524" s="769" t="s">
        <v>2260</v>
      </c>
      <c r="BT524" s="769" t="s">
        <v>2260</v>
      </c>
      <c r="BU524" s="774" t="s">
        <v>2260</v>
      </c>
      <c r="BV524" s="777" t="s">
        <v>2260</v>
      </c>
      <c r="BW524" s="769" t="s">
        <v>2260</v>
      </c>
      <c r="BX524" s="769" t="s">
        <v>2260</v>
      </c>
      <c r="BY524" s="769" t="s">
        <v>2260</v>
      </c>
      <c r="BZ524" s="769" t="s">
        <v>2260</v>
      </c>
      <c r="CA524" s="777" t="s">
        <v>2260</v>
      </c>
      <c r="CB524" s="769" t="s">
        <v>2260</v>
      </c>
      <c r="CC524" s="769" t="s">
        <v>2260</v>
      </c>
      <c r="CD524" s="769" t="s">
        <v>2260</v>
      </c>
      <c r="CE524" s="774" t="s">
        <v>2260</v>
      </c>
      <c r="CF524" s="769" t="s">
        <v>2260</v>
      </c>
      <c r="CG524" s="769" t="s">
        <v>2260</v>
      </c>
      <c r="CH524" s="769" t="s">
        <v>2260</v>
      </c>
      <c r="CI524" s="769" t="s">
        <v>2260</v>
      </c>
      <c r="CJ524" s="769" t="s">
        <v>2260</v>
      </c>
      <c r="CK524" s="777" t="s">
        <v>2260</v>
      </c>
      <c r="CL524" s="769" t="s">
        <v>2260</v>
      </c>
      <c r="CM524" s="769" t="s">
        <v>2260</v>
      </c>
      <c r="CN524" s="769" t="s">
        <v>2260</v>
      </c>
      <c r="CO524" s="774" t="s">
        <v>2260</v>
      </c>
      <c r="CP524" s="777" t="s">
        <v>2260</v>
      </c>
      <c r="CQ524" s="769" t="s">
        <v>2260</v>
      </c>
      <c r="CR524" s="769" t="s">
        <v>2260</v>
      </c>
      <c r="CS524" s="769" t="s">
        <v>2260</v>
      </c>
      <c r="CT524" s="774" t="s">
        <v>2260</v>
      </c>
      <c r="CU524" s="1253" t="s">
        <v>2260</v>
      </c>
      <c r="CV524" s="1252" t="s">
        <v>2260</v>
      </c>
      <c r="CW524" s="1252" t="s">
        <v>2260</v>
      </c>
      <c r="CX524" s="1254" t="s">
        <v>2260</v>
      </c>
      <c r="CY524" s="1252">
        <v>3.0600000000000001E-4</v>
      </c>
      <c r="CZ524" s="1252" t="s">
        <v>2260</v>
      </c>
      <c r="DA524" s="1252" t="s">
        <v>2260</v>
      </c>
      <c r="DB524" s="1254" t="s">
        <v>2260</v>
      </c>
      <c r="DC524" s="754" t="s">
        <v>2260</v>
      </c>
      <c r="DD524" s="782">
        <v>1</v>
      </c>
      <c r="DE524" s="783" t="s">
        <v>2260</v>
      </c>
    </row>
    <row r="525" spans="1:109" ht="15.75" hidden="1" customHeight="1">
      <c r="A525" s="741" t="s">
        <v>1213</v>
      </c>
      <c r="B525" s="742">
        <v>519</v>
      </c>
      <c r="C525" s="758" t="s">
        <v>1492</v>
      </c>
      <c r="D525" s="742" t="s">
        <v>3916</v>
      </c>
      <c r="E525" s="742" t="s">
        <v>2231</v>
      </c>
      <c r="F525" s="754" t="s">
        <v>3931</v>
      </c>
      <c r="G525" s="759" t="s">
        <v>3932</v>
      </c>
      <c r="H525" s="760" t="s">
        <v>3933</v>
      </c>
      <c r="I525" s="761"/>
      <c r="J525" s="762"/>
      <c r="K525" s="762"/>
      <c r="L525" s="762"/>
      <c r="M525" s="762">
        <v>1</v>
      </c>
      <c r="N525" s="762"/>
      <c r="O525" s="762"/>
      <c r="P525" s="763"/>
      <c r="Q525" s="764">
        <f t="shared" si="8"/>
        <v>1</v>
      </c>
      <c r="R525" s="758" t="s">
        <v>1835</v>
      </c>
      <c r="S525" s="742" t="s">
        <v>1826</v>
      </c>
      <c r="T525" s="765" t="s">
        <v>1827</v>
      </c>
      <c r="U525" s="742" t="s">
        <v>2396</v>
      </c>
      <c r="V525" s="742" t="s">
        <v>1857</v>
      </c>
      <c r="W525" s="742" t="s">
        <v>3934</v>
      </c>
      <c r="X525" s="798">
        <v>0</v>
      </c>
      <c r="Y525" s="767" t="s">
        <v>1828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210</v>
      </c>
      <c r="BM525" s="754" t="s">
        <v>210</v>
      </c>
      <c r="BN525" s="754" t="s">
        <v>210</v>
      </c>
      <c r="BO525" s="754" t="s">
        <v>210</v>
      </c>
      <c r="BP525" s="765" t="s">
        <v>210</v>
      </c>
      <c r="BQ525" s="812" t="s">
        <v>2260</v>
      </c>
      <c r="BR525" s="811" t="s">
        <v>2260</v>
      </c>
      <c r="BS525" s="811" t="s">
        <v>2260</v>
      </c>
      <c r="BT525" s="811" t="s">
        <v>2260</v>
      </c>
      <c r="BU525" s="813" t="s">
        <v>2260</v>
      </c>
      <c r="BV525" s="777" t="s">
        <v>2260</v>
      </c>
      <c r="BW525" s="769" t="s">
        <v>2260</v>
      </c>
      <c r="BX525" s="769" t="s">
        <v>2260</v>
      </c>
      <c r="BY525" s="769" t="s">
        <v>2260</v>
      </c>
      <c r="BZ525" s="769" t="s">
        <v>2260</v>
      </c>
      <c r="CA525" s="812" t="s">
        <v>2260</v>
      </c>
      <c r="CB525" s="811" t="s">
        <v>2260</v>
      </c>
      <c r="CC525" s="811" t="s">
        <v>2260</v>
      </c>
      <c r="CD525" s="811" t="s">
        <v>2260</v>
      </c>
      <c r="CE525" s="813" t="s">
        <v>2260</v>
      </c>
      <c r="CF525" s="811" t="s">
        <v>2260</v>
      </c>
      <c r="CG525" s="811" t="s">
        <v>2260</v>
      </c>
      <c r="CH525" s="811" t="s">
        <v>2260</v>
      </c>
      <c r="CI525" s="811" t="s">
        <v>2260</v>
      </c>
      <c r="CJ525" s="813" t="s">
        <v>2260</v>
      </c>
      <c r="CK525" s="812" t="s">
        <v>2260</v>
      </c>
      <c r="CL525" s="811" t="s">
        <v>2260</v>
      </c>
      <c r="CM525" s="811" t="s">
        <v>2260</v>
      </c>
      <c r="CN525" s="811" t="s">
        <v>2260</v>
      </c>
      <c r="CO525" s="813" t="s">
        <v>2260</v>
      </c>
      <c r="CP525" s="812" t="s">
        <v>2260</v>
      </c>
      <c r="CQ525" s="812" t="s">
        <v>2260</v>
      </c>
      <c r="CR525" s="812" t="s">
        <v>2260</v>
      </c>
      <c r="CS525" s="812" t="s">
        <v>2260</v>
      </c>
      <c r="CT525" s="812" t="s">
        <v>2260</v>
      </c>
      <c r="CU525" s="1253">
        <v>0</v>
      </c>
      <c r="CV525" s="1253" t="s">
        <v>2260</v>
      </c>
      <c r="CW525" s="1253" t="s">
        <v>2260</v>
      </c>
      <c r="CX525" s="1254" t="s">
        <v>2260</v>
      </c>
      <c r="CY525" s="1252">
        <v>1.2999999999999999E-5</v>
      </c>
      <c r="CZ525" s="1252" t="s">
        <v>2260</v>
      </c>
      <c r="DA525" s="1252" t="s">
        <v>2260</v>
      </c>
      <c r="DB525" s="1254" t="s">
        <v>2260</v>
      </c>
      <c r="DC525" s="754"/>
      <c r="DD525" s="782">
        <v>1</v>
      </c>
      <c r="DE525" s="783"/>
    </row>
    <row r="526" spans="1:109" ht="15.75" hidden="1" customHeight="1">
      <c r="A526" s="741" t="s">
        <v>1213</v>
      </c>
      <c r="B526" s="742">
        <v>520</v>
      </c>
      <c r="C526" s="758" t="s">
        <v>1634</v>
      </c>
      <c r="D526" s="742" t="s">
        <v>3916</v>
      </c>
      <c r="E526" s="742" t="s">
        <v>2231</v>
      </c>
      <c r="F526" s="754" t="s">
        <v>3935</v>
      </c>
      <c r="G526" s="759" t="s">
        <v>3936</v>
      </c>
      <c r="H526" s="760" t="s">
        <v>3937</v>
      </c>
      <c r="I526" s="761"/>
      <c r="J526" s="762">
        <v>0.5</v>
      </c>
      <c r="K526" s="762">
        <v>0.5</v>
      </c>
      <c r="L526" s="762"/>
      <c r="M526" s="762"/>
      <c r="N526" s="762"/>
      <c r="O526" s="762"/>
      <c r="P526" s="763"/>
      <c r="Q526" s="764">
        <f t="shared" si="8"/>
        <v>1</v>
      </c>
      <c r="R526" s="758" t="s">
        <v>1825</v>
      </c>
      <c r="S526" s="742"/>
      <c r="T526" s="765"/>
      <c r="U526" s="742" t="s">
        <v>2229</v>
      </c>
      <c r="V526" s="742" t="s">
        <v>1857</v>
      </c>
      <c r="W526" s="742" t="s">
        <v>3938</v>
      </c>
      <c r="X526" s="798">
        <v>0</v>
      </c>
      <c r="Y526" s="788" t="s">
        <v>1828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2260</v>
      </c>
      <c r="BR526" s="769" t="s">
        <v>2260</v>
      </c>
      <c r="BS526" s="769" t="s">
        <v>2260</v>
      </c>
      <c r="BT526" s="769" t="s">
        <v>2260</v>
      </c>
      <c r="BU526" s="774" t="s">
        <v>2260</v>
      </c>
      <c r="BV526" s="777" t="s">
        <v>2260</v>
      </c>
      <c r="BW526" s="769" t="s">
        <v>2260</v>
      </c>
      <c r="BX526" s="769" t="s">
        <v>2260</v>
      </c>
      <c r="BY526" s="769" t="s">
        <v>2260</v>
      </c>
      <c r="BZ526" s="769" t="s">
        <v>2260</v>
      </c>
      <c r="CA526" s="777" t="s">
        <v>2260</v>
      </c>
      <c r="CB526" s="769" t="s">
        <v>2260</v>
      </c>
      <c r="CC526" s="769" t="s">
        <v>2260</v>
      </c>
      <c r="CD526" s="769" t="s">
        <v>2260</v>
      </c>
      <c r="CE526" s="774" t="s">
        <v>2260</v>
      </c>
      <c r="CF526" s="769" t="s">
        <v>2260</v>
      </c>
      <c r="CG526" s="769" t="s">
        <v>2260</v>
      </c>
      <c r="CH526" s="769" t="s">
        <v>2260</v>
      </c>
      <c r="CI526" s="769" t="s">
        <v>2260</v>
      </c>
      <c r="CJ526" s="774" t="s">
        <v>2260</v>
      </c>
      <c r="CK526" s="777" t="s">
        <v>2260</v>
      </c>
      <c r="CL526" s="769" t="s">
        <v>2260</v>
      </c>
      <c r="CM526" s="769" t="s">
        <v>2260</v>
      </c>
      <c r="CN526" s="769" t="s">
        <v>2260</v>
      </c>
      <c r="CO526" s="774" t="s">
        <v>2260</v>
      </c>
      <c r="CP526" s="777" t="s">
        <v>2260</v>
      </c>
      <c r="CQ526" s="769" t="s">
        <v>2260</v>
      </c>
      <c r="CR526" s="769" t="s">
        <v>2260</v>
      </c>
      <c r="CS526" s="769" t="s">
        <v>2260</v>
      </c>
      <c r="CT526" s="774" t="s">
        <v>2260</v>
      </c>
      <c r="CU526" s="1253" t="s">
        <v>2260</v>
      </c>
      <c r="CV526" s="1252" t="s">
        <v>2260</v>
      </c>
      <c r="CW526" s="1252" t="s">
        <v>2260</v>
      </c>
      <c r="CX526" s="1254" t="s">
        <v>2260</v>
      </c>
      <c r="CY526" s="1252" t="s">
        <v>2260</v>
      </c>
      <c r="CZ526" s="1252" t="s">
        <v>2260</v>
      </c>
      <c r="DA526" s="1252" t="s">
        <v>2260</v>
      </c>
      <c r="DB526" s="1254" t="s">
        <v>2260</v>
      </c>
      <c r="DC526" s="754" t="s">
        <v>173</v>
      </c>
      <c r="DD526" s="782">
        <v>1</v>
      </c>
      <c r="DE526" s="783" t="s">
        <v>2260</v>
      </c>
    </row>
    <row r="527" spans="1:109" ht="15.75" hidden="1" customHeight="1">
      <c r="A527" s="741" t="s">
        <v>1213</v>
      </c>
      <c r="B527" s="742">
        <v>521</v>
      </c>
      <c r="C527" s="758" t="s">
        <v>1493</v>
      </c>
      <c r="D527" s="742" t="s">
        <v>3916</v>
      </c>
      <c r="E527" s="742" t="s">
        <v>2231</v>
      </c>
      <c r="F527" s="754" t="s">
        <v>3939</v>
      </c>
      <c r="G527" s="759" t="s">
        <v>2090</v>
      </c>
      <c r="H527" s="760" t="s">
        <v>3940</v>
      </c>
      <c r="I527" s="761"/>
      <c r="J527" s="762">
        <v>1</v>
      </c>
      <c r="K527" s="762"/>
      <c r="L527" s="762"/>
      <c r="M527" s="762"/>
      <c r="N527" s="762"/>
      <c r="O527" s="762"/>
      <c r="P527" s="763"/>
      <c r="Q527" s="764">
        <f t="shared" si="8"/>
        <v>1</v>
      </c>
      <c r="R527" s="758" t="s">
        <v>2449</v>
      </c>
      <c r="S527" s="742" t="s">
        <v>1826</v>
      </c>
      <c r="T527" s="765" t="s">
        <v>1837</v>
      </c>
      <c r="U527" s="742" t="s">
        <v>2234</v>
      </c>
      <c r="V527" s="742" t="s">
        <v>1857</v>
      </c>
      <c r="W527" s="742" t="s">
        <v>3941</v>
      </c>
      <c r="X527" s="798">
        <v>0</v>
      </c>
      <c r="Y527" s="788" t="s">
        <v>1828</v>
      </c>
      <c r="Z527" s="759" t="s">
        <v>2260</v>
      </c>
      <c r="AA527" s="754"/>
      <c r="AB527" s="754"/>
      <c r="AC527" s="754"/>
      <c r="AD527" s="754"/>
      <c r="AE527" s="754"/>
      <c r="AF527" s="768"/>
      <c r="AG527" s="904"/>
      <c r="AH527" s="904"/>
      <c r="AI527" s="904"/>
      <c r="AJ527" s="904"/>
      <c r="AK527" s="904"/>
      <c r="AL527" s="904"/>
      <c r="AM527" s="904"/>
      <c r="AN527" s="904"/>
      <c r="AO527" s="904"/>
      <c r="AP527" s="904"/>
      <c r="AQ527" s="905" t="s">
        <v>2260</v>
      </c>
      <c r="AR527" s="904" t="s">
        <v>2260</v>
      </c>
      <c r="AS527" s="904" t="s">
        <v>2260</v>
      </c>
      <c r="AT527" s="2001">
        <v>1</v>
      </c>
      <c r="AU527" s="906" t="s">
        <v>2260</v>
      </c>
      <c r="AV527" s="905"/>
      <c r="AW527" s="904"/>
      <c r="AX527" s="904"/>
      <c r="AY527" s="904"/>
      <c r="AZ527" s="904"/>
      <c r="BA527" s="904"/>
      <c r="BB527" s="904"/>
      <c r="BC527" s="904"/>
      <c r="BD527" s="904"/>
      <c r="BE527" s="904"/>
      <c r="BF527" s="904"/>
      <c r="BG527" s="904"/>
      <c r="BH527" s="904"/>
      <c r="BI527" s="904"/>
      <c r="BJ527" s="904"/>
      <c r="BK527" s="906"/>
      <c r="BL527" s="1828" t="s">
        <v>210</v>
      </c>
      <c r="BM527" s="1829" t="s">
        <v>210</v>
      </c>
      <c r="BN527" s="1829" t="s">
        <v>210</v>
      </c>
      <c r="BO527" s="1829" t="s">
        <v>210</v>
      </c>
      <c r="BP527" s="765"/>
      <c r="BQ527" s="777" t="s">
        <v>2260</v>
      </c>
      <c r="BR527" s="769" t="s">
        <v>2260</v>
      </c>
      <c r="BS527" s="769" t="s">
        <v>2260</v>
      </c>
      <c r="BT527" s="769" t="s">
        <v>2260</v>
      </c>
      <c r="BU527" s="774" t="s">
        <v>2260</v>
      </c>
      <c r="BV527" s="777" t="s">
        <v>2260</v>
      </c>
      <c r="BW527" s="769" t="s">
        <v>2260</v>
      </c>
      <c r="BX527" s="769" t="s">
        <v>2260</v>
      </c>
      <c r="BY527" s="769" t="s">
        <v>2260</v>
      </c>
      <c r="BZ527" s="769" t="s">
        <v>2260</v>
      </c>
      <c r="CA527" s="777" t="s">
        <v>2260</v>
      </c>
      <c r="CB527" s="769" t="s">
        <v>2260</v>
      </c>
      <c r="CC527" s="769" t="s">
        <v>2260</v>
      </c>
      <c r="CD527" s="769" t="s">
        <v>2260</v>
      </c>
      <c r="CE527" s="774" t="s">
        <v>2260</v>
      </c>
      <c r="CF527" s="769" t="s">
        <v>2260</v>
      </c>
      <c r="CG527" s="769" t="s">
        <v>2260</v>
      </c>
      <c r="CH527" s="769" t="s">
        <v>2260</v>
      </c>
      <c r="CI527" s="769" t="s">
        <v>2260</v>
      </c>
      <c r="CJ527" s="774" t="s">
        <v>2260</v>
      </c>
      <c r="CK527" s="777" t="s">
        <v>2260</v>
      </c>
      <c r="CL527" s="769" t="s">
        <v>2260</v>
      </c>
      <c r="CM527" s="769" t="s">
        <v>2260</v>
      </c>
      <c r="CN527" s="769" t="s">
        <v>2260</v>
      </c>
      <c r="CO527" s="774" t="s">
        <v>2260</v>
      </c>
      <c r="CP527" s="777" t="s">
        <v>2260</v>
      </c>
      <c r="CQ527" s="769" t="s">
        <v>2260</v>
      </c>
      <c r="CR527" s="769" t="s">
        <v>2260</v>
      </c>
      <c r="CS527" s="769" t="s">
        <v>2260</v>
      </c>
      <c r="CT527" s="774" t="s">
        <v>2260</v>
      </c>
      <c r="CU527" s="1253" t="s">
        <v>2260</v>
      </c>
      <c r="CV527" s="1252" t="s">
        <v>2260</v>
      </c>
      <c r="CW527" s="1252" t="s">
        <v>2260</v>
      </c>
      <c r="CX527" s="1254" t="s">
        <v>2260</v>
      </c>
      <c r="CY527" s="1252" t="s">
        <v>2260</v>
      </c>
      <c r="CZ527" s="1252" t="s">
        <v>2260</v>
      </c>
      <c r="DA527" s="1252" t="s">
        <v>2260</v>
      </c>
      <c r="DB527" s="1254" t="s">
        <v>2260</v>
      </c>
      <c r="DC527" s="754"/>
      <c r="DD527" s="782"/>
      <c r="DE527" s="783"/>
    </row>
    <row r="528" spans="1:109" ht="15.75" hidden="1" customHeight="1">
      <c r="A528" s="741" t="s">
        <v>1213</v>
      </c>
      <c r="B528" s="742">
        <v>522</v>
      </c>
      <c r="C528" s="758" t="s">
        <v>1650</v>
      </c>
      <c r="D528" s="742" t="s">
        <v>3916</v>
      </c>
      <c r="E528" s="742" t="s">
        <v>2223</v>
      </c>
      <c r="F528" s="754" t="s">
        <v>3942</v>
      </c>
      <c r="G528" s="759" t="s">
        <v>3943</v>
      </c>
      <c r="H528" s="760" t="s">
        <v>3944</v>
      </c>
      <c r="I528" s="761"/>
      <c r="J528" s="762"/>
      <c r="K528" s="762"/>
      <c r="L528" s="762"/>
      <c r="M528" s="762">
        <v>1</v>
      </c>
      <c r="N528" s="762"/>
      <c r="O528" s="762"/>
      <c r="P528" s="763"/>
      <c r="Q528" s="764">
        <f t="shared" si="8"/>
        <v>1</v>
      </c>
      <c r="R528" s="758" t="s">
        <v>1825</v>
      </c>
      <c r="S528" s="742"/>
      <c r="T528" s="765"/>
      <c r="U528" s="742" t="s">
        <v>2827</v>
      </c>
      <c r="V528" s="742" t="s">
        <v>321</v>
      </c>
      <c r="W528" s="742" t="s">
        <v>3945</v>
      </c>
      <c r="X528" s="798">
        <v>0</v>
      </c>
      <c r="Y528" s="790" t="s">
        <v>1828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2260</v>
      </c>
      <c r="BR528" s="769" t="s">
        <v>2260</v>
      </c>
      <c r="BS528" s="769" t="s">
        <v>2260</v>
      </c>
      <c r="BT528" s="769" t="s">
        <v>2260</v>
      </c>
      <c r="BU528" s="774" t="s">
        <v>2260</v>
      </c>
      <c r="BV528" s="777" t="s">
        <v>2260</v>
      </c>
      <c r="BW528" s="769" t="s">
        <v>2260</v>
      </c>
      <c r="BX528" s="769" t="s">
        <v>2260</v>
      </c>
      <c r="BY528" s="769" t="s">
        <v>2260</v>
      </c>
      <c r="BZ528" s="769" t="s">
        <v>2260</v>
      </c>
      <c r="CA528" s="777" t="s">
        <v>2260</v>
      </c>
      <c r="CB528" s="769" t="s">
        <v>2260</v>
      </c>
      <c r="CC528" s="769" t="s">
        <v>2260</v>
      </c>
      <c r="CD528" s="769" t="s">
        <v>2260</v>
      </c>
      <c r="CE528" s="774" t="s">
        <v>2260</v>
      </c>
      <c r="CF528" s="769" t="s">
        <v>2260</v>
      </c>
      <c r="CG528" s="769" t="s">
        <v>2260</v>
      </c>
      <c r="CH528" s="769" t="s">
        <v>2260</v>
      </c>
      <c r="CI528" s="769" t="s">
        <v>2260</v>
      </c>
      <c r="CJ528" s="774" t="s">
        <v>2260</v>
      </c>
      <c r="CK528" s="777" t="s">
        <v>2260</v>
      </c>
      <c r="CL528" s="769" t="s">
        <v>2260</v>
      </c>
      <c r="CM528" s="769" t="s">
        <v>2260</v>
      </c>
      <c r="CN528" s="769" t="s">
        <v>2260</v>
      </c>
      <c r="CO528" s="774" t="s">
        <v>2260</v>
      </c>
      <c r="CP528" s="777" t="s">
        <v>2260</v>
      </c>
      <c r="CQ528" s="769" t="s">
        <v>2260</v>
      </c>
      <c r="CR528" s="769" t="s">
        <v>2260</v>
      </c>
      <c r="CS528" s="769" t="s">
        <v>2260</v>
      </c>
      <c r="CT528" s="774" t="s">
        <v>2260</v>
      </c>
      <c r="CU528" s="1253" t="s">
        <v>2260</v>
      </c>
      <c r="CV528" s="1252" t="s">
        <v>2260</v>
      </c>
      <c r="CW528" s="1252" t="s">
        <v>2260</v>
      </c>
      <c r="CX528" s="1254" t="s">
        <v>2260</v>
      </c>
      <c r="CY528" s="1252" t="s">
        <v>2260</v>
      </c>
      <c r="CZ528" s="1252" t="s">
        <v>2260</v>
      </c>
      <c r="DA528" s="1252" t="s">
        <v>2260</v>
      </c>
      <c r="DB528" s="1254" t="s">
        <v>2260</v>
      </c>
      <c r="DC528" s="754"/>
      <c r="DD528" s="782">
        <v>1</v>
      </c>
      <c r="DE528" s="783"/>
    </row>
    <row r="529" spans="1:109" ht="15.75" hidden="1" customHeight="1">
      <c r="A529" s="741" t="s">
        <v>1213</v>
      </c>
      <c r="B529" s="742">
        <v>523</v>
      </c>
      <c r="C529" s="758" t="s">
        <v>1194</v>
      </c>
      <c r="D529" s="742" t="s">
        <v>3946</v>
      </c>
      <c r="E529" s="742" t="s">
        <v>2217</v>
      </c>
      <c r="F529" s="754" t="s">
        <v>3947</v>
      </c>
      <c r="G529" s="759" t="s">
        <v>795</v>
      </c>
      <c r="H529" s="760" t="s">
        <v>3819</v>
      </c>
      <c r="I529" s="761"/>
      <c r="J529" s="762"/>
      <c r="K529" s="762">
        <v>1</v>
      </c>
      <c r="L529" s="762"/>
      <c r="M529" s="762"/>
      <c r="N529" s="762"/>
      <c r="O529" s="762"/>
      <c r="P529" s="763"/>
      <c r="Q529" s="764">
        <f t="shared" si="8"/>
        <v>1</v>
      </c>
      <c r="R529" s="758" t="s">
        <v>1846</v>
      </c>
      <c r="S529" s="742" t="s">
        <v>1826</v>
      </c>
      <c r="T529" s="765" t="s">
        <v>1827</v>
      </c>
      <c r="U529" s="742" t="s">
        <v>2368</v>
      </c>
      <c r="V529" s="742" t="s">
        <v>1857</v>
      </c>
      <c r="W529" s="742" t="s">
        <v>3948</v>
      </c>
      <c r="X529" s="1243">
        <v>2</v>
      </c>
      <c r="Y529" s="788" t="s">
        <v>1838</v>
      </c>
      <c r="Z529" s="759" t="s">
        <v>795</v>
      </c>
      <c r="AA529" s="754"/>
      <c r="AB529" s="754"/>
      <c r="AC529" s="754"/>
      <c r="AD529" s="754"/>
      <c r="AE529" s="754"/>
      <c r="AF529" s="768"/>
      <c r="AG529" s="904"/>
      <c r="AH529" s="904"/>
      <c r="AI529" s="904"/>
      <c r="AJ529" s="904"/>
      <c r="AK529" s="904"/>
      <c r="AL529" s="904"/>
      <c r="AM529" s="904"/>
      <c r="AN529" s="904"/>
      <c r="AO529" s="904"/>
      <c r="AP529" s="904"/>
      <c r="AQ529" s="1722"/>
      <c r="AR529" s="1723"/>
      <c r="AS529" s="1723"/>
      <c r="AT529" s="1723"/>
      <c r="AU529" s="1724"/>
      <c r="AV529" s="905"/>
      <c r="AW529" s="904"/>
      <c r="AX529" s="904"/>
      <c r="AY529" s="904"/>
      <c r="AZ529" s="904"/>
      <c r="BA529" s="904"/>
      <c r="BB529" s="904"/>
      <c r="BC529" s="904"/>
      <c r="BD529" s="904"/>
      <c r="BE529" s="904"/>
      <c r="BF529" s="904"/>
      <c r="BG529" s="904"/>
      <c r="BH529" s="904"/>
      <c r="BI529" s="904"/>
      <c r="BJ529" s="904"/>
      <c r="BK529" s="906"/>
      <c r="BL529" s="1327"/>
      <c r="BM529" s="1328"/>
      <c r="BN529" s="1328"/>
      <c r="BO529" s="1328"/>
      <c r="BP529" s="1389"/>
      <c r="BQ529" s="1369"/>
      <c r="BR529" s="1319"/>
      <c r="BS529" s="1319"/>
      <c r="BT529" s="1319"/>
      <c r="BU529" s="1320"/>
      <c r="BV529" s="1369"/>
      <c r="BW529" s="1319"/>
      <c r="BX529" s="1319"/>
      <c r="BY529" s="1319"/>
      <c r="BZ529" s="1319"/>
      <c r="CA529" s="1369"/>
      <c r="CB529" s="1319"/>
      <c r="CC529" s="1319"/>
      <c r="CD529" s="1319"/>
      <c r="CE529" s="1320"/>
      <c r="CF529" s="1319"/>
      <c r="CG529" s="1319"/>
      <c r="CH529" s="1319"/>
      <c r="CI529" s="1319"/>
      <c r="CJ529" s="1320"/>
      <c r="CK529" s="1369"/>
      <c r="CL529" s="1319"/>
      <c r="CM529" s="1319"/>
      <c r="CN529" s="1319"/>
      <c r="CO529" s="1320"/>
      <c r="CP529" s="1369"/>
      <c r="CQ529" s="1319"/>
      <c r="CR529" s="1319"/>
      <c r="CS529" s="1319"/>
      <c r="CT529" s="1320"/>
      <c r="CU529" s="1467"/>
      <c r="CV529" s="1458"/>
      <c r="CW529" s="1458"/>
      <c r="CX529" s="1663"/>
      <c r="CY529" s="1458"/>
      <c r="CZ529" s="1458"/>
      <c r="DA529" s="1458"/>
      <c r="DB529" s="1663"/>
      <c r="DC529" s="1328"/>
      <c r="DD529" s="1664"/>
      <c r="DE529" s="1669"/>
    </row>
    <row r="530" spans="1:109" ht="15.75" hidden="1" customHeight="1">
      <c r="A530" s="741" t="s">
        <v>1213</v>
      </c>
      <c r="B530" s="742">
        <v>524</v>
      </c>
      <c r="C530" s="758" t="s">
        <v>1553</v>
      </c>
      <c r="D530" s="742" t="s">
        <v>3946</v>
      </c>
      <c r="E530" s="742" t="s">
        <v>2217</v>
      </c>
      <c r="F530" s="754" t="s">
        <v>3949</v>
      </c>
      <c r="G530" s="759" t="s">
        <v>2623</v>
      </c>
      <c r="H530" s="760" t="s">
        <v>3950</v>
      </c>
      <c r="I530" s="761"/>
      <c r="J530" s="762"/>
      <c r="K530" s="762">
        <v>1</v>
      </c>
      <c r="L530" s="762"/>
      <c r="M530" s="762"/>
      <c r="N530" s="762"/>
      <c r="O530" s="762"/>
      <c r="P530" s="763"/>
      <c r="Q530" s="764">
        <f t="shared" si="8"/>
        <v>1</v>
      </c>
      <c r="R530" s="758" t="s">
        <v>1852</v>
      </c>
      <c r="S530" s="742" t="s">
        <v>1826</v>
      </c>
      <c r="T530" s="765" t="s">
        <v>1827</v>
      </c>
      <c r="U530" s="742" t="s">
        <v>2368</v>
      </c>
      <c r="V530" s="742" t="s">
        <v>1857</v>
      </c>
      <c r="W530" s="742" t="s">
        <v>3951</v>
      </c>
      <c r="X530" s="798">
        <v>0</v>
      </c>
      <c r="Y530" s="791" t="s">
        <v>1838</v>
      </c>
      <c r="Z530" s="759" t="s">
        <v>2623</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210</v>
      </c>
      <c r="BM530" s="754" t="s">
        <v>210</v>
      </c>
      <c r="BN530" s="754" t="s">
        <v>210</v>
      </c>
      <c r="BO530" s="754" t="s">
        <v>210</v>
      </c>
      <c r="BP530" s="765" t="s">
        <v>210</v>
      </c>
      <c r="BQ530" s="777" t="s">
        <v>2260</v>
      </c>
      <c r="BR530" s="769" t="s">
        <v>2260</v>
      </c>
      <c r="BS530" s="769" t="s">
        <v>2260</v>
      </c>
      <c r="BT530" s="769" t="s">
        <v>2260</v>
      </c>
      <c r="BU530" s="774" t="s">
        <v>2260</v>
      </c>
      <c r="BV530" s="777">
        <v>30996</v>
      </c>
      <c r="BW530" s="769">
        <v>30996</v>
      </c>
      <c r="BX530" s="769">
        <v>30996</v>
      </c>
      <c r="BY530" s="769">
        <v>30996</v>
      </c>
      <c r="BZ530" s="769">
        <v>30996</v>
      </c>
      <c r="CA530" s="777" t="s">
        <v>2260</v>
      </c>
      <c r="CB530" s="769" t="s">
        <v>2260</v>
      </c>
      <c r="CC530" s="769" t="s">
        <v>2260</v>
      </c>
      <c r="CD530" s="769" t="s">
        <v>2260</v>
      </c>
      <c r="CE530" s="774" t="s">
        <v>2260</v>
      </c>
      <c r="CF530" s="769" t="s">
        <v>2260</v>
      </c>
      <c r="CG530" s="769" t="s">
        <v>2260</v>
      </c>
      <c r="CH530" s="769" t="s">
        <v>2260</v>
      </c>
      <c r="CI530" s="769" t="s">
        <v>2260</v>
      </c>
      <c r="CJ530" s="774" t="s">
        <v>2260</v>
      </c>
      <c r="CK530" s="777">
        <v>17505</v>
      </c>
      <c r="CL530" s="769">
        <v>17220</v>
      </c>
      <c r="CM530" s="769">
        <v>16935</v>
      </c>
      <c r="CN530" s="769">
        <v>16651</v>
      </c>
      <c r="CO530" s="774">
        <v>16366</v>
      </c>
      <c r="CP530" s="777" t="s">
        <v>2260</v>
      </c>
      <c r="CQ530" s="769" t="s">
        <v>2260</v>
      </c>
      <c r="CR530" s="769" t="s">
        <v>2260</v>
      </c>
      <c r="CS530" s="769" t="s">
        <v>2260</v>
      </c>
      <c r="CT530" s="774" t="s">
        <v>2260</v>
      </c>
      <c r="CU530" s="1253">
        <v>-1.4E-3</v>
      </c>
      <c r="CV530" s="1252" t="s">
        <v>2260</v>
      </c>
      <c r="CW530" s="1252" t="s">
        <v>2260</v>
      </c>
      <c r="CX530" s="1254" t="s">
        <v>2260</v>
      </c>
      <c r="CY530" s="1252">
        <v>1.4E-3</v>
      </c>
      <c r="CZ530" s="1252" t="s">
        <v>2260</v>
      </c>
      <c r="DA530" s="1252" t="s">
        <v>2260</v>
      </c>
      <c r="DB530" s="1254" t="s">
        <v>2260</v>
      </c>
      <c r="DC530" s="754" t="s">
        <v>2260</v>
      </c>
      <c r="DD530" s="782">
        <v>1</v>
      </c>
      <c r="DE530" s="783" t="s">
        <v>2260</v>
      </c>
    </row>
    <row r="531" spans="1:109" ht="15.75" hidden="1" customHeight="1">
      <c r="A531" s="741" t="s">
        <v>1213</v>
      </c>
      <c r="B531" s="742">
        <v>525</v>
      </c>
      <c r="C531" s="758" t="s">
        <v>1198</v>
      </c>
      <c r="D531" s="742" t="s">
        <v>3952</v>
      </c>
      <c r="E531" s="742" t="s">
        <v>2231</v>
      </c>
      <c r="F531" s="754" t="s">
        <v>3953</v>
      </c>
      <c r="G531" s="759" t="s">
        <v>891</v>
      </c>
      <c r="H531" s="760" t="s">
        <v>3819</v>
      </c>
      <c r="I531" s="761"/>
      <c r="J531" s="762"/>
      <c r="K531" s="762">
        <v>1</v>
      </c>
      <c r="L531" s="762"/>
      <c r="M531" s="762"/>
      <c r="N531" s="762"/>
      <c r="O531" s="762"/>
      <c r="P531" s="763"/>
      <c r="Q531" s="764">
        <f t="shared" si="8"/>
        <v>1</v>
      </c>
      <c r="R531" s="758" t="s">
        <v>1825</v>
      </c>
      <c r="S531" s="742"/>
      <c r="T531" s="765" t="s">
        <v>2260</v>
      </c>
      <c r="U531" s="742" t="s">
        <v>2351</v>
      </c>
      <c r="V531" s="742" t="s">
        <v>321</v>
      </c>
      <c r="W531" s="742" t="s">
        <v>3954</v>
      </c>
      <c r="X531" s="798">
        <v>2</v>
      </c>
      <c r="Y531" s="795" t="s">
        <v>1838</v>
      </c>
      <c r="Z531" s="759" t="s">
        <v>891</v>
      </c>
      <c r="AA531" s="754"/>
      <c r="AB531" s="754"/>
      <c r="AC531" s="754"/>
      <c r="AD531" s="754"/>
      <c r="AE531" s="754"/>
      <c r="AF531" s="768"/>
      <c r="AG531" s="904"/>
      <c r="AH531" s="904"/>
      <c r="AI531" s="904"/>
      <c r="AJ531" s="904"/>
      <c r="AK531" s="904"/>
      <c r="AL531" s="904"/>
      <c r="AM531" s="904"/>
      <c r="AN531" s="904"/>
      <c r="AO531" s="904"/>
      <c r="AP531" s="904"/>
      <c r="AQ531" s="1722"/>
      <c r="AR531" s="1723"/>
      <c r="AS531" s="1723"/>
      <c r="AT531" s="1723"/>
      <c r="AU531" s="1724"/>
      <c r="AV531" s="905"/>
      <c r="AW531" s="904"/>
      <c r="AX531" s="904"/>
      <c r="AY531" s="904"/>
      <c r="AZ531" s="904"/>
      <c r="BA531" s="904"/>
      <c r="BB531" s="904"/>
      <c r="BC531" s="904"/>
      <c r="BD531" s="904"/>
      <c r="BE531" s="904"/>
      <c r="BF531" s="904"/>
      <c r="BG531" s="904"/>
      <c r="BH531" s="904"/>
      <c r="BI531" s="904"/>
      <c r="BJ531" s="904"/>
      <c r="BK531" s="906"/>
      <c r="BL531" s="1327"/>
      <c r="BM531" s="1328"/>
      <c r="BN531" s="1328"/>
      <c r="BO531" s="1328"/>
      <c r="BP531" s="1389"/>
      <c r="BQ531" s="1369"/>
      <c r="BR531" s="1319"/>
      <c r="BS531" s="1319"/>
      <c r="BT531" s="1319"/>
      <c r="BU531" s="1320"/>
      <c r="BV531" s="1369"/>
      <c r="BW531" s="1319"/>
      <c r="BX531" s="1319"/>
      <c r="BY531" s="1319"/>
      <c r="BZ531" s="1319"/>
      <c r="CA531" s="1369"/>
      <c r="CB531" s="1319"/>
      <c r="CC531" s="1319"/>
      <c r="CD531" s="1319"/>
      <c r="CE531" s="1320"/>
      <c r="CF531" s="1319"/>
      <c r="CG531" s="1319"/>
      <c r="CH531" s="1319"/>
      <c r="CI531" s="1319"/>
      <c r="CJ531" s="1320"/>
      <c r="CK531" s="1369"/>
      <c r="CL531" s="1319"/>
      <c r="CM531" s="1319"/>
      <c r="CN531" s="1319"/>
      <c r="CO531" s="1320"/>
      <c r="CP531" s="1369"/>
      <c r="CQ531" s="1319"/>
      <c r="CR531" s="1319"/>
      <c r="CS531" s="1319"/>
      <c r="CT531" s="1320"/>
      <c r="CU531" s="1467"/>
      <c r="CV531" s="1458"/>
      <c r="CW531" s="1458"/>
      <c r="CX531" s="1663"/>
      <c r="CY531" s="1458"/>
      <c r="CZ531" s="1458"/>
      <c r="DA531" s="1458"/>
      <c r="DB531" s="1663"/>
      <c r="DC531" s="1328"/>
      <c r="DD531" s="1664"/>
      <c r="DE531" s="1669"/>
    </row>
    <row r="532" spans="1:109" ht="15.75" hidden="1" customHeight="1">
      <c r="A532" s="741" t="s">
        <v>1213</v>
      </c>
      <c r="B532" s="742">
        <v>526</v>
      </c>
      <c r="C532" s="758" t="s">
        <v>1192</v>
      </c>
      <c r="D532" s="742" t="s">
        <v>3952</v>
      </c>
      <c r="E532" s="742" t="s">
        <v>2217</v>
      </c>
      <c r="F532" s="754" t="s">
        <v>3955</v>
      </c>
      <c r="G532" s="759" t="s">
        <v>784</v>
      </c>
      <c r="H532" s="760" t="s">
        <v>3819</v>
      </c>
      <c r="I532" s="761"/>
      <c r="J532" s="762"/>
      <c r="K532" s="762">
        <v>1</v>
      </c>
      <c r="L532" s="762"/>
      <c r="M532" s="762"/>
      <c r="N532" s="762"/>
      <c r="O532" s="762"/>
      <c r="P532" s="763"/>
      <c r="Q532" s="764">
        <f t="shared" si="8"/>
        <v>1</v>
      </c>
      <c r="R532" s="758" t="s">
        <v>1852</v>
      </c>
      <c r="S532" s="742" t="s">
        <v>1826</v>
      </c>
      <c r="T532" s="765" t="s">
        <v>1827</v>
      </c>
      <c r="U532" s="742" t="s">
        <v>2351</v>
      </c>
      <c r="V532" s="742" t="s">
        <v>1857</v>
      </c>
      <c r="W532" s="742" t="s">
        <v>3956</v>
      </c>
      <c r="X532" s="1243">
        <v>2</v>
      </c>
      <c r="Y532" s="790" t="s">
        <v>1838</v>
      </c>
      <c r="Z532" s="759" t="s">
        <v>784</v>
      </c>
      <c r="AA532" s="754"/>
      <c r="AB532" s="754"/>
      <c r="AC532" s="754"/>
      <c r="AD532" s="754"/>
      <c r="AE532" s="754"/>
      <c r="AF532" s="768"/>
      <c r="AG532" s="904"/>
      <c r="AH532" s="904"/>
      <c r="AI532" s="904"/>
      <c r="AJ532" s="904"/>
      <c r="AK532" s="904"/>
      <c r="AL532" s="904"/>
      <c r="AM532" s="904"/>
      <c r="AN532" s="904"/>
      <c r="AO532" s="904"/>
      <c r="AP532" s="904"/>
      <c r="AQ532" s="1725"/>
      <c r="AR532" s="1726"/>
      <c r="AS532" s="1726"/>
      <c r="AT532" s="1726"/>
      <c r="AU532" s="1727"/>
      <c r="AV532" s="905"/>
      <c r="AW532" s="904"/>
      <c r="AX532" s="904"/>
      <c r="AY532" s="904"/>
      <c r="AZ532" s="904"/>
      <c r="BA532" s="904"/>
      <c r="BB532" s="904"/>
      <c r="BC532" s="904"/>
      <c r="BD532" s="904"/>
      <c r="BE532" s="904"/>
      <c r="BF532" s="904"/>
      <c r="BG532" s="904"/>
      <c r="BH532" s="904"/>
      <c r="BI532" s="904"/>
      <c r="BJ532" s="904"/>
      <c r="BK532" s="906"/>
      <c r="BL532" s="1327"/>
      <c r="BM532" s="1328"/>
      <c r="BN532" s="1328"/>
      <c r="BO532" s="1328"/>
      <c r="BP532" s="1389"/>
      <c r="BQ532" s="1369"/>
      <c r="BR532" s="1319"/>
      <c r="BS532" s="1319"/>
      <c r="BT532" s="1319"/>
      <c r="BU532" s="1320"/>
      <c r="BV532" s="1370"/>
      <c r="BW532" s="1324"/>
      <c r="BX532" s="1324"/>
      <c r="BY532" s="1324"/>
      <c r="BZ532" s="1324"/>
      <c r="CA532" s="1369"/>
      <c r="CB532" s="1319"/>
      <c r="CC532" s="1319"/>
      <c r="CD532" s="1319"/>
      <c r="CE532" s="1320"/>
      <c r="CF532" s="1319"/>
      <c r="CG532" s="1319"/>
      <c r="CH532" s="1319"/>
      <c r="CI532" s="1319"/>
      <c r="CJ532" s="1320"/>
      <c r="CK532" s="1370"/>
      <c r="CL532" s="1324"/>
      <c r="CM532" s="1324"/>
      <c r="CN532" s="1324"/>
      <c r="CO532" s="1325"/>
      <c r="CP532" s="1369"/>
      <c r="CQ532" s="1319"/>
      <c r="CR532" s="1319"/>
      <c r="CS532" s="1319"/>
      <c r="CT532" s="1320"/>
      <c r="CU532" s="1467"/>
      <c r="CV532" s="1458"/>
      <c r="CW532" s="1458"/>
      <c r="CX532" s="1663"/>
      <c r="CY532" s="1458"/>
      <c r="CZ532" s="1458"/>
      <c r="DA532" s="1458"/>
      <c r="DB532" s="1663"/>
      <c r="DC532" s="1328"/>
      <c r="DD532" s="1664"/>
      <c r="DE532" s="1669"/>
    </row>
    <row r="533" spans="1:109" ht="15.75" hidden="1" customHeight="1">
      <c r="A533" s="741" t="s">
        <v>1213</v>
      </c>
      <c r="B533" s="742">
        <v>527</v>
      </c>
      <c r="C533" s="758" t="s">
        <v>1562</v>
      </c>
      <c r="D533" s="742" t="s">
        <v>3952</v>
      </c>
      <c r="E533" s="742" t="s">
        <v>2217</v>
      </c>
      <c r="F533" s="754" t="s">
        <v>3957</v>
      </c>
      <c r="G533" s="759" t="s">
        <v>3958</v>
      </c>
      <c r="H533" s="760" t="s">
        <v>3959</v>
      </c>
      <c r="I533" s="761"/>
      <c r="J533" s="762"/>
      <c r="K533" s="762">
        <v>1</v>
      </c>
      <c r="L533" s="762"/>
      <c r="M533" s="762"/>
      <c r="N533" s="762"/>
      <c r="O533" s="762"/>
      <c r="P533" s="763"/>
      <c r="Q533" s="764">
        <f t="shared" si="8"/>
        <v>1</v>
      </c>
      <c r="R533" s="758" t="s">
        <v>1852</v>
      </c>
      <c r="S533" s="742" t="s">
        <v>1826</v>
      </c>
      <c r="T533" s="765" t="s">
        <v>1827</v>
      </c>
      <c r="U533" s="742" t="s">
        <v>2351</v>
      </c>
      <c r="V533" s="742" t="s">
        <v>1857</v>
      </c>
      <c r="W533" s="742" t="s">
        <v>3960</v>
      </c>
      <c r="X533" s="798">
        <v>0</v>
      </c>
      <c r="Y533" s="795" t="s">
        <v>1838</v>
      </c>
      <c r="Z533" s="759" t="s">
        <v>2381</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210</v>
      </c>
      <c r="BM533" s="754" t="s">
        <v>210</v>
      </c>
      <c r="BN533" s="754" t="s">
        <v>210</v>
      </c>
      <c r="BO533" s="754" t="s">
        <v>210</v>
      </c>
      <c r="BP533" s="765" t="s">
        <v>210</v>
      </c>
      <c r="BQ533" s="777" t="s">
        <v>2260</v>
      </c>
      <c r="BR533" s="769" t="s">
        <v>2260</v>
      </c>
      <c r="BS533" s="769" t="s">
        <v>2260</v>
      </c>
      <c r="BT533" s="769" t="s">
        <v>2260</v>
      </c>
      <c r="BU533" s="774" t="s">
        <v>2260</v>
      </c>
      <c r="BV533" s="777">
        <v>10268</v>
      </c>
      <c r="BW533" s="769">
        <v>10268</v>
      </c>
      <c r="BX533" s="769">
        <v>10268</v>
      </c>
      <c r="BY533" s="769">
        <v>10268</v>
      </c>
      <c r="BZ533" s="769">
        <v>10268</v>
      </c>
      <c r="CA533" s="777" t="s">
        <v>2260</v>
      </c>
      <c r="CB533" s="769" t="s">
        <v>2260</v>
      </c>
      <c r="CC533" s="769" t="s">
        <v>2260</v>
      </c>
      <c r="CD533" s="769" t="s">
        <v>2260</v>
      </c>
      <c r="CE533" s="774" t="s">
        <v>2260</v>
      </c>
      <c r="CF533" s="769" t="s">
        <v>2260</v>
      </c>
      <c r="CG533" s="769" t="s">
        <v>2260</v>
      </c>
      <c r="CH533" s="769" t="s">
        <v>2260</v>
      </c>
      <c r="CI533" s="769" t="s">
        <v>2260</v>
      </c>
      <c r="CJ533" s="769" t="s">
        <v>2260</v>
      </c>
      <c r="CK533" s="812">
        <v>6221</v>
      </c>
      <c r="CL533" s="811">
        <v>6017</v>
      </c>
      <c r="CM533" s="811">
        <v>5843</v>
      </c>
      <c r="CN533" s="811">
        <v>5662</v>
      </c>
      <c r="CO533" s="813">
        <v>5476</v>
      </c>
      <c r="CP533" s="777" t="s">
        <v>2260</v>
      </c>
      <c r="CQ533" s="769" t="s">
        <v>2260</v>
      </c>
      <c r="CR533" s="769" t="s">
        <v>2260</v>
      </c>
      <c r="CS533" s="769" t="s">
        <v>2260</v>
      </c>
      <c r="CT533" s="774" t="s">
        <v>2260</v>
      </c>
      <c r="CU533" s="1253">
        <v>-6.4400000000000004E-3</v>
      </c>
      <c r="CV533" s="1252" t="s">
        <v>2260</v>
      </c>
      <c r="CW533" s="1252" t="s">
        <v>2260</v>
      </c>
      <c r="CX533" s="1254" t="s">
        <v>2260</v>
      </c>
      <c r="CY533" s="1252">
        <v>5.3699999999999998E-3</v>
      </c>
      <c r="CZ533" s="1252" t="s">
        <v>2260</v>
      </c>
      <c r="DA533" s="1252" t="s">
        <v>2260</v>
      </c>
      <c r="DB533" s="1254" t="s">
        <v>2260</v>
      </c>
      <c r="DC533" s="754" t="s">
        <v>2260</v>
      </c>
      <c r="DD533" s="782">
        <v>1</v>
      </c>
      <c r="DE533" s="783" t="s">
        <v>2260</v>
      </c>
    </row>
    <row r="534" spans="1:109" ht="15.75" hidden="1" customHeight="1">
      <c r="A534" s="741" t="s">
        <v>1213</v>
      </c>
      <c r="B534" s="742">
        <v>528</v>
      </c>
      <c r="C534" s="758" t="s">
        <v>1570</v>
      </c>
      <c r="D534" s="742" t="s">
        <v>3952</v>
      </c>
      <c r="E534" s="742" t="s">
        <v>2231</v>
      </c>
      <c r="F534" s="754" t="s">
        <v>3961</v>
      </c>
      <c r="G534" s="759" t="s">
        <v>3962</v>
      </c>
      <c r="H534" s="760" t="s">
        <v>3963</v>
      </c>
      <c r="I534" s="761"/>
      <c r="J534" s="762"/>
      <c r="K534" s="762">
        <v>1</v>
      </c>
      <c r="L534" s="762"/>
      <c r="M534" s="762"/>
      <c r="N534" s="762"/>
      <c r="O534" s="762"/>
      <c r="P534" s="763"/>
      <c r="Q534" s="764">
        <f t="shared" si="8"/>
        <v>1</v>
      </c>
      <c r="R534" s="758" t="s">
        <v>1852</v>
      </c>
      <c r="S534" s="742" t="s">
        <v>1826</v>
      </c>
      <c r="T534" s="765" t="s">
        <v>1827</v>
      </c>
      <c r="U534" s="742" t="s">
        <v>2610</v>
      </c>
      <c r="V534" s="742" t="s">
        <v>321</v>
      </c>
      <c r="W534" s="742" t="s">
        <v>3964</v>
      </c>
      <c r="X534" s="798">
        <v>1</v>
      </c>
      <c r="Y534" s="790" t="s">
        <v>1828</v>
      </c>
      <c r="Z534" s="759" t="s">
        <v>2260</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210</v>
      </c>
      <c r="BM534" s="754" t="s">
        <v>210</v>
      </c>
      <c r="BN534" s="754" t="s">
        <v>210</v>
      </c>
      <c r="BO534" s="754" t="s">
        <v>210</v>
      </c>
      <c r="BP534" s="765" t="s">
        <v>210</v>
      </c>
      <c r="BQ534" s="777" t="s">
        <v>2260</v>
      </c>
      <c r="BR534" s="769" t="s">
        <v>2260</v>
      </c>
      <c r="BS534" s="769" t="s">
        <v>2260</v>
      </c>
      <c r="BT534" s="769" t="s">
        <v>2260</v>
      </c>
      <c r="BU534" s="774" t="s">
        <v>2260</v>
      </c>
      <c r="BV534" s="777" t="s">
        <v>2260</v>
      </c>
      <c r="BW534" s="769" t="s">
        <v>2260</v>
      </c>
      <c r="BX534" s="769" t="s">
        <v>2260</v>
      </c>
      <c r="BY534" s="769" t="s">
        <v>2260</v>
      </c>
      <c r="BZ534" s="769" t="s">
        <v>2260</v>
      </c>
      <c r="CA534" s="777" t="s">
        <v>2260</v>
      </c>
      <c r="CB534" s="769" t="s">
        <v>2260</v>
      </c>
      <c r="CC534" s="769" t="s">
        <v>2260</v>
      </c>
      <c r="CD534" s="769" t="s">
        <v>2260</v>
      </c>
      <c r="CE534" s="774" t="s">
        <v>2260</v>
      </c>
      <c r="CF534" s="769" t="s">
        <v>2260</v>
      </c>
      <c r="CG534" s="769" t="s">
        <v>2260</v>
      </c>
      <c r="CH534" s="769" t="s">
        <v>2260</v>
      </c>
      <c r="CI534" s="769" t="s">
        <v>2260</v>
      </c>
      <c r="CJ534" s="774" t="s">
        <v>2260</v>
      </c>
      <c r="CK534" s="777" t="s">
        <v>2260</v>
      </c>
      <c r="CL534" s="769" t="s">
        <v>2260</v>
      </c>
      <c r="CM534" s="769" t="s">
        <v>2260</v>
      </c>
      <c r="CN534" s="769" t="s">
        <v>2260</v>
      </c>
      <c r="CO534" s="774" t="s">
        <v>2260</v>
      </c>
      <c r="CP534" s="777" t="s">
        <v>2260</v>
      </c>
      <c r="CQ534" s="769" t="s">
        <v>2260</v>
      </c>
      <c r="CR534" s="769" t="s">
        <v>2260</v>
      </c>
      <c r="CS534" s="769" t="s">
        <v>2260</v>
      </c>
      <c r="CT534" s="774" t="s">
        <v>2260</v>
      </c>
      <c r="CU534" s="1253">
        <v>-8.5999999999999993E-2</v>
      </c>
      <c r="CV534" s="1252" t="s">
        <v>2260</v>
      </c>
      <c r="CW534" s="1252" t="s">
        <v>2260</v>
      </c>
      <c r="CX534" s="1254" t="s">
        <v>2260</v>
      </c>
      <c r="CY534" s="1252">
        <v>8.5999999999999993E-2</v>
      </c>
      <c r="CZ534" s="1252" t="s">
        <v>2260</v>
      </c>
      <c r="DA534" s="1252" t="s">
        <v>2260</v>
      </c>
      <c r="DB534" s="1254" t="s">
        <v>2260</v>
      </c>
      <c r="DC534" s="754" t="s">
        <v>2260</v>
      </c>
      <c r="DD534" s="782">
        <v>1</v>
      </c>
      <c r="DE534" s="783" t="s">
        <v>2260</v>
      </c>
    </row>
    <row r="535" spans="1:109" ht="15.75" hidden="1" customHeight="1">
      <c r="A535" s="741" t="s">
        <v>1213</v>
      </c>
      <c r="B535" s="742">
        <v>529</v>
      </c>
      <c r="C535" s="758" t="s">
        <v>1578</v>
      </c>
      <c r="D535" s="742" t="s">
        <v>3952</v>
      </c>
      <c r="E535" s="742" t="s">
        <v>2231</v>
      </c>
      <c r="F535" s="754" t="s">
        <v>3965</v>
      </c>
      <c r="G535" s="759" t="s">
        <v>3966</v>
      </c>
      <c r="H535" s="760" t="s">
        <v>3967</v>
      </c>
      <c r="I535" s="761"/>
      <c r="J535" s="762"/>
      <c r="K535" s="762">
        <v>1</v>
      </c>
      <c r="L535" s="762"/>
      <c r="M535" s="762"/>
      <c r="N535" s="762"/>
      <c r="O535" s="762"/>
      <c r="P535" s="763"/>
      <c r="Q535" s="764">
        <f t="shared" si="8"/>
        <v>1</v>
      </c>
      <c r="R535" s="758" t="s">
        <v>1852</v>
      </c>
      <c r="S535" s="742" t="s">
        <v>1826</v>
      </c>
      <c r="T535" s="765" t="s">
        <v>1827</v>
      </c>
      <c r="U535" s="742" t="s">
        <v>2351</v>
      </c>
      <c r="V535" s="742" t="s">
        <v>1857</v>
      </c>
      <c r="W535" s="742" t="s">
        <v>3968</v>
      </c>
      <c r="X535" s="798">
        <v>2</v>
      </c>
      <c r="Y535" s="788" t="s">
        <v>1838</v>
      </c>
      <c r="Z535" s="759" t="s">
        <v>2260</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210</v>
      </c>
      <c r="BM535" s="754" t="s">
        <v>210</v>
      </c>
      <c r="BN535" s="754" t="s">
        <v>210</v>
      </c>
      <c r="BO535" s="754" t="s">
        <v>210</v>
      </c>
      <c r="BP535" s="765" t="s">
        <v>210</v>
      </c>
      <c r="BQ535" s="777" t="s">
        <v>2260</v>
      </c>
      <c r="BR535" s="769" t="s">
        <v>2260</v>
      </c>
      <c r="BS535" s="769" t="s">
        <v>2260</v>
      </c>
      <c r="BT535" s="769" t="s">
        <v>2260</v>
      </c>
      <c r="BU535" s="774" t="s">
        <v>2260</v>
      </c>
      <c r="BV535" s="777">
        <v>78.040000000000006</v>
      </c>
      <c r="BW535" s="769">
        <v>78.540000000000006</v>
      </c>
      <c r="BX535" s="769">
        <v>79.040000000000006</v>
      </c>
      <c r="BY535" s="769">
        <v>79.540000000000006</v>
      </c>
      <c r="BZ535" s="769">
        <v>80.040000000000006</v>
      </c>
      <c r="CA535" s="777" t="s">
        <v>2260</v>
      </c>
      <c r="CB535" s="769" t="s">
        <v>2260</v>
      </c>
      <c r="CC535" s="769" t="s">
        <v>2260</v>
      </c>
      <c r="CD535" s="769" t="s">
        <v>2260</v>
      </c>
      <c r="CE535" s="774" t="s">
        <v>2260</v>
      </c>
      <c r="CF535" s="769" t="s">
        <v>2260</v>
      </c>
      <c r="CG535" s="769" t="s">
        <v>2260</v>
      </c>
      <c r="CH535" s="769" t="s">
        <v>2260</v>
      </c>
      <c r="CI535" s="769" t="s">
        <v>2260</v>
      </c>
      <c r="CJ535" s="774" t="s">
        <v>2260</v>
      </c>
      <c r="CK535" s="777">
        <v>37.9</v>
      </c>
      <c r="CL535" s="769">
        <v>36.9</v>
      </c>
      <c r="CM535" s="769">
        <v>35.9</v>
      </c>
      <c r="CN535" s="769">
        <v>34.9</v>
      </c>
      <c r="CO535" s="774">
        <v>33.9</v>
      </c>
      <c r="CP535" s="777" t="s">
        <v>2260</v>
      </c>
      <c r="CQ535" s="769" t="s">
        <v>2260</v>
      </c>
      <c r="CR535" s="769" t="s">
        <v>2260</v>
      </c>
      <c r="CS535" s="769" t="s">
        <v>2260</v>
      </c>
      <c r="CT535" s="774" t="s">
        <v>2260</v>
      </c>
      <c r="CU535" s="1253">
        <v>-0.41499999999999998</v>
      </c>
      <c r="CV535" s="1252" t="s">
        <v>2260</v>
      </c>
      <c r="CW535" s="1252" t="s">
        <v>2260</v>
      </c>
      <c r="CX535" s="1254" t="s">
        <v>2260</v>
      </c>
      <c r="CY535" s="1252">
        <v>0.41499999999999998</v>
      </c>
      <c r="CZ535" s="1252" t="s">
        <v>2260</v>
      </c>
      <c r="DA535" s="1252" t="s">
        <v>2260</v>
      </c>
      <c r="DB535" s="1254" t="s">
        <v>2260</v>
      </c>
      <c r="DC535" s="754" t="s">
        <v>2260</v>
      </c>
      <c r="DD535" s="782">
        <v>1</v>
      </c>
      <c r="DE535" s="783" t="s">
        <v>2260</v>
      </c>
    </row>
    <row r="536" spans="1:109" ht="15.75" hidden="1" customHeight="1">
      <c r="A536" s="741" t="s">
        <v>1213</v>
      </c>
      <c r="B536" s="742">
        <v>530</v>
      </c>
      <c r="C536" s="758" t="s">
        <v>1582</v>
      </c>
      <c r="D536" s="742" t="s">
        <v>3952</v>
      </c>
      <c r="E536" s="742" t="s">
        <v>2231</v>
      </c>
      <c r="F536" s="754" t="s">
        <v>3969</v>
      </c>
      <c r="G536" s="759" t="s">
        <v>3970</v>
      </c>
      <c r="H536" s="760" t="s">
        <v>3971</v>
      </c>
      <c r="I536" s="761"/>
      <c r="J536" s="762"/>
      <c r="K536" s="762">
        <v>1</v>
      </c>
      <c r="L536" s="762"/>
      <c r="M536" s="762"/>
      <c r="N536" s="762"/>
      <c r="O536" s="762"/>
      <c r="P536" s="763"/>
      <c r="Q536" s="764">
        <f t="shared" si="8"/>
        <v>1</v>
      </c>
      <c r="R536" s="758" t="s">
        <v>1852</v>
      </c>
      <c r="S536" s="742" t="s">
        <v>1826</v>
      </c>
      <c r="T536" s="765" t="s">
        <v>1827</v>
      </c>
      <c r="U536" s="742" t="s">
        <v>2351</v>
      </c>
      <c r="V536" s="742" t="s">
        <v>1857</v>
      </c>
      <c r="W536" s="742" t="s">
        <v>3968</v>
      </c>
      <c r="X536" s="798">
        <v>2</v>
      </c>
      <c r="Y536" s="788" t="s">
        <v>1838</v>
      </c>
      <c r="Z536" s="759" t="s">
        <v>2260</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210</v>
      </c>
      <c r="BM536" s="754" t="s">
        <v>210</v>
      </c>
      <c r="BN536" s="754" t="s">
        <v>210</v>
      </c>
      <c r="BO536" s="754" t="s">
        <v>210</v>
      </c>
      <c r="BP536" s="765" t="s">
        <v>210</v>
      </c>
      <c r="BQ536" s="777" t="s">
        <v>2260</v>
      </c>
      <c r="BR536" s="769" t="s">
        <v>2260</v>
      </c>
      <c r="BS536" s="769" t="s">
        <v>2260</v>
      </c>
      <c r="BT536" s="769" t="s">
        <v>2260</v>
      </c>
      <c r="BU536" s="774" t="s">
        <v>2260</v>
      </c>
      <c r="BV536" s="777">
        <v>289.93</v>
      </c>
      <c r="BW536" s="769">
        <v>301.02999999999997</v>
      </c>
      <c r="BX536" s="769">
        <v>312.13</v>
      </c>
      <c r="BY536" s="769">
        <v>323.23</v>
      </c>
      <c r="BZ536" s="769">
        <v>334.33</v>
      </c>
      <c r="CA536" s="777" t="s">
        <v>2260</v>
      </c>
      <c r="CB536" s="769" t="s">
        <v>2260</v>
      </c>
      <c r="CC536" s="769" t="s">
        <v>2260</v>
      </c>
      <c r="CD536" s="769" t="s">
        <v>2260</v>
      </c>
      <c r="CE536" s="774" t="s">
        <v>2260</v>
      </c>
      <c r="CF536" s="769" t="s">
        <v>2260</v>
      </c>
      <c r="CG536" s="769" t="s">
        <v>2260</v>
      </c>
      <c r="CH536" s="769" t="s">
        <v>2260</v>
      </c>
      <c r="CI536" s="769" t="s">
        <v>2260</v>
      </c>
      <c r="CJ536" s="774" t="s">
        <v>2260</v>
      </c>
      <c r="CK536" s="777">
        <v>153.43</v>
      </c>
      <c r="CL536" s="769">
        <v>131.22999999999999</v>
      </c>
      <c r="CM536" s="769">
        <v>109.03</v>
      </c>
      <c r="CN536" s="769">
        <v>86.83</v>
      </c>
      <c r="CO536" s="774">
        <v>64.63</v>
      </c>
      <c r="CP536" s="777" t="s">
        <v>2260</v>
      </c>
      <c r="CQ536" s="769" t="s">
        <v>2260</v>
      </c>
      <c r="CR536" s="769" t="s">
        <v>2260</v>
      </c>
      <c r="CS536" s="769" t="s">
        <v>2260</v>
      </c>
      <c r="CT536" s="774" t="s">
        <v>2260</v>
      </c>
      <c r="CU536" s="1253">
        <v>-4.2000000000000003E-2</v>
      </c>
      <c r="CV536" s="1252" t="s">
        <v>2260</v>
      </c>
      <c r="CW536" s="1252" t="s">
        <v>2260</v>
      </c>
      <c r="CX536" s="1254" t="s">
        <v>2260</v>
      </c>
      <c r="CY536" s="1252">
        <v>4.2000000000000003E-2</v>
      </c>
      <c r="CZ536" s="1252" t="s">
        <v>2260</v>
      </c>
      <c r="DA536" s="1252" t="s">
        <v>2260</v>
      </c>
      <c r="DB536" s="1254" t="s">
        <v>2260</v>
      </c>
      <c r="DC536" s="754" t="s">
        <v>2260</v>
      </c>
      <c r="DD536" s="782">
        <v>1</v>
      </c>
      <c r="DE536" s="783" t="s">
        <v>2260</v>
      </c>
    </row>
    <row r="537" spans="1:109" ht="15.75" hidden="1" customHeight="1">
      <c r="A537" s="741" t="s">
        <v>1116</v>
      </c>
      <c r="B537" s="742">
        <v>531</v>
      </c>
      <c r="C537" s="758" t="s">
        <v>1270</v>
      </c>
      <c r="D537" s="742" t="s">
        <v>3972</v>
      </c>
      <c r="E537" s="742" t="s">
        <v>2231</v>
      </c>
      <c r="F537" s="754" t="s">
        <v>3973</v>
      </c>
      <c r="G537" s="759" t="s">
        <v>172</v>
      </c>
      <c r="H537" s="760" t="s">
        <v>3974</v>
      </c>
      <c r="I537" s="761"/>
      <c r="J537" s="762">
        <v>1</v>
      </c>
      <c r="K537" s="762"/>
      <c r="L537" s="762"/>
      <c r="M537" s="762"/>
      <c r="N537" s="762"/>
      <c r="O537" s="762"/>
      <c r="P537" s="763"/>
      <c r="Q537" s="764">
        <f t="shared" si="8"/>
        <v>1</v>
      </c>
      <c r="R537" s="758" t="s">
        <v>1846</v>
      </c>
      <c r="S537" s="742" t="s">
        <v>1826</v>
      </c>
      <c r="T537" s="765" t="s">
        <v>1827</v>
      </c>
      <c r="U537" s="742" t="s">
        <v>2247</v>
      </c>
      <c r="V537" s="742" t="s">
        <v>1857</v>
      </c>
      <c r="W537" s="742"/>
      <c r="X537" s="798">
        <v>2</v>
      </c>
      <c r="Y537" s="790" t="s">
        <v>1838</v>
      </c>
      <c r="Z537" s="759" t="s">
        <v>172</v>
      </c>
      <c r="AA537" s="754"/>
      <c r="AB537" s="754"/>
      <c r="AC537" s="754"/>
      <c r="AD537" s="754"/>
      <c r="AE537" s="754"/>
      <c r="AF537" s="768"/>
      <c r="AG537" s="904"/>
      <c r="AH537" s="904"/>
      <c r="AI537" s="904"/>
      <c r="AJ537" s="904"/>
      <c r="AK537" s="904"/>
      <c r="AL537" s="904"/>
      <c r="AM537" s="904"/>
      <c r="AN537" s="904"/>
      <c r="AO537" s="904"/>
      <c r="AP537" s="904"/>
      <c r="AQ537" s="1369"/>
      <c r="AR537" s="1319"/>
      <c r="AS537" s="1319"/>
      <c r="AT537" s="1319"/>
      <c r="AU537" s="1320"/>
      <c r="AV537" s="777"/>
      <c r="AW537" s="769"/>
      <c r="AX537" s="769"/>
      <c r="AY537" s="769"/>
      <c r="AZ537" s="769"/>
      <c r="BA537" s="769"/>
      <c r="BB537" s="769"/>
      <c r="BC537" s="769"/>
      <c r="BD537" s="769"/>
      <c r="BE537" s="769"/>
      <c r="BF537" s="769"/>
      <c r="BG537" s="769"/>
      <c r="BH537" s="769"/>
      <c r="BI537" s="769"/>
      <c r="BJ537" s="769"/>
      <c r="BK537" s="774"/>
      <c r="BL537" s="1327"/>
      <c r="BM537" s="1328"/>
      <c r="BN537" s="1328"/>
      <c r="BO537" s="1328"/>
      <c r="BP537" s="1389"/>
      <c r="BQ537" s="1369"/>
      <c r="BR537" s="1319"/>
      <c r="BS537" s="1319"/>
      <c r="BT537" s="1319"/>
      <c r="BU537" s="1320"/>
      <c r="BV537" s="1369"/>
      <c r="BW537" s="1319"/>
      <c r="BX537" s="1319"/>
      <c r="BY537" s="1319"/>
      <c r="BZ537" s="1319"/>
      <c r="CA537" s="1369"/>
      <c r="CB537" s="1319"/>
      <c r="CC537" s="1319"/>
      <c r="CD537" s="1319"/>
      <c r="CE537" s="1320"/>
      <c r="CF537" s="1319"/>
      <c r="CG537" s="1319"/>
      <c r="CH537" s="1319"/>
      <c r="CI537" s="1319"/>
      <c r="CJ537" s="1320"/>
      <c r="CK537" s="1369"/>
      <c r="CL537" s="1319"/>
      <c r="CM537" s="1319"/>
      <c r="CN537" s="1319"/>
      <c r="CO537" s="1320"/>
      <c r="CP537" s="1369"/>
      <c r="CQ537" s="1319"/>
      <c r="CR537" s="1319"/>
      <c r="CS537" s="1319"/>
      <c r="CT537" s="1320"/>
      <c r="CU537" s="1467"/>
      <c r="CV537" s="1458"/>
      <c r="CW537" s="1458"/>
      <c r="CX537" s="1663"/>
      <c r="CY537" s="1458"/>
      <c r="CZ537" s="1458"/>
      <c r="DA537" s="1458"/>
      <c r="DB537" s="1663"/>
      <c r="DC537" s="1328"/>
      <c r="DD537" s="1664"/>
      <c r="DE537" s="1669"/>
    </row>
    <row r="538" spans="1:109" ht="15.75" hidden="1" customHeight="1">
      <c r="A538" s="741" t="s">
        <v>1116</v>
      </c>
      <c r="B538" s="742">
        <v>532</v>
      </c>
      <c r="C538" s="758" t="s">
        <v>1271</v>
      </c>
      <c r="D538" s="742" t="s">
        <v>3972</v>
      </c>
      <c r="E538" s="742" t="s">
        <v>2223</v>
      </c>
      <c r="F538" s="754" t="s">
        <v>3975</v>
      </c>
      <c r="G538" s="759" t="s">
        <v>179</v>
      </c>
      <c r="H538" s="760" t="s">
        <v>3976</v>
      </c>
      <c r="I538" s="761"/>
      <c r="J538" s="762">
        <v>1</v>
      </c>
      <c r="K538" s="762"/>
      <c r="L538" s="762"/>
      <c r="M538" s="762"/>
      <c r="N538" s="762"/>
      <c r="O538" s="762"/>
      <c r="P538" s="763"/>
      <c r="Q538" s="764">
        <f t="shared" si="8"/>
        <v>1</v>
      </c>
      <c r="R538" s="758" t="s">
        <v>1852</v>
      </c>
      <c r="S538" s="742" t="s">
        <v>1826</v>
      </c>
      <c r="T538" s="765" t="s">
        <v>1827</v>
      </c>
      <c r="U538" s="742" t="s">
        <v>2220</v>
      </c>
      <c r="V538" s="742" t="s">
        <v>1857</v>
      </c>
      <c r="W538" s="742" t="s">
        <v>2573</v>
      </c>
      <c r="X538" s="1243">
        <v>0</v>
      </c>
      <c r="Y538" s="790" t="s">
        <v>1838</v>
      </c>
      <c r="Z538" s="759" t="s">
        <v>179</v>
      </c>
      <c r="AA538" s="754"/>
      <c r="AB538" s="754"/>
      <c r="AC538" s="754"/>
      <c r="AD538" s="754"/>
      <c r="AE538" s="754"/>
      <c r="AF538" s="768"/>
      <c r="AG538" s="769"/>
      <c r="AH538" s="769"/>
      <c r="AI538" s="769"/>
      <c r="AJ538" s="769"/>
      <c r="AK538" s="769"/>
      <c r="AL538" s="769"/>
      <c r="AM538" s="769"/>
      <c r="AN538" s="769"/>
      <c r="AO538" s="769"/>
      <c r="AP538" s="769"/>
      <c r="AQ538" s="1370"/>
      <c r="AR538" s="1324"/>
      <c r="AS538" s="1324"/>
      <c r="AT538" s="1324"/>
      <c r="AU538" s="1325"/>
      <c r="AV538" s="777"/>
      <c r="AW538" s="769"/>
      <c r="AX538" s="769"/>
      <c r="AY538" s="769"/>
      <c r="AZ538" s="769"/>
      <c r="BA538" s="769"/>
      <c r="BB538" s="769"/>
      <c r="BC538" s="769"/>
      <c r="BD538" s="769"/>
      <c r="BE538" s="769"/>
      <c r="BF538" s="769"/>
      <c r="BG538" s="769"/>
      <c r="BH538" s="769"/>
      <c r="BI538" s="769"/>
      <c r="BJ538" s="769"/>
      <c r="BK538" s="774"/>
      <c r="BL538" s="1327"/>
      <c r="BM538" s="1328"/>
      <c r="BN538" s="1328"/>
      <c r="BO538" s="1328"/>
      <c r="BP538" s="1389"/>
      <c r="BQ538" s="1369"/>
      <c r="BR538" s="1319"/>
      <c r="BS538" s="1319"/>
      <c r="BT538" s="1319"/>
      <c r="BU538" s="1320"/>
      <c r="BV538" s="1370"/>
      <c r="BW538" s="1324"/>
      <c r="BX538" s="1324"/>
      <c r="BY538" s="1324"/>
      <c r="BZ538" s="1324"/>
      <c r="CA538" s="1369"/>
      <c r="CB538" s="1319"/>
      <c r="CC538" s="1319"/>
      <c r="CD538" s="1319"/>
      <c r="CE538" s="1320"/>
      <c r="CF538" s="1319"/>
      <c r="CG538" s="1319"/>
      <c r="CH538" s="1319"/>
      <c r="CI538" s="1319"/>
      <c r="CJ538" s="1320"/>
      <c r="CK538" s="1322"/>
      <c r="CL538" s="1322"/>
      <c r="CM538" s="1322"/>
      <c r="CN538" s="1322"/>
      <c r="CO538" s="1323"/>
      <c r="CP538" s="1369"/>
      <c r="CQ538" s="1319"/>
      <c r="CR538" s="1319"/>
      <c r="CS538" s="1319"/>
      <c r="CT538" s="1320"/>
      <c r="CU538" s="1467"/>
      <c r="CV538" s="1458"/>
      <c r="CW538" s="1458"/>
      <c r="CX538" s="1663"/>
      <c r="CY538" s="1458"/>
      <c r="CZ538" s="1458"/>
      <c r="DA538" s="1458"/>
      <c r="DB538" s="1663"/>
      <c r="DC538" s="1328"/>
      <c r="DD538" s="1664"/>
      <c r="DE538" s="1669"/>
    </row>
    <row r="539" spans="1:109" ht="15.75" hidden="1" customHeight="1">
      <c r="A539" s="741" t="s">
        <v>1116</v>
      </c>
      <c r="B539" s="742">
        <v>533</v>
      </c>
      <c r="C539" s="758" t="s">
        <v>1318</v>
      </c>
      <c r="D539" s="742" t="s">
        <v>3972</v>
      </c>
      <c r="E539" s="742" t="s">
        <v>2217</v>
      </c>
      <c r="F539" s="754" t="s">
        <v>3977</v>
      </c>
      <c r="G539" s="759" t="s">
        <v>3978</v>
      </c>
      <c r="H539" s="760" t="s">
        <v>3979</v>
      </c>
      <c r="I539" s="761"/>
      <c r="J539" s="762">
        <v>1</v>
      </c>
      <c r="K539" s="762"/>
      <c r="L539" s="762"/>
      <c r="M539" s="762"/>
      <c r="N539" s="762"/>
      <c r="O539" s="762"/>
      <c r="P539" s="763"/>
      <c r="Q539" s="764">
        <f t="shared" si="8"/>
        <v>1</v>
      </c>
      <c r="R539" s="758" t="s">
        <v>1852</v>
      </c>
      <c r="S539" s="742" t="s">
        <v>1826</v>
      </c>
      <c r="T539" s="765" t="s">
        <v>1827</v>
      </c>
      <c r="U539" s="742" t="s">
        <v>2421</v>
      </c>
      <c r="V539" s="742" t="s">
        <v>1857</v>
      </c>
      <c r="W539" s="742" t="s">
        <v>3980</v>
      </c>
      <c r="X539" s="798">
        <v>2</v>
      </c>
      <c r="Y539" s="790" t="s">
        <v>1838</v>
      </c>
      <c r="Z539" s="759" t="s">
        <v>2309</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210</v>
      </c>
      <c r="BM539" s="754" t="s">
        <v>210</v>
      </c>
      <c r="BN539" s="754" t="s">
        <v>210</v>
      </c>
      <c r="BO539" s="754" t="s">
        <v>210</v>
      </c>
      <c r="BP539" s="765" t="s">
        <v>210</v>
      </c>
      <c r="BQ539" s="777" t="s">
        <v>2260</v>
      </c>
      <c r="BR539" s="769" t="s">
        <v>2260</v>
      </c>
      <c r="BS539" s="769" t="s">
        <v>2260</v>
      </c>
      <c r="BT539" s="769" t="s">
        <v>2260</v>
      </c>
      <c r="BU539" s="774" t="s">
        <v>2260</v>
      </c>
      <c r="BV539" s="1369">
        <v>4.4800000000000004</v>
      </c>
      <c r="BW539" s="1319">
        <v>4.4800000000000004</v>
      </c>
      <c r="BX539" s="1319">
        <v>4.4800000000000004</v>
      </c>
      <c r="BY539" s="1319">
        <v>4.4800000000000004</v>
      </c>
      <c r="BZ539" s="1320">
        <v>4.4800000000000004</v>
      </c>
      <c r="CA539" s="777" t="s">
        <v>2260</v>
      </c>
      <c r="CB539" s="769" t="s">
        <v>2260</v>
      </c>
      <c r="CC539" s="769" t="s">
        <v>2260</v>
      </c>
      <c r="CD539" s="769" t="s">
        <v>2260</v>
      </c>
      <c r="CE539" s="774" t="s">
        <v>2260</v>
      </c>
      <c r="CF539" s="769" t="s">
        <v>2260</v>
      </c>
      <c r="CG539" s="769" t="s">
        <v>2260</v>
      </c>
      <c r="CH539" s="769" t="s">
        <v>2260</v>
      </c>
      <c r="CI539" s="769" t="s">
        <v>2260</v>
      </c>
      <c r="CJ539" s="774" t="s">
        <v>2260</v>
      </c>
      <c r="CK539" s="777">
        <v>1.08</v>
      </c>
      <c r="CL539" s="769">
        <v>0.95</v>
      </c>
      <c r="CM539" s="769">
        <v>0.83</v>
      </c>
      <c r="CN539" s="769">
        <v>0.71</v>
      </c>
      <c r="CO539" s="774">
        <v>0.57999999999999996</v>
      </c>
      <c r="CP539" s="777" t="s">
        <v>2260</v>
      </c>
      <c r="CQ539" s="769" t="s">
        <v>2260</v>
      </c>
      <c r="CR539" s="769" t="s">
        <v>2260</v>
      </c>
      <c r="CS539" s="769" t="s">
        <v>2260</v>
      </c>
      <c r="CT539" s="774" t="s">
        <v>2260</v>
      </c>
      <c r="CU539" s="1253">
        <v>-2.407</v>
      </c>
      <c r="CV539" s="1252" t="s">
        <v>2260</v>
      </c>
      <c r="CW539" s="1252" t="s">
        <v>2260</v>
      </c>
      <c r="CX539" s="1254" t="s">
        <v>2260</v>
      </c>
      <c r="CY539" s="1252">
        <v>2.407</v>
      </c>
      <c r="CZ539" s="1252" t="s">
        <v>2260</v>
      </c>
      <c r="DA539" s="1252" t="s">
        <v>2260</v>
      </c>
      <c r="DB539" s="1254" t="s">
        <v>2260</v>
      </c>
      <c r="DC539" s="754"/>
      <c r="DD539" s="782">
        <v>1</v>
      </c>
      <c r="DE539" s="783"/>
    </row>
    <row r="540" spans="1:109" ht="15.75" hidden="1" customHeight="1">
      <c r="A540" s="741" t="s">
        <v>1116</v>
      </c>
      <c r="B540" s="742">
        <v>534</v>
      </c>
      <c r="C540" s="758" t="s">
        <v>1274</v>
      </c>
      <c r="D540" s="742" t="s">
        <v>3972</v>
      </c>
      <c r="E540" s="742" t="s">
        <v>2231</v>
      </c>
      <c r="F540" s="754" t="s">
        <v>3981</v>
      </c>
      <c r="G540" s="759" t="s">
        <v>203</v>
      </c>
      <c r="H540" s="760" t="s">
        <v>3982</v>
      </c>
      <c r="I540" s="761"/>
      <c r="J540" s="762">
        <v>1</v>
      </c>
      <c r="K540" s="762"/>
      <c r="L540" s="762"/>
      <c r="M540" s="762"/>
      <c r="N540" s="762"/>
      <c r="O540" s="762"/>
      <c r="P540" s="763"/>
      <c r="Q540" s="764">
        <f t="shared" si="8"/>
        <v>1</v>
      </c>
      <c r="R540" s="758" t="s">
        <v>1846</v>
      </c>
      <c r="S540" s="742" t="s">
        <v>1826</v>
      </c>
      <c r="T540" s="765" t="s">
        <v>1827</v>
      </c>
      <c r="U540" s="742" t="s">
        <v>2363</v>
      </c>
      <c r="V540" s="742" t="s">
        <v>1857</v>
      </c>
      <c r="W540" s="742" t="s">
        <v>3983</v>
      </c>
      <c r="X540" s="798">
        <v>1</v>
      </c>
      <c r="Y540" s="790" t="s">
        <v>1838</v>
      </c>
      <c r="Z540" s="759" t="s">
        <v>203</v>
      </c>
      <c r="AA540" s="754"/>
      <c r="AB540" s="754"/>
      <c r="AC540" s="754"/>
      <c r="AD540" s="754"/>
      <c r="AE540" s="754"/>
      <c r="AF540" s="768"/>
      <c r="AG540" s="769"/>
      <c r="AH540" s="769"/>
      <c r="AI540" s="769"/>
      <c r="AJ540" s="769"/>
      <c r="AK540" s="769"/>
      <c r="AL540" s="769"/>
      <c r="AM540" s="769"/>
      <c r="AN540" s="769"/>
      <c r="AO540" s="769"/>
      <c r="AP540" s="769"/>
      <c r="AQ540" s="1370"/>
      <c r="AR540" s="1324"/>
      <c r="AS540" s="1324"/>
      <c r="AT540" s="1324"/>
      <c r="AU540" s="1325"/>
      <c r="AV540" s="777"/>
      <c r="AW540" s="769"/>
      <c r="AX540" s="769"/>
      <c r="AY540" s="769"/>
      <c r="AZ540" s="769"/>
      <c r="BA540" s="769"/>
      <c r="BB540" s="769"/>
      <c r="BC540" s="769"/>
      <c r="BD540" s="769"/>
      <c r="BE540" s="769"/>
      <c r="BF540" s="769"/>
      <c r="BG540" s="769"/>
      <c r="BH540" s="769"/>
      <c r="BI540" s="769"/>
      <c r="BJ540" s="769"/>
      <c r="BK540" s="774"/>
      <c r="BL540" s="1327"/>
      <c r="BM540" s="1328"/>
      <c r="BN540" s="1328"/>
      <c r="BO540" s="1328"/>
      <c r="BP540" s="1389"/>
      <c r="BQ540" s="1369"/>
      <c r="BR540" s="1319"/>
      <c r="BS540" s="1319"/>
      <c r="BT540" s="1319"/>
      <c r="BU540" s="1320"/>
      <c r="BV540" s="1370"/>
      <c r="BW540" s="1324"/>
      <c r="BX540" s="1324"/>
      <c r="BY540" s="1324"/>
      <c r="BZ540" s="1324"/>
      <c r="CA540" s="1369"/>
      <c r="CB540" s="1319"/>
      <c r="CC540" s="1319"/>
      <c r="CD540" s="1319"/>
      <c r="CE540" s="1320"/>
      <c r="CF540" s="1319"/>
      <c r="CG540" s="1319"/>
      <c r="CH540" s="1319"/>
      <c r="CI540" s="1319"/>
      <c r="CJ540" s="1320"/>
      <c r="CK540" s="1369"/>
      <c r="CL540" s="1319"/>
      <c r="CM540" s="1319"/>
      <c r="CN540" s="1319"/>
      <c r="CO540" s="1320"/>
      <c r="CP540" s="1369"/>
      <c r="CQ540" s="1319"/>
      <c r="CR540" s="1319"/>
      <c r="CS540" s="1319"/>
      <c r="CT540" s="1320"/>
      <c r="CU540" s="1467"/>
      <c r="CV540" s="1458"/>
      <c r="CW540" s="1458"/>
      <c r="CX540" s="1663"/>
      <c r="CY540" s="1458"/>
      <c r="CZ540" s="1458"/>
      <c r="DA540" s="1458"/>
      <c r="DB540" s="1663"/>
      <c r="DC540" s="1328"/>
      <c r="DD540" s="1664"/>
      <c r="DE540" s="1669"/>
    </row>
    <row r="541" spans="1:109" ht="15.75" hidden="1" customHeight="1">
      <c r="A541" s="741" t="s">
        <v>1116</v>
      </c>
      <c r="B541" s="742">
        <v>535</v>
      </c>
      <c r="C541" s="758" t="s">
        <v>1275</v>
      </c>
      <c r="D541" s="742" t="s">
        <v>3972</v>
      </c>
      <c r="E541" s="742" t="s">
        <v>2231</v>
      </c>
      <c r="F541" s="754" t="s">
        <v>3984</v>
      </c>
      <c r="G541" s="759" t="s">
        <v>209</v>
      </c>
      <c r="H541" s="760" t="s">
        <v>3985</v>
      </c>
      <c r="I541" s="761"/>
      <c r="J541" s="762">
        <v>1</v>
      </c>
      <c r="K541" s="762"/>
      <c r="L541" s="762"/>
      <c r="M541" s="762"/>
      <c r="N541" s="762"/>
      <c r="O541" s="762"/>
      <c r="P541" s="763"/>
      <c r="Q541" s="764">
        <f t="shared" si="8"/>
        <v>1</v>
      </c>
      <c r="R541" s="758" t="s">
        <v>1846</v>
      </c>
      <c r="S541" s="742" t="s">
        <v>1826</v>
      </c>
      <c r="T541" s="765" t="s">
        <v>1827</v>
      </c>
      <c r="U541" s="742" t="s">
        <v>2238</v>
      </c>
      <c r="V541" s="742" t="s">
        <v>321</v>
      </c>
      <c r="W541" s="742"/>
      <c r="X541" s="798">
        <v>2</v>
      </c>
      <c r="Y541" s="790" t="s">
        <v>1838</v>
      </c>
      <c r="Z541" s="759" t="s">
        <v>209</v>
      </c>
      <c r="AA541" s="754"/>
      <c r="AB541" s="754"/>
      <c r="AC541" s="754"/>
      <c r="AD541" s="754"/>
      <c r="AE541" s="754"/>
      <c r="AF541" s="768"/>
      <c r="AG541" s="769"/>
      <c r="AH541" s="769"/>
      <c r="AI541" s="769"/>
      <c r="AJ541" s="769"/>
      <c r="AK541" s="769"/>
      <c r="AL541" s="769"/>
      <c r="AM541" s="769"/>
      <c r="AN541" s="769"/>
      <c r="AO541" s="769"/>
      <c r="AP541" s="769"/>
      <c r="AQ541" s="1370"/>
      <c r="AR541" s="1324"/>
      <c r="AS541" s="1324"/>
      <c r="AT541" s="1324"/>
      <c r="AU541" s="1325"/>
      <c r="AV541" s="796"/>
      <c r="AW541" s="766"/>
      <c r="AX541" s="766"/>
      <c r="AY541" s="766"/>
      <c r="AZ541" s="766"/>
      <c r="BA541" s="766"/>
      <c r="BB541" s="766"/>
      <c r="BC541" s="766"/>
      <c r="BD541" s="766"/>
      <c r="BE541" s="766"/>
      <c r="BF541" s="766"/>
      <c r="BG541" s="766"/>
      <c r="BH541" s="766"/>
      <c r="BI541" s="766"/>
      <c r="BJ541" s="766"/>
      <c r="BK541" s="810"/>
      <c r="BL541" s="1327"/>
      <c r="BM541" s="1328"/>
      <c r="BN541" s="1328"/>
      <c r="BO541" s="1328"/>
      <c r="BP541" s="1389"/>
      <c r="BQ541" s="1369"/>
      <c r="BR541" s="1319"/>
      <c r="BS541" s="1319"/>
      <c r="BT541" s="1319"/>
      <c r="BU541" s="1320"/>
      <c r="BV541" s="1369"/>
      <c r="BW541" s="1319"/>
      <c r="BX541" s="1319"/>
      <c r="BY541" s="1319"/>
      <c r="BZ541" s="1319"/>
      <c r="CA541" s="1369"/>
      <c r="CB541" s="1319"/>
      <c r="CC541" s="1319"/>
      <c r="CD541" s="1319"/>
      <c r="CE541" s="1320"/>
      <c r="CF541" s="1319"/>
      <c r="CG541" s="1319"/>
      <c r="CH541" s="1319"/>
      <c r="CI541" s="1319"/>
      <c r="CJ541" s="1320"/>
      <c r="CK541" s="1369"/>
      <c r="CL541" s="1319"/>
      <c r="CM541" s="1319"/>
      <c r="CN541" s="1319"/>
      <c r="CO541" s="1320"/>
      <c r="CP541" s="1369"/>
      <c r="CQ541" s="1319"/>
      <c r="CR541" s="1319"/>
      <c r="CS541" s="1319"/>
      <c r="CT541" s="1320"/>
      <c r="CU541" s="1467"/>
      <c r="CV541" s="1458"/>
      <c r="CW541" s="1458"/>
      <c r="CX541" s="1663"/>
      <c r="CY541" s="1458"/>
      <c r="CZ541" s="1458"/>
      <c r="DA541" s="1458"/>
      <c r="DB541" s="1663"/>
      <c r="DC541" s="1328"/>
      <c r="DD541" s="1664"/>
      <c r="DE541" s="1669"/>
    </row>
    <row r="542" spans="1:109" ht="15.75" hidden="1" customHeight="1">
      <c r="A542" s="741" t="s">
        <v>1116</v>
      </c>
      <c r="B542" s="742">
        <v>536</v>
      </c>
      <c r="C542" s="758" t="s">
        <v>1601</v>
      </c>
      <c r="D542" s="742" t="s">
        <v>3972</v>
      </c>
      <c r="E542" s="742" t="s">
        <v>2231</v>
      </c>
      <c r="F542" s="754" t="s">
        <v>3986</v>
      </c>
      <c r="G542" s="759" t="s">
        <v>3987</v>
      </c>
      <c r="H542" s="760" t="s">
        <v>3988</v>
      </c>
      <c r="I542" s="761"/>
      <c r="J542" s="762">
        <v>1</v>
      </c>
      <c r="K542" s="762"/>
      <c r="L542" s="762"/>
      <c r="M542" s="762"/>
      <c r="N542" s="762"/>
      <c r="O542" s="762"/>
      <c r="P542" s="763"/>
      <c r="Q542" s="764">
        <f t="shared" si="8"/>
        <v>1</v>
      </c>
      <c r="R542" s="758" t="s">
        <v>1825</v>
      </c>
      <c r="S542" s="742"/>
      <c r="T542" s="765"/>
      <c r="U542" s="742" t="s">
        <v>2247</v>
      </c>
      <c r="V542" s="742" t="s">
        <v>1857</v>
      </c>
      <c r="W542" s="742"/>
      <c r="X542" s="798">
        <v>3</v>
      </c>
      <c r="Y542" s="790" t="s">
        <v>1838</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2260</v>
      </c>
      <c r="BR542" s="769" t="s">
        <v>2260</v>
      </c>
      <c r="BS542" s="769" t="s">
        <v>2260</v>
      </c>
      <c r="BT542" s="769" t="s">
        <v>2260</v>
      </c>
      <c r="BU542" s="774" t="s">
        <v>2260</v>
      </c>
      <c r="BV542" s="777" t="s">
        <v>2260</v>
      </c>
      <c r="BW542" s="769" t="s">
        <v>2260</v>
      </c>
      <c r="BX542" s="769" t="s">
        <v>2260</v>
      </c>
      <c r="BY542" s="769" t="s">
        <v>2260</v>
      </c>
      <c r="BZ542" s="769" t="s">
        <v>2260</v>
      </c>
      <c r="CA542" s="777" t="s">
        <v>2260</v>
      </c>
      <c r="CB542" s="769" t="s">
        <v>2260</v>
      </c>
      <c r="CC542" s="769" t="s">
        <v>2260</v>
      </c>
      <c r="CD542" s="769" t="s">
        <v>2260</v>
      </c>
      <c r="CE542" s="774" t="s">
        <v>2260</v>
      </c>
      <c r="CF542" s="769" t="s">
        <v>2260</v>
      </c>
      <c r="CG542" s="769" t="s">
        <v>2260</v>
      </c>
      <c r="CH542" s="769" t="s">
        <v>2260</v>
      </c>
      <c r="CI542" s="769" t="s">
        <v>2260</v>
      </c>
      <c r="CJ542" s="769" t="s">
        <v>2260</v>
      </c>
      <c r="CK542" s="777" t="s">
        <v>2260</v>
      </c>
      <c r="CL542" s="769" t="s">
        <v>2260</v>
      </c>
      <c r="CM542" s="769" t="s">
        <v>2260</v>
      </c>
      <c r="CN542" s="769" t="s">
        <v>2260</v>
      </c>
      <c r="CO542" s="774" t="s">
        <v>2260</v>
      </c>
      <c r="CP542" s="777" t="s">
        <v>2260</v>
      </c>
      <c r="CQ542" s="769" t="s">
        <v>2260</v>
      </c>
      <c r="CR542" s="769" t="s">
        <v>2260</v>
      </c>
      <c r="CS542" s="769" t="s">
        <v>2260</v>
      </c>
      <c r="CT542" s="774" t="s">
        <v>2260</v>
      </c>
      <c r="CU542" s="1253" t="s">
        <v>2260</v>
      </c>
      <c r="CV542" s="1252" t="s">
        <v>2260</v>
      </c>
      <c r="CW542" s="1252" t="s">
        <v>2260</v>
      </c>
      <c r="CX542" s="1254" t="s">
        <v>2260</v>
      </c>
      <c r="CY542" s="1252" t="s">
        <v>2260</v>
      </c>
      <c r="CZ542" s="1252" t="s">
        <v>2260</v>
      </c>
      <c r="DA542" s="1252" t="s">
        <v>2260</v>
      </c>
      <c r="DB542" s="1254" t="s">
        <v>2260</v>
      </c>
      <c r="DC542" s="754"/>
      <c r="DD542" s="782">
        <v>1</v>
      </c>
      <c r="DE542" s="783"/>
    </row>
    <row r="543" spans="1:109" ht="15.75" hidden="1" customHeight="1">
      <c r="A543" s="741" t="s">
        <v>1116</v>
      </c>
      <c r="B543" s="742">
        <v>537</v>
      </c>
      <c r="C543" s="758" t="s">
        <v>1618</v>
      </c>
      <c r="D543" s="742" t="s">
        <v>3972</v>
      </c>
      <c r="E543" s="742" t="s">
        <v>2231</v>
      </c>
      <c r="F543" s="754" t="s">
        <v>3989</v>
      </c>
      <c r="G543" s="759" t="s">
        <v>3990</v>
      </c>
      <c r="H543" s="760" t="s">
        <v>3991</v>
      </c>
      <c r="I543" s="761">
        <v>1</v>
      </c>
      <c r="J543" s="762"/>
      <c r="K543" s="762"/>
      <c r="L543" s="762"/>
      <c r="M543" s="762"/>
      <c r="N543" s="762"/>
      <c r="O543" s="762"/>
      <c r="P543" s="763"/>
      <c r="Q543" s="764">
        <f t="shared" si="8"/>
        <v>1</v>
      </c>
      <c r="R543" s="758" t="s">
        <v>1825</v>
      </c>
      <c r="S543" s="742"/>
      <c r="T543" s="765"/>
      <c r="U543" s="742" t="s">
        <v>2280</v>
      </c>
      <c r="V543" s="742" t="s">
        <v>1857</v>
      </c>
      <c r="W543" s="742"/>
      <c r="X543" s="798">
        <v>0</v>
      </c>
      <c r="Y543" s="790" t="s">
        <v>1838</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2260</v>
      </c>
      <c r="BR543" s="769" t="s">
        <v>2260</v>
      </c>
      <c r="BS543" s="769" t="s">
        <v>2260</v>
      </c>
      <c r="BT543" s="769" t="s">
        <v>2260</v>
      </c>
      <c r="BU543" s="774" t="s">
        <v>2260</v>
      </c>
      <c r="BV543" s="777" t="s">
        <v>2260</v>
      </c>
      <c r="BW543" s="769" t="s">
        <v>2260</v>
      </c>
      <c r="BX543" s="769" t="s">
        <v>2260</v>
      </c>
      <c r="BY543" s="769" t="s">
        <v>2260</v>
      </c>
      <c r="BZ543" s="769" t="s">
        <v>2260</v>
      </c>
      <c r="CA543" s="777" t="s">
        <v>2260</v>
      </c>
      <c r="CB543" s="769" t="s">
        <v>2260</v>
      </c>
      <c r="CC543" s="769" t="s">
        <v>2260</v>
      </c>
      <c r="CD543" s="769" t="s">
        <v>2260</v>
      </c>
      <c r="CE543" s="774" t="s">
        <v>2260</v>
      </c>
      <c r="CF543" s="769" t="s">
        <v>2260</v>
      </c>
      <c r="CG543" s="769" t="s">
        <v>2260</v>
      </c>
      <c r="CH543" s="769" t="s">
        <v>2260</v>
      </c>
      <c r="CI543" s="769" t="s">
        <v>2260</v>
      </c>
      <c r="CJ543" s="774" t="s">
        <v>2260</v>
      </c>
      <c r="CK543" s="777" t="s">
        <v>2260</v>
      </c>
      <c r="CL543" s="769" t="s">
        <v>2260</v>
      </c>
      <c r="CM543" s="769" t="s">
        <v>2260</v>
      </c>
      <c r="CN543" s="769" t="s">
        <v>2260</v>
      </c>
      <c r="CO543" s="774" t="s">
        <v>2260</v>
      </c>
      <c r="CP543" s="777" t="s">
        <v>2260</v>
      </c>
      <c r="CQ543" s="769" t="s">
        <v>2260</v>
      </c>
      <c r="CR543" s="769" t="s">
        <v>2260</v>
      </c>
      <c r="CS543" s="769" t="s">
        <v>2260</v>
      </c>
      <c r="CT543" s="774" t="s">
        <v>2260</v>
      </c>
      <c r="CU543" s="1253" t="s">
        <v>2260</v>
      </c>
      <c r="CV543" s="1252" t="s">
        <v>2260</v>
      </c>
      <c r="CW543" s="1252" t="s">
        <v>2260</v>
      </c>
      <c r="CX543" s="1254" t="s">
        <v>2260</v>
      </c>
      <c r="CY543" s="1252" t="s">
        <v>2260</v>
      </c>
      <c r="CZ543" s="1252" t="s">
        <v>2260</v>
      </c>
      <c r="DA543" s="1252" t="s">
        <v>2260</v>
      </c>
      <c r="DB543" s="1254" t="s">
        <v>2260</v>
      </c>
      <c r="DC543" s="754"/>
      <c r="DD543" s="782">
        <v>1</v>
      </c>
      <c r="DE543" s="783"/>
    </row>
    <row r="544" spans="1:109" ht="15.75" hidden="1" customHeight="1">
      <c r="A544" s="741" t="s">
        <v>1116</v>
      </c>
      <c r="B544" s="742">
        <v>538</v>
      </c>
      <c r="C544" s="758" t="s">
        <v>1335</v>
      </c>
      <c r="D544" s="742" t="s">
        <v>3972</v>
      </c>
      <c r="E544" s="742" t="s">
        <v>2231</v>
      </c>
      <c r="F544" s="754" t="s">
        <v>3992</v>
      </c>
      <c r="G544" s="759" t="s">
        <v>3993</v>
      </c>
      <c r="H544" s="760" t="s">
        <v>3994</v>
      </c>
      <c r="I544" s="761"/>
      <c r="J544" s="762">
        <v>1</v>
      </c>
      <c r="K544" s="762"/>
      <c r="L544" s="762"/>
      <c r="M544" s="762"/>
      <c r="N544" s="762"/>
      <c r="O544" s="762"/>
      <c r="P544" s="763"/>
      <c r="Q544" s="764">
        <f t="shared" si="8"/>
        <v>1</v>
      </c>
      <c r="R544" s="758" t="s">
        <v>1852</v>
      </c>
      <c r="S544" s="742" t="s">
        <v>1826</v>
      </c>
      <c r="T544" s="765" t="s">
        <v>1827</v>
      </c>
      <c r="U544" s="742" t="s">
        <v>2247</v>
      </c>
      <c r="V544" s="742" t="s">
        <v>1857</v>
      </c>
      <c r="W544" s="742"/>
      <c r="X544" s="798">
        <v>0</v>
      </c>
      <c r="Y544" s="790" t="s">
        <v>1828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2260</v>
      </c>
      <c r="BM544" s="769" t="s">
        <v>2260</v>
      </c>
      <c r="BN544" s="769" t="s">
        <v>2260</v>
      </c>
      <c r="BO544" s="769" t="s">
        <v>2260</v>
      </c>
      <c r="BP544" s="765" t="s">
        <v>210</v>
      </c>
      <c r="BQ544" s="777" t="s">
        <v>2260</v>
      </c>
      <c r="BR544" s="769" t="s">
        <v>2260</v>
      </c>
      <c r="BS544" s="769" t="s">
        <v>2260</v>
      </c>
      <c r="BT544" s="769" t="s">
        <v>2260</v>
      </c>
      <c r="BU544" s="774" t="s">
        <v>2260</v>
      </c>
      <c r="BV544" s="777" t="s">
        <v>2260</v>
      </c>
      <c r="BW544" s="769" t="s">
        <v>2260</v>
      </c>
      <c r="BX544" s="769" t="s">
        <v>2260</v>
      </c>
      <c r="BY544" s="769" t="s">
        <v>2260</v>
      </c>
      <c r="BZ544" s="769" t="s">
        <v>2260</v>
      </c>
      <c r="CA544" s="777" t="s">
        <v>2260</v>
      </c>
      <c r="CB544" s="769" t="s">
        <v>2260</v>
      </c>
      <c r="CC544" s="769" t="s">
        <v>2260</v>
      </c>
      <c r="CD544" s="769" t="s">
        <v>2260</v>
      </c>
      <c r="CE544" s="774" t="s">
        <v>2260</v>
      </c>
      <c r="CF544" s="769" t="s">
        <v>2260</v>
      </c>
      <c r="CG544" s="769" t="s">
        <v>2260</v>
      </c>
      <c r="CH544" s="769" t="s">
        <v>2260</v>
      </c>
      <c r="CI544" s="769" t="s">
        <v>2260</v>
      </c>
      <c r="CJ544" s="774" t="s">
        <v>2260</v>
      </c>
      <c r="CK544" s="777">
        <v>0</v>
      </c>
      <c r="CL544" s="769">
        <v>0</v>
      </c>
      <c r="CM544" s="769">
        <v>0</v>
      </c>
      <c r="CN544" s="769">
        <v>0</v>
      </c>
      <c r="CO544" s="774">
        <v>14000</v>
      </c>
      <c r="CP544" s="777" t="s">
        <v>2260</v>
      </c>
      <c r="CQ544" s="769" t="s">
        <v>2260</v>
      </c>
      <c r="CR544" s="769" t="s">
        <v>2260</v>
      </c>
      <c r="CS544" s="769" t="s">
        <v>2260</v>
      </c>
      <c r="CT544" s="774" t="s">
        <v>2260</v>
      </c>
      <c r="CU544" s="1253">
        <v>-8.9999999999999998E-4</v>
      </c>
      <c r="CV544" s="1252" t="s">
        <v>2260</v>
      </c>
      <c r="CW544" s="1252" t="s">
        <v>2260</v>
      </c>
      <c r="CX544" s="1254" t="s">
        <v>2260</v>
      </c>
      <c r="CY544" s="1252">
        <v>1.1000000000000001E-3</v>
      </c>
      <c r="CZ544" s="1252" t="s">
        <v>2260</v>
      </c>
      <c r="DA544" s="1252" t="s">
        <v>2260</v>
      </c>
      <c r="DB544" s="1254" t="s">
        <v>2260</v>
      </c>
      <c r="DC544" s="754"/>
      <c r="DD544" s="782">
        <v>1</v>
      </c>
      <c r="DE544" s="783"/>
    </row>
    <row r="545" spans="1:109" ht="15.75" hidden="1" customHeight="1">
      <c r="A545" s="741" t="s">
        <v>1116</v>
      </c>
      <c r="B545" s="742">
        <v>539</v>
      </c>
      <c r="C545" s="758" t="s">
        <v>1209</v>
      </c>
      <c r="D545" s="742" t="s">
        <v>3995</v>
      </c>
      <c r="E545" s="742" t="s">
        <v>2217</v>
      </c>
      <c r="F545" s="754" t="s">
        <v>3996</v>
      </c>
      <c r="G545" s="759" t="s">
        <v>1085</v>
      </c>
      <c r="H545" s="760" t="s">
        <v>3997</v>
      </c>
      <c r="I545" s="761"/>
      <c r="J545" s="762"/>
      <c r="K545" s="762">
        <v>1</v>
      </c>
      <c r="L545" s="762"/>
      <c r="M545" s="762"/>
      <c r="N545" s="762"/>
      <c r="O545" s="762"/>
      <c r="P545" s="763"/>
      <c r="Q545" s="764">
        <f t="shared" si="8"/>
        <v>1</v>
      </c>
      <c r="R545" s="758" t="s">
        <v>1846</v>
      </c>
      <c r="S545" s="742" t="s">
        <v>1826</v>
      </c>
      <c r="T545" s="765" t="s">
        <v>1827</v>
      </c>
      <c r="U545" s="742" t="s">
        <v>3552</v>
      </c>
      <c r="V545" s="742" t="s">
        <v>321</v>
      </c>
      <c r="W545" s="742"/>
      <c r="X545" s="798">
        <v>2</v>
      </c>
      <c r="Y545" s="790" t="s">
        <v>1828</v>
      </c>
      <c r="Z545" s="759" t="s">
        <v>1085</v>
      </c>
      <c r="AA545" s="754"/>
      <c r="AB545" s="754"/>
      <c r="AC545" s="754"/>
      <c r="AD545" s="754"/>
      <c r="AE545" s="754"/>
      <c r="AF545" s="768"/>
      <c r="AG545" s="769"/>
      <c r="AH545" s="769"/>
      <c r="AI545" s="769"/>
      <c r="AJ545" s="769"/>
      <c r="AK545" s="769"/>
      <c r="AL545" s="769"/>
      <c r="AM545" s="769"/>
      <c r="AN545" s="769"/>
      <c r="AO545" s="769"/>
      <c r="AP545" s="776"/>
      <c r="AQ545" s="1370"/>
      <c r="AR545" s="1324"/>
      <c r="AS545" s="1324"/>
      <c r="AT545" s="1324"/>
      <c r="AU545" s="1325"/>
      <c r="AV545" s="775"/>
      <c r="AW545" s="776"/>
      <c r="AX545" s="776"/>
      <c r="AY545" s="776"/>
      <c r="AZ545" s="776"/>
      <c r="BA545" s="776"/>
      <c r="BB545" s="776"/>
      <c r="BC545" s="776"/>
      <c r="BD545" s="776"/>
      <c r="BE545" s="776"/>
      <c r="BF545" s="776"/>
      <c r="BG545" s="776"/>
      <c r="BH545" s="776"/>
      <c r="BI545" s="776"/>
      <c r="BJ545" s="776"/>
      <c r="BK545" s="789"/>
      <c r="BL545" s="1327"/>
      <c r="BM545" s="1328"/>
      <c r="BN545" s="1328"/>
      <c r="BO545" s="1328"/>
      <c r="BP545" s="1389"/>
      <c r="BQ545" s="1369"/>
      <c r="BR545" s="1319"/>
      <c r="BS545" s="1319"/>
      <c r="BT545" s="1319"/>
      <c r="BU545" s="1320"/>
      <c r="BV545" s="1370"/>
      <c r="BW545" s="1324"/>
      <c r="BX545" s="1324"/>
      <c r="BY545" s="1324"/>
      <c r="BZ545" s="1324"/>
      <c r="CA545" s="1370"/>
      <c r="CB545" s="1324"/>
      <c r="CC545" s="1324"/>
      <c r="CD545" s="1324"/>
      <c r="CE545" s="1325"/>
      <c r="CF545" s="1319"/>
      <c r="CG545" s="1319"/>
      <c r="CH545" s="1319"/>
      <c r="CI545" s="1319"/>
      <c r="CJ545" s="1320"/>
      <c r="CK545" s="1369"/>
      <c r="CL545" s="1319"/>
      <c r="CM545" s="1319"/>
      <c r="CN545" s="1319"/>
      <c r="CO545" s="1320"/>
      <c r="CP545" s="1369"/>
      <c r="CQ545" s="1319"/>
      <c r="CR545" s="1319"/>
      <c r="CS545" s="1319"/>
      <c r="CT545" s="1320"/>
      <c r="CU545" s="1467"/>
      <c r="CV545" s="1458"/>
      <c r="CW545" s="1458"/>
      <c r="CX545" s="1663"/>
      <c r="CY545" s="1458"/>
      <c r="CZ545" s="1458"/>
      <c r="DA545" s="1458"/>
      <c r="DB545" s="1663"/>
      <c r="DC545" s="1328"/>
      <c r="DD545" s="1664"/>
      <c r="DE545" s="1669"/>
    </row>
    <row r="546" spans="1:109" ht="15.75" hidden="1" customHeight="1">
      <c r="A546" s="741" t="s">
        <v>1116</v>
      </c>
      <c r="B546" s="742">
        <v>540</v>
      </c>
      <c r="C546" s="758" t="s">
        <v>1635</v>
      </c>
      <c r="D546" s="742"/>
      <c r="E546" s="742"/>
      <c r="F546" s="754" t="s">
        <v>3998</v>
      </c>
      <c r="G546" s="759" t="s">
        <v>3999</v>
      </c>
      <c r="H546" s="760"/>
      <c r="I546" s="761"/>
      <c r="J546" s="762"/>
      <c r="K546" s="762"/>
      <c r="L546" s="762"/>
      <c r="M546" s="762"/>
      <c r="N546" s="762"/>
      <c r="O546" s="762"/>
      <c r="P546" s="763"/>
      <c r="Q546" s="764">
        <f t="shared" si="8"/>
        <v>0</v>
      </c>
      <c r="R546" s="758" t="s">
        <v>1825</v>
      </c>
      <c r="S546" s="742"/>
      <c r="T546" s="765"/>
      <c r="U546" s="742"/>
      <c r="V546" s="825" t="s">
        <v>321</v>
      </c>
      <c r="W546" s="742"/>
      <c r="X546" s="798">
        <v>2</v>
      </c>
      <c r="Y546" s="790" t="s">
        <v>1828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2260</v>
      </c>
      <c r="BR546" s="769" t="s">
        <v>2260</v>
      </c>
      <c r="BS546" s="769" t="s">
        <v>2260</v>
      </c>
      <c r="BT546" s="769" t="s">
        <v>2260</v>
      </c>
      <c r="BU546" s="774" t="s">
        <v>2260</v>
      </c>
      <c r="BV546" s="775" t="s">
        <v>2260</v>
      </c>
      <c r="BW546" s="776" t="s">
        <v>2260</v>
      </c>
      <c r="BX546" s="776" t="s">
        <v>2260</v>
      </c>
      <c r="BY546" s="776" t="s">
        <v>2260</v>
      </c>
      <c r="BZ546" s="776" t="s">
        <v>2260</v>
      </c>
      <c r="CA546" s="775" t="s">
        <v>2260</v>
      </c>
      <c r="CB546" s="776" t="s">
        <v>2260</v>
      </c>
      <c r="CC546" s="776" t="s">
        <v>2260</v>
      </c>
      <c r="CD546" s="776" t="s">
        <v>2260</v>
      </c>
      <c r="CE546" s="789" t="s">
        <v>2260</v>
      </c>
      <c r="CF546" s="769" t="s">
        <v>2260</v>
      </c>
      <c r="CG546" s="769" t="s">
        <v>2260</v>
      </c>
      <c r="CH546" s="769" t="s">
        <v>2260</v>
      </c>
      <c r="CI546" s="769" t="s">
        <v>2260</v>
      </c>
      <c r="CJ546" s="774" t="s">
        <v>2260</v>
      </c>
      <c r="CK546" s="777" t="s">
        <v>2260</v>
      </c>
      <c r="CL546" s="769" t="s">
        <v>2260</v>
      </c>
      <c r="CM546" s="769" t="s">
        <v>2260</v>
      </c>
      <c r="CN546" s="769" t="s">
        <v>2260</v>
      </c>
      <c r="CO546" s="774" t="s">
        <v>2260</v>
      </c>
      <c r="CP546" s="777" t="s">
        <v>2260</v>
      </c>
      <c r="CQ546" s="769" t="s">
        <v>2260</v>
      </c>
      <c r="CR546" s="769" t="s">
        <v>2260</v>
      </c>
      <c r="CS546" s="769" t="s">
        <v>2260</v>
      </c>
      <c r="CT546" s="774" t="s">
        <v>2260</v>
      </c>
      <c r="CU546" s="1253" t="s">
        <v>2260</v>
      </c>
      <c r="CV546" s="1252" t="s">
        <v>2260</v>
      </c>
      <c r="CW546" s="1252" t="s">
        <v>2260</v>
      </c>
      <c r="CX546" s="1254" t="s">
        <v>2260</v>
      </c>
      <c r="CY546" s="1252" t="s">
        <v>2260</v>
      </c>
      <c r="CZ546" s="1252" t="s">
        <v>2260</v>
      </c>
      <c r="DA546" s="1252" t="s">
        <v>2260</v>
      </c>
      <c r="DB546" s="1254" t="s">
        <v>2260</v>
      </c>
      <c r="DC546" s="754"/>
      <c r="DD546" s="782"/>
      <c r="DE546" s="783"/>
    </row>
    <row r="547" spans="1:109" ht="15.75" hidden="1" customHeight="1">
      <c r="A547" s="741" t="s">
        <v>1116</v>
      </c>
      <c r="B547" s="742">
        <v>541</v>
      </c>
      <c r="C547" s="758" t="s">
        <v>1221</v>
      </c>
      <c r="D547" s="742" t="s">
        <v>3995</v>
      </c>
      <c r="E547" s="742" t="s">
        <v>2217</v>
      </c>
      <c r="F547" s="754" t="s">
        <v>4000</v>
      </c>
      <c r="G547" s="759" t="s">
        <v>788</v>
      </c>
      <c r="H547" s="760" t="s">
        <v>4001</v>
      </c>
      <c r="I547" s="761"/>
      <c r="J547" s="762">
        <v>0</v>
      </c>
      <c r="K547" s="762">
        <v>1</v>
      </c>
      <c r="L547" s="762"/>
      <c r="M547" s="762"/>
      <c r="N547" s="762"/>
      <c r="O547" s="762"/>
      <c r="P547" s="763"/>
      <c r="Q547" s="764">
        <f t="shared" si="8"/>
        <v>1</v>
      </c>
      <c r="R547" s="758" t="s">
        <v>1852</v>
      </c>
      <c r="S547" s="742" t="s">
        <v>1826</v>
      </c>
      <c r="T547" s="765" t="s">
        <v>1827</v>
      </c>
      <c r="U547" s="742" t="s">
        <v>788</v>
      </c>
      <c r="V547" s="742" t="s">
        <v>1857</v>
      </c>
      <c r="W547" s="742" t="s">
        <v>4002</v>
      </c>
      <c r="X547" s="1243">
        <v>2</v>
      </c>
      <c r="Y547" s="790" t="s">
        <v>1838</v>
      </c>
      <c r="Z547" s="759" t="s">
        <v>788</v>
      </c>
      <c r="AA547" s="754"/>
      <c r="AB547" s="754"/>
      <c r="AC547" s="754"/>
      <c r="AD547" s="754"/>
      <c r="AE547" s="754"/>
      <c r="AF547" s="768"/>
      <c r="AG547" s="769"/>
      <c r="AH547" s="769"/>
      <c r="AI547" s="769"/>
      <c r="AJ547" s="769"/>
      <c r="AK547" s="769"/>
      <c r="AL547" s="769"/>
      <c r="AM547" s="769"/>
      <c r="AN547" s="769"/>
      <c r="AO547" s="769"/>
      <c r="AP547" s="769"/>
      <c r="AQ547" s="1370"/>
      <c r="AR547" s="1324"/>
      <c r="AS547" s="1324"/>
      <c r="AT547" s="1324"/>
      <c r="AU547" s="1325"/>
      <c r="AV547" s="777"/>
      <c r="AW547" s="769"/>
      <c r="AX547" s="769"/>
      <c r="AY547" s="769"/>
      <c r="AZ547" s="769"/>
      <c r="BA547" s="769"/>
      <c r="BB547" s="769"/>
      <c r="BC547" s="769"/>
      <c r="BD547" s="769"/>
      <c r="BE547" s="769"/>
      <c r="BF547" s="769"/>
      <c r="BG547" s="769"/>
      <c r="BH547" s="769"/>
      <c r="BI547" s="769"/>
      <c r="BJ547" s="769"/>
      <c r="BK547" s="774"/>
      <c r="BL547" s="1327"/>
      <c r="BM547" s="1328"/>
      <c r="BN547" s="1328"/>
      <c r="BO547" s="1328"/>
      <c r="BP547" s="1389"/>
      <c r="BQ547" s="1369"/>
      <c r="BR547" s="1319"/>
      <c r="BS547" s="1319"/>
      <c r="BT547" s="1319"/>
      <c r="BU547" s="1320"/>
      <c r="BV547" s="1370"/>
      <c r="BW547" s="1324"/>
      <c r="BX547" s="1324"/>
      <c r="BY547" s="1324"/>
      <c r="BZ547" s="1324"/>
      <c r="CA547" s="1369"/>
      <c r="CB547" s="1319"/>
      <c r="CC547" s="1319"/>
      <c r="CD547" s="1319"/>
      <c r="CE547" s="1320"/>
      <c r="CF547" s="1319"/>
      <c r="CG547" s="1319"/>
      <c r="CH547" s="1319"/>
      <c r="CI547" s="1319"/>
      <c r="CJ547" s="1320"/>
      <c r="CK547" s="1369"/>
      <c r="CL547" s="1319"/>
      <c r="CM547" s="1319"/>
      <c r="CN547" s="1319"/>
      <c r="CO547" s="1320"/>
      <c r="CP547" s="1369"/>
      <c r="CQ547" s="1319"/>
      <c r="CR547" s="1319"/>
      <c r="CS547" s="1319"/>
      <c r="CT547" s="1320"/>
      <c r="CU547" s="1467"/>
      <c r="CV547" s="1458"/>
      <c r="CW547" s="1458"/>
      <c r="CX547" s="1663"/>
      <c r="CY547" s="1458"/>
      <c r="CZ547" s="1458"/>
      <c r="DA547" s="1458"/>
      <c r="DB547" s="1663"/>
      <c r="DC547" s="1328"/>
      <c r="DD547" s="1664"/>
      <c r="DE547" s="1669"/>
    </row>
    <row r="548" spans="1:109" ht="15.75" hidden="1" customHeight="1">
      <c r="A548" s="741" t="s">
        <v>1116</v>
      </c>
      <c r="B548" s="742">
        <v>542</v>
      </c>
      <c r="C548" s="758" t="s">
        <v>1290</v>
      </c>
      <c r="D548" s="742" t="s">
        <v>3995</v>
      </c>
      <c r="E548" s="742" t="s">
        <v>2217</v>
      </c>
      <c r="F548" s="754" t="s">
        <v>4003</v>
      </c>
      <c r="G548" s="759" t="s">
        <v>705</v>
      </c>
      <c r="H548" s="760" t="s">
        <v>4004</v>
      </c>
      <c r="I548" s="761"/>
      <c r="J548" s="762">
        <v>1</v>
      </c>
      <c r="K548" s="762"/>
      <c r="L548" s="762"/>
      <c r="M548" s="762"/>
      <c r="N548" s="762"/>
      <c r="O548" s="762"/>
      <c r="P548" s="763"/>
      <c r="Q548" s="764">
        <f t="shared" si="8"/>
        <v>1</v>
      </c>
      <c r="R548" s="758" t="s">
        <v>1852</v>
      </c>
      <c r="S548" s="742" t="s">
        <v>1826</v>
      </c>
      <c r="T548" s="765" t="s">
        <v>1827</v>
      </c>
      <c r="U548" s="742" t="s">
        <v>705</v>
      </c>
      <c r="V548" s="742" t="s">
        <v>1857</v>
      </c>
      <c r="W548" s="742" t="s">
        <v>4005</v>
      </c>
      <c r="X548" s="798">
        <v>1</v>
      </c>
      <c r="Y548" s="790" t="s">
        <v>1838</v>
      </c>
      <c r="Z548" s="759" t="s">
        <v>705</v>
      </c>
      <c r="AA548" s="754"/>
      <c r="AB548" s="754"/>
      <c r="AC548" s="754"/>
      <c r="AD548" s="754"/>
      <c r="AE548" s="754"/>
      <c r="AF548" s="768"/>
      <c r="AG548" s="769"/>
      <c r="AH548" s="769"/>
      <c r="AI548" s="769"/>
      <c r="AJ548" s="769"/>
      <c r="AK548" s="769"/>
      <c r="AL548" s="769"/>
      <c r="AM548" s="769"/>
      <c r="AN548" s="766"/>
      <c r="AO548" s="769"/>
      <c r="AP548" s="766"/>
      <c r="AQ548" s="1370"/>
      <c r="AR548" s="1324"/>
      <c r="AS548" s="1324"/>
      <c r="AT548" s="1324"/>
      <c r="AU548" s="1325"/>
      <c r="AV548" s="777"/>
      <c r="AW548" s="769"/>
      <c r="AX548" s="769"/>
      <c r="AY548" s="769"/>
      <c r="AZ548" s="769"/>
      <c r="BA548" s="769"/>
      <c r="BB548" s="769"/>
      <c r="BC548" s="769"/>
      <c r="BD548" s="769"/>
      <c r="BE548" s="769"/>
      <c r="BF548" s="769"/>
      <c r="BG548" s="769"/>
      <c r="BH548" s="769"/>
      <c r="BI548" s="769"/>
      <c r="BJ548" s="769"/>
      <c r="BK548" s="774"/>
      <c r="BL548" s="1327"/>
      <c r="BM548" s="1328"/>
      <c r="BN548" s="1328"/>
      <c r="BO548" s="1328"/>
      <c r="BP548" s="1389"/>
      <c r="BQ548" s="1369"/>
      <c r="BR548" s="1319"/>
      <c r="BS548" s="1319"/>
      <c r="BT548" s="1319"/>
      <c r="BU548" s="1320"/>
      <c r="BV548" s="1369"/>
      <c r="BW548" s="1319"/>
      <c r="BX548" s="1319"/>
      <c r="BY548" s="1319"/>
      <c r="BZ548" s="1319"/>
      <c r="CA548" s="1369"/>
      <c r="CB548" s="1319"/>
      <c r="CC548" s="1319"/>
      <c r="CD548" s="1319"/>
      <c r="CE548" s="1320"/>
      <c r="CF548" s="1319"/>
      <c r="CG548" s="1319"/>
      <c r="CH548" s="1319"/>
      <c r="CI548" s="1319"/>
      <c r="CJ548" s="1320"/>
      <c r="CK548" s="1369"/>
      <c r="CL548" s="1319"/>
      <c r="CM548" s="1319"/>
      <c r="CN548" s="1319"/>
      <c r="CO548" s="1320"/>
      <c r="CP548" s="1369"/>
      <c r="CQ548" s="1319"/>
      <c r="CR548" s="1319"/>
      <c r="CS548" s="1319"/>
      <c r="CT548" s="1320"/>
      <c r="CU548" s="1467"/>
      <c r="CV548" s="1458"/>
      <c r="CW548" s="1458"/>
      <c r="CX548" s="1663"/>
      <c r="CY548" s="1458"/>
      <c r="CZ548" s="1458"/>
      <c r="DA548" s="1458"/>
      <c r="DB548" s="1663"/>
      <c r="DC548" s="1328"/>
      <c r="DD548" s="1664"/>
      <c r="DE548" s="1669"/>
    </row>
    <row r="549" spans="1:109" ht="15.75" hidden="1" customHeight="1">
      <c r="A549" s="741" t="s">
        <v>1116</v>
      </c>
      <c r="B549" s="742">
        <v>543</v>
      </c>
      <c r="C549" s="758" t="s">
        <v>1282</v>
      </c>
      <c r="D549" s="742" t="s">
        <v>3995</v>
      </c>
      <c r="E549" s="742" t="s">
        <v>2231</v>
      </c>
      <c r="F549" s="754" t="s">
        <v>4006</v>
      </c>
      <c r="G549" s="759" t="s">
        <v>1084</v>
      </c>
      <c r="H549" s="760" t="s">
        <v>4007</v>
      </c>
      <c r="I549" s="761"/>
      <c r="J549" s="762">
        <v>1</v>
      </c>
      <c r="K549" s="762"/>
      <c r="L549" s="762"/>
      <c r="M549" s="762"/>
      <c r="N549" s="762"/>
      <c r="O549" s="762"/>
      <c r="P549" s="763"/>
      <c r="Q549" s="764">
        <f t="shared" si="8"/>
        <v>1</v>
      </c>
      <c r="R549" s="758" t="s">
        <v>1846</v>
      </c>
      <c r="S549" s="742" t="s">
        <v>1826</v>
      </c>
      <c r="T549" s="1389" t="s">
        <v>1837</v>
      </c>
      <c r="U549" s="742" t="s">
        <v>2348</v>
      </c>
      <c r="V549" s="742" t="s">
        <v>1857</v>
      </c>
      <c r="W549" s="742" t="s">
        <v>2578</v>
      </c>
      <c r="X549" s="1243">
        <v>1</v>
      </c>
      <c r="Y549" s="790" t="s">
        <v>1838</v>
      </c>
      <c r="Z549" s="759" t="s">
        <v>1084</v>
      </c>
      <c r="AA549" s="754"/>
      <c r="AB549" s="754"/>
      <c r="AC549" s="754"/>
      <c r="AD549" s="754"/>
      <c r="AE549" s="754"/>
      <c r="AF549" s="768"/>
      <c r="AG549" s="769"/>
      <c r="AH549" s="766"/>
      <c r="AI549" s="766"/>
      <c r="AJ549" s="766"/>
      <c r="AK549" s="766"/>
      <c r="AL549" s="766"/>
      <c r="AM549" s="766"/>
      <c r="AN549" s="766"/>
      <c r="AO549" s="766"/>
      <c r="AP549" s="766"/>
      <c r="AQ549" s="1369"/>
      <c r="AR549" s="1319"/>
      <c r="AS549" s="1319"/>
      <c r="AT549" s="1319"/>
      <c r="AU549" s="1320"/>
      <c r="AV549" s="777"/>
      <c r="AW549" s="769"/>
      <c r="AX549" s="769"/>
      <c r="AY549" s="769"/>
      <c r="AZ549" s="769"/>
      <c r="BA549" s="769"/>
      <c r="BB549" s="769"/>
      <c r="BC549" s="769"/>
      <c r="BD549" s="769"/>
      <c r="BE549" s="769"/>
      <c r="BF549" s="769"/>
      <c r="BG549" s="769"/>
      <c r="BH549" s="769"/>
      <c r="BI549" s="769"/>
      <c r="BJ549" s="769"/>
      <c r="BK549" s="774"/>
      <c r="BL549" s="1327"/>
      <c r="BM549" s="1328"/>
      <c r="BN549" s="1328"/>
      <c r="BO549" s="1328"/>
      <c r="BP549" s="1389"/>
      <c r="BQ549" s="1369"/>
      <c r="BR549" s="1319"/>
      <c r="BS549" s="1319"/>
      <c r="BT549" s="1319"/>
      <c r="BU549" s="1320"/>
      <c r="BV549" s="1369"/>
      <c r="BW549" s="1319"/>
      <c r="BX549" s="1319"/>
      <c r="BY549" s="1319"/>
      <c r="BZ549" s="1319"/>
      <c r="CA549" s="1369"/>
      <c r="CB549" s="1319"/>
      <c r="CC549" s="1319"/>
      <c r="CD549" s="1319"/>
      <c r="CE549" s="1320"/>
      <c r="CF549" s="1319"/>
      <c r="CG549" s="1319"/>
      <c r="CH549" s="1319"/>
      <c r="CI549" s="1319"/>
      <c r="CJ549" s="1320"/>
      <c r="CK549" s="1369"/>
      <c r="CL549" s="1319"/>
      <c r="CM549" s="1319"/>
      <c r="CN549" s="1319"/>
      <c r="CO549" s="1320"/>
      <c r="CP549" s="1369"/>
      <c r="CQ549" s="1319"/>
      <c r="CR549" s="1319"/>
      <c r="CS549" s="1319"/>
      <c r="CT549" s="1320"/>
      <c r="CU549" s="1467"/>
      <c r="CV549" s="1458"/>
      <c r="CW549" s="1458"/>
      <c r="CX549" s="1663"/>
      <c r="CY549" s="1458"/>
      <c r="CZ549" s="1458"/>
      <c r="DA549" s="1458"/>
      <c r="DB549" s="1663"/>
      <c r="DC549" s="1328"/>
      <c r="DD549" s="1664"/>
      <c r="DE549" s="1669"/>
    </row>
    <row r="550" spans="1:109" ht="15.75" hidden="1" customHeight="1">
      <c r="A550" s="741" t="s">
        <v>1116</v>
      </c>
      <c r="B550" s="742">
        <v>544</v>
      </c>
      <c r="C550" s="758" t="s">
        <v>1503</v>
      </c>
      <c r="D550" s="742" t="s">
        <v>3995</v>
      </c>
      <c r="E550" s="742" t="s">
        <v>2231</v>
      </c>
      <c r="F550" s="754" t="s">
        <v>4008</v>
      </c>
      <c r="G550" s="759" t="s">
        <v>2079</v>
      </c>
      <c r="H550" s="760" t="s">
        <v>4009</v>
      </c>
      <c r="I550" s="761">
        <v>0.28999999999999998</v>
      </c>
      <c r="J550" s="762"/>
      <c r="K550" s="762">
        <v>0.71</v>
      </c>
      <c r="L550" s="762"/>
      <c r="M550" s="762"/>
      <c r="N550" s="762"/>
      <c r="O550" s="762"/>
      <c r="P550" s="763"/>
      <c r="Q550" s="764">
        <f t="shared" si="8"/>
        <v>1</v>
      </c>
      <c r="R550" s="758" t="s">
        <v>1852</v>
      </c>
      <c r="S550" s="742" t="s">
        <v>1826</v>
      </c>
      <c r="T550" s="765" t="s">
        <v>1837</v>
      </c>
      <c r="U550" s="742" t="s">
        <v>2387</v>
      </c>
      <c r="V550" s="742" t="s">
        <v>1860</v>
      </c>
      <c r="W550" s="742" t="s">
        <v>4010</v>
      </c>
      <c r="X550" s="798">
        <v>0</v>
      </c>
      <c r="Y550" s="788" t="s">
        <v>1828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210</v>
      </c>
      <c r="BM550" s="754" t="s">
        <v>210</v>
      </c>
      <c r="BN550" s="754" t="s">
        <v>210</v>
      </c>
      <c r="BO550" s="754" t="s">
        <v>210</v>
      </c>
      <c r="BP550" s="765" t="s">
        <v>210</v>
      </c>
      <c r="BQ550" s="777" t="s">
        <v>2260</v>
      </c>
      <c r="BR550" s="769" t="s">
        <v>2260</v>
      </c>
      <c r="BS550" s="769" t="s">
        <v>2260</v>
      </c>
      <c r="BT550" s="769" t="s">
        <v>2260</v>
      </c>
      <c r="BU550" s="774" t="s">
        <v>2260</v>
      </c>
      <c r="BV550" s="777" t="s">
        <v>2260</v>
      </c>
      <c r="BW550" s="769" t="s">
        <v>2260</v>
      </c>
      <c r="BX550" s="769" t="s">
        <v>2260</v>
      </c>
      <c r="BY550" s="769" t="s">
        <v>2260</v>
      </c>
      <c r="BZ550" s="769" t="s">
        <v>2260</v>
      </c>
      <c r="CA550" s="777" t="s">
        <v>2260</v>
      </c>
      <c r="CB550" s="769" t="s">
        <v>2260</v>
      </c>
      <c r="CC550" s="769" t="s">
        <v>2260</v>
      </c>
      <c r="CD550" s="769" t="s">
        <v>2260</v>
      </c>
      <c r="CE550" s="774" t="s">
        <v>2260</v>
      </c>
      <c r="CF550" s="769" t="s">
        <v>2260</v>
      </c>
      <c r="CG550" s="769" t="s">
        <v>2260</v>
      </c>
      <c r="CH550" s="769" t="s">
        <v>2260</v>
      </c>
      <c r="CI550" s="769" t="s">
        <v>2260</v>
      </c>
      <c r="CJ550" s="774" t="s">
        <v>2260</v>
      </c>
      <c r="CK550" s="801">
        <v>5</v>
      </c>
      <c r="CL550" s="802">
        <v>50</v>
      </c>
      <c r="CM550" s="802">
        <v>100</v>
      </c>
      <c r="CN550" s="802">
        <v>250</v>
      </c>
      <c r="CO550" s="810">
        <v>478</v>
      </c>
      <c r="CP550" s="777" t="s">
        <v>2260</v>
      </c>
      <c r="CQ550" s="769" t="s">
        <v>2260</v>
      </c>
      <c r="CR550" s="769" t="s">
        <v>2260</v>
      </c>
      <c r="CS550" s="769" t="s">
        <v>2260</v>
      </c>
      <c r="CT550" s="774" t="s">
        <v>2260</v>
      </c>
      <c r="CU550" s="1253">
        <v>-1.8932999999999998E-2</v>
      </c>
      <c r="CV550" s="1252" t="s">
        <v>2260</v>
      </c>
      <c r="CW550" s="1252" t="s">
        <v>2260</v>
      </c>
      <c r="CX550" s="1254" t="s">
        <v>2260</v>
      </c>
      <c r="CY550" s="1252">
        <v>1.8932999999999998E-2</v>
      </c>
      <c r="CZ550" s="1252" t="s">
        <v>2260</v>
      </c>
      <c r="DA550" s="1252" t="s">
        <v>2260</v>
      </c>
      <c r="DB550" s="1254" t="s">
        <v>2260</v>
      </c>
      <c r="DC550" s="754"/>
      <c r="DD550" s="782">
        <v>1</v>
      </c>
      <c r="DE550" s="783"/>
    </row>
    <row r="551" spans="1:109" ht="15.75" hidden="1" customHeight="1">
      <c r="A551" s="741" t="s">
        <v>1116</v>
      </c>
      <c r="B551" s="742">
        <v>545</v>
      </c>
      <c r="C551" s="758" t="s">
        <v>1514</v>
      </c>
      <c r="D551" s="742" t="s">
        <v>3995</v>
      </c>
      <c r="E551" s="742" t="s">
        <v>2231</v>
      </c>
      <c r="F551" s="754" t="s">
        <v>4011</v>
      </c>
      <c r="G551" s="759" t="s">
        <v>4012</v>
      </c>
      <c r="H551" s="760" t="s">
        <v>4013</v>
      </c>
      <c r="I551" s="761"/>
      <c r="J551" s="762"/>
      <c r="K551" s="762"/>
      <c r="L551" s="762">
        <v>1</v>
      </c>
      <c r="M551" s="762"/>
      <c r="N551" s="762"/>
      <c r="O551" s="762"/>
      <c r="P551" s="763"/>
      <c r="Q551" s="764">
        <f t="shared" si="8"/>
        <v>1</v>
      </c>
      <c r="R551" s="758" t="s">
        <v>1852</v>
      </c>
      <c r="S551" s="742" t="s">
        <v>1826</v>
      </c>
      <c r="T551" s="765" t="s">
        <v>1827</v>
      </c>
      <c r="U551" s="742" t="s">
        <v>815</v>
      </c>
      <c r="V551" s="742" t="s">
        <v>321</v>
      </c>
      <c r="W551" s="742"/>
      <c r="X551" s="798">
        <v>1</v>
      </c>
      <c r="Y551" s="788" t="s">
        <v>1828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210</v>
      </c>
      <c r="BM551" s="804" t="s">
        <v>210</v>
      </c>
      <c r="BN551" s="804" t="s">
        <v>210</v>
      </c>
      <c r="BO551" s="804" t="s">
        <v>210</v>
      </c>
      <c r="BP551" s="805" t="s">
        <v>210</v>
      </c>
      <c r="BQ551" s="777" t="s">
        <v>2260</v>
      </c>
      <c r="BR551" s="769" t="s">
        <v>2260</v>
      </c>
      <c r="BS551" s="769" t="s">
        <v>2260</v>
      </c>
      <c r="BT551" s="769" t="s">
        <v>2260</v>
      </c>
      <c r="BU551" s="774" t="s">
        <v>2260</v>
      </c>
      <c r="BV551" s="777">
        <v>90.4</v>
      </c>
      <c r="BW551" s="769">
        <v>92.7</v>
      </c>
      <c r="BX551" s="769">
        <v>92.7</v>
      </c>
      <c r="BY551" s="769">
        <v>92.7</v>
      </c>
      <c r="BZ551" s="769">
        <v>92.7</v>
      </c>
      <c r="CA551" s="777" t="s">
        <v>2260</v>
      </c>
      <c r="CB551" s="769" t="s">
        <v>2260</v>
      </c>
      <c r="CC551" s="769" t="s">
        <v>2260</v>
      </c>
      <c r="CD551" s="769" t="s">
        <v>2260</v>
      </c>
      <c r="CE551" s="774" t="s">
        <v>2260</v>
      </c>
      <c r="CF551" s="769" t="s">
        <v>2260</v>
      </c>
      <c r="CG551" s="769" t="s">
        <v>2260</v>
      </c>
      <c r="CH551" s="769" t="s">
        <v>2260</v>
      </c>
      <c r="CI551" s="769" t="s">
        <v>2260</v>
      </c>
      <c r="CJ551" s="774" t="s">
        <v>2260</v>
      </c>
      <c r="CK551" s="777">
        <v>96.1</v>
      </c>
      <c r="CL551" s="769">
        <v>98.4</v>
      </c>
      <c r="CM551" s="769">
        <v>98.4</v>
      </c>
      <c r="CN551" s="769">
        <v>98.4</v>
      </c>
      <c r="CO551" s="774">
        <v>98.4</v>
      </c>
      <c r="CP551" s="777" t="s">
        <v>2260</v>
      </c>
      <c r="CQ551" s="769" t="s">
        <v>2260</v>
      </c>
      <c r="CR551" s="769" t="s">
        <v>2260</v>
      </c>
      <c r="CS551" s="769" t="s">
        <v>2260</v>
      </c>
      <c r="CT551" s="774" t="s">
        <v>2260</v>
      </c>
      <c r="CU551" s="1253">
        <v>-0.41299999999999998</v>
      </c>
      <c r="CV551" s="1252" t="s">
        <v>2260</v>
      </c>
      <c r="CW551" s="1252" t="s">
        <v>2260</v>
      </c>
      <c r="CX551" s="1254" t="s">
        <v>2260</v>
      </c>
      <c r="CY551" s="1252">
        <v>0.41299999999999998</v>
      </c>
      <c r="CZ551" s="1252" t="s">
        <v>2260</v>
      </c>
      <c r="DA551" s="1252" t="s">
        <v>2260</v>
      </c>
      <c r="DB551" s="1254" t="s">
        <v>2260</v>
      </c>
      <c r="DC551" s="754"/>
      <c r="DD551" s="782">
        <v>1</v>
      </c>
      <c r="DE551" s="783"/>
    </row>
    <row r="552" spans="1:109" ht="15.75" hidden="1" customHeight="1">
      <c r="A552" s="741" t="s">
        <v>1116</v>
      </c>
      <c r="B552" s="742">
        <v>546</v>
      </c>
      <c r="C552" s="758" t="s">
        <v>1525</v>
      </c>
      <c r="D552" s="742" t="s">
        <v>3995</v>
      </c>
      <c r="E552" s="742" t="s">
        <v>2231</v>
      </c>
      <c r="F552" s="754" t="s">
        <v>4014</v>
      </c>
      <c r="G552" s="759" t="s">
        <v>4015</v>
      </c>
      <c r="H552" s="760" t="s">
        <v>4016</v>
      </c>
      <c r="I552" s="761"/>
      <c r="J552" s="762"/>
      <c r="K552" s="762"/>
      <c r="L552" s="762">
        <v>1</v>
      </c>
      <c r="M552" s="762"/>
      <c r="N552" s="762"/>
      <c r="O552" s="762"/>
      <c r="P552" s="763"/>
      <c r="Q552" s="764">
        <f t="shared" si="8"/>
        <v>1</v>
      </c>
      <c r="R552" s="758" t="s">
        <v>1846</v>
      </c>
      <c r="S552" s="742" t="s">
        <v>1826</v>
      </c>
      <c r="T552" s="765" t="s">
        <v>1827</v>
      </c>
      <c r="U552" s="742" t="s">
        <v>815</v>
      </c>
      <c r="V552" s="742" t="s">
        <v>321</v>
      </c>
      <c r="W552" s="742"/>
      <c r="X552" s="1243">
        <v>2</v>
      </c>
      <c r="Y552" s="795" t="s">
        <v>1828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210</v>
      </c>
      <c r="BM552" s="804" t="s">
        <v>210</v>
      </c>
      <c r="BN552" s="804" t="s">
        <v>210</v>
      </c>
      <c r="BO552" s="804" t="s">
        <v>210</v>
      </c>
      <c r="BP552" s="805" t="s">
        <v>210</v>
      </c>
      <c r="BQ552" s="777" t="s">
        <v>2260</v>
      </c>
      <c r="BR552" s="769" t="s">
        <v>2260</v>
      </c>
      <c r="BS552" s="769" t="s">
        <v>2260</v>
      </c>
      <c r="BT552" s="769" t="s">
        <v>2260</v>
      </c>
      <c r="BU552" s="774" t="s">
        <v>2260</v>
      </c>
      <c r="BV552" s="777">
        <v>96.6</v>
      </c>
      <c r="BW552" s="769">
        <v>96.6</v>
      </c>
      <c r="BX552" s="769">
        <v>96.6</v>
      </c>
      <c r="BY552" s="769">
        <v>96.6</v>
      </c>
      <c r="BZ552" s="769">
        <v>96.6</v>
      </c>
      <c r="CA552" s="777" t="s">
        <v>2260</v>
      </c>
      <c r="CB552" s="769" t="s">
        <v>2260</v>
      </c>
      <c r="CC552" s="769" t="s">
        <v>2260</v>
      </c>
      <c r="CD552" s="769" t="s">
        <v>2260</v>
      </c>
      <c r="CE552" s="774" t="s">
        <v>2260</v>
      </c>
      <c r="CF552" s="769" t="s">
        <v>2260</v>
      </c>
      <c r="CG552" s="769" t="s">
        <v>2260</v>
      </c>
      <c r="CH552" s="769" t="s">
        <v>2260</v>
      </c>
      <c r="CI552" s="769" t="s">
        <v>2260</v>
      </c>
      <c r="CJ552" s="774" t="s">
        <v>2260</v>
      </c>
      <c r="CK552" s="777" t="s">
        <v>2260</v>
      </c>
      <c r="CL552" s="769" t="s">
        <v>2260</v>
      </c>
      <c r="CM552" s="769" t="s">
        <v>2260</v>
      </c>
      <c r="CN552" s="769" t="s">
        <v>2260</v>
      </c>
      <c r="CO552" s="774" t="s">
        <v>2260</v>
      </c>
      <c r="CP552" s="777" t="s">
        <v>2260</v>
      </c>
      <c r="CQ552" s="769" t="s">
        <v>2260</v>
      </c>
      <c r="CR552" s="769" t="s">
        <v>2260</v>
      </c>
      <c r="CS552" s="769" t="s">
        <v>2260</v>
      </c>
      <c r="CT552" s="774" t="s">
        <v>2260</v>
      </c>
      <c r="CU552" s="1253">
        <v>-9.8000000000000004E-2</v>
      </c>
      <c r="CV552" s="1252" t="s">
        <v>2260</v>
      </c>
      <c r="CW552" s="1252" t="s">
        <v>2260</v>
      </c>
      <c r="CX552" s="1254" t="s">
        <v>2260</v>
      </c>
      <c r="CY552" s="1252" t="s">
        <v>2260</v>
      </c>
      <c r="CZ552" s="1252" t="s">
        <v>2260</v>
      </c>
      <c r="DA552" s="1252" t="s">
        <v>2260</v>
      </c>
      <c r="DB552" s="1254" t="s">
        <v>2260</v>
      </c>
      <c r="DC552" s="754"/>
      <c r="DD552" s="782">
        <v>1</v>
      </c>
      <c r="DE552" s="783"/>
    </row>
    <row r="553" spans="1:109" ht="15.75" hidden="1" customHeight="1">
      <c r="A553" s="741" t="s">
        <v>1116</v>
      </c>
      <c r="B553" s="742">
        <v>547</v>
      </c>
      <c r="C553" s="758" t="s">
        <v>1773</v>
      </c>
      <c r="D553" s="742" t="s">
        <v>4017</v>
      </c>
      <c r="E553" s="742" t="s">
        <v>2231</v>
      </c>
      <c r="F553" s="754" t="s">
        <v>4018</v>
      </c>
      <c r="G553" s="759" t="s">
        <v>2251</v>
      </c>
      <c r="H553" s="760" t="s">
        <v>4019</v>
      </c>
      <c r="I553" s="761"/>
      <c r="J553" s="762"/>
      <c r="K553" s="762"/>
      <c r="L553" s="762"/>
      <c r="M553" s="762">
        <v>1</v>
      </c>
      <c r="N553" s="762"/>
      <c r="O553" s="762"/>
      <c r="P553" s="763"/>
      <c r="Q553" s="764">
        <f t="shared" si="8"/>
        <v>1</v>
      </c>
      <c r="R553" s="758" t="s">
        <v>1852</v>
      </c>
      <c r="S553" s="742" t="s">
        <v>1826</v>
      </c>
      <c r="T553" s="765" t="s">
        <v>1827</v>
      </c>
      <c r="U553" s="742" t="s">
        <v>1888</v>
      </c>
      <c r="V553" s="742" t="s">
        <v>1897</v>
      </c>
      <c r="W553" s="742" t="s">
        <v>2337</v>
      </c>
      <c r="X553" s="1243">
        <v>2</v>
      </c>
      <c r="Y553" s="790" t="s">
        <v>1828</v>
      </c>
      <c r="Z553" s="759" t="s">
        <v>2251</v>
      </c>
      <c r="AA553" s="754"/>
      <c r="AB553" s="754"/>
      <c r="AC553" s="754"/>
      <c r="AD553" s="754"/>
      <c r="AE553" s="754"/>
      <c r="AF553" s="768"/>
      <c r="AG553" s="769"/>
      <c r="AH553" s="769"/>
      <c r="AI553" s="769"/>
      <c r="AJ553" s="769"/>
      <c r="AK553" s="769"/>
      <c r="AL553" s="769"/>
      <c r="AM553" s="811"/>
      <c r="AN553" s="811"/>
      <c r="AO553" s="811"/>
      <c r="AP553" s="811"/>
      <c r="AQ553" s="1677"/>
      <c r="AR553" s="1678"/>
      <c r="AS553" s="1678"/>
      <c r="AT553" s="1678"/>
      <c r="AU553" s="1679"/>
      <c r="AV553" s="777"/>
      <c r="AW553" s="769"/>
      <c r="AX553" s="769"/>
      <c r="AY553" s="769"/>
      <c r="AZ553" s="769"/>
      <c r="BA553" s="769"/>
      <c r="BB553" s="769"/>
      <c r="BC553" s="769"/>
      <c r="BD553" s="769"/>
      <c r="BE553" s="769"/>
      <c r="BF553" s="769"/>
      <c r="BG553" s="769"/>
      <c r="BH553" s="769"/>
      <c r="BI553" s="769"/>
      <c r="BJ553" s="769"/>
      <c r="BK553" s="774"/>
      <c r="BL553" s="1327"/>
      <c r="BM553" s="1328"/>
      <c r="BN553" s="1328"/>
      <c r="BO553" s="1328"/>
      <c r="BP553" s="1389"/>
      <c r="BQ553" s="1369"/>
      <c r="BR553" s="1319"/>
      <c r="BS553" s="1319"/>
      <c r="BT553" s="1319"/>
      <c r="BU553" s="1320"/>
      <c r="BV553" s="1369"/>
      <c r="BW553" s="1319"/>
      <c r="BX553" s="1319"/>
      <c r="BY553" s="1319"/>
      <c r="BZ553" s="1319"/>
      <c r="CA553" s="1369"/>
      <c r="CB553" s="1319"/>
      <c r="CC553" s="1319"/>
      <c r="CD553" s="1319"/>
      <c r="CE553" s="1320"/>
      <c r="CF553" s="1319"/>
      <c r="CG553" s="1319"/>
      <c r="CH553" s="1319"/>
      <c r="CI553" s="1319"/>
      <c r="CJ553" s="1320"/>
      <c r="CK553" s="1369"/>
      <c r="CL553" s="1319"/>
      <c r="CM553" s="1319"/>
      <c r="CN553" s="1319"/>
      <c r="CO553" s="1320"/>
      <c r="CP553" s="1369"/>
      <c r="CQ553" s="1319"/>
      <c r="CR553" s="1319"/>
      <c r="CS553" s="1319"/>
      <c r="CT553" s="1320"/>
      <c r="CU553" s="1467"/>
      <c r="CV553" s="1458"/>
      <c r="CW553" s="1458"/>
      <c r="CX553" s="1663"/>
      <c r="CY553" s="1458"/>
      <c r="CZ553" s="1458"/>
      <c r="DA553" s="1458"/>
      <c r="DB553" s="1663"/>
      <c r="DC553" s="1328"/>
      <c r="DD553" s="1664"/>
      <c r="DE553" s="1669"/>
    </row>
    <row r="554" spans="1:109" ht="15.75" hidden="1" customHeight="1">
      <c r="A554" s="741" t="s">
        <v>1116</v>
      </c>
      <c r="B554" s="742">
        <v>548</v>
      </c>
      <c r="C554" s="758" t="s">
        <v>1790</v>
      </c>
      <c r="D554" s="742" t="s">
        <v>4017</v>
      </c>
      <c r="E554" s="742" t="s">
        <v>2231</v>
      </c>
      <c r="F554" s="754" t="s">
        <v>4020</v>
      </c>
      <c r="G554" s="759" t="s">
        <v>2254</v>
      </c>
      <c r="H554" s="760" t="s">
        <v>4021</v>
      </c>
      <c r="I554" s="761"/>
      <c r="J554" s="762">
        <v>0.6</v>
      </c>
      <c r="K554" s="762">
        <v>0.4</v>
      </c>
      <c r="L554" s="762"/>
      <c r="M554" s="762"/>
      <c r="N554" s="762"/>
      <c r="O554" s="762"/>
      <c r="P554" s="763"/>
      <c r="Q554" s="764">
        <f t="shared" si="8"/>
        <v>1</v>
      </c>
      <c r="R554" s="758" t="s">
        <v>1852</v>
      </c>
      <c r="S554" s="742" t="s">
        <v>1826</v>
      </c>
      <c r="T554" s="765" t="s">
        <v>1827</v>
      </c>
      <c r="U554" s="742" t="s">
        <v>1891</v>
      </c>
      <c r="V554" s="742" t="s">
        <v>1897</v>
      </c>
      <c r="W554" s="742" t="s">
        <v>470</v>
      </c>
      <c r="X554" s="1243">
        <v>2</v>
      </c>
      <c r="Y554" s="790" t="s">
        <v>1828</v>
      </c>
      <c r="Z554" s="759" t="s">
        <v>2254</v>
      </c>
      <c r="AA554" s="754"/>
      <c r="AB554" s="754"/>
      <c r="AC554" s="754"/>
      <c r="AD554" s="754"/>
      <c r="AE554" s="754"/>
      <c r="AF554" s="768"/>
      <c r="AG554" s="769"/>
      <c r="AH554" s="769"/>
      <c r="AI554" s="769"/>
      <c r="AJ554" s="769"/>
      <c r="AK554" s="769"/>
      <c r="AL554" s="769"/>
      <c r="AM554" s="769"/>
      <c r="AN554" s="769"/>
      <c r="AO554" s="769"/>
      <c r="AP554" s="769"/>
      <c r="AQ554" s="1369"/>
      <c r="AR554" s="1319"/>
      <c r="AS554" s="1319"/>
      <c r="AT554" s="1319"/>
      <c r="AU554" s="1320"/>
      <c r="AV554" s="777"/>
      <c r="AW554" s="769"/>
      <c r="AX554" s="769"/>
      <c r="AY554" s="769"/>
      <c r="AZ554" s="769"/>
      <c r="BA554" s="769"/>
      <c r="BB554" s="769"/>
      <c r="BC554" s="769"/>
      <c r="BD554" s="769"/>
      <c r="BE554" s="769"/>
      <c r="BF554" s="769"/>
      <c r="BG554" s="769"/>
      <c r="BH554" s="769"/>
      <c r="BI554" s="769"/>
      <c r="BJ554" s="769"/>
      <c r="BK554" s="774"/>
      <c r="BL554" s="1327"/>
      <c r="BM554" s="1328"/>
      <c r="BN554" s="1328"/>
      <c r="BO554" s="1328"/>
      <c r="BP554" s="1389"/>
      <c r="BQ554" s="1369"/>
      <c r="BR554" s="1319"/>
      <c r="BS554" s="1319"/>
      <c r="BT554" s="1319"/>
      <c r="BU554" s="1320"/>
      <c r="BV554" s="1369"/>
      <c r="BW554" s="1319"/>
      <c r="BX554" s="1319"/>
      <c r="BY554" s="1319"/>
      <c r="BZ554" s="1319"/>
      <c r="CA554" s="1369"/>
      <c r="CB554" s="1319"/>
      <c r="CC554" s="1319"/>
      <c r="CD554" s="1319"/>
      <c r="CE554" s="1320"/>
      <c r="CF554" s="1319"/>
      <c r="CG554" s="1319"/>
      <c r="CH554" s="1319"/>
      <c r="CI554" s="1319"/>
      <c r="CJ554" s="1320"/>
      <c r="CK554" s="1369"/>
      <c r="CL554" s="1319"/>
      <c r="CM554" s="1319"/>
      <c r="CN554" s="1319"/>
      <c r="CO554" s="1320"/>
      <c r="CP554" s="1369"/>
      <c r="CQ554" s="1319"/>
      <c r="CR554" s="1319"/>
      <c r="CS554" s="1319"/>
      <c r="CT554" s="1320"/>
      <c r="CU554" s="1467"/>
      <c r="CV554" s="1458"/>
      <c r="CW554" s="1458"/>
      <c r="CX554" s="1663"/>
      <c r="CY554" s="1458"/>
      <c r="CZ554" s="1458"/>
      <c r="DA554" s="1458"/>
      <c r="DB554" s="1663"/>
      <c r="DC554" s="1328"/>
      <c r="DD554" s="1664"/>
      <c r="DE554" s="1669"/>
    </row>
    <row r="555" spans="1:109" ht="15.75" hidden="1" customHeight="1">
      <c r="A555" s="741" t="s">
        <v>1116</v>
      </c>
      <c r="B555" s="742">
        <v>549</v>
      </c>
      <c r="C555" s="758" t="s">
        <v>1651</v>
      </c>
      <c r="D555" s="742" t="s">
        <v>4017</v>
      </c>
      <c r="E555" s="742" t="s">
        <v>2217</v>
      </c>
      <c r="F555" s="754" t="s">
        <v>4022</v>
      </c>
      <c r="G555" s="759" t="s">
        <v>2442</v>
      </c>
      <c r="H555" s="760" t="s">
        <v>4023</v>
      </c>
      <c r="I555" s="761">
        <v>4.3999999999999997E-2</v>
      </c>
      <c r="J555" s="762">
        <v>0.34200000000000003</v>
      </c>
      <c r="K555" s="762">
        <v>0.48399999999999999</v>
      </c>
      <c r="L555" s="762">
        <v>4.4999999999999998E-2</v>
      </c>
      <c r="M555" s="762">
        <v>8.5000000000000006E-2</v>
      </c>
      <c r="N555" s="762"/>
      <c r="O555" s="762"/>
      <c r="P555" s="763"/>
      <c r="Q555" s="764">
        <f t="shared" si="8"/>
        <v>1</v>
      </c>
      <c r="R555" s="758" t="s">
        <v>1825</v>
      </c>
      <c r="S555" s="742"/>
      <c r="T555" s="765"/>
      <c r="U555" s="742" t="s">
        <v>2264</v>
      </c>
      <c r="V555" s="742" t="s">
        <v>1897</v>
      </c>
      <c r="W555" s="742" t="s">
        <v>2330</v>
      </c>
      <c r="X555" s="798">
        <v>2</v>
      </c>
      <c r="Y555" s="790" t="s">
        <v>1828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2260</v>
      </c>
      <c r="BR555" s="769" t="s">
        <v>2260</v>
      </c>
      <c r="BS555" s="769" t="s">
        <v>2260</v>
      </c>
      <c r="BT555" s="769" t="s">
        <v>2260</v>
      </c>
      <c r="BU555" s="774" t="s">
        <v>2260</v>
      </c>
      <c r="BV555" s="777" t="s">
        <v>2260</v>
      </c>
      <c r="BW555" s="769" t="s">
        <v>2260</v>
      </c>
      <c r="BX555" s="769" t="s">
        <v>2260</v>
      </c>
      <c r="BY555" s="769" t="s">
        <v>2260</v>
      </c>
      <c r="BZ555" s="769" t="s">
        <v>2260</v>
      </c>
      <c r="CA555" s="777" t="s">
        <v>2260</v>
      </c>
      <c r="CB555" s="769" t="s">
        <v>2260</v>
      </c>
      <c r="CC555" s="769" t="s">
        <v>2260</v>
      </c>
      <c r="CD555" s="769" t="s">
        <v>2260</v>
      </c>
      <c r="CE555" s="774" t="s">
        <v>2260</v>
      </c>
      <c r="CF555" s="769" t="s">
        <v>2260</v>
      </c>
      <c r="CG555" s="769" t="s">
        <v>2260</v>
      </c>
      <c r="CH555" s="769" t="s">
        <v>2260</v>
      </c>
      <c r="CI555" s="769" t="s">
        <v>2260</v>
      </c>
      <c r="CJ555" s="774" t="s">
        <v>2260</v>
      </c>
      <c r="CK555" s="777" t="s">
        <v>2260</v>
      </c>
      <c r="CL555" s="769" t="s">
        <v>2260</v>
      </c>
      <c r="CM555" s="769" t="s">
        <v>2260</v>
      </c>
      <c r="CN555" s="769" t="s">
        <v>2260</v>
      </c>
      <c r="CO555" s="774" t="s">
        <v>2260</v>
      </c>
      <c r="CP555" s="777" t="s">
        <v>2260</v>
      </c>
      <c r="CQ555" s="769" t="s">
        <v>2260</v>
      </c>
      <c r="CR555" s="769" t="s">
        <v>2260</v>
      </c>
      <c r="CS555" s="769" t="s">
        <v>2260</v>
      </c>
      <c r="CT555" s="774" t="s">
        <v>2260</v>
      </c>
      <c r="CU555" s="1253" t="s">
        <v>2260</v>
      </c>
      <c r="CV555" s="1252" t="s">
        <v>2260</v>
      </c>
      <c r="CW555" s="1252" t="s">
        <v>2260</v>
      </c>
      <c r="CX555" s="1254" t="s">
        <v>2260</v>
      </c>
      <c r="CY555" s="1252" t="s">
        <v>2260</v>
      </c>
      <c r="CZ555" s="1252" t="s">
        <v>2260</v>
      </c>
      <c r="DA555" s="1252" t="s">
        <v>2260</v>
      </c>
      <c r="DB555" s="1254" t="s">
        <v>2260</v>
      </c>
      <c r="DC555" s="754"/>
      <c r="DD555" s="782">
        <v>1</v>
      </c>
      <c r="DE555" s="783"/>
    </row>
    <row r="556" spans="1:109" ht="15.75" hidden="1" customHeight="1">
      <c r="A556" s="741" t="s">
        <v>1116</v>
      </c>
      <c r="B556" s="742">
        <v>550</v>
      </c>
      <c r="C556" s="758" t="s">
        <v>1352</v>
      </c>
      <c r="D556" s="742" t="s">
        <v>4017</v>
      </c>
      <c r="E556" s="742" t="s">
        <v>2217</v>
      </c>
      <c r="F556" s="754" t="s">
        <v>4024</v>
      </c>
      <c r="G556" s="759" t="s">
        <v>4025</v>
      </c>
      <c r="H556" s="760" t="s">
        <v>4026</v>
      </c>
      <c r="I556" s="761"/>
      <c r="J556" s="762"/>
      <c r="K556" s="762"/>
      <c r="L556" s="762"/>
      <c r="M556" s="762"/>
      <c r="N556" s="762">
        <v>1</v>
      </c>
      <c r="O556" s="762"/>
      <c r="P556" s="763"/>
      <c r="Q556" s="764">
        <f t="shared" si="8"/>
        <v>1</v>
      </c>
      <c r="R556" s="758" t="s">
        <v>1852</v>
      </c>
      <c r="S556" s="742" t="s">
        <v>1826</v>
      </c>
      <c r="T556" s="765" t="s">
        <v>1827</v>
      </c>
      <c r="U556" s="742" t="s">
        <v>2264</v>
      </c>
      <c r="V556" s="742" t="s">
        <v>1897</v>
      </c>
      <c r="W556" s="742" t="s">
        <v>4027</v>
      </c>
      <c r="X556" s="798">
        <v>1</v>
      </c>
      <c r="Y556" s="790" t="s">
        <v>1828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210</v>
      </c>
      <c r="BM556" s="754" t="s">
        <v>210</v>
      </c>
      <c r="BN556" s="754" t="s">
        <v>210</v>
      </c>
      <c r="BO556" s="754" t="s">
        <v>210</v>
      </c>
      <c r="BP556" s="765" t="s">
        <v>210</v>
      </c>
      <c r="BQ556" s="777" t="s">
        <v>2260</v>
      </c>
      <c r="BR556" s="769" t="s">
        <v>2260</v>
      </c>
      <c r="BS556" s="769" t="s">
        <v>2260</v>
      </c>
      <c r="BT556" s="769" t="s">
        <v>2260</v>
      </c>
      <c r="BU556" s="774" t="s">
        <v>2260</v>
      </c>
      <c r="BV556" s="1460">
        <v>4</v>
      </c>
      <c r="BW556" s="1665">
        <v>4</v>
      </c>
      <c r="BX556" s="1665">
        <v>4</v>
      </c>
      <c r="BY556" s="1665">
        <v>4</v>
      </c>
      <c r="BZ556" s="1466">
        <v>4</v>
      </c>
      <c r="CA556" s="777" t="s">
        <v>2260</v>
      </c>
      <c r="CB556" s="769" t="s">
        <v>2260</v>
      </c>
      <c r="CC556" s="769" t="s">
        <v>2260</v>
      </c>
      <c r="CD556" s="769" t="s">
        <v>2260</v>
      </c>
      <c r="CE556" s="774" t="s">
        <v>2260</v>
      </c>
      <c r="CF556" s="769" t="s">
        <v>2260</v>
      </c>
      <c r="CG556" s="769" t="s">
        <v>2260</v>
      </c>
      <c r="CH556" s="769" t="s">
        <v>2260</v>
      </c>
      <c r="CI556" s="769" t="s">
        <v>2260</v>
      </c>
      <c r="CJ556" s="769" t="s">
        <v>2260</v>
      </c>
      <c r="CK556" s="777">
        <v>4.7</v>
      </c>
      <c r="CL556" s="769">
        <v>4.7</v>
      </c>
      <c r="CM556" s="769">
        <v>4.7</v>
      </c>
      <c r="CN556" s="769">
        <v>4.7</v>
      </c>
      <c r="CO556" s="774">
        <v>4.7</v>
      </c>
      <c r="CP556" s="777" t="s">
        <v>2260</v>
      </c>
      <c r="CQ556" s="769" t="s">
        <v>2260</v>
      </c>
      <c r="CR556" s="769" t="s">
        <v>2260</v>
      </c>
      <c r="CS556" s="769" t="s">
        <v>2260</v>
      </c>
      <c r="CT556" s="774" t="s">
        <v>2260</v>
      </c>
      <c r="CU556" s="1253">
        <v>-1.25</v>
      </c>
      <c r="CV556" s="1252" t="s">
        <v>2260</v>
      </c>
      <c r="CW556" s="1252" t="s">
        <v>2260</v>
      </c>
      <c r="CX556" s="1254" t="s">
        <v>2260</v>
      </c>
      <c r="CY556" s="1252">
        <v>1.25</v>
      </c>
      <c r="CZ556" s="1252" t="s">
        <v>2260</v>
      </c>
      <c r="DA556" s="1252" t="s">
        <v>2260</v>
      </c>
      <c r="DB556" s="1254" t="s">
        <v>2260</v>
      </c>
      <c r="DC556" s="754"/>
      <c r="DD556" s="782">
        <v>1</v>
      </c>
      <c r="DE556" s="783"/>
    </row>
    <row r="557" spans="1:109" ht="15.75" hidden="1" customHeight="1">
      <c r="A557" s="741" t="s">
        <v>1116</v>
      </c>
      <c r="B557" s="742">
        <v>551</v>
      </c>
      <c r="C557" s="758" t="s">
        <v>1277</v>
      </c>
      <c r="D557" s="742"/>
      <c r="E557" s="742"/>
      <c r="F557" s="754" t="s">
        <v>4028</v>
      </c>
      <c r="G557" s="759" t="s">
        <v>755</v>
      </c>
      <c r="H557" s="760"/>
      <c r="I557" s="761"/>
      <c r="J557" s="762"/>
      <c r="K557" s="762"/>
      <c r="L557" s="762"/>
      <c r="M557" s="762"/>
      <c r="N557" s="762"/>
      <c r="O557" s="762"/>
      <c r="P557" s="763"/>
      <c r="Q557" s="764">
        <f t="shared" si="8"/>
        <v>0</v>
      </c>
      <c r="R557" s="758" t="s">
        <v>1825</v>
      </c>
      <c r="S557" s="742"/>
      <c r="T557" s="765"/>
      <c r="U557" s="742"/>
      <c r="V557" s="742"/>
      <c r="W557" s="742"/>
      <c r="X557" s="1243">
        <v>1</v>
      </c>
      <c r="Y557" s="790"/>
      <c r="Z557" s="759" t="s">
        <v>755</v>
      </c>
      <c r="AA557" s="754"/>
      <c r="AB557" s="754"/>
      <c r="AC557" s="754"/>
      <c r="AD557" s="754"/>
      <c r="AE557" s="754"/>
      <c r="AF557" s="768"/>
      <c r="AG557" s="769"/>
      <c r="AH557" s="769"/>
      <c r="AI557" s="769"/>
      <c r="AJ557" s="769"/>
      <c r="AK557" s="769"/>
      <c r="AL557" s="769"/>
      <c r="AM557" s="769"/>
      <c r="AN557" s="769"/>
      <c r="AO557" s="769"/>
      <c r="AP557" s="776"/>
      <c r="AQ557" s="1370"/>
      <c r="AR557" s="1324"/>
      <c r="AS557" s="1324"/>
      <c r="AT557" s="1324"/>
      <c r="AU557" s="1325"/>
      <c r="AV557" s="775"/>
      <c r="AW557" s="776"/>
      <c r="AX557" s="776"/>
      <c r="AY557" s="776"/>
      <c r="AZ557" s="776"/>
      <c r="BA557" s="776"/>
      <c r="BB557" s="776"/>
      <c r="BC557" s="776"/>
      <c r="BD557" s="776"/>
      <c r="BE557" s="776"/>
      <c r="BF557" s="776"/>
      <c r="BG557" s="776"/>
      <c r="BH557" s="776"/>
      <c r="BI557" s="776"/>
      <c r="BJ557" s="776"/>
      <c r="BK557" s="789"/>
      <c r="BL557" s="1327"/>
      <c r="BM557" s="1328"/>
      <c r="BN557" s="1328"/>
      <c r="BO557" s="1328"/>
      <c r="BP557" s="1389"/>
      <c r="BQ557" s="1369"/>
      <c r="BR557" s="1319"/>
      <c r="BS557" s="1319"/>
      <c r="BT557" s="1319"/>
      <c r="BU557" s="1320"/>
      <c r="BV557" s="1369"/>
      <c r="BW557" s="1319"/>
      <c r="BX557" s="1319"/>
      <c r="BY557" s="1319"/>
      <c r="BZ557" s="1319"/>
      <c r="CA557" s="1369"/>
      <c r="CB557" s="1319"/>
      <c r="CC557" s="1319"/>
      <c r="CD557" s="1319"/>
      <c r="CE557" s="1320"/>
      <c r="CF557" s="1319"/>
      <c r="CG557" s="1319"/>
      <c r="CH557" s="1319"/>
      <c r="CI557" s="1319"/>
      <c r="CJ557" s="1319"/>
      <c r="CK557" s="1369"/>
      <c r="CL557" s="1319"/>
      <c r="CM557" s="1319"/>
      <c r="CN557" s="1319"/>
      <c r="CO557" s="1320"/>
      <c r="CP557" s="1369"/>
      <c r="CQ557" s="1319"/>
      <c r="CR557" s="1319"/>
      <c r="CS557" s="1319"/>
      <c r="CT557" s="1320"/>
      <c r="CU557" s="1467"/>
      <c r="CV557" s="1458"/>
      <c r="CW557" s="1458"/>
      <c r="CX557" s="1663"/>
      <c r="CY557" s="1458"/>
      <c r="CZ557" s="1458"/>
      <c r="DA557" s="1458"/>
      <c r="DB557" s="1663"/>
      <c r="DC557" s="1328"/>
      <c r="DD557" s="1664"/>
      <c r="DE557" s="1669"/>
    </row>
    <row r="558" spans="1:109" ht="15.75" hidden="1" customHeight="1">
      <c r="A558" s="741" t="s">
        <v>1116</v>
      </c>
      <c r="B558" s="742">
        <v>552</v>
      </c>
      <c r="C558" s="758" t="s">
        <v>1666</v>
      </c>
      <c r="D558" s="742" t="s">
        <v>4017</v>
      </c>
      <c r="E558" s="742" t="s">
        <v>2231</v>
      </c>
      <c r="F558" s="754" t="s">
        <v>4029</v>
      </c>
      <c r="G558" s="759" t="s">
        <v>4030</v>
      </c>
      <c r="H558" s="760" t="s">
        <v>4031</v>
      </c>
      <c r="I558" s="761"/>
      <c r="J558" s="762"/>
      <c r="K558" s="762"/>
      <c r="L558" s="762"/>
      <c r="M558" s="762">
        <v>1</v>
      </c>
      <c r="N558" s="762"/>
      <c r="O558" s="762"/>
      <c r="P558" s="763"/>
      <c r="Q558" s="764">
        <f t="shared" si="8"/>
        <v>1</v>
      </c>
      <c r="R558" s="758" t="s">
        <v>1825</v>
      </c>
      <c r="S558" s="742"/>
      <c r="T558" s="765"/>
      <c r="U558" s="742" t="s">
        <v>2537</v>
      </c>
      <c r="V558" s="742" t="s">
        <v>1857</v>
      </c>
      <c r="W558" s="742"/>
      <c r="X558" s="798">
        <v>0</v>
      </c>
      <c r="Y558" s="790" t="s">
        <v>1828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2260</v>
      </c>
      <c r="BR558" s="769" t="s">
        <v>2260</v>
      </c>
      <c r="BS558" s="769" t="s">
        <v>2260</v>
      </c>
      <c r="BT558" s="769" t="s">
        <v>2260</v>
      </c>
      <c r="BU558" s="774" t="s">
        <v>2260</v>
      </c>
      <c r="BV558" s="777" t="s">
        <v>2260</v>
      </c>
      <c r="BW558" s="769" t="s">
        <v>2260</v>
      </c>
      <c r="BX558" s="769" t="s">
        <v>2260</v>
      </c>
      <c r="BY558" s="769" t="s">
        <v>2260</v>
      </c>
      <c r="BZ558" s="769" t="s">
        <v>2260</v>
      </c>
      <c r="CA558" s="777" t="s">
        <v>2260</v>
      </c>
      <c r="CB558" s="769" t="s">
        <v>2260</v>
      </c>
      <c r="CC558" s="769" t="s">
        <v>2260</v>
      </c>
      <c r="CD558" s="769" t="s">
        <v>2260</v>
      </c>
      <c r="CE558" s="774" t="s">
        <v>2260</v>
      </c>
      <c r="CF558" s="769" t="s">
        <v>2260</v>
      </c>
      <c r="CG558" s="769" t="s">
        <v>2260</v>
      </c>
      <c r="CH558" s="769" t="s">
        <v>2260</v>
      </c>
      <c r="CI558" s="769" t="s">
        <v>2260</v>
      </c>
      <c r="CJ558" s="774" t="s">
        <v>2260</v>
      </c>
      <c r="CK558" s="777" t="s">
        <v>2260</v>
      </c>
      <c r="CL558" s="769" t="s">
        <v>2260</v>
      </c>
      <c r="CM558" s="769" t="s">
        <v>2260</v>
      </c>
      <c r="CN558" s="769" t="s">
        <v>2260</v>
      </c>
      <c r="CO558" s="774" t="s">
        <v>2260</v>
      </c>
      <c r="CP558" s="777" t="s">
        <v>2260</v>
      </c>
      <c r="CQ558" s="769" t="s">
        <v>2260</v>
      </c>
      <c r="CR558" s="769" t="s">
        <v>2260</v>
      </c>
      <c r="CS558" s="769" t="s">
        <v>2260</v>
      </c>
      <c r="CT558" s="774" t="s">
        <v>2260</v>
      </c>
      <c r="CU558" s="1253" t="s">
        <v>2260</v>
      </c>
      <c r="CV558" s="1252" t="s">
        <v>2260</v>
      </c>
      <c r="CW558" s="1252" t="s">
        <v>2260</v>
      </c>
      <c r="CX558" s="1254" t="s">
        <v>2260</v>
      </c>
      <c r="CY558" s="1252" t="s">
        <v>2260</v>
      </c>
      <c r="CZ558" s="1252" t="s">
        <v>2260</v>
      </c>
      <c r="DA558" s="1252" t="s">
        <v>2260</v>
      </c>
      <c r="DB558" s="1254" t="s">
        <v>2260</v>
      </c>
      <c r="DC558" s="754"/>
      <c r="DD558" s="782">
        <v>1</v>
      </c>
      <c r="DE558" s="783"/>
    </row>
    <row r="559" spans="1:109" ht="15.75" hidden="1" customHeight="1">
      <c r="A559" s="741" t="s">
        <v>1116</v>
      </c>
      <c r="B559" s="742">
        <v>553</v>
      </c>
      <c r="C559" s="758" t="s">
        <v>1206</v>
      </c>
      <c r="D559" s="742" t="s">
        <v>4032</v>
      </c>
      <c r="E559" s="742" t="s">
        <v>2217</v>
      </c>
      <c r="F559" s="754" t="s">
        <v>4033</v>
      </c>
      <c r="G559" s="759" t="s">
        <v>784</v>
      </c>
      <c r="H559" s="760" t="s">
        <v>4034</v>
      </c>
      <c r="I559" s="761"/>
      <c r="J559" s="762"/>
      <c r="K559" s="762">
        <v>1</v>
      </c>
      <c r="L559" s="762"/>
      <c r="M559" s="762"/>
      <c r="N559" s="762"/>
      <c r="O559" s="762"/>
      <c r="P559" s="763"/>
      <c r="Q559" s="764">
        <f t="shared" si="8"/>
        <v>1</v>
      </c>
      <c r="R559" s="758" t="s">
        <v>1852</v>
      </c>
      <c r="S559" s="742" t="s">
        <v>1826</v>
      </c>
      <c r="T559" s="765" t="s">
        <v>1827</v>
      </c>
      <c r="U559" s="742" t="s">
        <v>2351</v>
      </c>
      <c r="V559" s="742" t="s">
        <v>1857</v>
      </c>
      <c r="W559" s="742" t="s">
        <v>3537</v>
      </c>
      <c r="X559" s="1243">
        <v>2</v>
      </c>
      <c r="Y559" s="790" t="s">
        <v>1838</v>
      </c>
      <c r="Z559" s="759" t="s">
        <v>784</v>
      </c>
      <c r="AA559" s="754"/>
      <c r="AB559" s="754"/>
      <c r="AC559" s="754"/>
      <c r="AD559" s="754"/>
      <c r="AE559" s="754"/>
      <c r="AF559" s="768"/>
      <c r="AG559" s="769"/>
      <c r="AH559" s="769"/>
      <c r="AI559" s="769"/>
      <c r="AJ559" s="769"/>
      <c r="AK559" s="769"/>
      <c r="AL559" s="769"/>
      <c r="AM559" s="769"/>
      <c r="AN559" s="769"/>
      <c r="AO559" s="769"/>
      <c r="AP559" s="769"/>
      <c r="AQ559" s="1369"/>
      <c r="AR559" s="1319"/>
      <c r="AS559" s="1319"/>
      <c r="AT559" s="1319"/>
      <c r="AU559" s="1320"/>
      <c r="AV559" s="777"/>
      <c r="AW559" s="769"/>
      <c r="AX559" s="769"/>
      <c r="AY559" s="769"/>
      <c r="AZ559" s="769"/>
      <c r="BA559" s="769"/>
      <c r="BB559" s="769"/>
      <c r="BC559" s="769"/>
      <c r="BD559" s="769"/>
      <c r="BE559" s="769"/>
      <c r="BF559" s="769"/>
      <c r="BG559" s="769"/>
      <c r="BH559" s="769"/>
      <c r="BI559" s="769"/>
      <c r="BJ559" s="769"/>
      <c r="BK559" s="774"/>
      <c r="BL559" s="1327"/>
      <c r="BM559" s="1328"/>
      <c r="BN559" s="1328"/>
      <c r="BO559" s="1328"/>
      <c r="BP559" s="1389"/>
      <c r="BQ559" s="1369"/>
      <c r="BR559" s="1319"/>
      <c r="BS559" s="1319"/>
      <c r="BT559" s="1319"/>
      <c r="BU559" s="1320"/>
      <c r="BV559" s="1370"/>
      <c r="BW559" s="1324"/>
      <c r="BX559" s="1324"/>
      <c r="BY559" s="1324"/>
      <c r="BZ559" s="1324"/>
      <c r="CA559" s="1369"/>
      <c r="CB559" s="1319"/>
      <c r="CC559" s="1319"/>
      <c r="CD559" s="1319"/>
      <c r="CE559" s="1320"/>
      <c r="CF559" s="1319"/>
      <c r="CG559" s="1319"/>
      <c r="CH559" s="1319"/>
      <c r="CI559" s="1319"/>
      <c r="CJ559" s="1320"/>
      <c r="CK559" s="1370"/>
      <c r="CL559" s="1324"/>
      <c r="CM559" s="1324"/>
      <c r="CN559" s="1324"/>
      <c r="CO559" s="1325"/>
      <c r="CP559" s="1369"/>
      <c r="CQ559" s="1319"/>
      <c r="CR559" s="1319"/>
      <c r="CS559" s="1319"/>
      <c r="CT559" s="1320"/>
      <c r="CU559" s="1467"/>
      <c r="CV559" s="1458"/>
      <c r="CW559" s="1458"/>
      <c r="CX559" s="1663"/>
      <c r="CY559" s="1458"/>
      <c r="CZ559" s="1458"/>
      <c r="DA559" s="1458"/>
      <c r="DB559" s="1663"/>
      <c r="DC559" s="1328"/>
      <c r="DD559" s="1664"/>
      <c r="DE559" s="1669"/>
    </row>
    <row r="560" spans="1:109" ht="15.75" hidden="1" customHeight="1">
      <c r="A560" s="741" t="s">
        <v>1116</v>
      </c>
      <c r="B560" s="742">
        <v>554</v>
      </c>
      <c r="C560" s="758" t="s">
        <v>1535</v>
      </c>
      <c r="D560" s="742" t="s">
        <v>4032</v>
      </c>
      <c r="E560" s="742" t="s">
        <v>2231</v>
      </c>
      <c r="F560" s="754" t="s">
        <v>4035</v>
      </c>
      <c r="G560" s="759" t="s">
        <v>4036</v>
      </c>
      <c r="H560" s="760" t="s">
        <v>4037</v>
      </c>
      <c r="I560" s="761"/>
      <c r="J560" s="762"/>
      <c r="K560" s="762">
        <v>1</v>
      </c>
      <c r="L560" s="762"/>
      <c r="M560" s="762"/>
      <c r="N560" s="762"/>
      <c r="O560" s="762"/>
      <c r="P560" s="763"/>
      <c r="Q560" s="764">
        <f t="shared" si="8"/>
        <v>1</v>
      </c>
      <c r="R560" s="758" t="s">
        <v>1852</v>
      </c>
      <c r="S560" s="742" t="s">
        <v>1826</v>
      </c>
      <c r="T560" s="765" t="s">
        <v>1827</v>
      </c>
      <c r="U560" s="742" t="s">
        <v>2351</v>
      </c>
      <c r="V560" s="742" t="s">
        <v>1857</v>
      </c>
      <c r="W560" s="742" t="s">
        <v>3537</v>
      </c>
      <c r="X560" s="1243">
        <v>2</v>
      </c>
      <c r="Y560" s="790" t="s">
        <v>1838</v>
      </c>
      <c r="Z560" s="759" t="s">
        <v>2381</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210</v>
      </c>
      <c r="BM560" s="754" t="s">
        <v>210</v>
      </c>
      <c r="BN560" s="754" t="s">
        <v>210</v>
      </c>
      <c r="BO560" s="754" t="s">
        <v>210</v>
      </c>
      <c r="BP560" s="765" t="s">
        <v>210</v>
      </c>
      <c r="BQ560" s="777" t="s">
        <v>2260</v>
      </c>
      <c r="BR560" s="769" t="s">
        <v>2260</v>
      </c>
      <c r="BS560" s="769" t="s">
        <v>2260</v>
      </c>
      <c r="BT560" s="769" t="s">
        <v>2260</v>
      </c>
      <c r="BU560" s="774" t="s">
        <v>2260</v>
      </c>
      <c r="BV560" s="1369">
        <v>40.049999999999997</v>
      </c>
      <c r="BW560" s="1319">
        <v>40.049999999999997</v>
      </c>
      <c r="BX560" s="1319">
        <v>40.049999999999997</v>
      </c>
      <c r="BY560" s="1319">
        <v>40.049999999999997</v>
      </c>
      <c r="BZ560" s="1320">
        <v>40.049999999999997</v>
      </c>
      <c r="CA560" s="777" t="s">
        <v>2260</v>
      </c>
      <c r="CB560" s="769" t="s">
        <v>2260</v>
      </c>
      <c r="CC560" s="769" t="s">
        <v>2260</v>
      </c>
      <c r="CD560" s="769" t="s">
        <v>2260</v>
      </c>
      <c r="CE560" s="774" t="s">
        <v>2260</v>
      </c>
      <c r="CF560" s="769" t="s">
        <v>2260</v>
      </c>
      <c r="CG560" s="769" t="s">
        <v>2260</v>
      </c>
      <c r="CH560" s="769" t="s">
        <v>2260</v>
      </c>
      <c r="CI560" s="769" t="s">
        <v>2260</v>
      </c>
      <c r="CJ560" s="774" t="s">
        <v>2260</v>
      </c>
      <c r="CK560" s="777">
        <v>22.4</v>
      </c>
      <c r="CL560" s="769">
        <v>20.99</v>
      </c>
      <c r="CM560" s="769">
        <v>19.59</v>
      </c>
      <c r="CN560" s="769">
        <v>18.28</v>
      </c>
      <c r="CO560" s="774">
        <v>16.88</v>
      </c>
      <c r="CP560" s="777" t="s">
        <v>2260</v>
      </c>
      <c r="CQ560" s="769" t="s">
        <v>2260</v>
      </c>
      <c r="CR560" s="769" t="s">
        <v>2260</v>
      </c>
      <c r="CS560" s="769" t="s">
        <v>2260</v>
      </c>
      <c r="CT560" s="774" t="s">
        <v>2260</v>
      </c>
      <c r="CU560" s="1253">
        <v>-0.89900000000000002</v>
      </c>
      <c r="CV560" s="1252" t="s">
        <v>2260</v>
      </c>
      <c r="CW560" s="1252" t="s">
        <v>2260</v>
      </c>
      <c r="CX560" s="1254" t="s">
        <v>2260</v>
      </c>
      <c r="CY560" s="1252">
        <v>0.75</v>
      </c>
      <c r="CZ560" s="1252" t="s">
        <v>2260</v>
      </c>
      <c r="DA560" s="1252" t="s">
        <v>2260</v>
      </c>
      <c r="DB560" s="1254" t="s">
        <v>2260</v>
      </c>
      <c r="DC560" s="754"/>
      <c r="DD560" s="782">
        <v>1</v>
      </c>
      <c r="DE560" s="783"/>
    </row>
    <row r="561" spans="1:109" ht="15.75" hidden="1" customHeight="1">
      <c r="A561" s="741" t="s">
        <v>1116</v>
      </c>
      <c r="B561" s="742">
        <v>555</v>
      </c>
      <c r="C561" s="758" t="s">
        <v>1208</v>
      </c>
      <c r="D561" s="742" t="s">
        <v>4032</v>
      </c>
      <c r="E561" s="742" t="s">
        <v>2231</v>
      </c>
      <c r="F561" s="754" t="s">
        <v>4038</v>
      </c>
      <c r="G561" s="759" t="s">
        <v>795</v>
      </c>
      <c r="H561" s="760" t="s">
        <v>4039</v>
      </c>
      <c r="I561" s="761"/>
      <c r="J561" s="762"/>
      <c r="K561" s="762">
        <v>1</v>
      </c>
      <c r="L561" s="762"/>
      <c r="M561" s="762"/>
      <c r="N561" s="762"/>
      <c r="O561" s="762"/>
      <c r="P561" s="763"/>
      <c r="Q561" s="764">
        <f t="shared" si="8"/>
        <v>1</v>
      </c>
      <c r="R561" s="758" t="s">
        <v>1846</v>
      </c>
      <c r="S561" s="742" t="s">
        <v>1826</v>
      </c>
      <c r="T561" s="765" t="s">
        <v>1827</v>
      </c>
      <c r="U561" s="742" t="s">
        <v>2242</v>
      </c>
      <c r="V561" s="742" t="s">
        <v>1857</v>
      </c>
      <c r="W561" s="742" t="s">
        <v>4040</v>
      </c>
      <c r="X561" s="1243">
        <v>2</v>
      </c>
      <c r="Y561" s="790" t="s">
        <v>1838</v>
      </c>
      <c r="Z561" s="759" t="s">
        <v>795</v>
      </c>
      <c r="AA561" s="754"/>
      <c r="AB561" s="754"/>
      <c r="AC561" s="754"/>
      <c r="AD561" s="754"/>
      <c r="AE561" s="754"/>
      <c r="AF561" s="768"/>
      <c r="AG561" s="769"/>
      <c r="AH561" s="769"/>
      <c r="AI561" s="769"/>
      <c r="AJ561" s="769"/>
      <c r="AK561" s="769"/>
      <c r="AL561" s="769"/>
      <c r="AM561" s="769"/>
      <c r="AN561" s="769"/>
      <c r="AO561" s="769"/>
      <c r="AP561" s="769"/>
      <c r="AQ561" s="1369"/>
      <c r="AR561" s="1319"/>
      <c r="AS561" s="1319"/>
      <c r="AT561" s="1319"/>
      <c r="AU561" s="1320"/>
      <c r="AV561" s="777"/>
      <c r="AW561" s="769"/>
      <c r="AX561" s="769"/>
      <c r="AY561" s="769"/>
      <c r="AZ561" s="769"/>
      <c r="BA561" s="769"/>
      <c r="BB561" s="769"/>
      <c r="BC561" s="769"/>
      <c r="BD561" s="769"/>
      <c r="BE561" s="769"/>
      <c r="BF561" s="769"/>
      <c r="BG561" s="769"/>
      <c r="BH561" s="769"/>
      <c r="BI561" s="769"/>
      <c r="BJ561" s="769"/>
      <c r="BK561" s="774"/>
      <c r="BL561" s="1327"/>
      <c r="BM561" s="1328"/>
      <c r="BN561" s="1328"/>
      <c r="BO561" s="1328"/>
      <c r="BP561" s="1389"/>
      <c r="BQ561" s="1369"/>
      <c r="BR561" s="1319"/>
      <c r="BS561" s="1319"/>
      <c r="BT561" s="1319"/>
      <c r="BU561" s="1320"/>
      <c r="BV561" s="1370"/>
      <c r="BW561" s="1324"/>
      <c r="BX561" s="1324"/>
      <c r="BY561" s="1324"/>
      <c r="BZ561" s="1324"/>
      <c r="CA561" s="1369"/>
      <c r="CB561" s="1319"/>
      <c r="CC561" s="1319"/>
      <c r="CD561" s="1319"/>
      <c r="CE561" s="1320"/>
      <c r="CF561" s="1319"/>
      <c r="CG561" s="1319"/>
      <c r="CH561" s="1319"/>
      <c r="CI561" s="1319"/>
      <c r="CJ561" s="1320"/>
      <c r="CK561" s="1369"/>
      <c r="CL561" s="1319"/>
      <c r="CM561" s="1319"/>
      <c r="CN561" s="1319"/>
      <c r="CO561" s="1320"/>
      <c r="CP561" s="1369"/>
      <c r="CQ561" s="1319"/>
      <c r="CR561" s="1319"/>
      <c r="CS561" s="1319"/>
      <c r="CT561" s="1320"/>
      <c r="CU561" s="1467"/>
      <c r="CV561" s="1458"/>
      <c r="CW561" s="1458"/>
      <c r="CX561" s="1663"/>
      <c r="CY561" s="1458"/>
      <c r="CZ561" s="1458"/>
      <c r="DA561" s="1458"/>
      <c r="DB561" s="1663"/>
      <c r="DC561" s="1328"/>
      <c r="DD561" s="1664"/>
      <c r="DE561" s="1669"/>
    </row>
    <row r="562" spans="1:109" ht="44.25" hidden="1" customHeight="1">
      <c r="A562" s="741" t="s">
        <v>1116</v>
      </c>
      <c r="B562" s="742">
        <v>556</v>
      </c>
      <c r="C562" s="758" t="s">
        <v>1545</v>
      </c>
      <c r="D562" s="742" t="s">
        <v>4032</v>
      </c>
      <c r="E562" s="742" t="s">
        <v>2231</v>
      </c>
      <c r="F562" s="754" t="s">
        <v>4041</v>
      </c>
      <c r="G562" s="759" t="s">
        <v>4042</v>
      </c>
      <c r="H562" s="760" t="s">
        <v>4043</v>
      </c>
      <c r="I562" s="761"/>
      <c r="J562" s="762">
        <v>0.375</v>
      </c>
      <c r="K562" s="762">
        <v>0.53200000000000003</v>
      </c>
      <c r="L562" s="762"/>
      <c r="M562" s="762">
        <v>9.2999999999999999E-2</v>
      </c>
      <c r="N562" s="762"/>
      <c r="O562" s="762"/>
      <c r="P562" s="763"/>
      <c r="Q562" s="764">
        <f t="shared" si="8"/>
        <v>1</v>
      </c>
      <c r="R562" s="758" t="s">
        <v>1852</v>
      </c>
      <c r="S562" s="742" t="s">
        <v>1826</v>
      </c>
      <c r="T562" s="765" t="s">
        <v>1827</v>
      </c>
      <c r="U562" s="742" t="s">
        <v>3582</v>
      </c>
      <c r="V562" s="742" t="s">
        <v>1857</v>
      </c>
      <c r="W562" s="742" t="s">
        <v>4044</v>
      </c>
      <c r="X562" s="798">
        <v>1</v>
      </c>
      <c r="Y562" s="790" t="s">
        <v>1838</v>
      </c>
      <c r="Z562" s="759"/>
      <c r="AA562" s="754"/>
      <c r="AB562" s="754"/>
      <c r="AC562" s="754"/>
      <c r="AD562" s="754"/>
      <c r="AE562" s="754"/>
      <c r="AF562" s="768"/>
      <c r="AG562" s="769"/>
      <c r="AH562" s="769"/>
      <c r="AI562" s="769"/>
      <c r="AJ562" s="769"/>
      <c r="AK562" s="769"/>
      <c r="AL562" s="769"/>
      <c r="AM562" s="769"/>
      <c r="AN562" s="769"/>
      <c r="AO562" s="769"/>
      <c r="AP562" s="769"/>
      <c r="AQ562" s="1369" t="s">
        <v>2552</v>
      </c>
      <c r="AR562" s="1319" t="s">
        <v>2553</v>
      </c>
      <c r="AS562" s="1319" t="s">
        <v>2554</v>
      </c>
      <c r="AT562" s="1319" t="s">
        <v>2555</v>
      </c>
      <c r="AU562" s="1320" t="s">
        <v>2556</v>
      </c>
      <c r="AV562" s="777"/>
      <c r="AW562" s="769"/>
      <c r="AX562" s="769"/>
      <c r="AY562" s="769"/>
      <c r="AZ562" s="769"/>
      <c r="BA562" s="769"/>
      <c r="BB562" s="769"/>
      <c r="BC562" s="769"/>
      <c r="BD562" s="769"/>
      <c r="BE562" s="769"/>
      <c r="BF562" s="769"/>
      <c r="BG562" s="769"/>
      <c r="BH562" s="769"/>
      <c r="BI562" s="769"/>
      <c r="BJ562" s="769"/>
      <c r="BK562" s="774"/>
      <c r="BL562" s="758" t="s">
        <v>210</v>
      </c>
      <c r="BM562" s="754" t="s">
        <v>210</v>
      </c>
      <c r="BN562" s="754" t="s">
        <v>210</v>
      </c>
      <c r="BO562" s="754" t="s">
        <v>210</v>
      </c>
      <c r="BP562" s="765" t="s">
        <v>210</v>
      </c>
      <c r="BQ562" s="777" t="s">
        <v>2260</v>
      </c>
      <c r="BR562" s="769" t="s">
        <v>2260</v>
      </c>
      <c r="BS562" s="769" t="s">
        <v>2260</v>
      </c>
      <c r="BT562" s="769" t="s">
        <v>2260</v>
      </c>
      <c r="BU562" s="774" t="s">
        <v>2260</v>
      </c>
      <c r="BV562" s="777" t="s">
        <v>2260</v>
      </c>
      <c r="BW562" s="769" t="s">
        <v>2260</v>
      </c>
      <c r="BX562" s="769" t="s">
        <v>2260</v>
      </c>
      <c r="BY562" s="769" t="s">
        <v>2260</v>
      </c>
      <c r="BZ562" s="769" t="s">
        <v>2260</v>
      </c>
      <c r="CA562" s="777" t="s">
        <v>2260</v>
      </c>
      <c r="CB562" s="769" t="s">
        <v>2260</v>
      </c>
      <c r="CC562" s="769" t="s">
        <v>2260</v>
      </c>
      <c r="CD562" s="769" t="s">
        <v>2260</v>
      </c>
      <c r="CE562" s="774" t="s">
        <v>2260</v>
      </c>
      <c r="CF562" s="769" t="s">
        <v>2260</v>
      </c>
      <c r="CG562" s="769" t="s">
        <v>2260</v>
      </c>
      <c r="CH562" s="769" t="s">
        <v>2260</v>
      </c>
      <c r="CI562" s="769" t="s">
        <v>2260</v>
      </c>
      <c r="CJ562" s="774" t="s">
        <v>2260</v>
      </c>
      <c r="CK562" s="777" t="s">
        <v>2260</v>
      </c>
      <c r="CL562" s="769" t="s">
        <v>2260</v>
      </c>
      <c r="CM562" s="769" t="s">
        <v>2260</v>
      </c>
      <c r="CN562" s="769" t="s">
        <v>2260</v>
      </c>
      <c r="CO562" s="774" t="s">
        <v>2260</v>
      </c>
      <c r="CP562" s="777" t="s">
        <v>2260</v>
      </c>
      <c r="CQ562" s="769" t="s">
        <v>2260</v>
      </c>
      <c r="CR562" s="769" t="s">
        <v>2260</v>
      </c>
      <c r="CS562" s="769" t="s">
        <v>2260</v>
      </c>
      <c r="CT562" s="774" t="s">
        <v>2260</v>
      </c>
      <c r="CU562" s="1253">
        <v>-1.5200000000000001E-3</v>
      </c>
      <c r="CV562" s="1252" t="s">
        <v>2260</v>
      </c>
      <c r="CW562" s="1252" t="s">
        <v>2260</v>
      </c>
      <c r="CX562" s="1254" t="s">
        <v>2260</v>
      </c>
      <c r="CY562" s="1252">
        <v>1.5200000000000001E-3</v>
      </c>
      <c r="CZ562" s="1252" t="s">
        <v>2260</v>
      </c>
      <c r="DA562" s="1252" t="s">
        <v>2260</v>
      </c>
      <c r="DB562" s="1254" t="s">
        <v>2260</v>
      </c>
      <c r="DC562" s="754"/>
      <c r="DD562" s="782">
        <v>1</v>
      </c>
      <c r="DE562" s="783"/>
    </row>
    <row r="563" spans="1:109" ht="15.75" hidden="1" customHeight="1">
      <c r="A563" s="741" t="s">
        <v>1116</v>
      </c>
      <c r="B563" s="742">
        <v>557</v>
      </c>
      <c r="C563" s="758" t="s">
        <v>1680</v>
      </c>
      <c r="D563" s="742" t="s">
        <v>4032</v>
      </c>
      <c r="E563" s="742" t="s">
        <v>2217</v>
      </c>
      <c r="F563" s="754" t="s">
        <v>4045</v>
      </c>
      <c r="G563" s="759" t="s">
        <v>4046</v>
      </c>
      <c r="H563" s="760" t="s">
        <v>4047</v>
      </c>
      <c r="I563" s="761"/>
      <c r="J563" s="762">
        <v>1</v>
      </c>
      <c r="K563" s="762"/>
      <c r="L563" s="762"/>
      <c r="M563" s="762"/>
      <c r="N563" s="762"/>
      <c r="O563" s="762"/>
      <c r="P563" s="763"/>
      <c r="Q563" s="764">
        <f t="shared" si="8"/>
        <v>1</v>
      </c>
      <c r="R563" s="758" t="s">
        <v>1825</v>
      </c>
      <c r="S563" s="742"/>
      <c r="T563" s="765"/>
      <c r="U563" s="742" t="s">
        <v>2220</v>
      </c>
      <c r="V563" s="742" t="s">
        <v>1857</v>
      </c>
      <c r="W563" s="742" t="s">
        <v>2950</v>
      </c>
      <c r="X563" s="798">
        <v>0</v>
      </c>
      <c r="Y563" s="790" t="s">
        <v>1838</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2260</v>
      </c>
      <c r="BR563" s="769" t="s">
        <v>2260</v>
      </c>
      <c r="BS563" s="769" t="s">
        <v>2260</v>
      </c>
      <c r="BT563" s="769" t="s">
        <v>2260</v>
      </c>
      <c r="BU563" s="774" t="s">
        <v>2260</v>
      </c>
      <c r="BV563" s="777" t="s">
        <v>2260</v>
      </c>
      <c r="BW563" s="769" t="s">
        <v>2260</v>
      </c>
      <c r="BX563" s="769" t="s">
        <v>2260</v>
      </c>
      <c r="BY563" s="769" t="s">
        <v>2260</v>
      </c>
      <c r="BZ563" s="769" t="s">
        <v>2260</v>
      </c>
      <c r="CA563" s="777" t="s">
        <v>2260</v>
      </c>
      <c r="CB563" s="769" t="s">
        <v>2260</v>
      </c>
      <c r="CC563" s="769" t="s">
        <v>2260</v>
      </c>
      <c r="CD563" s="769" t="s">
        <v>2260</v>
      </c>
      <c r="CE563" s="774" t="s">
        <v>2260</v>
      </c>
      <c r="CF563" s="769" t="s">
        <v>2260</v>
      </c>
      <c r="CG563" s="769" t="s">
        <v>2260</v>
      </c>
      <c r="CH563" s="769" t="s">
        <v>2260</v>
      </c>
      <c r="CI563" s="769" t="s">
        <v>2260</v>
      </c>
      <c r="CJ563" s="774" t="s">
        <v>2260</v>
      </c>
      <c r="CK563" s="777" t="s">
        <v>2260</v>
      </c>
      <c r="CL563" s="769" t="s">
        <v>2260</v>
      </c>
      <c r="CM563" s="769" t="s">
        <v>2260</v>
      </c>
      <c r="CN563" s="769" t="s">
        <v>2260</v>
      </c>
      <c r="CO563" s="774" t="s">
        <v>2260</v>
      </c>
      <c r="CP563" s="777" t="s">
        <v>2260</v>
      </c>
      <c r="CQ563" s="769" t="s">
        <v>2260</v>
      </c>
      <c r="CR563" s="769" t="s">
        <v>2260</v>
      </c>
      <c r="CS563" s="769" t="s">
        <v>2260</v>
      </c>
      <c r="CT563" s="774" t="s">
        <v>2260</v>
      </c>
      <c r="CU563" s="1253" t="s">
        <v>2260</v>
      </c>
      <c r="CV563" s="1252" t="s">
        <v>2260</v>
      </c>
      <c r="CW563" s="1252" t="s">
        <v>2260</v>
      </c>
      <c r="CX563" s="1254" t="s">
        <v>2260</v>
      </c>
      <c r="CY563" s="1252" t="s">
        <v>2260</v>
      </c>
      <c r="CZ563" s="1252" t="s">
        <v>2260</v>
      </c>
      <c r="DA563" s="1252" t="s">
        <v>2260</v>
      </c>
      <c r="DB563" s="1254" t="s">
        <v>2260</v>
      </c>
      <c r="DC563" s="754"/>
      <c r="DD563" s="782">
        <v>1</v>
      </c>
      <c r="DE563" s="783"/>
    </row>
    <row r="564" spans="1:109" ht="15.75" hidden="1" customHeight="1">
      <c r="A564" s="741" t="s">
        <v>1116</v>
      </c>
      <c r="B564" s="742">
        <v>558</v>
      </c>
      <c r="C564" s="758" t="s">
        <v>1692</v>
      </c>
      <c r="D564" s="742" t="s">
        <v>4032</v>
      </c>
      <c r="E564" s="742" t="s">
        <v>2217</v>
      </c>
      <c r="F564" s="754" t="s">
        <v>4048</v>
      </c>
      <c r="G564" s="759" t="s">
        <v>4049</v>
      </c>
      <c r="H564" s="760" t="s">
        <v>4050</v>
      </c>
      <c r="I564" s="761"/>
      <c r="J564" s="762"/>
      <c r="K564" s="762">
        <v>1</v>
      </c>
      <c r="L564" s="762"/>
      <c r="M564" s="762"/>
      <c r="N564" s="762"/>
      <c r="O564" s="762"/>
      <c r="P564" s="763"/>
      <c r="Q564" s="764">
        <f t="shared" si="8"/>
        <v>1</v>
      </c>
      <c r="R564" s="758" t="s">
        <v>1825</v>
      </c>
      <c r="S564" s="742"/>
      <c r="T564" s="765"/>
      <c r="U564" s="742" t="s">
        <v>2351</v>
      </c>
      <c r="V564" s="742" t="s">
        <v>1857</v>
      </c>
      <c r="W564" s="742"/>
      <c r="X564" s="798">
        <v>0</v>
      </c>
      <c r="Y564" s="790" t="s">
        <v>1838</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2260</v>
      </c>
      <c r="BR564" s="769" t="s">
        <v>2260</v>
      </c>
      <c r="BS564" s="769" t="s">
        <v>2260</v>
      </c>
      <c r="BT564" s="769" t="s">
        <v>2260</v>
      </c>
      <c r="BU564" s="774" t="s">
        <v>2260</v>
      </c>
      <c r="BV564" s="777" t="s">
        <v>2260</v>
      </c>
      <c r="BW564" s="769" t="s">
        <v>2260</v>
      </c>
      <c r="BX564" s="769" t="s">
        <v>2260</v>
      </c>
      <c r="BY564" s="769" t="s">
        <v>2260</v>
      </c>
      <c r="BZ564" s="769" t="s">
        <v>2260</v>
      </c>
      <c r="CA564" s="777" t="s">
        <v>2260</v>
      </c>
      <c r="CB564" s="769" t="s">
        <v>2260</v>
      </c>
      <c r="CC564" s="769" t="s">
        <v>2260</v>
      </c>
      <c r="CD564" s="769" t="s">
        <v>2260</v>
      </c>
      <c r="CE564" s="774" t="s">
        <v>2260</v>
      </c>
      <c r="CF564" s="769" t="s">
        <v>2260</v>
      </c>
      <c r="CG564" s="769" t="s">
        <v>2260</v>
      </c>
      <c r="CH564" s="769" t="s">
        <v>2260</v>
      </c>
      <c r="CI564" s="769" t="s">
        <v>2260</v>
      </c>
      <c r="CJ564" s="774" t="s">
        <v>2260</v>
      </c>
      <c r="CK564" s="777" t="s">
        <v>2260</v>
      </c>
      <c r="CL564" s="769" t="s">
        <v>2260</v>
      </c>
      <c r="CM564" s="769" t="s">
        <v>2260</v>
      </c>
      <c r="CN564" s="769" t="s">
        <v>2260</v>
      </c>
      <c r="CO564" s="774" t="s">
        <v>2260</v>
      </c>
      <c r="CP564" s="777" t="s">
        <v>2260</v>
      </c>
      <c r="CQ564" s="769" t="s">
        <v>2260</v>
      </c>
      <c r="CR564" s="769" t="s">
        <v>2260</v>
      </c>
      <c r="CS564" s="769" t="s">
        <v>2260</v>
      </c>
      <c r="CT564" s="774" t="s">
        <v>2260</v>
      </c>
      <c r="CU564" s="1253" t="s">
        <v>2260</v>
      </c>
      <c r="CV564" s="1252" t="s">
        <v>2260</v>
      </c>
      <c r="CW564" s="1252" t="s">
        <v>2260</v>
      </c>
      <c r="CX564" s="1254" t="s">
        <v>2260</v>
      </c>
      <c r="CY564" s="1252" t="s">
        <v>2260</v>
      </c>
      <c r="CZ564" s="1252" t="s">
        <v>2260</v>
      </c>
      <c r="DA564" s="1252" t="s">
        <v>2260</v>
      </c>
      <c r="DB564" s="1254" t="s">
        <v>2260</v>
      </c>
      <c r="DC564" s="754"/>
      <c r="DD564" s="782">
        <v>1</v>
      </c>
      <c r="DE564" s="783"/>
    </row>
    <row r="565" spans="1:109" ht="15.75" hidden="1" customHeight="1">
      <c r="A565" s="741" t="s">
        <v>1116</v>
      </c>
      <c r="B565" s="742">
        <v>559</v>
      </c>
      <c r="C565" s="758" t="s">
        <v>1703</v>
      </c>
      <c r="D565" s="742" t="s">
        <v>4051</v>
      </c>
      <c r="E565" s="742" t="s">
        <v>2223</v>
      </c>
      <c r="F565" s="754" t="s">
        <v>4052</v>
      </c>
      <c r="G565" s="759" t="s">
        <v>4053</v>
      </c>
      <c r="H565" s="760" t="s">
        <v>4054</v>
      </c>
      <c r="I565" s="761"/>
      <c r="J565" s="762"/>
      <c r="K565" s="762"/>
      <c r="L565" s="762"/>
      <c r="M565" s="762">
        <v>1</v>
      </c>
      <c r="N565" s="762"/>
      <c r="O565" s="762"/>
      <c r="P565" s="763"/>
      <c r="Q565" s="764">
        <f t="shared" si="8"/>
        <v>1</v>
      </c>
      <c r="R565" s="758" t="s">
        <v>1825</v>
      </c>
      <c r="S565" s="742"/>
      <c r="T565" s="765"/>
      <c r="U565" s="742" t="s">
        <v>2396</v>
      </c>
      <c r="V565" s="742" t="s">
        <v>321</v>
      </c>
      <c r="W565" s="742"/>
      <c r="X565" s="798">
        <v>1</v>
      </c>
      <c r="Y565" s="790" t="s">
        <v>1838</v>
      </c>
      <c r="Z565" s="759"/>
      <c r="AA565" s="754"/>
      <c r="AB565" s="754"/>
      <c r="AC565" s="754"/>
      <c r="AD565" s="754"/>
      <c r="AE565" s="754"/>
      <c r="AF565" s="768"/>
      <c r="AG565" s="769"/>
      <c r="AH565" s="769"/>
      <c r="AI565" s="769"/>
      <c r="AJ565" s="769"/>
      <c r="AK565" s="769"/>
      <c r="AL565" s="769"/>
      <c r="AM565" s="769"/>
      <c r="AN565" s="769"/>
      <c r="AO565" s="769"/>
      <c r="AP565" s="769"/>
      <c r="AQ565" s="777" t="s">
        <v>4055</v>
      </c>
      <c r="AR565" s="769" t="s">
        <v>4055</v>
      </c>
      <c r="AS565" s="769" t="s">
        <v>4055</v>
      </c>
      <c r="AT565" s="769" t="s">
        <v>4055</v>
      </c>
      <c r="AU565" s="774" t="s">
        <v>4055</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2260</v>
      </c>
      <c r="BR565" s="769" t="s">
        <v>2260</v>
      </c>
      <c r="BS565" s="769" t="s">
        <v>2260</v>
      </c>
      <c r="BT565" s="769" t="s">
        <v>2260</v>
      </c>
      <c r="BU565" s="774" t="s">
        <v>2260</v>
      </c>
      <c r="BV565" s="777" t="s">
        <v>2260</v>
      </c>
      <c r="BW565" s="769" t="s">
        <v>2260</v>
      </c>
      <c r="BX565" s="769" t="s">
        <v>2260</v>
      </c>
      <c r="BY565" s="769" t="s">
        <v>2260</v>
      </c>
      <c r="BZ565" s="769" t="s">
        <v>2260</v>
      </c>
      <c r="CA565" s="777" t="s">
        <v>2260</v>
      </c>
      <c r="CB565" s="769" t="s">
        <v>2260</v>
      </c>
      <c r="CC565" s="769" t="s">
        <v>2260</v>
      </c>
      <c r="CD565" s="769" t="s">
        <v>2260</v>
      </c>
      <c r="CE565" s="774" t="s">
        <v>2260</v>
      </c>
      <c r="CF565" s="769" t="s">
        <v>2260</v>
      </c>
      <c r="CG565" s="769" t="s">
        <v>2260</v>
      </c>
      <c r="CH565" s="769" t="s">
        <v>2260</v>
      </c>
      <c r="CI565" s="769" t="s">
        <v>2260</v>
      </c>
      <c r="CJ565" s="774" t="s">
        <v>2260</v>
      </c>
      <c r="CK565" s="777" t="s">
        <v>2260</v>
      </c>
      <c r="CL565" s="769" t="s">
        <v>2260</v>
      </c>
      <c r="CM565" s="769" t="s">
        <v>2260</v>
      </c>
      <c r="CN565" s="769" t="s">
        <v>2260</v>
      </c>
      <c r="CO565" s="774" t="s">
        <v>2260</v>
      </c>
      <c r="CP565" s="777" t="s">
        <v>2260</v>
      </c>
      <c r="CQ565" s="769" t="s">
        <v>2260</v>
      </c>
      <c r="CR565" s="769" t="s">
        <v>2260</v>
      </c>
      <c r="CS565" s="769" t="s">
        <v>2260</v>
      </c>
      <c r="CT565" s="774" t="s">
        <v>2260</v>
      </c>
      <c r="CU565" s="1253" t="s">
        <v>2260</v>
      </c>
      <c r="CV565" s="1252" t="s">
        <v>2260</v>
      </c>
      <c r="CW565" s="1252" t="s">
        <v>2260</v>
      </c>
      <c r="CX565" s="1254" t="s">
        <v>2260</v>
      </c>
      <c r="CY565" s="1252" t="s">
        <v>2260</v>
      </c>
      <c r="CZ565" s="1252" t="s">
        <v>2260</v>
      </c>
      <c r="DA565" s="1252" t="s">
        <v>2260</v>
      </c>
      <c r="DB565" s="1254" t="s">
        <v>2260</v>
      </c>
      <c r="DC565" s="754"/>
      <c r="DD565" s="782">
        <v>1</v>
      </c>
      <c r="DE565" s="783"/>
    </row>
    <row r="566" spans="1:109" ht="15.75" hidden="1" customHeight="1">
      <c r="A566" s="741" t="s">
        <v>1116</v>
      </c>
      <c r="B566" s="742">
        <v>560</v>
      </c>
      <c r="C566" s="758" t="s">
        <v>1713</v>
      </c>
      <c r="D566" s="742" t="s">
        <v>4051</v>
      </c>
      <c r="E566" s="742" t="s">
        <v>2217</v>
      </c>
      <c r="F566" s="754" t="s">
        <v>4056</v>
      </c>
      <c r="G566" s="759" t="s">
        <v>4057</v>
      </c>
      <c r="H566" s="760" t="s">
        <v>4058</v>
      </c>
      <c r="I566" s="761"/>
      <c r="J566" s="762"/>
      <c r="K566" s="762"/>
      <c r="L566" s="762"/>
      <c r="M566" s="762">
        <v>1</v>
      </c>
      <c r="N566" s="762"/>
      <c r="O566" s="762"/>
      <c r="P566" s="763"/>
      <c r="Q566" s="764">
        <f t="shared" si="8"/>
        <v>1</v>
      </c>
      <c r="R566" s="758" t="s">
        <v>1825</v>
      </c>
      <c r="S566" s="742"/>
      <c r="T566" s="765"/>
      <c r="U566" s="742" t="s">
        <v>2396</v>
      </c>
      <c r="V566" s="742" t="s">
        <v>1857</v>
      </c>
      <c r="W566" s="742"/>
      <c r="X566" s="798">
        <v>0</v>
      </c>
      <c r="Y566" s="788" t="s">
        <v>1828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2260</v>
      </c>
      <c r="BR566" s="769" t="s">
        <v>2260</v>
      </c>
      <c r="BS566" s="769" t="s">
        <v>2260</v>
      </c>
      <c r="BT566" s="769" t="s">
        <v>2260</v>
      </c>
      <c r="BU566" s="774" t="s">
        <v>2260</v>
      </c>
      <c r="BV566" s="777" t="s">
        <v>2260</v>
      </c>
      <c r="BW566" s="769" t="s">
        <v>2260</v>
      </c>
      <c r="BX566" s="769" t="s">
        <v>2260</v>
      </c>
      <c r="BY566" s="769" t="s">
        <v>2260</v>
      </c>
      <c r="BZ566" s="769" t="s">
        <v>2260</v>
      </c>
      <c r="CA566" s="777" t="s">
        <v>2260</v>
      </c>
      <c r="CB566" s="769" t="s">
        <v>2260</v>
      </c>
      <c r="CC566" s="769" t="s">
        <v>2260</v>
      </c>
      <c r="CD566" s="769" t="s">
        <v>2260</v>
      </c>
      <c r="CE566" s="774" t="s">
        <v>2260</v>
      </c>
      <c r="CF566" s="769" t="s">
        <v>2260</v>
      </c>
      <c r="CG566" s="769" t="s">
        <v>2260</v>
      </c>
      <c r="CH566" s="769" t="s">
        <v>2260</v>
      </c>
      <c r="CI566" s="769" t="s">
        <v>2260</v>
      </c>
      <c r="CJ566" s="774" t="s">
        <v>2260</v>
      </c>
      <c r="CK566" s="777" t="s">
        <v>2260</v>
      </c>
      <c r="CL566" s="769" t="s">
        <v>2260</v>
      </c>
      <c r="CM566" s="769" t="s">
        <v>2260</v>
      </c>
      <c r="CN566" s="769" t="s">
        <v>2260</v>
      </c>
      <c r="CO566" s="774" t="s">
        <v>2260</v>
      </c>
      <c r="CP566" s="777" t="s">
        <v>2260</v>
      </c>
      <c r="CQ566" s="769" t="s">
        <v>2260</v>
      </c>
      <c r="CR566" s="769" t="s">
        <v>2260</v>
      </c>
      <c r="CS566" s="769" t="s">
        <v>2260</v>
      </c>
      <c r="CT566" s="774" t="s">
        <v>2260</v>
      </c>
      <c r="CU566" s="1253" t="s">
        <v>2260</v>
      </c>
      <c r="CV566" s="1252" t="s">
        <v>2260</v>
      </c>
      <c r="CW566" s="1252" t="s">
        <v>2260</v>
      </c>
      <c r="CX566" s="1254" t="s">
        <v>2260</v>
      </c>
      <c r="CY566" s="1252" t="s">
        <v>2260</v>
      </c>
      <c r="CZ566" s="1252" t="s">
        <v>2260</v>
      </c>
      <c r="DA566" s="1252" t="s">
        <v>2260</v>
      </c>
      <c r="DB566" s="1254" t="s">
        <v>2260</v>
      </c>
      <c r="DC566" s="754"/>
      <c r="DD566" s="782">
        <v>1</v>
      </c>
      <c r="DE566" s="783"/>
    </row>
    <row r="567" spans="1:109" ht="15.75" hidden="1" customHeight="1">
      <c r="A567" s="741" t="s">
        <v>1116</v>
      </c>
      <c r="B567" s="742">
        <v>561</v>
      </c>
      <c r="C567" s="758" t="s">
        <v>1721</v>
      </c>
      <c r="D567" s="742" t="s">
        <v>4051</v>
      </c>
      <c r="E567" s="742" t="s">
        <v>2231</v>
      </c>
      <c r="F567" s="754" t="s">
        <v>4059</v>
      </c>
      <c r="G567" s="759" t="s">
        <v>4060</v>
      </c>
      <c r="H567" s="760" t="s">
        <v>4061</v>
      </c>
      <c r="I567" s="761"/>
      <c r="J567" s="762"/>
      <c r="K567" s="762"/>
      <c r="L567" s="762"/>
      <c r="M567" s="762">
        <v>0.89200000000000002</v>
      </c>
      <c r="N567" s="762">
        <v>0.108</v>
      </c>
      <c r="O567" s="762"/>
      <c r="P567" s="763"/>
      <c r="Q567" s="764">
        <f t="shared" si="8"/>
        <v>1</v>
      </c>
      <c r="R567" s="758" t="s">
        <v>1825</v>
      </c>
      <c r="S567" s="742"/>
      <c r="T567" s="765"/>
      <c r="U567" s="742" t="s">
        <v>2396</v>
      </c>
      <c r="V567" s="742" t="s">
        <v>321</v>
      </c>
      <c r="W567" s="742"/>
      <c r="X567" s="798">
        <v>1</v>
      </c>
      <c r="Y567" s="788" t="s">
        <v>1838</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2260</v>
      </c>
      <c r="BR567" s="769" t="s">
        <v>2260</v>
      </c>
      <c r="BS567" s="769" t="s">
        <v>2260</v>
      </c>
      <c r="BT567" s="769" t="s">
        <v>2260</v>
      </c>
      <c r="BU567" s="774" t="s">
        <v>2260</v>
      </c>
      <c r="BV567" s="777" t="s">
        <v>2260</v>
      </c>
      <c r="BW567" s="769" t="s">
        <v>2260</v>
      </c>
      <c r="BX567" s="769" t="s">
        <v>2260</v>
      </c>
      <c r="BY567" s="769" t="s">
        <v>2260</v>
      </c>
      <c r="BZ567" s="769" t="s">
        <v>2260</v>
      </c>
      <c r="CA567" s="777" t="s">
        <v>2260</v>
      </c>
      <c r="CB567" s="769" t="s">
        <v>2260</v>
      </c>
      <c r="CC567" s="769" t="s">
        <v>2260</v>
      </c>
      <c r="CD567" s="769" t="s">
        <v>2260</v>
      </c>
      <c r="CE567" s="774" t="s">
        <v>2260</v>
      </c>
      <c r="CF567" s="769" t="s">
        <v>2260</v>
      </c>
      <c r="CG567" s="769" t="s">
        <v>2260</v>
      </c>
      <c r="CH567" s="769" t="s">
        <v>2260</v>
      </c>
      <c r="CI567" s="769" t="s">
        <v>2260</v>
      </c>
      <c r="CJ567" s="774" t="s">
        <v>2260</v>
      </c>
      <c r="CK567" s="777" t="s">
        <v>2260</v>
      </c>
      <c r="CL567" s="769" t="s">
        <v>2260</v>
      </c>
      <c r="CM567" s="769" t="s">
        <v>2260</v>
      </c>
      <c r="CN567" s="769" t="s">
        <v>2260</v>
      </c>
      <c r="CO567" s="774" t="s">
        <v>2260</v>
      </c>
      <c r="CP567" s="777" t="s">
        <v>2260</v>
      </c>
      <c r="CQ567" s="769" t="s">
        <v>2260</v>
      </c>
      <c r="CR567" s="769" t="s">
        <v>2260</v>
      </c>
      <c r="CS567" s="769" t="s">
        <v>2260</v>
      </c>
      <c r="CT567" s="774" t="s">
        <v>2260</v>
      </c>
      <c r="CU567" s="1253" t="s">
        <v>2260</v>
      </c>
      <c r="CV567" s="1252" t="s">
        <v>2260</v>
      </c>
      <c r="CW567" s="1252" t="s">
        <v>2260</v>
      </c>
      <c r="CX567" s="1254" t="s">
        <v>2260</v>
      </c>
      <c r="CY567" s="1252" t="s">
        <v>2260</v>
      </c>
      <c r="CZ567" s="1252" t="s">
        <v>2260</v>
      </c>
      <c r="DA567" s="1252" t="s">
        <v>2260</v>
      </c>
      <c r="DB567" s="1254" t="s">
        <v>2260</v>
      </c>
      <c r="DC567" s="754"/>
      <c r="DD567" s="782"/>
      <c r="DE567" s="783"/>
    </row>
    <row r="568" spans="1:109" ht="15.75" hidden="1" customHeight="1">
      <c r="A568" s="741" t="s">
        <v>1116</v>
      </c>
      <c r="B568" s="742">
        <v>562</v>
      </c>
      <c r="C568" s="758" t="s">
        <v>1369</v>
      </c>
      <c r="D568" s="742" t="s">
        <v>4051</v>
      </c>
      <c r="E568" s="742" t="s">
        <v>2231</v>
      </c>
      <c r="F568" s="754" t="s">
        <v>4062</v>
      </c>
      <c r="G568" s="759" t="s">
        <v>4063</v>
      </c>
      <c r="H568" s="760" t="s">
        <v>4064</v>
      </c>
      <c r="I568" s="761"/>
      <c r="J568" s="762"/>
      <c r="K568" s="762"/>
      <c r="L568" s="762"/>
      <c r="M568" s="762">
        <v>0.89200000000000002</v>
      </c>
      <c r="N568" s="762">
        <v>0.108</v>
      </c>
      <c r="O568" s="762"/>
      <c r="P568" s="763"/>
      <c r="Q568" s="764">
        <f t="shared" si="8"/>
        <v>1</v>
      </c>
      <c r="R568" s="758" t="s">
        <v>1852</v>
      </c>
      <c r="S568" s="742" t="s">
        <v>1826</v>
      </c>
      <c r="T568" s="765" t="s">
        <v>1827</v>
      </c>
      <c r="U568" s="742" t="s">
        <v>2396</v>
      </c>
      <c r="V568" s="742" t="s">
        <v>321</v>
      </c>
      <c r="W568" s="742"/>
      <c r="X568" s="1243">
        <v>2</v>
      </c>
      <c r="Y568" s="788" t="s">
        <v>1838</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210</v>
      </c>
      <c r="BM568" s="754" t="s">
        <v>210</v>
      </c>
      <c r="BN568" s="754" t="s">
        <v>210</v>
      </c>
      <c r="BO568" s="754" t="s">
        <v>210</v>
      </c>
      <c r="BP568" s="765" t="s">
        <v>210</v>
      </c>
      <c r="BQ568" s="777" t="s">
        <v>2260</v>
      </c>
      <c r="BR568" s="769" t="s">
        <v>2260</v>
      </c>
      <c r="BS568" s="769" t="s">
        <v>2260</v>
      </c>
      <c r="BT568" s="769" t="s">
        <v>2260</v>
      </c>
      <c r="BU568" s="774" t="s">
        <v>2260</v>
      </c>
      <c r="BV568" s="775">
        <v>4.4000000000000004</v>
      </c>
      <c r="BW568" s="776">
        <v>4.3</v>
      </c>
      <c r="BX568" s="776">
        <v>4.28</v>
      </c>
      <c r="BY568" s="776">
        <v>4.28</v>
      </c>
      <c r="BZ568" s="776">
        <v>4.28</v>
      </c>
      <c r="CA568" s="777" t="s">
        <v>2260</v>
      </c>
      <c r="CB568" s="769" t="s">
        <v>2260</v>
      </c>
      <c r="CC568" s="769" t="s">
        <v>2260</v>
      </c>
      <c r="CD568" s="769" t="s">
        <v>2260</v>
      </c>
      <c r="CE568" s="774" t="s">
        <v>2260</v>
      </c>
      <c r="CF568" s="769" t="s">
        <v>2260</v>
      </c>
      <c r="CG568" s="769" t="s">
        <v>2260</v>
      </c>
      <c r="CH568" s="769" t="s">
        <v>2260</v>
      </c>
      <c r="CI568" s="769" t="s">
        <v>2260</v>
      </c>
      <c r="CJ568" s="774" t="s">
        <v>2260</v>
      </c>
      <c r="CK568" s="777">
        <v>3.4</v>
      </c>
      <c r="CL568" s="769">
        <v>3.3</v>
      </c>
      <c r="CM568" s="769">
        <v>3.2</v>
      </c>
      <c r="CN568" s="769">
        <v>3.1</v>
      </c>
      <c r="CO568" s="774">
        <v>3</v>
      </c>
      <c r="CP568" s="777" t="s">
        <v>2260</v>
      </c>
      <c r="CQ568" s="769" t="s">
        <v>2260</v>
      </c>
      <c r="CR568" s="769" t="s">
        <v>2260</v>
      </c>
      <c r="CS568" s="769" t="s">
        <v>2260</v>
      </c>
      <c r="CT568" s="774" t="s">
        <v>2260</v>
      </c>
      <c r="CU568" s="1253">
        <v>-2.6139999999999999</v>
      </c>
      <c r="CV568" s="1252" t="s">
        <v>2260</v>
      </c>
      <c r="CW568" s="1252" t="s">
        <v>2260</v>
      </c>
      <c r="CX568" s="1254" t="s">
        <v>2260</v>
      </c>
      <c r="CY568" s="1252">
        <v>2.6139999999999999</v>
      </c>
      <c r="CZ568" s="1252" t="s">
        <v>2260</v>
      </c>
      <c r="DA568" s="1252" t="s">
        <v>2260</v>
      </c>
      <c r="DB568" s="1254" t="s">
        <v>2260</v>
      </c>
      <c r="DC568" s="754"/>
      <c r="DD568" s="782">
        <v>1</v>
      </c>
      <c r="DE568" s="783"/>
    </row>
    <row r="569" spans="1:109" ht="15.75" hidden="1" customHeight="1">
      <c r="A569" s="741" t="s">
        <v>1116</v>
      </c>
      <c r="B569" s="742">
        <v>563</v>
      </c>
      <c r="C569" s="758" t="s">
        <v>1728</v>
      </c>
      <c r="D569" s="742" t="s">
        <v>4051</v>
      </c>
      <c r="E569" s="742" t="s">
        <v>2231</v>
      </c>
      <c r="F569" s="754" t="s">
        <v>4065</v>
      </c>
      <c r="G569" s="759" t="s">
        <v>4066</v>
      </c>
      <c r="H569" s="760" t="s">
        <v>4067</v>
      </c>
      <c r="I569" s="761">
        <v>4.3999999999999997E-2</v>
      </c>
      <c r="J569" s="762">
        <v>0.33800000000000002</v>
      </c>
      <c r="K569" s="762">
        <v>0.48</v>
      </c>
      <c r="L569" s="762">
        <v>4.3999999999999997E-2</v>
      </c>
      <c r="M569" s="762">
        <v>8.4000000000000005E-2</v>
      </c>
      <c r="N569" s="762">
        <v>0.01</v>
      </c>
      <c r="O569" s="762"/>
      <c r="P569" s="763"/>
      <c r="Q569" s="764">
        <f t="shared" si="8"/>
        <v>1</v>
      </c>
      <c r="R569" s="758" t="s">
        <v>1825</v>
      </c>
      <c r="S569" s="742"/>
      <c r="T569" s="765"/>
      <c r="U569" s="742" t="s">
        <v>2234</v>
      </c>
      <c r="V569" s="742" t="s">
        <v>1899</v>
      </c>
      <c r="W569" s="742"/>
      <c r="X569" s="1243">
        <v>0</v>
      </c>
      <c r="Y569" s="767" t="s">
        <v>1828</v>
      </c>
      <c r="Z569" s="759"/>
      <c r="AA569" s="754"/>
      <c r="AB569" s="754"/>
      <c r="AC569" s="754"/>
      <c r="AD569" s="754"/>
      <c r="AE569" s="754"/>
      <c r="AF569" s="768"/>
      <c r="AG569" s="769"/>
      <c r="AH569" s="769"/>
      <c r="AI569" s="769"/>
      <c r="AJ569" s="766"/>
      <c r="AK569" s="766"/>
      <c r="AL569" s="766"/>
      <c r="AM569" s="766"/>
      <c r="AN569" s="766"/>
      <c r="AO569" s="766"/>
      <c r="AP569" s="766"/>
      <c r="AQ569" s="796" t="s">
        <v>889</v>
      </c>
      <c r="AR569" s="766" t="s">
        <v>889</v>
      </c>
      <c r="AS569" s="766" t="s">
        <v>889</v>
      </c>
      <c r="AT569" s="766" t="s">
        <v>889</v>
      </c>
      <c r="AU569" s="810" t="s">
        <v>889</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2260</v>
      </c>
      <c r="BR569" s="769" t="s">
        <v>2260</v>
      </c>
      <c r="BS569" s="769" t="s">
        <v>2260</v>
      </c>
      <c r="BT569" s="769" t="s">
        <v>2260</v>
      </c>
      <c r="BU569" s="774" t="s">
        <v>2260</v>
      </c>
      <c r="BV569" s="777" t="s">
        <v>2260</v>
      </c>
      <c r="BW569" s="769" t="s">
        <v>2260</v>
      </c>
      <c r="BX569" s="769" t="s">
        <v>2260</v>
      </c>
      <c r="BY569" s="769" t="s">
        <v>2260</v>
      </c>
      <c r="BZ569" s="769" t="s">
        <v>2260</v>
      </c>
      <c r="CA569" s="777" t="s">
        <v>2260</v>
      </c>
      <c r="CB569" s="769" t="s">
        <v>2260</v>
      </c>
      <c r="CC569" s="769" t="s">
        <v>2260</v>
      </c>
      <c r="CD569" s="769" t="s">
        <v>2260</v>
      </c>
      <c r="CE569" s="774" t="s">
        <v>2260</v>
      </c>
      <c r="CF569" s="769" t="s">
        <v>2260</v>
      </c>
      <c r="CG569" s="769" t="s">
        <v>2260</v>
      </c>
      <c r="CH569" s="769" t="s">
        <v>2260</v>
      </c>
      <c r="CI569" s="769" t="s">
        <v>2260</v>
      </c>
      <c r="CJ569" s="774" t="s">
        <v>2260</v>
      </c>
      <c r="CK569" s="777" t="s">
        <v>2260</v>
      </c>
      <c r="CL569" s="769" t="s">
        <v>2260</v>
      </c>
      <c r="CM569" s="769" t="s">
        <v>2260</v>
      </c>
      <c r="CN569" s="769" t="s">
        <v>2260</v>
      </c>
      <c r="CO569" s="774" t="s">
        <v>2260</v>
      </c>
      <c r="CP569" s="777" t="s">
        <v>2260</v>
      </c>
      <c r="CQ569" s="769" t="s">
        <v>2260</v>
      </c>
      <c r="CR569" s="769" t="s">
        <v>2260</v>
      </c>
      <c r="CS569" s="769" t="s">
        <v>2260</v>
      </c>
      <c r="CT569" s="774" t="s">
        <v>2260</v>
      </c>
      <c r="CU569" s="1253" t="s">
        <v>2260</v>
      </c>
      <c r="CV569" s="1252" t="s">
        <v>2260</v>
      </c>
      <c r="CW569" s="1252" t="s">
        <v>2260</v>
      </c>
      <c r="CX569" s="1254" t="s">
        <v>2260</v>
      </c>
      <c r="CY569" s="1252" t="s">
        <v>2260</v>
      </c>
      <c r="CZ569" s="1252" t="s">
        <v>2260</v>
      </c>
      <c r="DA569" s="1252" t="s">
        <v>2260</v>
      </c>
      <c r="DB569" s="1254" t="s">
        <v>2260</v>
      </c>
      <c r="DC569" s="781"/>
      <c r="DD569" s="782">
        <v>1</v>
      </c>
      <c r="DE569" s="783"/>
    </row>
    <row r="570" spans="1:109" ht="15.75" hidden="1" customHeight="1">
      <c r="A570" s="741" t="s">
        <v>1116</v>
      </c>
      <c r="B570" s="742">
        <v>564</v>
      </c>
      <c r="C570" s="758" t="s">
        <v>1276</v>
      </c>
      <c r="D570" s="742" t="s">
        <v>4068</v>
      </c>
      <c r="E570" s="742" t="s">
        <v>2231</v>
      </c>
      <c r="F570" s="754" t="s">
        <v>4069</v>
      </c>
      <c r="G570" s="759" t="s">
        <v>567</v>
      </c>
      <c r="H570" s="760" t="s">
        <v>4070</v>
      </c>
      <c r="I570" s="761">
        <v>0.115</v>
      </c>
      <c r="J570" s="762">
        <v>0.88500000000000001</v>
      </c>
      <c r="K570" s="762"/>
      <c r="L570" s="762"/>
      <c r="M570" s="762"/>
      <c r="N570" s="762"/>
      <c r="O570" s="762"/>
      <c r="P570" s="763"/>
      <c r="Q570" s="764">
        <f t="shared" si="8"/>
        <v>1</v>
      </c>
      <c r="R570" s="758" t="s">
        <v>1825</v>
      </c>
      <c r="S570" s="742"/>
      <c r="T570" s="765"/>
      <c r="U570" s="742" t="s">
        <v>2234</v>
      </c>
      <c r="V570" s="742" t="s">
        <v>321</v>
      </c>
      <c r="W570" s="742"/>
      <c r="X570" s="1243">
        <v>1</v>
      </c>
      <c r="Y570" s="767" t="s">
        <v>1838</v>
      </c>
      <c r="Z570" s="759" t="s">
        <v>567</v>
      </c>
      <c r="AA570" s="754"/>
      <c r="AB570" s="754"/>
      <c r="AC570" s="754"/>
      <c r="AD570" s="754"/>
      <c r="AE570" s="754"/>
      <c r="AF570" s="768"/>
      <c r="AG570" s="769"/>
      <c r="AH570" s="769"/>
      <c r="AI570" s="769"/>
      <c r="AJ570" s="769"/>
      <c r="AK570" s="769"/>
      <c r="AL570" s="769"/>
      <c r="AM570" s="769"/>
      <c r="AN570" s="785"/>
      <c r="AO570" s="785"/>
      <c r="AP570" s="785"/>
      <c r="AQ570" s="1460"/>
      <c r="AR570" s="1665"/>
      <c r="AS570" s="1665"/>
      <c r="AT570" s="1665"/>
      <c r="AU570" s="1466"/>
      <c r="AV570" s="786"/>
      <c r="AW570" s="785"/>
      <c r="AX570" s="785"/>
      <c r="AY570" s="785"/>
      <c r="AZ570" s="785"/>
      <c r="BA570" s="785"/>
      <c r="BB570" s="785"/>
      <c r="BC570" s="785"/>
      <c r="BD570" s="785"/>
      <c r="BE570" s="785"/>
      <c r="BF570" s="785"/>
      <c r="BG570" s="785"/>
      <c r="BH570" s="785"/>
      <c r="BI570" s="785"/>
      <c r="BJ570" s="785"/>
      <c r="BK570" s="787"/>
      <c r="BL570" s="1327"/>
      <c r="BM570" s="1328"/>
      <c r="BN570" s="1328"/>
      <c r="BO570" s="1328"/>
      <c r="BP570" s="1389"/>
      <c r="BQ570" s="1659"/>
      <c r="BR570" s="1319"/>
      <c r="BS570" s="1319"/>
      <c r="BT570" s="1319"/>
      <c r="BU570" s="1320"/>
      <c r="BV570" s="1659"/>
      <c r="BW570" s="1319"/>
      <c r="BX570" s="1319"/>
      <c r="BY570" s="1319"/>
      <c r="BZ570" s="1319"/>
      <c r="CA570" s="1369"/>
      <c r="CB570" s="1319"/>
      <c r="CC570" s="1319"/>
      <c r="CD570" s="1319"/>
      <c r="CE570" s="1320"/>
      <c r="CF570" s="1319"/>
      <c r="CG570" s="1319"/>
      <c r="CH570" s="1319"/>
      <c r="CI570" s="1319"/>
      <c r="CJ570" s="1320"/>
      <c r="CK570" s="1369"/>
      <c r="CL570" s="1319"/>
      <c r="CM570" s="1319"/>
      <c r="CN570" s="1319"/>
      <c r="CO570" s="1320"/>
      <c r="CP570" s="1369"/>
      <c r="CQ570" s="1319"/>
      <c r="CR570" s="1319"/>
      <c r="CS570" s="1319"/>
      <c r="CT570" s="1320"/>
      <c r="CU570" s="1467"/>
      <c r="CV570" s="1458"/>
      <c r="CW570" s="1458"/>
      <c r="CX570" s="1663"/>
      <c r="CY570" s="1458"/>
      <c r="CZ570" s="1458"/>
      <c r="DA570" s="1458"/>
      <c r="DB570" s="1663"/>
      <c r="DC570" s="1328"/>
      <c r="DD570" s="1664"/>
      <c r="DE570" s="1669"/>
    </row>
    <row r="571" spans="1:109" ht="15.75" hidden="1" customHeight="1">
      <c r="A571" s="741" t="s">
        <v>1116</v>
      </c>
      <c r="B571" s="742">
        <v>565</v>
      </c>
      <c r="C571" s="758" t="s">
        <v>1212</v>
      </c>
      <c r="D571" s="742" t="s">
        <v>4068</v>
      </c>
      <c r="E571" s="742" t="s">
        <v>2231</v>
      </c>
      <c r="F571" s="754" t="s">
        <v>4071</v>
      </c>
      <c r="G571" s="759" t="s">
        <v>891</v>
      </c>
      <c r="H571" s="760" t="s">
        <v>4072</v>
      </c>
      <c r="I571" s="761"/>
      <c r="J571" s="762"/>
      <c r="K571" s="762">
        <v>1</v>
      </c>
      <c r="L571" s="762"/>
      <c r="M571" s="762"/>
      <c r="N571" s="762"/>
      <c r="O571" s="762"/>
      <c r="P571" s="763"/>
      <c r="Q571" s="764">
        <f t="shared" si="8"/>
        <v>1</v>
      </c>
      <c r="R571" s="758" t="s">
        <v>1825</v>
      </c>
      <c r="S571" s="742"/>
      <c r="T571" s="765"/>
      <c r="U571" s="742" t="s">
        <v>2234</v>
      </c>
      <c r="V571" s="742" t="s">
        <v>321</v>
      </c>
      <c r="W571" s="742" t="s">
        <v>4073</v>
      </c>
      <c r="X571" s="798">
        <v>2</v>
      </c>
      <c r="Y571" s="767" t="s">
        <v>1838</v>
      </c>
      <c r="Z571" s="759" t="s">
        <v>891</v>
      </c>
      <c r="AA571" s="754"/>
      <c r="AB571" s="754"/>
      <c r="AC571" s="754"/>
      <c r="AD571" s="754"/>
      <c r="AE571" s="754"/>
      <c r="AF571" s="768"/>
      <c r="AG571" s="769"/>
      <c r="AH571" s="769"/>
      <c r="AI571" s="769"/>
      <c r="AJ571" s="769"/>
      <c r="AK571" s="769"/>
      <c r="AL571" s="769"/>
      <c r="AM571" s="769"/>
      <c r="AN571" s="769"/>
      <c r="AO571" s="769"/>
      <c r="AP571" s="769"/>
      <c r="AQ571" s="1369"/>
      <c r="AR571" s="1319"/>
      <c r="AS571" s="1319"/>
      <c r="AT571" s="1319"/>
      <c r="AU571" s="1320"/>
      <c r="AV571" s="777"/>
      <c r="AW571" s="769"/>
      <c r="AX571" s="769"/>
      <c r="AY571" s="769"/>
      <c r="AZ571" s="769"/>
      <c r="BA571" s="769"/>
      <c r="BB571" s="769"/>
      <c r="BC571" s="769"/>
      <c r="BD571" s="769"/>
      <c r="BE571" s="769"/>
      <c r="BF571" s="769"/>
      <c r="BG571" s="769"/>
      <c r="BH571" s="769"/>
      <c r="BI571" s="769"/>
      <c r="BJ571" s="769"/>
      <c r="BK571" s="774"/>
      <c r="BL571" s="1327"/>
      <c r="BM571" s="1328"/>
      <c r="BN571" s="1328"/>
      <c r="BO571" s="1328"/>
      <c r="BP571" s="1328"/>
      <c r="BQ571" s="1369"/>
      <c r="BR571" s="1319"/>
      <c r="BS571" s="1319"/>
      <c r="BT571" s="1319"/>
      <c r="BU571" s="1320"/>
      <c r="BV571" s="1369"/>
      <c r="BW571" s="1319"/>
      <c r="BX571" s="1319"/>
      <c r="BY571" s="1319"/>
      <c r="BZ571" s="1319"/>
      <c r="CA571" s="1369"/>
      <c r="CB571" s="1319"/>
      <c r="CC571" s="1319"/>
      <c r="CD571" s="1319"/>
      <c r="CE571" s="1320"/>
      <c r="CF571" s="1319"/>
      <c r="CG571" s="1319"/>
      <c r="CH571" s="1319"/>
      <c r="CI571" s="1319"/>
      <c r="CJ571" s="1320"/>
      <c r="CK571" s="1369"/>
      <c r="CL571" s="1319"/>
      <c r="CM571" s="1319"/>
      <c r="CN571" s="1319"/>
      <c r="CO571" s="1320"/>
      <c r="CP571" s="1369"/>
      <c r="CQ571" s="1319"/>
      <c r="CR571" s="1319"/>
      <c r="CS571" s="1319"/>
      <c r="CT571" s="1320"/>
      <c r="CU571" s="1467"/>
      <c r="CV571" s="1458"/>
      <c r="CW571" s="1458"/>
      <c r="CX571" s="1663"/>
      <c r="CY571" s="1458"/>
      <c r="CZ571" s="1458"/>
      <c r="DA571" s="1458"/>
      <c r="DB571" s="1663"/>
      <c r="DC571" s="1328"/>
      <c r="DD571" s="1664"/>
      <c r="DE571" s="1669"/>
    </row>
    <row r="572" spans="1:109" ht="15.75" hidden="1" customHeight="1">
      <c r="A572" s="741" t="s">
        <v>1116</v>
      </c>
      <c r="B572" s="742">
        <v>566</v>
      </c>
      <c r="C572" s="758" t="s">
        <v>1735</v>
      </c>
      <c r="D572" s="742" t="s">
        <v>4068</v>
      </c>
      <c r="E572" s="742" t="s">
        <v>2217</v>
      </c>
      <c r="F572" s="754" t="s">
        <v>4074</v>
      </c>
      <c r="G572" s="759" t="s">
        <v>4075</v>
      </c>
      <c r="H572" s="760" t="s">
        <v>4076</v>
      </c>
      <c r="I572" s="761">
        <v>4.3999999999999997E-2</v>
      </c>
      <c r="J572" s="762">
        <v>0.33800000000000002</v>
      </c>
      <c r="K572" s="762">
        <v>0.48</v>
      </c>
      <c r="L572" s="762">
        <v>4.3999999999999997E-2</v>
      </c>
      <c r="M572" s="762">
        <v>8.4000000000000005E-2</v>
      </c>
      <c r="N572" s="762">
        <v>0.01</v>
      </c>
      <c r="O572" s="762"/>
      <c r="P572" s="763"/>
      <c r="Q572" s="764">
        <f t="shared" si="8"/>
        <v>1</v>
      </c>
      <c r="R572" s="758" t="s">
        <v>1825</v>
      </c>
      <c r="S572" s="742"/>
      <c r="T572" s="765"/>
      <c r="U572" s="742" t="s">
        <v>2408</v>
      </c>
      <c r="V572" s="742" t="s">
        <v>321</v>
      </c>
      <c r="W572" s="742"/>
      <c r="X572" s="798">
        <v>0</v>
      </c>
      <c r="Y572" s="767" t="s">
        <v>1828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2260</v>
      </c>
      <c r="BR572" s="769" t="s">
        <v>2260</v>
      </c>
      <c r="BS572" s="769" t="s">
        <v>2260</v>
      </c>
      <c r="BT572" s="769" t="s">
        <v>2260</v>
      </c>
      <c r="BU572" s="774" t="s">
        <v>2260</v>
      </c>
      <c r="BV572" s="777" t="s">
        <v>2260</v>
      </c>
      <c r="BW572" s="769" t="s">
        <v>2260</v>
      </c>
      <c r="BX572" s="769" t="s">
        <v>2260</v>
      </c>
      <c r="BY572" s="769" t="s">
        <v>2260</v>
      </c>
      <c r="BZ572" s="769" t="s">
        <v>2260</v>
      </c>
      <c r="CA572" s="777" t="s">
        <v>2260</v>
      </c>
      <c r="CB572" s="769" t="s">
        <v>2260</v>
      </c>
      <c r="CC572" s="769" t="s">
        <v>2260</v>
      </c>
      <c r="CD572" s="769" t="s">
        <v>2260</v>
      </c>
      <c r="CE572" s="774" t="s">
        <v>2260</v>
      </c>
      <c r="CF572" s="769" t="s">
        <v>2260</v>
      </c>
      <c r="CG572" s="769" t="s">
        <v>2260</v>
      </c>
      <c r="CH572" s="769" t="s">
        <v>2260</v>
      </c>
      <c r="CI572" s="769" t="s">
        <v>2260</v>
      </c>
      <c r="CJ572" s="769" t="s">
        <v>2260</v>
      </c>
      <c r="CK572" s="777" t="s">
        <v>2260</v>
      </c>
      <c r="CL572" s="769" t="s">
        <v>2260</v>
      </c>
      <c r="CM572" s="769" t="s">
        <v>2260</v>
      </c>
      <c r="CN572" s="769" t="s">
        <v>2260</v>
      </c>
      <c r="CO572" s="774" t="s">
        <v>2260</v>
      </c>
      <c r="CP572" s="777" t="s">
        <v>2260</v>
      </c>
      <c r="CQ572" s="769" t="s">
        <v>2260</v>
      </c>
      <c r="CR572" s="769" t="s">
        <v>2260</v>
      </c>
      <c r="CS572" s="769" t="s">
        <v>2260</v>
      </c>
      <c r="CT572" s="774" t="s">
        <v>2260</v>
      </c>
      <c r="CU572" s="1253" t="s">
        <v>2260</v>
      </c>
      <c r="CV572" s="1252" t="s">
        <v>2260</v>
      </c>
      <c r="CW572" s="1252" t="s">
        <v>2260</v>
      </c>
      <c r="CX572" s="1254" t="s">
        <v>2260</v>
      </c>
      <c r="CY572" s="1252" t="s">
        <v>2260</v>
      </c>
      <c r="CZ572" s="1252" t="s">
        <v>2260</v>
      </c>
      <c r="DA572" s="1252" t="s">
        <v>2260</v>
      </c>
      <c r="DB572" s="1254" t="s">
        <v>2260</v>
      </c>
      <c r="DC572" s="754"/>
      <c r="DD572" s="782">
        <v>1</v>
      </c>
      <c r="DE572" s="783"/>
    </row>
    <row r="573" spans="1:109" ht="15.75" hidden="1" customHeight="1">
      <c r="A573" s="741" t="s">
        <v>1116</v>
      </c>
      <c r="B573" s="742">
        <v>567</v>
      </c>
      <c r="C573" s="758" t="s">
        <v>1554</v>
      </c>
      <c r="D573" s="742" t="s">
        <v>4068</v>
      </c>
      <c r="E573" s="742" t="s">
        <v>2223</v>
      </c>
      <c r="F573" s="754" t="s">
        <v>4077</v>
      </c>
      <c r="G573" s="759" t="s">
        <v>4078</v>
      </c>
      <c r="H573" s="760" t="s">
        <v>4079</v>
      </c>
      <c r="I573" s="761"/>
      <c r="J573" s="762"/>
      <c r="K573" s="762">
        <v>1</v>
      </c>
      <c r="L573" s="762"/>
      <c r="M573" s="762"/>
      <c r="N573" s="762"/>
      <c r="O573" s="762"/>
      <c r="P573" s="763"/>
      <c r="Q573" s="764">
        <f t="shared" si="8"/>
        <v>1</v>
      </c>
      <c r="R573" s="758" t="s">
        <v>1852</v>
      </c>
      <c r="S573" s="742" t="s">
        <v>1826</v>
      </c>
      <c r="T573" s="765" t="s">
        <v>1827</v>
      </c>
      <c r="U573" s="742" t="s">
        <v>2387</v>
      </c>
      <c r="V573" s="742" t="s">
        <v>1857</v>
      </c>
      <c r="W573" s="742" t="s">
        <v>4080</v>
      </c>
      <c r="X573" s="798">
        <v>0</v>
      </c>
      <c r="Y573" s="788" t="s">
        <v>1828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210</v>
      </c>
      <c r="BM573" s="754" t="s">
        <v>210</v>
      </c>
      <c r="BN573" s="754" t="s">
        <v>210</v>
      </c>
      <c r="BO573" s="754" t="s">
        <v>210</v>
      </c>
      <c r="BP573" s="754" t="s">
        <v>210</v>
      </c>
      <c r="BQ573" s="777" t="s">
        <v>2260</v>
      </c>
      <c r="BR573" s="769" t="s">
        <v>2260</v>
      </c>
      <c r="BS573" s="769" t="s">
        <v>2260</v>
      </c>
      <c r="BT573" s="769" t="s">
        <v>2260</v>
      </c>
      <c r="BU573" s="774" t="s">
        <v>2260</v>
      </c>
      <c r="BV573" s="796">
        <v>117810</v>
      </c>
      <c r="BW573" s="766">
        <v>117810</v>
      </c>
      <c r="BX573" s="766">
        <v>117810</v>
      </c>
      <c r="BY573" s="766">
        <v>715785</v>
      </c>
      <c r="BZ573" s="766">
        <v>715785</v>
      </c>
      <c r="CA573" s="777" t="s">
        <v>2260</v>
      </c>
      <c r="CB573" s="769" t="s">
        <v>2260</v>
      </c>
      <c r="CC573" s="769" t="s">
        <v>2260</v>
      </c>
      <c r="CD573" s="769" t="s">
        <v>2260</v>
      </c>
      <c r="CE573" s="774" t="s">
        <v>2260</v>
      </c>
      <c r="CF573" s="769" t="s">
        <v>2260</v>
      </c>
      <c r="CG573" s="769" t="s">
        <v>2260</v>
      </c>
      <c r="CH573" s="769" t="s">
        <v>2260</v>
      </c>
      <c r="CI573" s="769" t="s">
        <v>2260</v>
      </c>
      <c r="CJ573" s="774" t="s">
        <v>2260</v>
      </c>
      <c r="CK573" s="796">
        <v>165990</v>
      </c>
      <c r="CL573" s="766">
        <v>165990</v>
      </c>
      <c r="CM573" s="766">
        <v>165990</v>
      </c>
      <c r="CN573" s="766">
        <v>1008515</v>
      </c>
      <c r="CO573" s="810">
        <v>1008515</v>
      </c>
      <c r="CP573" s="777" t="s">
        <v>2260</v>
      </c>
      <c r="CQ573" s="769" t="s">
        <v>2260</v>
      </c>
      <c r="CR573" s="769" t="s">
        <v>2260</v>
      </c>
      <c r="CS573" s="769" t="s">
        <v>2260</v>
      </c>
      <c r="CT573" s="774" t="s">
        <v>2260</v>
      </c>
      <c r="CU573" s="1253">
        <v>-2.08E-6</v>
      </c>
      <c r="CV573" s="1252" t="s">
        <v>2260</v>
      </c>
      <c r="CW573" s="1252" t="s">
        <v>2260</v>
      </c>
      <c r="CX573" s="1254" t="s">
        <v>2260</v>
      </c>
      <c r="CY573" s="1252">
        <v>2.08E-6</v>
      </c>
      <c r="CZ573" s="1252" t="s">
        <v>2260</v>
      </c>
      <c r="DA573" s="1252" t="s">
        <v>2260</v>
      </c>
      <c r="DB573" s="1254" t="s">
        <v>2260</v>
      </c>
      <c r="DC573" s="754"/>
      <c r="DD573" s="782">
        <v>1</v>
      </c>
      <c r="DE573" s="783"/>
    </row>
    <row r="574" spans="1:109" ht="15.75" hidden="1" customHeight="1">
      <c r="A574" s="741" t="s">
        <v>1116</v>
      </c>
      <c r="B574" s="742">
        <v>568</v>
      </c>
      <c r="C574" s="758" t="s">
        <v>1742</v>
      </c>
      <c r="D574" s="742" t="s">
        <v>4068</v>
      </c>
      <c r="E574" s="742" t="s">
        <v>2217</v>
      </c>
      <c r="F574" s="754" t="s">
        <v>4081</v>
      </c>
      <c r="G574" s="759" t="s">
        <v>4082</v>
      </c>
      <c r="H574" s="760" t="s">
        <v>4083</v>
      </c>
      <c r="I574" s="761">
        <v>1</v>
      </c>
      <c r="J574" s="919"/>
      <c r="K574" s="919"/>
      <c r="L574" s="762"/>
      <c r="M574" s="762"/>
      <c r="N574" s="762"/>
      <c r="O574" s="762"/>
      <c r="P574" s="763"/>
      <c r="Q574" s="764">
        <f t="shared" si="8"/>
        <v>1</v>
      </c>
      <c r="R574" s="758" t="s">
        <v>1825</v>
      </c>
      <c r="S574" s="742"/>
      <c r="T574" s="765"/>
      <c r="U574" s="742" t="s">
        <v>2234</v>
      </c>
      <c r="V574" s="742" t="s">
        <v>321</v>
      </c>
      <c r="W574" s="742"/>
      <c r="X574" s="798">
        <v>1</v>
      </c>
      <c r="Y574" s="788" t="s">
        <v>1828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2260</v>
      </c>
      <c r="BR574" s="769" t="s">
        <v>2260</v>
      </c>
      <c r="BS574" s="769" t="s">
        <v>2260</v>
      </c>
      <c r="BT574" s="769" t="s">
        <v>2260</v>
      </c>
      <c r="BU574" s="774" t="s">
        <v>2260</v>
      </c>
      <c r="BV574" s="777" t="s">
        <v>2260</v>
      </c>
      <c r="BW574" s="769" t="s">
        <v>2260</v>
      </c>
      <c r="BX574" s="769" t="s">
        <v>2260</v>
      </c>
      <c r="BY574" s="769" t="s">
        <v>2260</v>
      </c>
      <c r="BZ574" s="769" t="s">
        <v>2260</v>
      </c>
      <c r="CA574" s="777" t="s">
        <v>2260</v>
      </c>
      <c r="CB574" s="769" t="s">
        <v>2260</v>
      </c>
      <c r="CC574" s="769" t="s">
        <v>2260</v>
      </c>
      <c r="CD574" s="769" t="s">
        <v>2260</v>
      </c>
      <c r="CE574" s="774" t="s">
        <v>2260</v>
      </c>
      <c r="CF574" s="769" t="s">
        <v>2260</v>
      </c>
      <c r="CG574" s="769" t="s">
        <v>2260</v>
      </c>
      <c r="CH574" s="769" t="s">
        <v>2260</v>
      </c>
      <c r="CI574" s="769" t="s">
        <v>2260</v>
      </c>
      <c r="CJ574" s="774" t="s">
        <v>2260</v>
      </c>
      <c r="CK574" s="777" t="s">
        <v>2260</v>
      </c>
      <c r="CL574" s="769" t="s">
        <v>2260</v>
      </c>
      <c r="CM574" s="769" t="s">
        <v>2260</v>
      </c>
      <c r="CN574" s="769" t="s">
        <v>2260</v>
      </c>
      <c r="CO574" s="774" t="s">
        <v>2260</v>
      </c>
      <c r="CP574" s="777" t="s">
        <v>2260</v>
      </c>
      <c r="CQ574" s="769" t="s">
        <v>2260</v>
      </c>
      <c r="CR574" s="769" t="s">
        <v>2260</v>
      </c>
      <c r="CS574" s="769" t="s">
        <v>2260</v>
      </c>
      <c r="CT574" s="774" t="s">
        <v>2260</v>
      </c>
      <c r="CU574" s="1253" t="s">
        <v>2260</v>
      </c>
      <c r="CV574" s="1252" t="s">
        <v>2260</v>
      </c>
      <c r="CW574" s="1252" t="s">
        <v>2260</v>
      </c>
      <c r="CX574" s="1254" t="s">
        <v>2260</v>
      </c>
      <c r="CY574" s="1252" t="s">
        <v>2260</v>
      </c>
      <c r="CZ574" s="1252" t="s">
        <v>2260</v>
      </c>
      <c r="DA574" s="1252" t="s">
        <v>2260</v>
      </c>
      <c r="DB574" s="1254" t="s">
        <v>2260</v>
      </c>
      <c r="DC574" s="754"/>
      <c r="DD574" s="782">
        <v>1</v>
      </c>
      <c r="DE574" s="783"/>
    </row>
    <row r="575" spans="1:109" ht="15.75" hidden="1" customHeight="1">
      <c r="A575" s="741" t="s">
        <v>1116</v>
      </c>
      <c r="B575" s="742">
        <v>569</v>
      </c>
      <c r="C575" s="758" t="s">
        <v>1746</v>
      </c>
      <c r="D575" s="742" t="s">
        <v>4068</v>
      </c>
      <c r="E575" s="742" t="s">
        <v>2217</v>
      </c>
      <c r="F575" s="754" t="s">
        <v>4084</v>
      </c>
      <c r="G575" s="759" t="s">
        <v>4085</v>
      </c>
      <c r="H575" s="760" t="s">
        <v>4086</v>
      </c>
      <c r="I575" s="761"/>
      <c r="J575" s="762">
        <v>1</v>
      </c>
      <c r="K575" s="762"/>
      <c r="L575" s="762"/>
      <c r="M575" s="762"/>
      <c r="N575" s="762"/>
      <c r="O575" s="762"/>
      <c r="P575" s="763"/>
      <c r="Q575" s="764">
        <f t="shared" si="8"/>
        <v>1</v>
      </c>
      <c r="R575" s="758" t="s">
        <v>1825</v>
      </c>
      <c r="S575" s="742"/>
      <c r="T575" s="765"/>
      <c r="U575" s="742" t="s">
        <v>2234</v>
      </c>
      <c r="V575" s="742" t="s">
        <v>321</v>
      </c>
      <c r="W575" s="742"/>
      <c r="X575" s="798">
        <v>1</v>
      </c>
      <c r="Y575" s="788" t="s">
        <v>1828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2260</v>
      </c>
      <c r="BR575" s="769" t="s">
        <v>2260</v>
      </c>
      <c r="BS575" s="769" t="s">
        <v>2260</v>
      </c>
      <c r="BT575" s="769" t="s">
        <v>2260</v>
      </c>
      <c r="BU575" s="774" t="s">
        <v>2260</v>
      </c>
      <c r="BV575" s="777" t="s">
        <v>2260</v>
      </c>
      <c r="BW575" s="769" t="s">
        <v>2260</v>
      </c>
      <c r="BX575" s="769" t="s">
        <v>2260</v>
      </c>
      <c r="BY575" s="769" t="s">
        <v>2260</v>
      </c>
      <c r="BZ575" s="769" t="s">
        <v>2260</v>
      </c>
      <c r="CA575" s="777" t="s">
        <v>2260</v>
      </c>
      <c r="CB575" s="769" t="s">
        <v>2260</v>
      </c>
      <c r="CC575" s="769" t="s">
        <v>2260</v>
      </c>
      <c r="CD575" s="769" t="s">
        <v>2260</v>
      </c>
      <c r="CE575" s="774" t="s">
        <v>2260</v>
      </c>
      <c r="CF575" s="769" t="s">
        <v>2260</v>
      </c>
      <c r="CG575" s="769" t="s">
        <v>2260</v>
      </c>
      <c r="CH575" s="769" t="s">
        <v>2260</v>
      </c>
      <c r="CI575" s="769" t="s">
        <v>2260</v>
      </c>
      <c r="CJ575" s="774" t="s">
        <v>2260</v>
      </c>
      <c r="CK575" s="777" t="s">
        <v>2260</v>
      </c>
      <c r="CL575" s="769" t="s">
        <v>2260</v>
      </c>
      <c r="CM575" s="769" t="s">
        <v>2260</v>
      </c>
      <c r="CN575" s="769" t="s">
        <v>2260</v>
      </c>
      <c r="CO575" s="774" t="s">
        <v>2260</v>
      </c>
      <c r="CP575" s="777" t="s">
        <v>2260</v>
      </c>
      <c r="CQ575" s="769" t="s">
        <v>2260</v>
      </c>
      <c r="CR575" s="769" t="s">
        <v>2260</v>
      </c>
      <c r="CS575" s="769" t="s">
        <v>2260</v>
      </c>
      <c r="CT575" s="774" t="s">
        <v>2260</v>
      </c>
      <c r="CU575" s="1253" t="s">
        <v>2260</v>
      </c>
      <c r="CV575" s="1252" t="s">
        <v>2260</v>
      </c>
      <c r="CW575" s="1252" t="s">
        <v>2260</v>
      </c>
      <c r="CX575" s="1254" t="s">
        <v>2260</v>
      </c>
      <c r="CY575" s="1252" t="s">
        <v>2260</v>
      </c>
      <c r="CZ575" s="1252" t="s">
        <v>2260</v>
      </c>
      <c r="DA575" s="1252" t="s">
        <v>2260</v>
      </c>
      <c r="DB575" s="1254" t="s">
        <v>2260</v>
      </c>
      <c r="DC575" s="754"/>
      <c r="DD575" s="782">
        <v>1</v>
      </c>
      <c r="DE575" s="783"/>
    </row>
    <row r="576" spans="1:109" ht="15.75" hidden="1" customHeight="1">
      <c r="A576" s="741" t="s">
        <v>1116</v>
      </c>
      <c r="B576" s="742">
        <v>570</v>
      </c>
      <c r="C576" s="758" t="s">
        <v>1748</v>
      </c>
      <c r="D576" s="742" t="s">
        <v>4068</v>
      </c>
      <c r="E576" s="742" t="s">
        <v>2217</v>
      </c>
      <c r="F576" s="754" t="s">
        <v>4087</v>
      </c>
      <c r="G576" s="759" t="s">
        <v>4088</v>
      </c>
      <c r="H576" s="760" t="s">
        <v>4089</v>
      </c>
      <c r="I576" s="761"/>
      <c r="J576" s="762">
        <v>1</v>
      </c>
      <c r="K576" s="762"/>
      <c r="L576" s="762"/>
      <c r="M576" s="762"/>
      <c r="N576" s="762"/>
      <c r="O576" s="762"/>
      <c r="P576" s="763"/>
      <c r="Q576" s="764">
        <f t="shared" si="8"/>
        <v>1</v>
      </c>
      <c r="R576" s="758" t="s">
        <v>1825</v>
      </c>
      <c r="S576" s="742"/>
      <c r="T576" s="765"/>
      <c r="U576" s="742" t="s">
        <v>2234</v>
      </c>
      <c r="V576" s="742" t="s">
        <v>321</v>
      </c>
      <c r="W576" s="742"/>
      <c r="X576" s="798">
        <v>1</v>
      </c>
      <c r="Y576" s="790" t="s">
        <v>1828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2260</v>
      </c>
      <c r="BR576" s="769" t="s">
        <v>2260</v>
      </c>
      <c r="BS576" s="769" t="s">
        <v>2260</v>
      </c>
      <c r="BT576" s="769" t="s">
        <v>2260</v>
      </c>
      <c r="BU576" s="774" t="s">
        <v>2260</v>
      </c>
      <c r="BV576" s="777" t="s">
        <v>2260</v>
      </c>
      <c r="BW576" s="769" t="s">
        <v>2260</v>
      </c>
      <c r="BX576" s="769" t="s">
        <v>2260</v>
      </c>
      <c r="BY576" s="769" t="s">
        <v>2260</v>
      </c>
      <c r="BZ576" s="769" t="s">
        <v>2260</v>
      </c>
      <c r="CA576" s="777" t="s">
        <v>2260</v>
      </c>
      <c r="CB576" s="769" t="s">
        <v>2260</v>
      </c>
      <c r="CC576" s="769" t="s">
        <v>2260</v>
      </c>
      <c r="CD576" s="769" t="s">
        <v>2260</v>
      </c>
      <c r="CE576" s="774" t="s">
        <v>2260</v>
      </c>
      <c r="CF576" s="769" t="s">
        <v>2260</v>
      </c>
      <c r="CG576" s="769" t="s">
        <v>2260</v>
      </c>
      <c r="CH576" s="769" t="s">
        <v>2260</v>
      </c>
      <c r="CI576" s="769" t="s">
        <v>2260</v>
      </c>
      <c r="CJ576" s="774" t="s">
        <v>2260</v>
      </c>
      <c r="CK576" s="777" t="s">
        <v>2260</v>
      </c>
      <c r="CL576" s="769" t="s">
        <v>2260</v>
      </c>
      <c r="CM576" s="769" t="s">
        <v>2260</v>
      </c>
      <c r="CN576" s="769" t="s">
        <v>2260</v>
      </c>
      <c r="CO576" s="774" t="s">
        <v>2260</v>
      </c>
      <c r="CP576" s="777" t="s">
        <v>2260</v>
      </c>
      <c r="CQ576" s="769" t="s">
        <v>2260</v>
      </c>
      <c r="CR576" s="769" t="s">
        <v>2260</v>
      </c>
      <c r="CS576" s="769" t="s">
        <v>2260</v>
      </c>
      <c r="CT576" s="774" t="s">
        <v>2260</v>
      </c>
      <c r="CU576" s="1253" t="s">
        <v>2260</v>
      </c>
      <c r="CV576" s="1252" t="s">
        <v>2260</v>
      </c>
      <c r="CW576" s="1252" t="s">
        <v>2260</v>
      </c>
      <c r="CX576" s="1254" t="s">
        <v>2260</v>
      </c>
      <c r="CY576" s="1252" t="s">
        <v>2260</v>
      </c>
      <c r="CZ576" s="1252" t="s">
        <v>2260</v>
      </c>
      <c r="DA576" s="1252" t="s">
        <v>2260</v>
      </c>
      <c r="DB576" s="1254" t="s">
        <v>2260</v>
      </c>
      <c r="DC576" s="754"/>
      <c r="DD576" s="782">
        <v>1</v>
      </c>
      <c r="DE576" s="783"/>
    </row>
    <row r="577" spans="1:109" ht="15.75" hidden="1" customHeight="1">
      <c r="A577" s="741" t="s">
        <v>1116</v>
      </c>
      <c r="B577" s="742">
        <v>571</v>
      </c>
      <c r="C577" s="758" t="s">
        <v>1750</v>
      </c>
      <c r="D577" s="742" t="s">
        <v>4068</v>
      </c>
      <c r="E577" s="742" t="s">
        <v>2217</v>
      </c>
      <c r="F577" s="754" t="s">
        <v>4090</v>
      </c>
      <c r="G577" s="759" t="s">
        <v>4091</v>
      </c>
      <c r="H577" s="760" t="s">
        <v>4092</v>
      </c>
      <c r="I577" s="784"/>
      <c r="J577" s="919"/>
      <c r="K577" s="762">
        <v>1</v>
      </c>
      <c r="L577" s="919"/>
      <c r="M577" s="919"/>
      <c r="N577" s="762"/>
      <c r="O577" s="762"/>
      <c r="P577" s="763"/>
      <c r="Q577" s="764">
        <f t="shared" si="8"/>
        <v>1</v>
      </c>
      <c r="R577" s="758" t="s">
        <v>1825</v>
      </c>
      <c r="S577" s="742"/>
      <c r="T577" s="765"/>
      <c r="U577" s="742" t="s">
        <v>2234</v>
      </c>
      <c r="V577" s="742" t="s">
        <v>321</v>
      </c>
      <c r="W577" s="742"/>
      <c r="X577" s="798">
        <v>1</v>
      </c>
      <c r="Y577" s="788" t="s">
        <v>1828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2260</v>
      </c>
      <c r="BR577" s="769" t="s">
        <v>2260</v>
      </c>
      <c r="BS577" s="769" t="s">
        <v>2260</v>
      </c>
      <c r="BT577" s="769" t="s">
        <v>2260</v>
      </c>
      <c r="BU577" s="774" t="s">
        <v>2260</v>
      </c>
      <c r="BV577" s="777" t="s">
        <v>2260</v>
      </c>
      <c r="BW577" s="769" t="s">
        <v>2260</v>
      </c>
      <c r="BX577" s="769" t="s">
        <v>2260</v>
      </c>
      <c r="BY577" s="769" t="s">
        <v>2260</v>
      </c>
      <c r="BZ577" s="769" t="s">
        <v>2260</v>
      </c>
      <c r="CA577" s="777" t="s">
        <v>2260</v>
      </c>
      <c r="CB577" s="769" t="s">
        <v>2260</v>
      </c>
      <c r="CC577" s="769" t="s">
        <v>2260</v>
      </c>
      <c r="CD577" s="769" t="s">
        <v>2260</v>
      </c>
      <c r="CE577" s="774" t="s">
        <v>2260</v>
      </c>
      <c r="CF577" s="769" t="s">
        <v>2260</v>
      </c>
      <c r="CG577" s="769" t="s">
        <v>2260</v>
      </c>
      <c r="CH577" s="769" t="s">
        <v>2260</v>
      </c>
      <c r="CI577" s="769" t="s">
        <v>2260</v>
      </c>
      <c r="CJ577" s="774" t="s">
        <v>2260</v>
      </c>
      <c r="CK577" s="777" t="s">
        <v>2260</v>
      </c>
      <c r="CL577" s="769" t="s">
        <v>2260</v>
      </c>
      <c r="CM577" s="769" t="s">
        <v>2260</v>
      </c>
      <c r="CN577" s="769" t="s">
        <v>2260</v>
      </c>
      <c r="CO577" s="774" t="s">
        <v>2260</v>
      </c>
      <c r="CP577" s="777" t="s">
        <v>2260</v>
      </c>
      <c r="CQ577" s="769" t="s">
        <v>2260</v>
      </c>
      <c r="CR577" s="769" t="s">
        <v>2260</v>
      </c>
      <c r="CS577" s="769" t="s">
        <v>2260</v>
      </c>
      <c r="CT577" s="774" t="s">
        <v>2260</v>
      </c>
      <c r="CU577" s="1253" t="s">
        <v>2260</v>
      </c>
      <c r="CV577" s="1252" t="s">
        <v>2260</v>
      </c>
      <c r="CW577" s="1252" t="s">
        <v>2260</v>
      </c>
      <c r="CX577" s="1254" t="s">
        <v>2260</v>
      </c>
      <c r="CY577" s="1252" t="s">
        <v>2260</v>
      </c>
      <c r="CZ577" s="1252" t="s">
        <v>2260</v>
      </c>
      <c r="DA577" s="1252" t="s">
        <v>2260</v>
      </c>
      <c r="DB577" s="1254" t="s">
        <v>2260</v>
      </c>
      <c r="DC577" s="754"/>
      <c r="DD577" s="782">
        <v>1</v>
      </c>
      <c r="DE577" s="783"/>
    </row>
    <row r="578" spans="1:109" ht="15.75" hidden="1" customHeight="1">
      <c r="A578" s="741" t="s">
        <v>1116</v>
      </c>
      <c r="B578" s="742">
        <v>572</v>
      </c>
      <c r="C578" s="758" t="s">
        <v>1752</v>
      </c>
      <c r="D578" s="742" t="s">
        <v>4068</v>
      </c>
      <c r="E578" s="742" t="s">
        <v>2217</v>
      </c>
      <c r="F578" s="754" t="s">
        <v>4093</v>
      </c>
      <c r="G578" s="759" t="s">
        <v>4094</v>
      </c>
      <c r="H578" s="760" t="s">
        <v>4095</v>
      </c>
      <c r="I578" s="761"/>
      <c r="J578" s="762"/>
      <c r="K578" s="762">
        <v>1</v>
      </c>
      <c r="L578" s="762"/>
      <c r="M578" s="762"/>
      <c r="N578" s="762"/>
      <c r="O578" s="762"/>
      <c r="P578" s="763"/>
      <c r="Q578" s="764">
        <f t="shared" si="8"/>
        <v>1</v>
      </c>
      <c r="R578" s="758" t="s">
        <v>1825</v>
      </c>
      <c r="S578" s="742"/>
      <c r="T578" s="765"/>
      <c r="U578" s="742" t="s">
        <v>2234</v>
      </c>
      <c r="V578" s="742" t="s">
        <v>321</v>
      </c>
      <c r="W578" s="742"/>
      <c r="X578" s="798">
        <v>1</v>
      </c>
      <c r="Y578" s="791" t="s">
        <v>1828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2260</v>
      </c>
      <c r="BR578" s="769" t="s">
        <v>2260</v>
      </c>
      <c r="BS578" s="769" t="s">
        <v>2260</v>
      </c>
      <c r="BT578" s="769" t="s">
        <v>2260</v>
      </c>
      <c r="BU578" s="774" t="s">
        <v>2260</v>
      </c>
      <c r="BV578" s="777" t="s">
        <v>2260</v>
      </c>
      <c r="BW578" s="769" t="s">
        <v>2260</v>
      </c>
      <c r="BX578" s="769" t="s">
        <v>2260</v>
      </c>
      <c r="BY578" s="769" t="s">
        <v>2260</v>
      </c>
      <c r="BZ578" s="769" t="s">
        <v>2260</v>
      </c>
      <c r="CA578" s="777" t="s">
        <v>2260</v>
      </c>
      <c r="CB578" s="769" t="s">
        <v>2260</v>
      </c>
      <c r="CC578" s="769" t="s">
        <v>2260</v>
      </c>
      <c r="CD578" s="769" t="s">
        <v>2260</v>
      </c>
      <c r="CE578" s="774" t="s">
        <v>2260</v>
      </c>
      <c r="CF578" s="769" t="s">
        <v>2260</v>
      </c>
      <c r="CG578" s="769" t="s">
        <v>2260</v>
      </c>
      <c r="CH578" s="769" t="s">
        <v>2260</v>
      </c>
      <c r="CI578" s="769" t="s">
        <v>2260</v>
      </c>
      <c r="CJ578" s="774" t="s">
        <v>2260</v>
      </c>
      <c r="CK578" s="777" t="s">
        <v>2260</v>
      </c>
      <c r="CL578" s="769" t="s">
        <v>2260</v>
      </c>
      <c r="CM578" s="769" t="s">
        <v>2260</v>
      </c>
      <c r="CN578" s="769" t="s">
        <v>2260</v>
      </c>
      <c r="CO578" s="774" t="s">
        <v>2260</v>
      </c>
      <c r="CP578" s="777" t="s">
        <v>2260</v>
      </c>
      <c r="CQ578" s="769" t="s">
        <v>2260</v>
      </c>
      <c r="CR578" s="769" t="s">
        <v>2260</v>
      </c>
      <c r="CS578" s="769" t="s">
        <v>2260</v>
      </c>
      <c r="CT578" s="774" t="s">
        <v>2260</v>
      </c>
      <c r="CU578" s="1253" t="s">
        <v>2260</v>
      </c>
      <c r="CV578" s="1252" t="s">
        <v>2260</v>
      </c>
      <c r="CW578" s="1252" t="s">
        <v>2260</v>
      </c>
      <c r="CX578" s="1254" t="s">
        <v>2260</v>
      </c>
      <c r="CY578" s="1252" t="s">
        <v>2260</v>
      </c>
      <c r="CZ578" s="1252" t="s">
        <v>2260</v>
      </c>
      <c r="DA578" s="1252" t="s">
        <v>2260</v>
      </c>
      <c r="DB578" s="1254" t="s">
        <v>2260</v>
      </c>
      <c r="DC578" s="754"/>
      <c r="DD578" s="782">
        <v>1</v>
      </c>
      <c r="DE578" s="783"/>
    </row>
    <row r="579" spans="1:109" ht="15.75" hidden="1" customHeight="1">
      <c r="A579" s="741" t="s">
        <v>1116</v>
      </c>
      <c r="B579" s="742">
        <v>573</v>
      </c>
      <c r="C579" s="758" t="s">
        <v>1563</v>
      </c>
      <c r="D579" s="742" t="s">
        <v>4068</v>
      </c>
      <c r="E579" s="742" t="s">
        <v>2231</v>
      </c>
      <c r="F579" s="754" t="s">
        <v>4096</v>
      </c>
      <c r="G579" s="759" t="s">
        <v>4097</v>
      </c>
      <c r="H579" s="760" t="s">
        <v>4098</v>
      </c>
      <c r="I579" s="761"/>
      <c r="J579" s="762">
        <v>0.41399999999999998</v>
      </c>
      <c r="K579" s="762">
        <v>0.58599999999999997</v>
      </c>
      <c r="L579" s="762"/>
      <c r="M579" s="762"/>
      <c r="N579" s="762"/>
      <c r="O579" s="762"/>
      <c r="P579" s="763"/>
      <c r="Q579" s="764">
        <f t="shared" si="8"/>
        <v>1</v>
      </c>
      <c r="R579" s="758" t="s">
        <v>1852</v>
      </c>
      <c r="S579" s="1461" t="s">
        <v>1826</v>
      </c>
      <c r="T579" s="765" t="s">
        <v>1827</v>
      </c>
      <c r="U579" s="742" t="s">
        <v>2610</v>
      </c>
      <c r="V579" s="742" t="s">
        <v>1857</v>
      </c>
      <c r="W579" s="742"/>
      <c r="X579" s="798">
        <v>0</v>
      </c>
      <c r="Y579" s="795" t="s">
        <v>1828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210</v>
      </c>
      <c r="BM579" s="754" t="s">
        <v>210</v>
      </c>
      <c r="BN579" s="754" t="s">
        <v>210</v>
      </c>
      <c r="BO579" s="754" t="s">
        <v>210</v>
      </c>
      <c r="BP579" s="754" t="s">
        <v>210</v>
      </c>
      <c r="BQ579" s="777" t="s">
        <v>2260</v>
      </c>
      <c r="BR579" s="769" t="s">
        <v>2260</v>
      </c>
      <c r="BS579" s="769" t="s">
        <v>2260</v>
      </c>
      <c r="BT579" s="769" t="s">
        <v>2260</v>
      </c>
      <c r="BU579" s="774" t="s">
        <v>2260</v>
      </c>
      <c r="BV579" s="796">
        <v>42000</v>
      </c>
      <c r="BW579" s="766">
        <v>43200</v>
      </c>
      <c r="BX579" s="766">
        <v>43800</v>
      </c>
      <c r="BY579" s="766">
        <v>44400</v>
      </c>
      <c r="BZ579" s="766">
        <v>45000</v>
      </c>
      <c r="CA579" s="777" t="s">
        <v>2260</v>
      </c>
      <c r="CB579" s="769" t="s">
        <v>2260</v>
      </c>
      <c r="CC579" s="769" t="s">
        <v>2260</v>
      </c>
      <c r="CD579" s="769" t="s">
        <v>2260</v>
      </c>
      <c r="CE579" s="774" t="s">
        <v>2260</v>
      </c>
      <c r="CF579" s="769" t="s">
        <v>2260</v>
      </c>
      <c r="CG579" s="769" t="s">
        <v>2260</v>
      </c>
      <c r="CH579" s="769" t="s">
        <v>2260</v>
      </c>
      <c r="CI579" s="769" t="s">
        <v>2260</v>
      </c>
      <c r="CJ579" s="774" t="s">
        <v>2260</v>
      </c>
      <c r="CK579" s="1675">
        <v>98000</v>
      </c>
      <c r="CL579" s="1676">
        <v>100800</v>
      </c>
      <c r="CM579" s="1676">
        <v>102200</v>
      </c>
      <c r="CN579" s="1676">
        <v>103600</v>
      </c>
      <c r="CO579" s="1684">
        <v>105000</v>
      </c>
      <c r="CP579" s="777" t="s">
        <v>2260</v>
      </c>
      <c r="CQ579" s="769" t="s">
        <v>2260</v>
      </c>
      <c r="CR579" s="769" t="s">
        <v>2260</v>
      </c>
      <c r="CS579" s="769" t="s">
        <v>2260</v>
      </c>
      <c r="CT579" s="774" t="s">
        <v>2260</v>
      </c>
      <c r="CU579" s="1253">
        <v>-3.9999999999999998E-6</v>
      </c>
      <c r="CV579" s="1252" t="s">
        <v>2260</v>
      </c>
      <c r="CW579" s="1252" t="s">
        <v>2260</v>
      </c>
      <c r="CX579" s="1254" t="s">
        <v>2260</v>
      </c>
      <c r="CY579" s="1252">
        <v>1.9999999999999999E-6</v>
      </c>
      <c r="CZ579" s="1252" t="s">
        <v>2260</v>
      </c>
      <c r="DA579" s="1252" t="s">
        <v>2260</v>
      </c>
      <c r="DB579" s="1254" t="s">
        <v>2260</v>
      </c>
      <c r="DC579" s="754"/>
      <c r="DD579" s="782">
        <v>1E-3</v>
      </c>
      <c r="DE579" s="783"/>
    </row>
    <row r="580" spans="1:109" ht="15.75" hidden="1" customHeight="1">
      <c r="A580" s="741" t="s">
        <v>1116</v>
      </c>
      <c r="B580" s="742">
        <v>574</v>
      </c>
      <c r="C580" s="758" t="s">
        <v>1386</v>
      </c>
      <c r="D580" s="742" t="s">
        <v>4068</v>
      </c>
      <c r="E580" s="742" t="s">
        <v>2231</v>
      </c>
      <c r="F580" s="754" t="s">
        <v>4099</v>
      </c>
      <c r="G580" s="759" t="s">
        <v>4100</v>
      </c>
      <c r="H580" s="760" t="s">
        <v>4101</v>
      </c>
      <c r="I580" s="761">
        <v>1</v>
      </c>
      <c r="J580" s="762"/>
      <c r="K580" s="762"/>
      <c r="L580" s="762"/>
      <c r="M580" s="762"/>
      <c r="N580" s="762"/>
      <c r="O580" s="762"/>
      <c r="P580" s="763"/>
      <c r="Q580" s="764">
        <f t="shared" si="8"/>
        <v>1</v>
      </c>
      <c r="R580" s="758" t="s">
        <v>2882</v>
      </c>
      <c r="S580" s="742" t="s">
        <v>1826</v>
      </c>
      <c r="T580" s="765" t="s">
        <v>1827</v>
      </c>
      <c r="U580" s="742" t="s">
        <v>2610</v>
      </c>
      <c r="V580" s="742" t="s">
        <v>1857</v>
      </c>
      <c r="W580" s="742"/>
      <c r="X580" s="798">
        <v>0</v>
      </c>
      <c r="Y580" s="790" t="s">
        <v>1828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210</v>
      </c>
      <c r="BM580" s="754" t="s">
        <v>210</v>
      </c>
      <c r="BN580" s="754" t="s">
        <v>210</v>
      </c>
      <c r="BO580" s="754" t="s">
        <v>210</v>
      </c>
      <c r="BP580" s="754" t="s">
        <v>210</v>
      </c>
      <c r="BQ580" s="777" t="s">
        <v>2260</v>
      </c>
      <c r="BR580" s="769" t="s">
        <v>2260</v>
      </c>
      <c r="BS580" s="769" t="s">
        <v>2260</v>
      </c>
      <c r="BT580" s="769" t="s">
        <v>2260</v>
      </c>
      <c r="BU580" s="774" t="s">
        <v>2260</v>
      </c>
      <c r="BV580" s="796">
        <v>230000</v>
      </c>
      <c r="BW580" s="766">
        <v>332000</v>
      </c>
      <c r="BX580" s="766">
        <v>361000</v>
      </c>
      <c r="BY580" s="766">
        <v>406000</v>
      </c>
      <c r="BZ580" s="766">
        <v>450000</v>
      </c>
      <c r="CA580" s="777" t="s">
        <v>2260</v>
      </c>
      <c r="CB580" s="769" t="s">
        <v>2260</v>
      </c>
      <c r="CC580" s="769" t="s">
        <v>2260</v>
      </c>
      <c r="CD580" s="769" t="s">
        <v>2260</v>
      </c>
      <c r="CE580" s="774" t="s">
        <v>2260</v>
      </c>
      <c r="CF580" s="769" t="s">
        <v>2260</v>
      </c>
      <c r="CG580" s="769" t="s">
        <v>2260</v>
      </c>
      <c r="CH580" s="769" t="s">
        <v>2260</v>
      </c>
      <c r="CI580" s="769" t="s">
        <v>2260</v>
      </c>
      <c r="CJ580" s="774" t="s">
        <v>2260</v>
      </c>
      <c r="CK580" s="796">
        <v>890000</v>
      </c>
      <c r="CL580" s="766">
        <v>1018000</v>
      </c>
      <c r="CM580" s="766">
        <v>1079000</v>
      </c>
      <c r="CN580" s="766">
        <v>1144000</v>
      </c>
      <c r="CO580" s="810">
        <v>1210000</v>
      </c>
      <c r="CP580" s="777" t="s">
        <v>2260</v>
      </c>
      <c r="CQ580" s="769" t="s">
        <v>2260</v>
      </c>
      <c r="CR580" s="769" t="s">
        <v>2260</v>
      </c>
      <c r="CS580" s="769" t="s">
        <v>2260</v>
      </c>
      <c r="CT580" s="774" t="s">
        <v>2260</v>
      </c>
      <c r="CU580" s="1253">
        <v>-1.9999999999999999E-6</v>
      </c>
      <c r="CV580" s="1252" t="s">
        <v>2260</v>
      </c>
      <c r="CW580" s="1252" t="s">
        <v>2260</v>
      </c>
      <c r="CX580" s="1254" t="s">
        <v>2260</v>
      </c>
      <c r="CY580" s="1252">
        <v>9.9999999999999995E-7</v>
      </c>
      <c r="CZ580" s="1252" t="s">
        <v>2260</v>
      </c>
      <c r="DA580" s="1252" t="s">
        <v>2260</v>
      </c>
      <c r="DB580" s="1254" t="s">
        <v>2260</v>
      </c>
      <c r="DC580" s="754"/>
      <c r="DD580" s="782">
        <v>1E-4</v>
      </c>
      <c r="DE580" s="783"/>
    </row>
    <row r="581" spans="1:109" ht="15.75" hidden="1" customHeight="1">
      <c r="A581" s="741" t="s">
        <v>1116</v>
      </c>
      <c r="B581" s="742">
        <v>575</v>
      </c>
      <c r="C581" s="758" t="s">
        <v>1753</v>
      </c>
      <c r="D581" s="742" t="s">
        <v>4102</v>
      </c>
      <c r="E581" s="742" t="s">
        <v>4103</v>
      </c>
      <c r="F581" s="754" t="s">
        <v>4104</v>
      </c>
      <c r="G581" s="759" t="s">
        <v>4105</v>
      </c>
      <c r="H581" s="760" t="s">
        <v>4106</v>
      </c>
      <c r="I581" s="761">
        <v>0.04</v>
      </c>
      <c r="J581" s="762">
        <v>0.39</v>
      </c>
      <c r="K581" s="762">
        <v>0.31</v>
      </c>
      <c r="L581" s="762">
        <v>7.0000000000000007E-2</v>
      </c>
      <c r="M581" s="762">
        <v>0.17</v>
      </c>
      <c r="N581" s="762">
        <v>0.02</v>
      </c>
      <c r="O581" s="762"/>
      <c r="P581" s="763"/>
      <c r="Q581" s="764">
        <f t="shared" si="8"/>
        <v>1</v>
      </c>
      <c r="R581" s="758" t="s">
        <v>1825</v>
      </c>
      <c r="S581" s="742"/>
      <c r="T581" s="765"/>
      <c r="U581" s="742" t="s">
        <v>2927</v>
      </c>
      <c r="V581" s="742" t="s">
        <v>1857</v>
      </c>
      <c r="W581" s="742"/>
      <c r="X581" s="798">
        <v>0</v>
      </c>
      <c r="Y581" s="795" t="s">
        <v>1838</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2260</v>
      </c>
      <c r="BR581" s="769" t="s">
        <v>2260</v>
      </c>
      <c r="BS581" s="769" t="s">
        <v>2260</v>
      </c>
      <c r="BT581" s="769" t="s">
        <v>2260</v>
      </c>
      <c r="BU581" s="774" t="s">
        <v>2260</v>
      </c>
      <c r="BV581" s="777" t="s">
        <v>2260</v>
      </c>
      <c r="BW581" s="769" t="s">
        <v>2260</v>
      </c>
      <c r="BX581" s="769" t="s">
        <v>2260</v>
      </c>
      <c r="BY581" s="769" t="s">
        <v>2260</v>
      </c>
      <c r="BZ581" s="769" t="s">
        <v>2260</v>
      </c>
      <c r="CA581" s="777" t="s">
        <v>2260</v>
      </c>
      <c r="CB581" s="769" t="s">
        <v>2260</v>
      </c>
      <c r="CC581" s="769" t="s">
        <v>2260</v>
      </c>
      <c r="CD581" s="769" t="s">
        <v>2260</v>
      </c>
      <c r="CE581" s="774" t="s">
        <v>2260</v>
      </c>
      <c r="CF581" s="769" t="s">
        <v>2260</v>
      </c>
      <c r="CG581" s="769" t="s">
        <v>2260</v>
      </c>
      <c r="CH581" s="769" t="s">
        <v>2260</v>
      </c>
      <c r="CI581" s="769" t="s">
        <v>2260</v>
      </c>
      <c r="CJ581" s="774" t="s">
        <v>2260</v>
      </c>
      <c r="CK581" s="777" t="s">
        <v>2260</v>
      </c>
      <c r="CL581" s="769" t="s">
        <v>2260</v>
      </c>
      <c r="CM581" s="769" t="s">
        <v>2260</v>
      </c>
      <c r="CN581" s="769" t="s">
        <v>2260</v>
      </c>
      <c r="CO581" s="774" t="s">
        <v>2260</v>
      </c>
      <c r="CP581" s="777" t="s">
        <v>2260</v>
      </c>
      <c r="CQ581" s="769" t="s">
        <v>2260</v>
      </c>
      <c r="CR581" s="769" t="s">
        <v>2260</v>
      </c>
      <c r="CS581" s="769" t="s">
        <v>2260</v>
      </c>
      <c r="CT581" s="774" t="s">
        <v>2260</v>
      </c>
      <c r="CU581" s="1253" t="s">
        <v>2260</v>
      </c>
      <c r="CV581" s="1252" t="s">
        <v>2260</v>
      </c>
      <c r="CW581" s="1252" t="s">
        <v>2260</v>
      </c>
      <c r="CX581" s="1254" t="s">
        <v>2260</v>
      </c>
      <c r="CY581" s="1252" t="s">
        <v>2260</v>
      </c>
      <c r="CZ581" s="1252" t="s">
        <v>2260</v>
      </c>
      <c r="DA581" s="1252" t="s">
        <v>2260</v>
      </c>
      <c r="DB581" s="1254" t="s">
        <v>2260</v>
      </c>
      <c r="DC581" s="754"/>
      <c r="DD581" s="782">
        <v>1</v>
      </c>
      <c r="DE581" s="783"/>
    </row>
    <row r="582" spans="1:109" ht="15.75" hidden="1" customHeight="1">
      <c r="A582" s="741" t="s">
        <v>1116</v>
      </c>
      <c r="B582" s="742">
        <v>576</v>
      </c>
      <c r="C582" s="758" t="s">
        <v>1754</v>
      </c>
      <c r="D582" s="742" t="s">
        <v>4102</v>
      </c>
      <c r="E582" s="742" t="s">
        <v>2231</v>
      </c>
      <c r="F582" s="754" t="s">
        <v>4107</v>
      </c>
      <c r="G582" s="759" t="s">
        <v>4108</v>
      </c>
      <c r="H582" s="760" t="s">
        <v>4109</v>
      </c>
      <c r="I582" s="761">
        <v>0.04</v>
      </c>
      <c r="J582" s="762">
        <v>0.39</v>
      </c>
      <c r="K582" s="762">
        <v>0.31</v>
      </c>
      <c r="L582" s="762">
        <v>7.0000000000000007E-2</v>
      </c>
      <c r="M582" s="762">
        <v>0.17</v>
      </c>
      <c r="N582" s="762">
        <v>0.02</v>
      </c>
      <c r="O582" s="762"/>
      <c r="P582" s="763"/>
      <c r="Q582" s="764">
        <f t="shared" si="8"/>
        <v>1</v>
      </c>
      <c r="R582" s="758" t="s">
        <v>1825</v>
      </c>
      <c r="S582" s="742"/>
      <c r="T582" s="765"/>
      <c r="U582" s="742" t="s">
        <v>2568</v>
      </c>
      <c r="V582" s="742" t="s">
        <v>321</v>
      </c>
      <c r="W582" s="742"/>
      <c r="X582" s="798">
        <v>1</v>
      </c>
      <c r="Y582" s="790" t="s">
        <v>1828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2260</v>
      </c>
      <c r="BR582" s="769" t="s">
        <v>2260</v>
      </c>
      <c r="BS582" s="769" t="s">
        <v>2260</v>
      </c>
      <c r="BT582" s="769" t="s">
        <v>2260</v>
      </c>
      <c r="BU582" s="774" t="s">
        <v>2260</v>
      </c>
      <c r="BV582" s="777" t="s">
        <v>2260</v>
      </c>
      <c r="BW582" s="769" t="s">
        <v>2260</v>
      </c>
      <c r="BX582" s="769" t="s">
        <v>2260</v>
      </c>
      <c r="BY582" s="769" t="s">
        <v>2260</v>
      </c>
      <c r="BZ582" s="769" t="s">
        <v>2260</v>
      </c>
      <c r="CA582" s="777" t="s">
        <v>2260</v>
      </c>
      <c r="CB582" s="769" t="s">
        <v>2260</v>
      </c>
      <c r="CC582" s="769" t="s">
        <v>2260</v>
      </c>
      <c r="CD582" s="769" t="s">
        <v>2260</v>
      </c>
      <c r="CE582" s="774" t="s">
        <v>2260</v>
      </c>
      <c r="CF582" s="769" t="s">
        <v>2260</v>
      </c>
      <c r="CG582" s="769" t="s">
        <v>2260</v>
      </c>
      <c r="CH582" s="769" t="s">
        <v>2260</v>
      </c>
      <c r="CI582" s="769" t="s">
        <v>2260</v>
      </c>
      <c r="CJ582" s="769" t="s">
        <v>2260</v>
      </c>
      <c r="CK582" s="777" t="s">
        <v>2260</v>
      </c>
      <c r="CL582" s="769" t="s">
        <v>2260</v>
      </c>
      <c r="CM582" s="769" t="s">
        <v>2260</v>
      </c>
      <c r="CN582" s="769" t="s">
        <v>2260</v>
      </c>
      <c r="CO582" s="774" t="s">
        <v>2260</v>
      </c>
      <c r="CP582" s="777" t="s">
        <v>2260</v>
      </c>
      <c r="CQ582" s="769" t="s">
        <v>2260</v>
      </c>
      <c r="CR582" s="769" t="s">
        <v>2260</v>
      </c>
      <c r="CS582" s="769" t="s">
        <v>2260</v>
      </c>
      <c r="CT582" s="774" t="s">
        <v>2260</v>
      </c>
      <c r="CU582" s="1253" t="s">
        <v>2260</v>
      </c>
      <c r="CV582" s="1252" t="s">
        <v>2260</v>
      </c>
      <c r="CW582" s="1252" t="s">
        <v>2260</v>
      </c>
      <c r="CX582" s="1254" t="s">
        <v>2260</v>
      </c>
      <c r="CY582" s="1252" t="s">
        <v>2260</v>
      </c>
      <c r="CZ582" s="1252" t="s">
        <v>2260</v>
      </c>
      <c r="DA582" s="1252" t="s">
        <v>2260</v>
      </c>
      <c r="DB582" s="1254" t="s">
        <v>2260</v>
      </c>
      <c r="DC582" s="754"/>
      <c r="DD582" s="782">
        <v>1</v>
      </c>
      <c r="DE582" s="783"/>
    </row>
    <row r="583" spans="1:109" ht="15.75" hidden="1" customHeight="1">
      <c r="A583" s="741" t="s">
        <v>1116</v>
      </c>
      <c r="B583" s="742">
        <v>577</v>
      </c>
      <c r="C583" s="758" t="s">
        <v>1755</v>
      </c>
      <c r="D583" s="742" t="s">
        <v>4102</v>
      </c>
      <c r="E583" s="742" t="s">
        <v>2231</v>
      </c>
      <c r="F583" s="754" t="s">
        <v>4110</v>
      </c>
      <c r="G583" s="759" t="s">
        <v>4111</v>
      </c>
      <c r="H583" s="760" t="s">
        <v>4112</v>
      </c>
      <c r="I583" s="761">
        <v>0.04</v>
      </c>
      <c r="J583" s="762">
        <v>0.39</v>
      </c>
      <c r="K583" s="762">
        <v>0.31</v>
      </c>
      <c r="L583" s="762">
        <v>7.0000000000000007E-2</v>
      </c>
      <c r="M583" s="762">
        <v>0.17</v>
      </c>
      <c r="N583" s="762">
        <v>0.02</v>
      </c>
      <c r="O583" s="762"/>
      <c r="P583" s="763"/>
      <c r="Q583" s="764">
        <f t="shared" si="8"/>
        <v>1</v>
      </c>
      <c r="R583" s="758" t="s">
        <v>1825</v>
      </c>
      <c r="S583" s="742"/>
      <c r="T583" s="765"/>
      <c r="U583" s="742" t="s">
        <v>2568</v>
      </c>
      <c r="V583" s="742" t="s">
        <v>321</v>
      </c>
      <c r="W583" s="742"/>
      <c r="X583" s="798">
        <v>0</v>
      </c>
      <c r="Y583" s="788" t="s">
        <v>1828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2260</v>
      </c>
      <c r="BR583" s="769" t="s">
        <v>2260</v>
      </c>
      <c r="BS583" s="769" t="s">
        <v>2260</v>
      </c>
      <c r="BT583" s="769" t="s">
        <v>2260</v>
      </c>
      <c r="BU583" s="774" t="s">
        <v>2260</v>
      </c>
      <c r="BV583" s="777" t="s">
        <v>2260</v>
      </c>
      <c r="BW583" s="769" t="s">
        <v>2260</v>
      </c>
      <c r="BX583" s="769" t="s">
        <v>2260</v>
      </c>
      <c r="BY583" s="769" t="s">
        <v>2260</v>
      </c>
      <c r="BZ583" s="769" t="s">
        <v>2260</v>
      </c>
      <c r="CA583" s="777" t="s">
        <v>2260</v>
      </c>
      <c r="CB583" s="769" t="s">
        <v>2260</v>
      </c>
      <c r="CC583" s="769" t="s">
        <v>2260</v>
      </c>
      <c r="CD583" s="769" t="s">
        <v>2260</v>
      </c>
      <c r="CE583" s="774" t="s">
        <v>2260</v>
      </c>
      <c r="CF583" s="769" t="s">
        <v>2260</v>
      </c>
      <c r="CG583" s="769" t="s">
        <v>2260</v>
      </c>
      <c r="CH583" s="769" t="s">
        <v>2260</v>
      </c>
      <c r="CI583" s="769" t="s">
        <v>2260</v>
      </c>
      <c r="CJ583" s="774" t="s">
        <v>2260</v>
      </c>
      <c r="CK583" s="777" t="s">
        <v>2260</v>
      </c>
      <c r="CL583" s="769" t="s">
        <v>2260</v>
      </c>
      <c r="CM583" s="769" t="s">
        <v>2260</v>
      </c>
      <c r="CN583" s="769" t="s">
        <v>2260</v>
      </c>
      <c r="CO583" s="774" t="s">
        <v>2260</v>
      </c>
      <c r="CP583" s="777" t="s">
        <v>2260</v>
      </c>
      <c r="CQ583" s="769" t="s">
        <v>2260</v>
      </c>
      <c r="CR583" s="769" t="s">
        <v>2260</v>
      </c>
      <c r="CS583" s="769" t="s">
        <v>2260</v>
      </c>
      <c r="CT583" s="774" t="s">
        <v>2260</v>
      </c>
      <c r="CU583" s="1253" t="s">
        <v>2260</v>
      </c>
      <c r="CV583" s="1252" t="s">
        <v>2260</v>
      </c>
      <c r="CW583" s="1252" t="s">
        <v>2260</v>
      </c>
      <c r="CX583" s="1254" t="s">
        <v>2260</v>
      </c>
      <c r="CY583" s="1252" t="s">
        <v>2260</v>
      </c>
      <c r="CZ583" s="1252" t="s">
        <v>2260</v>
      </c>
      <c r="DA583" s="1252" t="s">
        <v>2260</v>
      </c>
      <c r="DB583" s="1254" t="s">
        <v>2260</v>
      </c>
      <c r="DC583" s="754"/>
      <c r="DD583" s="782">
        <v>1</v>
      </c>
      <c r="DE583" s="783"/>
    </row>
    <row r="584" spans="1:109" ht="15.75" hidden="1" customHeight="1">
      <c r="A584" s="741" t="s">
        <v>1116</v>
      </c>
      <c r="B584" s="742">
        <v>578</v>
      </c>
      <c r="C584" s="758" t="s">
        <v>1403</v>
      </c>
      <c r="D584" s="742" t="s">
        <v>4051</v>
      </c>
      <c r="E584" s="742" t="s">
        <v>2231</v>
      </c>
      <c r="F584" s="754" t="s">
        <v>4113</v>
      </c>
      <c r="G584" s="759" t="s">
        <v>4114</v>
      </c>
      <c r="H584" s="760" t="s">
        <v>4115</v>
      </c>
      <c r="I584" s="761">
        <v>1</v>
      </c>
      <c r="J584" s="762"/>
      <c r="K584" s="762"/>
      <c r="L584" s="762"/>
      <c r="M584" s="762"/>
      <c r="N584" s="762"/>
      <c r="O584" s="762"/>
      <c r="P584" s="763"/>
      <c r="Q584" s="764">
        <f t="shared" si="8"/>
        <v>1</v>
      </c>
      <c r="R584" s="758" t="s">
        <v>1846</v>
      </c>
      <c r="S584" s="742" t="s">
        <v>1826</v>
      </c>
      <c r="T584" s="765" t="s">
        <v>1827</v>
      </c>
      <c r="U584" s="742" t="s">
        <v>2396</v>
      </c>
      <c r="V584" s="825" t="s">
        <v>1857</v>
      </c>
      <c r="W584" s="742"/>
      <c r="X584" s="1243">
        <v>0</v>
      </c>
      <c r="Y584" s="788" t="s">
        <v>1828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28" t="s">
        <v>210</v>
      </c>
      <c r="BM584" s="1829" t="s">
        <v>210</v>
      </c>
      <c r="BN584" s="1829" t="s">
        <v>210</v>
      </c>
      <c r="BO584" s="1829" t="s">
        <v>210</v>
      </c>
      <c r="BP584" s="754" t="s">
        <v>210</v>
      </c>
      <c r="BQ584" s="777" t="s">
        <v>2260</v>
      </c>
      <c r="BR584" s="769" t="s">
        <v>2260</v>
      </c>
      <c r="BS584" s="769" t="s">
        <v>2260</v>
      </c>
      <c r="BT584" s="769" t="s">
        <v>2260</v>
      </c>
      <c r="BU584" s="774" t="s">
        <v>2260</v>
      </c>
      <c r="BV584" s="777" t="s">
        <v>2260</v>
      </c>
      <c r="BW584" s="769" t="s">
        <v>2260</v>
      </c>
      <c r="BX584" s="769" t="s">
        <v>2260</v>
      </c>
      <c r="BY584" s="769" t="s">
        <v>2260</v>
      </c>
      <c r="BZ584" s="769" t="s">
        <v>2260</v>
      </c>
      <c r="CA584" s="777" t="s">
        <v>2260</v>
      </c>
      <c r="CB584" s="769" t="s">
        <v>2260</v>
      </c>
      <c r="CC584" s="769" t="s">
        <v>2260</v>
      </c>
      <c r="CD584" s="769" t="s">
        <v>2260</v>
      </c>
      <c r="CE584" s="774" t="s">
        <v>2260</v>
      </c>
      <c r="CF584" s="769" t="s">
        <v>2260</v>
      </c>
      <c r="CG584" s="769" t="s">
        <v>2260</v>
      </c>
      <c r="CH584" s="769" t="s">
        <v>2260</v>
      </c>
      <c r="CI584" s="769" t="s">
        <v>2260</v>
      </c>
      <c r="CJ584" s="774" t="s">
        <v>2260</v>
      </c>
      <c r="CK584" s="777" t="s">
        <v>2260</v>
      </c>
      <c r="CL584" s="769" t="s">
        <v>2260</v>
      </c>
      <c r="CM584" s="769" t="s">
        <v>2260</v>
      </c>
      <c r="CN584" s="769" t="s">
        <v>2260</v>
      </c>
      <c r="CO584" s="774" t="s">
        <v>2260</v>
      </c>
      <c r="CP584" s="777" t="s">
        <v>2260</v>
      </c>
      <c r="CQ584" s="769" t="s">
        <v>2260</v>
      </c>
      <c r="CR584" s="769" t="s">
        <v>2260</v>
      </c>
      <c r="CS584" s="769" t="s">
        <v>2260</v>
      </c>
      <c r="CT584" s="774" t="s">
        <v>2260</v>
      </c>
      <c r="CU584" s="1253">
        <v>-0.1961</v>
      </c>
      <c r="CV584" s="1252" t="s">
        <v>2260</v>
      </c>
      <c r="CW584" s="1252" t="s">
        <v>2260</v>
      </c>
      <c r="CX584" s="1254" t="s">
        <v>2260</v>
      </c>
      <c r="CY584" s="1252" t="s">
        <v>2260</v>
      </c>
      <c r="CZ584" s="1252" t="s">
        <v>2260</v>
      </c>
      <c r="DA584" s="1252" t="s">
        <v>2260</v>
      </c>
      <c r="DB584" s="1254" t="s">
        <v>2260</v>
      </c>
      <c r="DC584" s="754"/>
      <c r="DD584" s="782">
        <v>1</v>
      </c>
      <c r="DE584" s="783"/>
    </row>
    <row r="585" spans="1:109" ht="15.75" hidden="1" customHeight="1">
      <c r="A585" s="741" t="s">
        <v>1116</v>
      </c>
      <c r="B585" s="742">
        <v>579</v>
      </c>
      <c r="C585" s="758" t="s">
        <v>1420</v>
      </c>
      <c r="D585" s="742" t="s">
        <v>4051</v>
      </c>
      <c r="E585" s="742" t="s">
        <v>2231</v>
      </c>
      <c r="F585" s="754" t="s">
        <v>4116</v>
      </c>
      <c r="G585" s="759" t="s">
        <v>4117</v>
      </c>
      <c r="H585" s="760" t="s">
        <v>4118</v>
      </c>
      <c r="I585" s="761"/>
      <c r="J585" s="762">
        <v>1</v>
      </c>
      <c r="K585" s="762"/>
      <c r="L585" s="762"/>
      <c r="M585" s="762"/>
      <c r="N585" s="762"/>
      <c r="O585" s="762"/>
      <c r="P585" s="763"/>
      <c r="Q585" s="764">
        <f t="shared" ref="Q585:Q648" si="9">SUM(I585:P585)</f>
        <v>1</v>
      </c>
      <c r="R585" s="758" t="s">
        <v>1846</v>
      </c>
      <c r="S585" s="742" t="s">
        <v>1826</v>
      </c>
      <c r="T585" s="765" t="s">
        <v>1837</v>
      </c>
      <c r="U585" s="742" t="s">
        <v>2396</v>
      </c>
      <c r="V585" s="825" t="s">
        <v>1857</v>
      </c>
      <c r="W585" s="742"/>
      <c r="X585" s="1243">
        <v>0</v>
      </c>
      <c r="Y585" s="788" t="s">
        <v>1828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210</v>
      </c>
      <c r="BQ585" s="777" t="s">
        <v>2260</v>
      </c>
      <c r="BR585" s="769" t="s">
        <v>2260</v>
      </c>
      <c r="BS585" s="769" t="s">
        <v>2260</v>
      </c>
      <c r="BT585" s="769" t="s">
        <v>2260</v>
      </c>
      <c r="BU585" s="774" t="s">
        <v>2260</v>
      </c>
      <c r="BV585" s="777" t="s">
        <v>2260</v>
      </c>
      <c r="BW585" s="769" t="s">
        <v>2260</v>
      </c>
      <c r="BX585" s="769" t="s">
        <v>2260</v>
      </c>
      <c r="BY585" s="769" t="s">
        <v>2260</v>
      </c>
      <c r="BZ585" s="769" t="s">
        <v>2260</v>
      </c>
      <c r="CA585" s="777" t="s">
        <v>2260</v>
      </c>
      <c r="CB585" s="769" t="s">
        <v>2260</v>
      </c>
      <c r="CC585" s="769" t="s">
        <v>2260</v>
      </c>
      <c r="CD585" s="769" t="s">
        <v>2260</v>
      </c>
      <c r="CE585" s="774" t="s">
        <v>2260</v>
      </c>
      <c r="CF585" s="769" t="s">
        <v>2260</v>
      </c>
      <c r="CG585" s="769" t="s">
        <v>2260</v>
      </c>
      <c r="CH585" s="769" t="s">
        <v>2260</v>
      </c>
      <c r="CI585" s="769" t="s">
        <v>2260</v>
      </c>
      <c r="CJ585" s="774" t="s">
        <v>2260</v>
      </c>
      <c r="CK585" s="777" t="s">
        <v>2260</v>
      </c>
      <c r="CL585" s="769" t="s">
        <v>2260</v>
      </c>
      <c r="CM585" s="769" t="s">
        <v>2260</v>
      </c>
      <c r="CN585" s="769" t="s">
        <v>2260</v>
      </c>
      <c r="CO585" s="774" t="s">
        <v>2260</v>
      </c>
      <c r="CP585" s="777" t="s">
        <v>2260</v>
      </c>
      <c r="CQ585" s="769" t="s">
        <v>2260</v>
      </c>
      <c r="CR585" s="769" t="s">
        <v>2260</v>
      </c>
      <c r="CS585" s="769" t="s">
        <v>2260</v>
      </c>
      <c r="CT585" s="774" t="s">
        <v>2260</v>
      </c>
      <c r="CU585" s="1253">
        <v>-2.4308000000000001</v>
      </c>
      <c r="CV585" s="1259" t="s">
        <v>2260</v>
      </c>
      <c r="CW585" s="1252" t="s">
        <v>2260</v>
      </c>
      <c r="CX585" s="1254" t="s">
        <v>2260</v>
      </c>
      <c r="CY585" s="1252" t="s">
        <v>2260</v>
      </c>
      <c r="CZ585" s="1252" t="s">
        <v>2260</v>
      </c>
      <c r="DA585" s="1252" t="s">
        <v>2260</v>
      </c>
      <c r="DB585" s="1254" t="s">
        <v>2260</v>
      </c>
      <c r="DC585" s="754"/>
      <c r="DD585" s="782">
        <v>1</v>
      </c>
      <c r="DE585" s="783"/>
    </row>
    <row r="586" spans="1:109" ht="15.75" hidden="1" customHeight="1">
      <c r="A586" s="741" t="s">
        <v>1116</v>
      </c>
      <c r="B586" s="742">
        <v>580</v>
      </c>
      <c r="C586" s="758" t="s">
        <v>1571</v>
      </c>
      <c r="D586" s="742"/>
      <c r="E586" s="742"/>
      <c r="F586" s="754" t="s">
        <v>4119</v>
      </c>
      <c r="G586" s="759" t="s">
        <v>4120</v>
      </c>
      <c r="H586" s="760"/>
      <c r="I586" s="761"/>
      <c r="J586" s="762"/>
      <c r="K586" s="762">
        <v>1</v>
      </c>
      <c r="L586" s="762"/>
      <c r="M586" s="762"/>
      <c r="N586" s="762"/>
      <c r="O586" s="762"/>
      <c r="P586" s="763"/>
      <c r="Q586" s="764">
        <f t="shared" si="9"/>
        <v>1</v>
      </c>
      <c r="R586" s="758" t="s">
        <v>1846</v>
      </c>
      <c r="S586" s="742" t="s">
        <v>1826</v>
      </c>
      <c r="T586" s="765" t="s">
        <v>1837</v>
      </c>
      <c r="U586" s="742"/>
      <c r="V586" s="1217" t="s">
        <v>1870</v>
      </c>
      <c r="W586" s="742" t="s">
        <v>4121</v>
      </c>
      <c r="X586" s="798">
        <v>0</v>
      </c>
      <c r="Y586" s="788" t="s">
        <v>1828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210</v>
      </c>
      <c r="BQ586" s="777" t="s">
        <v>2260</v>
      </c>
      <c r="BR586" s="769" t="s">
        <v>2260</v>
      </c>
      <c r="BS586" s="769" t="s">
        <v>2260</v>
      </c>
      <c r="BT586" s="769" t="s">
        <v>2260</v>
      </c>
      <c r="BU586" s="774" t="s">
        <v>2260</v>
      </c>
      <c r="BV586" s="777" t="s">
        <v>2260</v>
      </c>
      <c r="BW586" s="769" t="s">
        <v>2260</v>
      </c>
      <c r="BX586" s="769" t="s">
        <v>2260</v>
      </c>
      <c r="BY586" s="769" t="s">
        <v>2260</v>
      </c>
      <c r="BZ586" s="769" t="s">
        <v>2260</v>
      </c>
      <c r="CA586" s="777" t="s">
        <v>2260</v>
      </c>
      <c r="CB586" s="769" t="s">
        <v>2260</v>
      </c>
      <c r="CC586" s="769" t="s">
        <v>2260</v>
      </c>
      <c r="CD586" s="769" t="s">
        <v>2260</v>
      </c>
      <c r="CE586" s="774" t="s">
        <v>2260</v>
      </c>
      <c r="CF586" s="769" t="s">
        <v>2260</v>
      </c>
      <c r="CG586" s="769" t="s">
        <v>2260</v>
      </c>
      <c r="CH586" s="769" t="s">
        <v>2260</v>
      </c>
      <c r="CI586" s="769" t="s">
        <v>2260</v>
      </c>
      <c r="CJ586" s="774" t="s">
        <v>2260</v>
      </c>
      <c r="CK586" s="777" t="s">
        <v>2260</v>
      </c>
      <c r="CL586" s="769" t="s">
        <v>2260</v>
      </c>
      <c r="CM586" s="769" t="s">
        <v>2260</v>
      </c>
      <c r="CN586" s="769" t="s">
        <v>2260</v>
      </c>
      <c r="CO586" s="774" t="s">
        <v>2260</v>
      </c>
      <c r="CP586" s="777" t="s">
        <v>2260</v>
      </c>
      <c r="CQ586" s="769" t="s">
        <v>2260</v>
      </c>
      <c r="CR586" s="769" t="s">
        <v>2260</v>
      </c>
      <c r="CS586" s="769" t="s">
        <v>2260</v>
      </c>
      <c r="CT586" s="774" t="s">
        <v>2260</v>
      </c>
      <c r="CU586" s="1260">
        <v>-7.6000000000000004E-4</v>
      </c>
      <c r="CV586" s="1252" t="s">
        <v>2260</v>
      </c>
      <c r="CW586" s="1252" t="s">
        <v>2260</v>
      </c>
      <c r="CX586" s="1254" t="s">
        <v>2260</v>
      </c>
      <c r="CY586" s="1252" t="s">
        <v>2260</v>
      </c>
      <c r="CZ586" s="1252" t="s">
        <v>2260</v>
      </c>
      <c r="DA586" s="1252" t="s">
        <v>2260</v>
      </c>
      <c r="DB586" s="1254" t="s">
        <v>2260</v>
      </c>
      <c r="DC586" s="754"/>
      <c r="DD586" s="782"/>
      <c r="DE586" s="783"/>
    </row>
    <row r="587" spans="1:109" ht="15.75" hidden="1" customHeight="1">
      <c r="A587" s="741" t="s">
        <v>1116</v>
      </c>
      <c r="B587" s="742">
        <v>581</v>
      </c>
      <c r="C587" s="758" t="s">
        <v>1756</v>
      </c>
      <c r="D587" s="742"/>
      <c r="E587" s="742"/>
      <c r="F587" s="754" t="s">
        <v>2331</v>
      </c>
      <c r="G587" s="759" t="s">
        <v>2332</v>
      </c>
      <c r="H587" s="760"/>
      <c r="I587" s="761"/>
      <c r="J587" s="762"/>
      <c r="K587" s="762"/>
      <c r="L587" s="762"/>
      <c r="M587" s="762"/>
      <c r="N587" s="762"/>
      <c r="O587" s="762"/>
      <c r="P587" s="763"/>
      <c r="Q587" s="764">
        <f t="shared" si="9"/>
        <v>0</v>
      </c>
      <c r="R587" s="758" t="s">
        <v>1825</v>
      </c>
      <c r="S587" s="742"/>
      <c r="T587" s="765"/>
      <c r="U587" s="742"/>
      <c r="V587" s="825" t="s">
        <v>1890</v>
      </c>
      <c r="W587" s="742" t="s">
        <v>2333</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2334</v>
      </c>
      <c r="AR587" s="769" t="s">
        <v>2334</v>
      </c>
      <c r="AS587" s="769" t="s">
        <v>2334</v>
      </c>
      <c r="AT587" s="769" t="s">
        <v>2334</v>
      </c>
      <c r="AU587" s="774" t="s">
        <v>2334</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2260</v>
      </c>
      <c r="BR587" s="769" t="s">
        <v>2260</v>
      </c>
      <c r="BS587" s="769" t="s">
        <v>2260</v>
      </c>
      <c r="BT587" s="769" t="s">
        <v>2260</v>
      </c>
      <c r="BU587" s="774" t="s">
        <v>2260</v>
      </c>
      <c r="BV587" s="777" t="s">
        <v>2260</v>
      </c>
      <c r="BW587" s="769" t="s">
        <v>2260</v>
      </c>
      <c r="BX587" s="769" t="s">
        <v>2260</v>
      </c>
      <c r="BY587" s="769" t="s">
        <v>2260</v>
      </c>
      <c r="BZ587" s="769" t="s">
        <v>2260</v>
      </c>
      <c r="CA587" s="777" t="s">
        <v>2260</v>
      </c>
      <c r="CB587" s="769" t="s">
        <v>2260</v>
      </c>
      <c r="CC587" s="769" t="s">
        <v>2260</v>
      </c>
      <c r="CD587" s="769" t="s">
        <v>2260</v>
      </c>
      <c r="CE587" s="774" t="s">
        <v>2260</v>
      </c>
      <c r="CF587" s="769" t="s">
        <v>2260</v>
      </c>
      <c r="CG587" s="769" t="s">
        <v>2260</v>
      </c>
      <c r="CH587" s="769" t="s">
        <v>2260</v>
      </c>
      <c r="CI587" s="769" t="s">
        <v>2260</v>
      </c>
      <c r="CJ587" s="774" t="s">
        <v>2260</v>
      </c>
      <c r="CK587" s="777" t="s">
        <v>2260</v>
      </c>
      <c r="CL587" s="769" t="s">
        <v>2260</v>
      </c>
      <c r="CM587" s="769" t="s">
        <v>2260</v>
      </c>
      <c r="CN587" s="769" t="s">
        <v>2260</v>
      </c>
      <c r="CO587" s="774" t="s">
        <v>2260</v>
      </c>
      <c r="CP587" s="777" t="s">
        <v>2260</v>
      </c>
      <c r="CQ587" s="769" t="s">
        <v>2260</v>
      </c>
      <c r="CR587" s="769" t="s">
        <v>2260</v>
      </c>
      <c r="CS587" s="769" t="s">
        <v>2260</v>
      </c>
      <c r="CT587" s="774" t="s">
        <v>2260</v>
      </c>
      <c r="CU587" s="1253" t="s">
        <v>2260</v>
      </c>
      <c r="CV587" s="1252" t="s">
        <v>2260</v>
      </c>
      <c r="CW587" s="1252" t="s">
        <v>2260</v>
      </c>
      <c r="CX587" s="1254" t="s">
        <v>2260</v>
      </c>
      <c r="CY587" s="1252" t="s">
        <v>2260</v>
      </c>
      <c r="CZ587" s="1252" t="s">
        <v>2260</v>
      </c>
      <c r="DA587" s="1252" t="s">
        <v>2260</v>
      </c>
      <c r="DB587" s="1254" t="s">
        <v>2260</v>
      </c>
      <c r="DC587" s="754"/>
      <c r="DD587" s="782"/>
      <c r="DE587" s="783"/>
    </row>
    <row r="588" spans="1:109" ht="15.75" hidden="1" customHeight="1">
      <c r="A588" s="741" t="s">
        <v>1116</v>
      </c>
      <c r="B588" s="742">
        <v>582</v>
      </c>
      <c r="C588" s="758" t="s">
        <v>1436</v>
      </c>
      <c r="D588" s="742"/>
      <c r="E588" s="742"/>
      <c r="F588" s="754" t="s">
        <v>4122</v>
      </c>
      <c r="G588" s="759" t="s">
        <v>4123</v>
      </c>
      <c r="H588" s="760"/>
      <c r="I588" s="761"/>
      <c r="J588" s="762">
        <v>1</v>
      </c>
      <c r="K588" s="762"/>
      <c r="L588" s="762"/>
      <c r="M588" s="762"/>
      <c r="N588" s="762"/>
      <c r="O588" s="762"/>
      <c r="P588" s="763"/>
      <c r="Q588" s="764">
        <f t="shared" si="9"/>
        <v>1</v>
      </c>
      <c r="R588" s="758" t="s">
        <v>1846</v>
      </c>
      <c r="S588" s="742" t="s">
        <v>1826</v>
      </c>
      <c r="T588" s="765" t="s">
        <v>1837</v>
      </c>
      <c r="U588" s="742"/>
      <c r="V588" s="742" t="s">
        <v>321</v>
      </c>
      <c r="W588" s="742" t="s">
        <v>4124</v>
      </c>
      <c r="X588" s="798">
        <v>0</v>
      </c>
      <c r="Y588" s="788" t="s">
        <v>1828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210</v>
      </c>
      <c r="BQ588" s="777" t="s">
        <v>2260</v>
      </c>
      <c r="BR588" s="769" t="s">
        <v>2260</v>
      </c>
      <c r="BS588" s="769" t="s">
        <v>2260</v>
      </c>
      <c r="BT588" s="769" t="s">
        <v>2260</v>
      </c>
      <c r="BU588" s="774" t="s">
        <v>2260</v>
      </c>
      <c r="BV588" s="777" t="s">
        <v>2260</v>
      </c>
      <c r="BW588" s="769" t="s">
        <v>2260</v>
      </c>
      <c r="BX588" s="769" t="s">
        <v>2260</v>
      </c>
      <c r="BY588" s="769" t="s">
        <v>2260</v>
      </c>
      <c r="BZ588" s="769" t="s">
        <v>2260</v>
      </c>
      <c r="CA588" s="777" t="s">
        <v>2260</v>
      </c>
      <c r="CB588" s="769" t="s">
        <v>2260</v>
      </c>
      <c r="CC588" s="769" t="s">
        <v>2260</v>
      </c>
      <c r="CD588" s="769" t="s">
        <v>2260</v>
      </c>
      <c r="CE588" s="774" t="s">
        <v>2260</v>
      </c>
      <c r="CF588" s="769" t="s">
        <v>2260</v>
      </c>
      <c r="CG588" s="769" t="s">
        <v>2260</v>
      </c>
      <c r="CH588" s="769" t="s">
        <v>2260</v>
      </c>
      <c r="CI588" s="769" t="s">
        <v>2260</v>
      </c>
      <c r="CJ588" s="774" t="s">
        <v>2260</v>
      </c>
      <c r="CK588" s="777" t="s">
        <v>2260</v>
      </c>
      <c r="CL588" s="769" t="s">
        <v>2260</v>
      </c>
      <c r="CM588" s="769" t="s">
        <v>2260</v>
      </c>
      <c r="CN588" s="769" t="s">
        <v>2260</v>
      </c>
      <c r="CO588" s="774" t="s">
        <v>2260</v>
      </c>
      <c r="CP588" s="777" t="s">
        <v>2260</v>
      </c>
      <c r="CQ588" s="769" t="s">
        <v>2260</v>
      </c>
      <c r="CR588" s="769" t="s">
        <v>2260</v>
      </c>
      <c r="CS588" s="769" t="s">
        <v>2260</v>
      </c>
      <c r="CT588" s="774" t="s">
        <v>2260</v>
      </c>
      <c r="CU588" s="1253">
        <v>-1.12E-2</v>
      </c>
      <c r="CV588" s="1252" t="s">
        <v>2260</v>
      </c>
      <c r="CW588" s="1252" t="s">
        <v>2260</v>
      </c>
      <c r="CX588" s="1254" t="s">
        <v>2260</v>
      </c>
      <c r="CY588" s="1252" t="s">
        <v>2260</v>
      </c>
      <c r="CZ588" s="1252" t="s">
        <v>2260</v>
      </c>
      <c r="DA588" s="1252" t="s">
        <v>2260</v>
      </c>
      <c r="DB588" s="1254" t="s">
        <v>2260</v>
      </c>
      <c r="DC588" s="754"/>
      <c r="DD588" s="782"/>
      <c r="DE588" s="783"/>
    </row>
    <row r="589" spans="1:109" ht="15.75" hidden="1" customHeight="1">
      <c r="A589" s="741" t="s">
        <v>1116</v>
      </c>
      <c r="B589" s="742">
        <v>583</v>
      </c>
      <c r="C589" s="758" t="s">
        <v>1757</v>
      </c>
      <c r="D589" s="742"/>
      <c r="E589" s="742"/>
      <c r="F589" s="754" t="s">
        <v>3812</v>
      </c>
      <c r="G589" s="759" t="s">
        <v>2840</v>
      </c>
      <c r="H589" s="760"/>
      <c r="I589" s="761"/>
      <c r="J589" s="762"/>
      <c r="K589" s="762"/>
      <c r="L589" s="762"/>
      <c r="M589" s="762"/>
      <c r="N589" s="762"/>
      <c r="O589" s="762"/>
      <c r="P589" s="763"/>
      <c r="Q589" s="764">
        <f t="shared" si="9"/>
        <v>0</v>
      </c>
      <c r="R589" s="758" t="s">
        <v>1825</v>
      </c>
      <c r="S589" s="742"/>
      <c r="T589" s="765"/>
      <c r="U589" s="742"/>
      <c r="V589" s="742" t="s">
        <v>321</v>
      </c>
      <c r="W589" s="742" t="s">
        <v>2841</v>
      </c>
      <c r="X589" s="1243">
        <v>0</v>
      </c>
      <c r="Y589" s="788" t="s">
        <v>1828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2260</v>
      </c>
      <c r="BR589" s="769" t="s">
        <v>2260</v>
      </c>
      <c r="BS589" s="769" t="s">
        <v>2260</v>
      </c>
      <c r="BT589" s="769" t="s">
        <v>2260</v>
      </c>
      <c r="BU589" s="774" t="s">
        <v>2260</v>
      </c>
      <c r="BV589" s="777" t="s">
        <v>2260</v>
      </c>
      <c r="BW589" s="769" t="s">
        <v>2260</v>
      </c>
      <c r="BX589" s="769" t="s">
        <v>2260</v>
      </c>
      <c r="BY589" s="769" t="s">
        <v>2260</v>
      </c>
      <c r="BZ589" s="769" t="s">
        <v>2260</v>
      </c>
      <c r="CA589" s="777" t="s">
        <v>2260</v>
      </c>
      <c r="CB589" s="769" t="s">
        <v>2260</v>
      </c>
      <c r="CC589" s="769" t="s">
        <v>2260</v>
      </c>
      <c r="CD589" s="769" t="s">
        <v>2260</v>
      </c>
      <c r="CE589" s="774" t="s">
        <v>2260</v>
      </c>
      <c r="CF589" s="769" t="s">
        <v>2260</v>
      </c>
      <c r="CG589" s="769" t="s">
        <v>2260</v>
      </c>
      <c r="CH589" s="769" t="s">
        <v>2260</v>
      </c>
      <c r="CI589" s="769" t="s">
        <v>2260</v>
      </c>
      <c r="CJ589" s="774" t="s">
        <v>2260</v>
      </c>
      <c r="CK589" s="777" t="s">
        <v>2260</v>
      </c>
      <c r="CL589" s="769" t="s">
        <v>2260</v>
      </c>
      <c r="CM589" s="769" t="s">
        <v>2260</v>
      </c>
      <c r="CN589" s="769" t="s">
        <v>2260</v>
      </c>
      <c r="CO589" s="774" t="s">
        <v>2260</v>
      </c>
      <c r="CP589" s="777" t="s">
        <v>2260</v>
      </c>
      <c r="CQ589" s="769" t="s">
        <v>2260</v>
      </c>
      <c r="CR589" s="769" t="s">
        <v>2260</v>
      </c>
      <c r="CS589" s="769" t="s">
        <v>2260</v>
      </c>
      <c r="CT589" s="774" t="s">
        <v>2260</v>
      </c>
      <c r="CU589" s="1253" t="s">
        <v>2260</v>
      </c>
      <c r="CV589" s="1252" t="s">
        <v>2260</v>
      </c>
      <c r="CW589" s="1252" t="s">
        <v>2260</v>
      </c>
      <c r="CX589" s="1254" t="s">
        <v>2260</v>
      </c>
      <c r="CY589" s="1252" t="s">
        <v>2260</v>
      </c>
      <c r="CZ589" s="1252" t="s">
        <v>2260</v>
      </c>
      <c r="DA589" s="1252" t="s">
        <v>2260</v>
      </c>
      <c r="DB589" s="1254" t="s">
        <v>2260</v>
      </c>
      <c r="DC589" s="754"/>
      <c r="DD589" s="782"/>
      <c r="DE589" s="783"/>
    </row>
    <row r="590" spans="1:109" ht="15.75" hidden="1" customHeight="1">
      <c r="A590" s="741" t="s">
        <v>1116</v>
      </c>
      <c r="B590" s="742">
        <v>584</v>
      </c>
      <c r="C590" s="758" t="s">
        <v>1451</v>
      </c>
      <c r="D590" s="742"/>
      <c r="E590" s="742"/>
      <c r="F590" s="754" t="s">
        <v>4125</v>
      </c>
      <c r="G590" s="759" t="s">
        <v>4126</v>
      </c>
      <c r="H590" s="760"/>
      <c r="I590" s="761">
        <v>1</v>
      </c>
      <c r="J590" s="762"/>
      <c r="K590" s="762"/>
      <c r="L590" s="762"/>
      <c r="M590" s="762"/>
      <c r="N590" s="762"/>
      <c r="O590" s="762"/>
      <c r="P590" s="763"/>
      <c r="Q590" s="764">
        <f t="shared" si="9"/>
        <v>1</v>
      </c>
      <c r="R590" s="758" t="s">
        <v>1846</v>
      </c>
      <c r="S590" s="742" t="s">
        <v>1826</v>
      </c>
      <c r="T590" s="765" t="s">
        <v>1837</v>
      </c>
      <c r="U590" s="742"/>
      <c r="V590" s="1217" t="s">
        <v>1890</v>
      </c>
      <c r="W590" s="742"/>
      <c r="X590" s="1243">
        <v>0</v>
      </c>
      <c r="Y590" s="788" t="s">
        <v>1838</v>
      </c>
      <c r="Z590" s="759"/>
      <c r="AA590" s="754"/>
      <c r="AB590" s="754"/>
      <c r="AC590" s="754"/>
      <c r="AD590" s="754"/>
      <c r="AE590" s="754"/>
      <c r="AF590" s="768"/>
      <c r="AG590" s="769"/>
      <c r="AH590" s="769"/>
      <c r="AI590" s="769"/>
      <c r="AJ590" s="769"/>
      <c r="AK590" s="769"/>
      <c r="AL590" s="769"/>
      <c r="AM590" s="769"/>
      <c r="AN590" s="769"/>
      <c r="AO590" s="769"/>
      <c r="AP590" s="769"/>
      <c r="AQ590" s="777" t="s">
        <v>1001</v>
      </c>
      <c r="AR590" s="769" t="s">
        <v>1001</v>
      </c>
      <c r="AS590" s="769" t="s">
        <v>1001</v>
      </c>
      <c r="AT590" s="769" t="s">
        <v>1001</v>
      </c>
      <c r="AU590" s="774" t="s">
        <v>4127</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210</v>
      </c>
      <c r="BQ590" s="777" t="s">
        <v>2260</v>
      </c>
      <c r="BR590" s="769" t="s">
        <v>2260</v>
      </c>
      <c r="BS590" s="769" t="s">
        <v>2260</v>
      </c>
      <c r="BT590" s="769" t="s">
        <v>2260</v>
      </c>
      <c r="BU590" s="774" t="s">
        <v>2260</v>
      </c>
      <c r="BV590" s="777" t="s">
        <v>2260</v>
      </c>
      <c r="BW590" s="769" t="s">
        <v>2260</v>
      </c>
      <c r="BX590" s="769" t="s">
        <v>2260</v>
      </c>
      <c r="BY590" s="769" t="s">
        <v>2260</v>
      </c>
      <c r="BZ590" s="769" t="s">
        <v>2260</v>
      </c>
      <c r="CA590" s="777" t="s">
        <v>2260</v>
      </c>
      <c r="CB590" s="769" t="s">
        <v>2260</v>
      </c>
      <c r="CC590" s="769" t="s">
        <v>2260</v>
      </c>
      <c r="CD590" s="769" t="s">
        <v>2260</v>
      </c>
      <c r="CE590" s="774" t="s">
        <v>2260</v>
      </c>
      <c r="CF590" s="769" t="s">
        <v>2260</v>
      </c>
      <c r="CG590" s="769" t="s">
        <v>2260</v>
      </c>
      <c r="CH590" s="769" t="s">
        <v>2260</v>
      </c>
      <c r="CI590" s="769" t="s">
        <v>2260</v>
      </c>
      <c r="CJ590" s="774" t="s">
        <v>2260</v>
      </c>
      <c r="CK590" s="777" t="s">
        <v>2260</v>
      </c>
      <c r="CL590" s="769" t="s">
        <v>2260</v>
      </c>
      <c r="CM590" s="769" t="s">
        <v>2260</v>
      </c>
      <c r="CN590" s="769" t="s">
        <v>2260</v>
      </c>
      <c r="CO590" s="774" t="s">
        <v>2260</v>
      </c>
      <c r="CP590" s="777" t="s">
        <v>2260</v>
      </c>
      <c r="CQ590" s="769" t="s">
        <v>2260</v>
      </c>
      <c r="CR590" s="769" t="s">
        <v>2260</v>
      </c>
      <c r="CS590" s="769" t="s">
        <v>2260</v>
      </c>
      <c r="CT590" s="774" t="s">
        <v>2260</v>
      </c>
      <c r="CU590" s="1253">
        <v>-2.1185</v>
      </c>
      <c r="CV590" s="1252" t="s">
        <v>2260</v>
      </c>
      <c r="CW590" s="1252" t="s">
        <v>2260</v>
      </c>
      <c r="CX590" s="1254" t="s">
        <v>2260</v>
      </c>
      <c r="CY590" s="1252" t="s">
        <v>2260</v>
      </c>
      <c r="CZ590" s="1252" t="s">
        <v>2260</v>
      </c>
      <c r="DA590" s="1252" t="s">
        <v>2260</v>
      </c>
      <c r="DB590" s="1254" t="s">
        <v>2260</v>
      </c>
      <c r="DC590" s="754"/>
      <c r="DD590" s="782"/>
      <c r="DE590" s="783"/>
    </row>
    <row r="591" spans="1:109" ht="15.75" hidden="1" customHeight="1">
      <c r="A591" s="741" t="s">
        <v>1116</v>
      </c>
      <c r="B591" s="742">
        <v>585</v>
      </c>
      <c r="C591" s="758" t="s">
        <v>1463</v>
      </c>
      <c r="D591" s="742"/>
      <c r="E591" s="742"/>
      <c r="F591" s="754" t="s">
        <v>4128</v>
      </c>
      <c r="G591" s="759" t="s">
        <v>4129</v>
      </c>
      <c r="H591" s="760"/>
      <c r="I591" s="761"/>
      <c r="J591" s="762">
        <v>1</v>
      </c>
      <c r="K591" s="762"/>
      <c r="L591" s="762"/>
      <c r="M591" s="762"/>
      <c r="N591" s="762"/>
      <c r="O591" s="762"/>
      <c r="P591" s="763"/>
      <c r="Q591" s="764">
        <f t="shared" si="9"/>
        <v>1</v>
      </c>
      <c r="R591" s="758" t="s">
        <v>1846</v>
      </c>
      <c r="S591" s="742" t="s">
        <v>1826</v>
      </c>
      <c r="T591" s="765" t="s">
        <v>1837</v>
      </c>
      <c r="U591" s="742"/>
      <c r="V591" s="1217" t="s">
        <v>1857</v>
      </c>
      <c r="W591" s="742" t="s">
        <v>4130</v>
      </c>
      <c r="X591" s="898">
        <v>0</v>
      </c>
      <c r="Y591" s="788" t="s">
        <v>1876</v>
      </c>
      <c r="Z591" s="759"/>
      <c r="AA591" s="754"/>
      <c r="AB591" s="754"/>
      <c r="AC591" s="754"/>
      <c r="AD591" s="754"/>
      <c r="AE591" s="754"/>
      <c r="AF591" s="768"/>
      <c r="AG591" s="769"/>
      <c r="AH591" s="769"/>
      <c r="AI591" s="769"/>
      <c r="AJ591" s="769"/>
      <c r="AK591" s="769"/>
      <c r="AL591" s="769"/>
      <c r="AM591" s="769"/>
      <c r="AN591" s="769"/>
      <c r="AO591" s="769"/>
      <c r="AP591" s="769"/>
      <c r="AQ591" s="777" t="s">
        <v>2260</v>
      </c>
      <c r="AR591" s="769" t="s">
        <v>2260</v>
      </c>
      <c r="AS591" s="769" t="s">
        <v>2260</v>
      </c>
      <c r="AT591" s="769" t="s">
        <v>2260</v>
      </c>
      <c r="AU591" s="774" t="s">
        <v>2260</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210</v>
      </c>
      <c r="BQ591" s="777" t="s">
        <v>2260</v>
      </c>
      <c r="BR591" s="769" t="s">
        <v>2260</v>
      </c>
      <c r="BS591" s="769" t="s">
        <v>2260</v>
      </c>
      <c r="BT591" s="769" t="s">
        <v>2260</v>
      </c>
      <c r="BU591" s="774" t="s">
        <v>2260</v>
      </c>
      <c r="BV591" s="777" t="s">
        <v>2260</v>
      </c>
      <c r="BW591" s="769" t="s">
        <v>2260</v>
      </c>
      <c r="BX591" s="769" t="s">
        <v>2260</v>
      </c>
      <c r="BY591" s="769" t="s">
        <v>2260</v>
      </c>
      <c r="BZ591" s="769" t="s">
        <v>2260</v>
      </c>
      <c r="CA591" s="777" t="s">
        <v>2260</v>
      </c>
      <c r="CB591" s="769" t="s">
        <v>2260</v>
      </c>
      <c r="CC591" s="769" t="s">
        <v>2260</v>
      </c>
      <c r="CD591" s="769" t="s">
        <v>2260</v>
      </c>
      <c r="CE591" s="774" t="s">
        <v>2260</v>
      </c>
      <c r="CF591" s="769" t="s">
        <v>2260</v>
      </c>
      <c r="CG591" s="769" t="s">
        <v>2260</v>
      </c>
      <c r="CH591" s="769" t="s">
        <v>2260</v>
      </c>
      <c r="CI591" s="769" t="s">
        <v>2260</v>
      </c>
      <c r="CJ591" s="774" t="s">
        <v>2260</v>
      </c>
      <c r="CK591" s="777" t="s">
        <v>2260</v>
      </c>
      <c r="CL591" s="769" t="s">
        <v>2260</v>
      </c>
      <c r="CM591" s="769" t="s">
        <v>2260</v>
      </c>
      <c r="CN591" s="769" t="s">
        <v>2260</v>
      </c>
      <c r="CO591" s="774" t="s">
        <v>2260</v>
      </c>
      <c r="CP591" s="777" t="s">
        <v>2260</v>
      </c>
      <c r="CQ591" s="769" t="s">
        <v>2260</v>
      </c>
      <c r="CR591" s="769" t="s">
        <v>2260</v>
      </c>
      <c r="CS591" s="769" t="s">
        <v>2260</v>
      </c>
      <c r="CT591" s="774" t="s">
        <v>2260</v>
      </c>
      <c r="CU591" s="1253">
        <v>-0.68</v>
      </c>
      <c r="CV591" s="1252" t="s">
        <v>2260</v>
      </c>
      <c r="CW591" s="1252" t="s">
        <v>2260</v>
      </c>
      <c r="CX591" s="1254" t="s">
        <v>2260</v>
      </c>
      <c r="CY591" s="1252" t="s">
        <v>2260</v>
      </c>
      <c r="CZ591" s="1252" t="s">
        <v>2260</v>
      </c>
      <c r="DA591" s="1252" t="s">
        <v>2260</v>
      </c>
      <c r="DB591" s="1254" t="s">
        <v>2260</v>
      </c>
      <c r="DC591" s="754"/>
      <c r="DD591" s="782"/>
      <c r="DE591" s="783"/>
    </row>
    <row r="592" spans="1:109" ht="15.75" hidden="1" customHeight="1">
      <c r="A592" s="741" t="s">
        <v>1116</v>
      </c>
      <c r="B592" s="742">
        <v>586</v>
      </c>
      <c r="C592" s="758" t="s">
        <v>1471</v>
      </c>
      <c r="D592" s="742"/>
      <c r="E592" s="742"/>
      <c r="F592" s="754" t="s">
        <v>4131</v>
      </c>
      <c r="G592" s="759" t="s">
        <v>4132</v>
      </c>
      <c r="H592" s="760"/>
      <c r="I592" s="761"/>
      <c r="J592" s="762">
        <v>1</v>
      </c>
      <c r="K592" s="762"/>
      <c r="L592" s="762"/>
      <c r="M592" s="762"/>
      <c r="N592" s="762"/>
      <c r="O592" s="762"/>
      <c r="P592" s="763"/>
      <c r="Q592" s="764">
        <f t="shared" si="9"/>
        <v>1</v>
      </c>
      <c r="R592" s="758" t="s">
        <v>1835</v>
      </c>
      <c r="S592" s="742" t="s">
        <v>1826</v>
      </c>
      <c r="T592" s="765" t="s">
        <v>1837</v>
      </c>
      <c r="U592" s="742"/>
      <c r="V592" s="1217" t="s">
        <v>1890</v>
      </c>
      <c r="W592" s="742" t="s">
        <v>4133</v>
      </c>
      <c r="X592" s="1243">
        <v>0</v>
      </c>
      <c r="Y592" s="788" t="s">
        <v>1876</v>
      </c>
      <c r="Z592" s="759"/>
      <c r="AA592" s="754"/>
      <c r="AB592" s="754"/>
      <c r="AC592" s="754"/>
      <c r="AD592" s="754"/>
      <c r="AE592" s="754"/>
      <c r="AF592" s="768"/>
      <c r="AG592" s="769"/>
      <c r="AH592" s="769"/>
      <c r="AI592" s="769"/>
      <c r="AJ592" s="769"/>
      <c r="AK592" s="769"/>
      <c r="AL592" s="769"/>
      <c r="AM592" s="769"/>
      <c r="AN592" s="769"/>
      <c r="AO592" s="769"/>
      <c r="AP592" s="769"/>
      <c r="AQ592" s="777" t="s">
        <v>2260</v>
      </c>
      <c r="AR592" s="769" t="s">
        <v>2260</v>
      </c>
      <c r="AS592" s="769" t="s">
        <v>2260</v>
      </c>
      <c r="AT592" s="769" t="s">
        <v>2260</v>
      </c>
      <c r="AU592" s="774" t="s">
        <v>2260</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210</v>
      </c>
      <c r="BQ592" s="777" t="s">
        <v>2260</v>
      </c>
      <c r="BR592" s="769" t="s">
        <v>2260</v>
      </c>
      <c r="BS592" s="769" t="s">
        <v>2260</v>
      </c>
      <c r="BT592" s="769" t="s">
        <v>2260</v>
      </c>
      <c r="BU592" s="774" t="s">
        <v>2260</v>
      </c>
      <c r="BV592" s="777" t="s">
        <v>2260</v>
      </c>
      <c r="BW592" s="769" t="s">
        <v>2260</v>
      </c>
      <c r="BX592" s="769" t="s">
        <v>2260</v>
      </c>
      <c r="BY592" s="769" t="s">
        <v>2260</v>
      </c>
      <c r="BZ592" s="769" t="s">
        <v>2260</v>
      </c>
      <c r="CA592" s="777" t="s">
        <v>2260</v>
      </c>
      <c r="CB592" s="769" t="s">
        <v>2260</v>
      </c>
      <c r="CC592" s="769" t="s">
        <v>2260</v>
      </c>
      <c r="CD592" s="769" t="s">
        <v>2260</v>
      </c>
      <c r="CE592" s="774" t="s">
        <v>2260</v>
      </c>
      <c r="CF592" s="769" t="s">
        <v>2260</v>
      </c>
      <c r="CG592" s="769" t="s">
        <v>2260</v>
      </c>
      <c r="CH592" s="769" t="s">
        <v>2260</v>
      </c>
      <c r="CI592" s="769" t="s">
        <v>2260</v>
      </c>
      <c r="CJ592" s="774" t="s">
        <v>2260</v>
      </c>
      <c r="CK592" s="777" t="s">
        <v>2260</v>
      </c>
      <c r="CL592" s="769" t="s">
        <v>2260</v>
      </c>
      <c r="CM592" s="769" t="s">
        <v>2260</v>
      </c>
      <c r="CN592" s="769" t="s">
        <v>2260</v>
      </c>
      <c r="CO592" s="774" t="s">
        <v>2260</v>
      </c>
      <c r="CP592" s="777" t="s">
        <v>2260</v>
      </c>
      <c r="CQ592" s="769" t="s">
        <v>2260</v>
      </c>
      <c r="CR592" s="769" t="s">
        <v>2260</v>
      </c>
      <c r="CS592" s="769" t="s">
        <v>2260</v>
      </c>
      <c r="CT592" s="774" t="s">
        <v>2260</v>
      </c>
      <c r="CU592" s="1253" t="s">
        <v>2260</v>
      </c>
      <c r="CV592" s="1252" t="s">
        <v>2260</v>
      </c>
      <c r="CW592" s="1252" t="s">
        <v>2260</v>
      </c>
      <c r="CX592" s="1254" t="s">
        <v>2260</v>
      </c>
      <c r="CY592" s="1252">
        <v>1.36</v>
      </c>
      <c r="CZ592" s="1252" t="s">
        <v>2260</v>
      </c>
      <c r="DA592" s="1252" t="s">
        <v>2260</v>
      </c>
      <c r="DB592" s="1254" t="s">
        <v>2260</v>
      </c>
      <c r="DC592" s="754"/>
      <c r="DD592" s="782"/>
      <c r="DE592" s="783"/>
    </row>
    <row r="593" spans="1:109" ht="15.75" hidden="1" customHeight="1">
      <c r="A593" s="741" t="s">
        <v>1227</v>
      </c>
      <c r="B593" s="742">
        <v>587</v>
      </c>
      <c r="C593" s="758" t="s">
        <v>1319</v>
      </c>
      <c r="D593" s="742" t="s">
        <v>4134</v>
      </c>
      <c r="E593" s="742" t="s">
        <v>2231</v>
      </c>
      <c r="F593" s="754" t="s">
        <v>2558</v>
      </c>
      <c r="G593" s="759" t="s">
        <v>4135</v>
      </c>
      <c r="H593" s="760" t="s">
        <v>4136</v>
      </c>
      <c r="I593" s="761"/>
      <c r="J593" s="762"/>
      <c r="K593" s="762"/>
      <c r="L593" s="762"/>
      <c r="M593" s="762">
        <v>1</v>
      </c>
      <c r="N593" s="762"/>
      <c r="O593" s="762"/>
      <c r="P593" s="763"/>
      <c r="Q593" s="764">
        <f t="shared" si="9"/>
        <v>1</v>
      </c>
      <c r="R593" s="758" t="s">
        <v>1852</v>
      </c>
      <c r="S593" s="742" t="s">
        <v>1826</v>
      </c>
      <c r="T593" s="765" t="s">
        <v>1827</v>
      </c>
      <c r="U593" s="742" t="s">
        <v>2329</v>
      </c>
      <c r="V593" s="742" t="s">
        <v>1857</v>
      </c>
      <c r="W593" s="742" t="s">
        <v>4137</v>
      </c>
      <c r="X593" s="798">
        <v>0</v>
      </c>
      <c r="Y593" s="790" t="s">
        <v>1828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210</v>
      </c>
      <c r="BM593" s="754" t="s">
        <v>210</v>
      </c>
      <c r="BN593" s="754" t="s">
        <v>210</v>
      </c>
      <c r="BO593" s="754" t="s">
        <v>210</v>
      </c>
      <c r="BP593" s="754" t="s">
        <v>210</v>
      </c>
      <c r="BQ593" s="777" t="s">
        <v>2260</v>
      </c>
      <c r="BR593" s="769" t="s">
        <v>2260</v>
      </c>
      <c r="BS593" s="769" t="s">
        <v>2260</v>
      </c>
      <c r="BT593" s="769" t="s">
        <v>2260</v>
      </c>
      <c r="BU593" s="774" t="s">
        <v>2260</v>
      </c>
      <c r="BV593" s="796">
        <v>53642</v>
      </c>
      <c r="BW593" s="766">
        <v>57524</v>
      </c>
      <c r="BX593" s="766">
        <v>61338</v>
      </c>
      <c r="BY593" s="766">
        <v>65092</v>
      </c>
      <c r="BZ593" s="766">
        <v>68804</v>
      </c>
      <c r="CA593" s="777" t="s">
        <v>2260</v>
      </c>
      <c r="CB593" s="769" t="s">
        <v>2260</v>
      </c>
      <c r="CC593" s="769" t="s">
        <v>2260</v>
      </c>
      <c r="CD593" s="769" t="s">
        <v>2260</v>
      </c>
      <c r="CE593" s="774" t="s">
        <v>2260</v>
      </c>
      <c r="CF593" s="769" t="s">
        <v>2260</v>
      </c>
      <c r="CG593" s="769" t="s">
        <v>2260</v>
      </c>
      <c r="CH593" s="769" t="s">
        <v>2260</v>
      </c>
      <c r="CI593" s="769" t="s">
        <v>2260</v>
      </c>
      <c r="CJ593" s="774" t="s">
        <v>2260</v>
      </c>
      <c r="CK593" s="796">
        <v>69942</v>
      </c>
      <c r="CL593" s="766">
        <v>79032</v>
      </c>
      <c r="CM593" s="766">
        <v>87953</v>
      </c>
      <c r="CN593" s="766">
        <v>96719</v>
      </c>
      <c r="CO593" s="810">
        <v>105363</v>
      </c>
      <c r="CP593" s="777" t="s">
        <v>2260</v>
      </c>
      <c r="CQ593" s="769" t="s">
        <v>2260</v>
      </c>
      <c r="CR593" s="769" t="s">
        <v>2260</v>
      </c>
      <c r="CS593" s="769" t="s">
        <v>2260</v>
      </c>
      <c r="CT593" s="774" t="s">
        <v>2260</v>
      </c>
      <c r="CU593" s="1253">
        <v>-1.2999999999999999E-5</v>
      </c>
      <c r="CV593" s="1252" t="s">
        <v>2260</v>
      </c>
      <c r="CW593" s="1252" t="s">
        <v>2260</v>
      </c>
      <c r="CX593" s="1254" t="s">
        <v>2260</v>
      </c>
      <c r="CY593" s="1252">
        <v>1.1E-5</v>
      </c>
      <c r="CZ593" s="1252" t="s">
        <v>2260</v>
      </c>
      <c r="DA593" s="1252" t="s">
        <v>2260</v>
      </c>
      <c r="DB593" s="1254" t="s">
        <v>2260</v>
      </c>
      <c r="DC593" s="754"/>
      <c r="DD593" s="782">
        <v>1</v>
      </c>
      <c r="DE593" s="783"/>
    </row>
    <row r="594" spans="1:109" ht="15.75" hidden="1" customHeight="1">
      <c r="A594" s="741" t="s">
        <v>1227</v>
      </c>
      <c r="B594" s="742">
        <v>588</v>
      </c>
      <c r="C594" s="758" t="s">
        <v>1602</v>
      </c>
      <c r="D594" s="742" t="s">
        <v>4134</v>
      </c>
      <c r="E594" s="742" t="s">
        <v>2231</v>
      </c>
      <c r="F594" s="754" t="s">
        <v>2561</v>
      </c>
      <c r="G594" s="759" t="s">
        <v>4138</v>
      </c>
      <c r="H594" s="760" t="s">
        <v>4139</v>
      </c>
      <c r="I594" s="761"/>
      <c r="J594" s="762"/>
      <c r="K594" s="762"/>
      <c r="L594" s="762"/>
      <c r="M594" s="762">
        <v>1</v>
      </c>
      <c r="N594" s="762"/>
      <c r="O594" s="762"/>
      <c r="P594" s="763"/>
      <c r="Q594" s="764">
        <f t="shared" si="9"/>
        <v>1</v>
      </c>
      <c r="R594" s="758" t="s">
        <v>1825</v>
      </c>
      <c r="S594" s="742"/>
      <c r="T594" s="765"/>
      <c r="U594" s="742" t="s">
        <v>2329</v>
      </c>
      <c r="V594" s="742" t="s">
        <v>1857</v>
      </c>
      <c r="W594" s="742" t="s">
        <v>4140</v>
      </c>
      <c r="X594" s="798">
        <v>0</v>
      </c>
      <c r="Y594" s="790" t="s">
        <v>1828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2260</v>
      </c>
      <c r="BR594" s="769" t="s">
        <v>2260</v>
      </c>
      <c r="BS594" s="769" t="s">
        <v>2260</v>
      </c>
      <c r="BT594" s="769" t="s">
        <v>2260</v>
      </c>
      <c r="BU594" s="774" t="s">
        <v>2260</v>
      </c>
      <c r="BV594" s="777" t="s">
        <v>2260</v>
      </c>
      <c r="BW594" s="769" t="s">
        <v>2260</v>
      </c>
      <c r="BX594" s="769" t="s">
        <v>2260</v>
      </c>
      <c r="BY594" s="769" t="s">
        <v>2260</v>
      </c>
      <c r="BZ594" s="769" t="s">
        <v>2260</v>
      </c>
      <c r="CA594" s="777" t="s">
        <v>2260</v>
      </c>
      <c r="CB594" s="769" t="s">
        <v>2260</v>
      </c>
      <c r="CC594" s="769" t="s">
        <v>2260</v>
      </c>
      <c r="CD594" s="769" t="s">
        <v>2260</v>
      </c>
      <c r="CE594" s="774" t="s">
        <v>2260</v>
      </c>
      <c r="CF594" s="769" t="s">
        <v>2260</v>
      </c>
      <c r="CG594" s="769" t="s">
        <v>2260</v>
      </c>
      <c r="CH594" s="769" t="s">
        <v>2260</v>
      </c>
      <c r="CI594" s="769" t="s">
        <v>2260</v>
      </c>
      <c r="CJ594" s="774" t="s">
        <v>2260</v>
      </c>
      <c r="CK594" s="777" t="s">
        <v>2260</v>
      </c>
      <c r="CL594" s="769" t="s">
        <v>2260</v>
      </c>
      <c r="CM594" s="769" t="s">
        <v>2260</v>
      </c>
      <c r="CN594" s="769" t="s">
        <v>2260</v>
      </c>
      <c r="CO594" s="774" t="s">
        <v>2260</v>
      </c>
      <c r="CP594" s="777" t="s">
        <v>2260</v>
      </c>
      <c r="CQ594" s="769" t="s">
        <v>2260</v>
      </c>
      <c r="CR594" s="769" t="s">
        <v>2260</v>
      </c>
      <c r="CS594" s="769" t="s">
        <v>2260</v>
      </c>
      <c r="CT594" s="774" t="s">
        <v>2260</v>
      </c>
      <c r="CU594" s="1253" t="s">
        <v>2260</v>
      </c>
      <c r="CV594" s="1252" t="s">
        <v>2260</v>
      </c>
      <c r="CW594" s="1252" t="s">
        <v>2260</v>
      </c>
      <c r="CX594" s="1254" t="s">
        <v>2260</v>
      </c>
      <c r="CY594" s="1252" t="s">
        <v>2260</v>
      </c>
      <c r="CZ594" s="1252" t="s">
        <v>2260</v>
      </c>
      <c r="DA594" s="1252" t="s">
        <v>2260</v>
      </c>
      <c r="DB594" s="1254" t="s">
        <v>2260</v>
      </c>
      <c r="DC594" s="754"/>
      <c r="DD594" s="782">
        <v>1</v>
      </c>
      <c r="DE594" s="783"/>
    </row>
    <row r="595" spans="1:109" ht="15.75" hidden="1" customHeight="1">
      <c r="A595" s="741" t="s">
        <v>1227</v>
      </c>
      <c r="B595" s="742">
        <v>589</v>
      </c>
      <c r="C595" s="758" t="s">
        <v>1336</v>
      </c>
      <c r="D595" s="742" t="s">
        <v>4134</v>
      </c>
      <c r="E595" s="742" t="s">
        <v>2231</v>
      </c>
      <c r="F595" s="754" t="s">
        <v>2565</v>
      </c>
      <c r="G595" s="759" t="s">
        <v>4141</v>
      </c>
      <c r="H595" s="760" t="s">
        <v>4142</v>
      </c>
      <c r="I595" s="761"/>
      <c r="J595" s="762"/>
      <c r="K595" s="762"/>
      <c r="L595" s="762"/>
      <c r="M595" s="762">
        <v>1</v>
      </c>
      <c r="N595" s="762"/>
      <c r="O595" s="762"/>
      <c r="P595" s="763"/>
      <c r="Q595" s="764">
        <f t="shared" si="9"/>
        <v>1</v>
      </c>
      <c r="R595" s="758" t="s">
        <v>1852</v>
      </c>
      <c r="S595" s="742" t="s">
        <v>1826</v>
      </c>
      <c r="T595" s="765" t="s">
        <v>1827</v>
      </c>
      <c r="U595" s="742" t="s">
        <v>2892</v>
      </c>
      <c r="V595" s="742" t="s">
        <v>321</v>
      </c>
      <c r="W595" s="742" t="s">
        <v>4143</v>
      </c>
      <c r="X595" s="798">
        <v>2</v>
      </c>
      <c r="Y595" s="790" t="s">
        <v>1838</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210</v>
      </c>
      <c r="BM595" s="754" t="s">
        <v>210</v>
      </c>
      <c r="BN595" s="754" t="s">
        <v>210</v>
      </c>
      <c r="BO595" s="754" t="s">
        <v>210</v>
      </c>
      <c r="BP595" s="754" t="s">
        <v>210</v>
      </c>
      <c r="BQ595" s="777" t="s">
        <v>2260</v>
      </c>
      <c r="BR595" s="769" t="s">
        <v>2260</v>
      </c>
      <c r="BS595" s="769" t="s">
        <v>2260</v>
      </c>
      <c r="BT595" s="769" t="s">
        <v>2260</v>
      </c>
      <c r="BU595" s="774" t="s">
        <v>2260</v>
      </c>
      <c r="BV595" s="775">
        <v>2.56</v>
      </c>
      <c r="BW595" s="776">
        <v>2.56</v>
      </c>
      <c r="BX595" s="776">
        <v>2.56</v>
      </c>
      <c r="BY595" s="776">
        <v>2.56</v>
      </c>
      <c r="BZ595" s="776">
        <v>2.56</v>
      </c>
      <c r="CA595" s="777" t="s">
        <v>2260</v>
      </c>
      <c r="CB595" s="769" t="s">
        <v>2260</v>
      </c>
      <c r="CC595" s="769" t="s">
        <v>2260</v>
      </c>
      <c r="CD595" s="769" t="s">
        <v>2260</v>
      </c>
      <c r="CE595" s="774" t="s">
        <v>2260</v>
      </c>
      <c r="CF595" s="779" t="s">
        <v>2260</v>
      </c>
      <c r="CG595" s="779" t="s">
        <v>2260</v>
      </c>
      <c r="CH595" s="779" t="s">
        <v>2260</v>
      </c>
      <c r="CI595" s="779" t="s">
        <v>2260</v>
      </c>
      <c r="CJ595" s="780" t="s">
        <v>2260</v>
      </c>
      <c r="CK595" s="777">
        <v>1.5</v>
      </c>
      <c r="CL595" s="769">
        <v>1.5</v>
      </c>
      <c r="CM595" s="769">
        <v>1.5</v>
      </c>
      <c r="CN595" s="769">
        <v>1.5</v>
      </c>
      <c r="CO595" s="774">
        <v>1.5</v>
      </c>
      <c r="CP595" s="777" t="s">
        <v>2260</v>
      </c>
      <c r="CQ595" s="769" t="s">
        <v>2260</v>
      </c>
      <c r="CR595" s="769" t="s">
        <v>2260</v>
      </c>
      <c r="CS595" s="769" t="s">
        <v>2260</v>
      </c>
      <c r="CT595" s="774" t="s">
        <v>2260</v>
      </c>
      <c r="CU595" s="1253">
        <v>-1.931</v>
      </c>
      <c r="CV595" s="1252" t="s">
        <v>2260</v>
      </c>
      <c r="CW595" s="1252" t="s">
        <v>2260</v>
      </c>
      <c r="CX595" s="1254" t="s">
        <v>2260</v>
      </c>
      <c r="CY595" s="1252">
        <v>1.931</v>
      </c>
      <c r="CZ595" s="1252" t="s">
        <v>2260</v>
      </c>
      <c r="DA595" s="1252" t="s">
        <v>2260</v>
      </c>
      <c r="DB595" s="1254" t="s">
        <v>2260</v>
      </c>
      <c r="DC595" s="754"/>
      <c r="DD595" s="782">
        <v>1</v>
      </c>
      <c r="DE595" s="783"/>
    </row>
    <row r="596" spans="1:109" ht="15.75" hidden="1" customHeight="1">
      <c r="A596" s="741" t="s">
        <v>1227</v>
      </c>
      <c r="B596" s="742">
        <v>590</v>
      </c>
      <c r="C596" s="758" t="s">
        <v>1353</v>
      </c>
      <c r="D596" s="742" t="s">
        <v>4134</v>
      </c>
      <c r="E596" s="742" t="s">
        <v>2231</v>
      </c>
      <c r="F596" s="754" t="s">
        <v>4144</v>
      </c>
      <c r="G596" s="759" t="s">
        <v>2745</v>
      </c>
      <c r="H596" s="760" t="s">
        <v>4145</v>
      </c>
      <c r="I596" s="761"/>
      <c r="J596" s="762"/>
      <c r="K596" s="762"/>
      <c r="L596" s="762"/>
      <c r="M596" s="762">
        <v>1</v>
      </c>
      <c r="N596" s="762"/>
      <c r="O596" s="762"/>
      <c r="P596" s="763"/>
      <c r="Q596" s="764">
        <f t="shared" si="9"/>
        <v>1</v>
      </c>
      <c r="R596" s="758" t="s">
        <v>1852</v>
      </c>
      <c r="S596" s="742" t="s">
        <v>1826</v>
      </c>
      <c r="T596" s="765" t="s">
        <v>1827</v>
      </c>
      <c r="U596" s="742" t="s">
        <v>2892</v>
      </c>
      <c r="V596" s="742" t="s">
        <v>1857</v>
      </c>
      <c r="W596" s="742" t="s">
        <v>4146</v>
      </c>
      <c r="X596" s="798">
        <v>0</v>
      </c>
      <c r="Y596" s="790" t="s">
        <v>1828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210</v>
      </c>
      <c r="BM596" s="754" t="s">
        <v>210</v>
      </c>
      <c r="BN596" s="754" t="s">
        <v>210</v>
      </c>
      <c r="BO596" s="754" t="s">
        <v>210</v>
      </c>
      <c r="BP596" s="765" t="s">
        <v>210</v>
      </c>
      <c r="BQ596" s="777" t="s">
        <v>2260</v>
      </c>
      <c r="BR596" s="769" t="s">
        <v>2260</v>
      </c>
      <c r="BS596" s="769" t="s">
        <v>2260</v>
      </c>
      <c r="BT596" s="769" t="s">
        <v>2260</v>
      </c>
      <c r="BU596" s="774" t="s">
        <v>2260</v>
      </c>
      <c r="BV596" s="777" t="s">
        <v>2260</v>
      </c>
      <c r="BW596" s="769" t="s">
        <v>2260</v>
      </c>
      <c r="BX596" s="769" t="s">
        <v>2260</v>
      </c>
      <c r="BY596" s="769" t="s">
        <v>2260</v>
      </c>
      <c r="BZ596" s="769" t="s">
        <v>2260</v>
      </c>
      <c r="CA596" s="777" t="s">
        <v>2260</v>
      </c>
      <c r="CB596" s="769" t="s">
        <v>2260</v>
      </c>
      <c r="CC596" s="769" t="s">
        <v>2260</v>
      </c>
      <c r="CD596" s="769" t="s">
        <v>2260</v>
      </c>
      <c r="CE596" s="774" t="s">
        <v>2260</v>
      </c>
      <c r="CF596" s="769" t="s">
        <v>2260</v>
      </c>
      <c r="CG596" s="769" t="s">
        <v>2260</v>
      </c>
      <c r="CH596" s="769" t="s">
        <v>2260</v>
      </c>
      <c r="CI596" s="769" t="s">
        <v>2260</v>
      </c>
      <c r="CJ596" s="774" t="s">
        <v>2260</v>
      </c>
      <c r="CK596" s="777" t="s">
        <v>2260</v>
      </c>
      <c r="CL596" s="769" t="s">
        <v>2260</v>
      </c>
      <c r="CM596" s="769" t="s">
        <v>2260</v>
      </c>
      <c r="CN596" s="769" t="s">
        <v>2260</v>
      </c>
      <c r="CO596" s="774" t="s">
        <v>2260</v>
      </c>
      <c r="CP596" s="777" t="s">
        <v>2260</v>
      </c>
      <c r="CQ596" s="769" t="s">
        <v>2260</v>
      </c>
      <c r="CR596" s="769" t="s">
        <v>2260</v>
      </c>
      <c r="CS596" s="769" t="s">
        <v>2260</v>
      </c>
      <c r="CT596" s="774" t="s">
        <v>2260</v>
      </c>
      <c r="CU596" s="1253">
        <v>-2.5999999999999998E-4</v>
      </c>
      <c r="CV596" s="1252" t="s">
        <v>2260</v>
      </c>
      <c r="CW596" s="1252" t="s">
        <v>2260</v>
      </c>
      <c r="CX596" s="1254" t="s">
        <v>2260</v>
      </c>
      <c r="CY596" s="1252">
        <v>1.45E-4</v>
      </c>
      <c r="CZ596" s="1252" t="s">
        <v>2260</v>
      </c>
      <c r="DA596" s="1252" t="s">
        <v>2260</v>
      </c>
      <c r="DB596" s="1254" t="s">
        <v>2260</v>
      </c>
      <c r="DC596" s="754"/>
      <c r="DD596" s="782">
        <v>1</v>
      </c>
      <c r="DE596" s="783"/>
    </row>
    <row r="597" spans="1:109" ht="15.75" hidden="1" customHeight="1">
      <c r="A597" s="741" t="s">
        <v>1227</v>
      </c>
      <c r="B597" s="742">
        <v>591</v>
      </c>
      <c r="C597" s="758" t="s">
        <v>1791</v>
      </c>
      <c r="D597" s="742" t="s">
        <v>4147</v>
      </c>
      <c r="E597" s="742" t="s">
        <v>2231</v>
      </c>
      <c r="F597" s="754" t="s">
        <v>4148</v>
      </c>
      <c r="G597" s="759" t="s">
        <v>2251</v>
      </c>
      <c r="H597" s="760" t="s">
        <v>1888</v>
      </c>
      <c r="I597" s="761"/>
      <c r="J597" s="762"/>
      <c r="K597" s="762"/>
      <c r="L597" s="762"/>
      <c r="M597" s="762">
        <v>1</v>
      </c>
      <c r="N597" s="762"/>
      <c r="O597" s="762"/>
      <c r="P597" s="763"/>
      <c r="Q597" s="764">
        <f t="shared" si="9"/>
        <v>1</v>
      </c>
      <c r="R597" s="758" t="s">
        <v>1852</v>
      </c>
      <c r="S597" s="742" t="s">
        <v>1826</v>
      </c>
      <c r="T597" s="765" t="s">
        <v>1827</v>
      </c>
      <c r="U597" s="742" t="s">
        <v>1888</v>
      </c>
      <c r="V597" s="742" t="s">
        <v>1897</v>
      </c>
      <c r="W597" s="742" t="s">
        <v>2337</v>
      </c>
      <c r="X597" s="1243">
        <v>2</v>
      </c>
      <c r="Y597" s="790" t="s">
        <v>1828</v>
      </c>
      <c r="Z597" s="759" t="s">
        <v>2251</v>
      </c>
      <c r="AA597" s="754"/>
      <c r="AB597" s="754"/>
      <c r="AC597" s="754"/>
      <c r="AD597" s="754"/>
      <c r="AE597" s="754"/>
      <c r="AF597" s="768"/>
      <c r="AG597" s="793"/>
      <c r="AH597" s="793"/>
      <c r="AI597" s="793"/>
      <c r="AJ597" s="793"/>
      <c r="AK597" s="793"/>
      <c r="AL597" s="793"/>
      <c r="AM597" s="793"/>
      <c r="AN597" s="793"/>
      <c r="AO597" s="793"/>
      <c r="AP597" s="793"/>
      <c r="AQ597" s="1670"/>
      <c r="AR597" s="1671"/>
      <c r="AS597" s="1671"/>
      <c r="AT597" s="1671"/>
      <c r="AU597" s="1688"/>
      <c r="AV597" s="792"/>
      <c r="AW597" s="793"/>
      <c r="AX597" s="793"/>
      <c r="AY597" s="793"/>
      <c r="AZ597" s="793"/>
      <c r="BA597" s="793"/>
      <c r="BB597" s="793"/>
      <c r="BC597" s="793"/>
      <c r="BD597" s="793"/>
      <c r="BE597" s="793"/>
      <c r="BF597" s="793"/>
      <c r="BG597" s="793"/>
      <c r="BH597" s="793"/>
      <c r="BI597" s="793"/>
      <c r="BJ597" s="793"/>
      <c r="BK597" s="794"/>
      <c r="BL597" s="1327"/>
      <c r="BM597" s="1328"/>
      <c r="BN597" s="1328"/>
      <c r="BO597" s="1328"/>
      <c r="BP597" s="1328"/>
      <c r="BQ597" s="1369"/>
      <c r="BR597" s="1319"/>
      <c r="BS597" s="1319"/>
      <c r="BT597" s="1319"/>
      <c r="BU597" s="1320"/>
      <c r="BV597" s="1670"/>
      <c r="BW597" s="1671"/>
      <c r="BX597" s="1671"/>
      <c r="BY597" s="1671"/>
      <c r="BZ597" s="1671"/>
      <c r="CA597" s="1369"/>
      <c r="CB597" s="1319"/>
      <c r="CC597" s="1319"/>
      <c r="CD597" s="1319"/>
      <c r="CE597" s="1320"/>
      <c r="CF597" s="1319"/>
      <c r="CG597" s="1319"/>
      <c r="CH597" s="1319"/>
      <c r="CI597" s="1319"/>
      <c r="CJ597" s="1319"/>
      <c r="CK597" s="1670"/>
      <c r="CL597" s="1671"/>
      <c r="CM597" s="1671"/>
      <c r="CN597" s="1671"/>
      <c r="CO597" s="1688"/>
      <c r="CP597" s="1369"/>
      <c r="CQ597" s="1319"/>
      <c r="CR597" s="1319"/>
      <c r="CS597" s="1319"/>
      <c r="CT597" s="1320"/>
      <c r="CU597" s="1467"/>
      <c r="CV597" s="1458"/>
      <c r="CW597" s="1458"/>
      <c r="CX597" s="1663"/>
      <c r="CY597" s="1458"/>
      <c r="CZ597" s="1458"/>
      <c r="DA597" s="1458"/>
      <c r="DB597" s="1663"/>
      <c r="DC597" s="1328"/>
      <c r="DD597" s="1664"/>
      <c r="DE597" s="1669"/>
    </row>
    <row r="598" spans="1:109" ht="15.75" hidden="1" customHeight="1">
      <c r="A598" s="741" t="s">
        <v>1227</v>
      </c>
      <c r="B598" s="742">
        <v>592</v>
      </c>
      <c r="C598" s="758" t="s">
        <v>1774</v>
      </c>
      <c r="D598" s="742" t="s">
        <v>4147</v>
      </c>
      <c r="E598" s="742" t="s">
        <v>2231</v>
      </c>
      <c r="F598" s="754" t="s">
        <v>4149</v>
      </c>
      <c r="G598" s="759" t="s">
        <v>2254</v>
      </c>
      <c r="H598" s="760" t="s">
        <v>1891</v>
      </c>
      <c r="I598" s="761"/>
      <c r="J598" s="762">
        <v>0.37</v>
      </c>
      <c r="K598" s="762">
        <v>0.63</v>
      </c>
      <c r="L598" s="762"/>
      <c r="M598" s="762"/>
      <c r="N598" s="762"/>
      <c r="O598" s="762"/>
      <c r="P598" s="763"/>
      <c r="Q598" s="764">
        <f t="shared" si="9"/>
        <v>1</v>
      </c>
      <c r="R598" s="758" t="s">
        <v>1852</v>
      </c>
      <c r="S598" s="742" t="s">
        <v>1826</v>
      </c>
      <c r="T598" s="765" t="s">
        <v>1827</v>
      </c>
      <c r="U598" s="742" t="s">
        <v>1891</v>
      </c>
      <c r="V598" s="742" t="s">
        <v>1897</v>
      </c>
      <c r="W598" s="742" t="s">
        <v>4150</v>
      </c>
      <c r="X598" s="1243">
        <v>2</v>
      </c>
      <c r="Y598" s="790" t="s">
        <v>1828</v>
      </c>
      <c r="Z598" s="759" t="s">
        <v>2254</v>
      </c>
      <c r="AA598" s="754"/>
      <c r="AB598" s="754"/>
      <c r="AC598" s="754"/>
      <c r="AD598" s="754"/>
      <c r="AE598" s="754"/>
      <c r="AF598" s="768"/>
      <c r="AG598" s="769"/>
      <c r="AH598" s="769"/>
      <c r="AI598" s="769"/>
      <c r="AJ598" s="769"/>
      <c r="AK598" s="769"/>
      <c r="AL598" s="769"/>
      <c r="AM598" s="769"/>
      <c r="AN598" s="769"/>
      <c r="AO598" s="769"/>
      <c r="AP598" s="769"/>
      <c r="AQ598" s="1369"/>
      <c r="AR598" s="1319"/>
      <c r="AS598" s="1319"/>
      <c r="AT598" s="1319"/>
      <c r="AU598" s="1320"/>
      <c r="AV598" s="777"/>
      <c r="AW598" s="769"/>
      <c r="AX598" s="769"/>
      <c r="AY598" s="769"/>
      <c r="AZ598" s="769"/>
      <c r="BA598" s="769"/>
      <c r="BB598" s="769"/>
      <c r="BC598" s="769"/>
      <c r="BD598" s="769"/>
      <c r="BE598" s="769"/>
      <c r="BF598" s="769"/>
      <c r="BG598" s="769"/>
      <c r="BH598" s="769"/>
      <c r="BI598" s="769"/>
      <c r="BJ598" s="769"/>
      <c r="BK598" s="774"/>
      <c r="BL598" s="1327"/>
      <c r="BM598" s="1328"/>
      <c r="BN598" s="1328"/>
      <c r="BO598" s="1328"/>
      <c r="BP598" s="1328"/>
      <c r="BQ598" s="1369"/>
      <c r="BR598" s="1319"/>
      <c r="BS598" s="1319"/>
      <c r="BT598" s="1319"/>
      <c r="BU598" s="1320"/>
      <c r="BV598" s="1369"/>
      <c r="BW598" s="1319"/>
      <c r="BX598" s="1319"/>
      <c r="BY598" s="1319"/>
      <c r="BZ598" s="1319"/>
      <c r="CA598" s="1369"/>
      <c r="CB598" s="1319"/>
      <c r="CC598" s="1319"/>
      <c r="CD598" s="1319"/>
      <c r="CE598" s="1320"/>
      <c r="CF598" s="1319"/>
      <c r="CG598" s="1319"/>
      <c r="CH598" s="1319"/>
      <c r="CI598" s="1319"/>
      <c r="CJ598" s="1320"/>
      <c r="CK598" s="1369"/>
      <c r="CL598" s="1319"/>
      <c r="CM598" s="1319"/>
      <c r="CN598" s="1319"/>
      <c r="CO598" s="1320"/>
      <c r="CP598" s="1369"/>
      <c r="CQ598" s="1319"/>
      <c r="CR598" s="1319"/>
      <c r="CS598" s="1319"/>
      <c r="CT598" s="1320"/>
      <c r="CU598" s="1467"/>
      <c r="CV598" s="1458"/>
      <c r="CW598" s="1458"/>
      <c r="CX598" s="1663"/>
      <c r="CY598" s="1458"/>
      <c r="CZ598" s="1458"/>
      <c r="DA598" s="1458"/>
      <c r="DB598" s="1663"/>
      <c r="DC598" s="1328"/>
      <c r="DD598" s="1664"/>
      <c r="DE598" s="1669"/>
    </row>
    <row r="599" spans="1:109" ht="15.75" hidden="1" customHeight="1">
      <c r="A599" s="741" t="s">
        <v>1227</v>
      </c>
      <c r="B599" s="742">
        <v>593</v>
      </c>
      <c r="C599" s="758" t="s">
        <v>1619</v>
      </c>
      <c r="D599" s="742" t="s">
        <v>4147</v>
      </c>
      <c r="E599" s="742" t="s">
        <v>2223</v>
      </c>
      <c r="F599" s="754" t="s">
        <v>4151</v>
      </c>
      <c r="G599" s="759" t="s">
        <v>2494</v>
      </c>
      <c r="H599" s="760" t="s">
        <v>4152</v>
      </c>
      <c r="I599" s="761"/>
      <c r="J599" s="762"/>
      <c r="K599" s="762"/>
      <c r="L599" s="762"/>
      <c r="M599" s="762">
        <v>1</v>
      </c>
      <c r="N599" s="762"/>
      <c r="O599" s="762"/>
      <c r="P599" s="763"/>
      <c r="Q599" s="764">
        <f t="shared" si="9"/>
        <v>1</v>
      </c>
      <c r="R599" s="758" t="s">
        <v>1825</v>
      </c>
      <c r="S599" s="742"/>
      <c r="T599" s="765"/>
      <c r="U599" s="742" t="s">
        <v>2329</v>
      </c>
      <c r="V599" s="742" t="s">
        <v>321</v>
      </c>
      <c r="W599" s="742" t="s">
        <v>4153</v>
      </c>
      <c r="X599" s="798">
        <v>0</v>
      </c>
      <c r="Y599" s="790" t="s">
        <v>1828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2260</v>
      </c>
      <c r="BR599" s="769" t="s">
        <v>2260</v>
      </c>
      <c r="BS599" s="769" t="s">
        <v>2260</v>
      </c>
      <c r="BT599" s="769" t="s">
        <v>2260</v>
      </c>
      <c r="BU599" s="774" t="s">
        <v>2260</v>
      </c>
      <c r="BV599" s="777" t="s">
        <v>2260</v>
      </c>
      <c r="BW599" s="769" t="s">
        <v>2260</v>
      </c>
      <c r="BX599" s="769" t="s">
        <v>2260</v>
      </c>
      <c r="BY599" s="769" t="s">
        <v>2260</v>
      </c>
      <c r="BZ599" s="769" t="s">
        <v>2260</v>
      </c>
      <c r="CA599" s="777" t="s">
        <v>2260</v>
      </c>
      <c r="CB599" s="769" t="s">
        <v>2260</v>
      </c>
      <c r="CC599" s="769" t="s">
        <v>2260</v>
      </c>
      <c r="CD599" s="769" t="s">
        <v>2260</v>
      </c>
      <c r="CE599" s="774" t="s">
        <v>2260</v>
      </c>
      <c r="CF599" s="769" t="s">
        <v>2260</v>
      </c>
      <c r="CG599" s="769" t="s">
        <v>2260</v>
      </c>
      <c r="CH599" s="769" t="s">
        <v>2260</v>
      </c>
      <c r="CI599" s="769" t="s">
        <v>2260</v>
      </c>
      <c r="CJ599" s="774" t="s">
        <v>2260</v>
      </c>
      <c r="CK599" s="777" t="s">
        <v>2260</v>
      </c>
      <c r="CL599" s="769" t="s">
        <v>2260</v>
      </c>
      <c r="CM599" s="769" t="s">
        <v>2260</v>
      </c>
      <c r="CN599" s="769" t="s">
        <v>2260</v>
      </c>
      <c r="CO599" s="774" t="s">
        <v>2260</v>
      </c>
      <c r="CP599" s="777" t="s">
        <v>2260</v>
      </c>
      <c r="CQ599" s="769" t="s">
        <v>2260</v>
      </c>
      <c r="CR599" s="769" t="s">
        <v>2260</v>
      </c>
      <c r="CS599" s="769" t="s">
        <v>2260</v>
      </c>
      <c r="CT599" s="774" t="s">
        <v>2260</v>
      </c>
      <c r="CU599" s="1253" t="s">
        <v>2260</v>
      </c>
      <c r="CV599" s="1252" t="s">
        <v>2260</v>
      </c>
      <c r="CW599" s="1252" t="s">
        <v>2260</v>
      </c>
      <c r="CX599" s="1254" t="s">
        <v>2260</v>
      </c>
      <c r="CY599" s="1252" t="s">
        <v>2260</v>
      </c>
      <c r="CZ599" s="1252" t="s">
        <v>2260</v>
      </c>
      <c r="DA599" s="1252" t="s">
        <v>2260</v>
      </c>
      <c r="DB599" s="1254" t="s">
        <v>2260</v>
      </c>
      <c r="DC599" s="754"/>
      <c r="DD599" s="782">
        <v>1</v>
      </c>
      <c r="DE599" s="783"/>
    </row>
    <row r="600" spans="1:109" ht="15.75" hidden="1" customHeight="1">
      <c r="A600" s="741" t="s">
        <v>1227</v>
      </c>
      <c r="B600" s="742">
        <v>594</v>
      </c>
      <c r="C600" s="758" t="s">
        <v>1286</v>
      </c>
      <c r="D600" s="742" t="s">
        <v>4154</v>
      </c>
      <c r="E600" s="742" t="s">
        <v>2231</v>
      </c>
      <c r="F600" s="754" t="s">
        <v>2592</v>
      </c>
      <c r="G600" s="759" t="s">
        <v>755</v>
      </c>
      <c r="H600" s="760" t="s">
        <v>4155</v>
      </c>
      <c r="I600" s="761"/>
      <c r="J600" s="762"/>
      <c r="K600" s="762"/>
      <c r="L600" s="762"/>
      <c r="M600" s="762">
        <v>1</v>
      </c>
      <c r="N600" s="762"/>
      <c r="O600" s="762"/>
      <c r="P600" s="763"/>
      <c r="Q600" s="764">
        <f t="shared" si="9"/>
        <v>1</v>
      </c>
      <c r="R600" s="758" t="s">
        <v>1825</v>
      </c>
      <c r="S600" s="742"/>
      <c r="T600" s="765"/>
      <c r="U600" s="742" t="s">
        <v>2329</v>
      </c>
      <c r="V600" s="742" t="s">
        <v>321</v>
      </c>
      <c r="W600" s="742" t="s">
        <v>4156</v>
      </c>
      <c r="X600" s="798">
        <v>1</v>
      </c>
      <c r="Y600" s="790" t="s">
        <v>1828</v>
      </c>
      <c r="Z600" s="759" t="s">
        <v>755</v>
      </c>
      <c r="AA600" s="754"/>
      <c r="AB600" s="754"/>
      <c r="AC600" s="754"/>
      <c r="AD600" s="754"/>
      <c r="AE600" s="754"/>
      <c r="AF600" s="768"/>
      <c r="AG600" s="769"/>
      <c r="AH600" s="769"/>
      <c r="AI600" s="769"/>
      <c r="AJ600" s="769"/>
      <c r="AK600" s="769"/>
      <c r="AL600" s="769"/>
      <c r="AM600" s="769"/>
      <c r="AN600" s="769"/>
      <c r="AO600" s="769"/>
      <c r="AP600" s="769"/>
      <c r="AQ600" s="1369"/>
      <c r="AR600" s="1319"/>
      <c r="AS600" s="1319"/>
      <c r="AT600" s="1319"/>
      <c r="AU600" s="1320"/>
      <c r="AV600" s="777"/>
      <c r="AW600" s="769"/>
      <c r="AX600" s="769"/>
      <c r="AY600" s="769"/>
      <c r="AZ600" s="769"/>
      <c r="BA600" s="769"/>
      <c r="BB600" s="769"/>
      <c r="BC600" s="769"/>
      <c r="BD600" s="769"/>
      <c r="BE600" s="769"/>
      <c r="BF600" s="769"/>
      <c r="BG600" s="769"/>
      <c r="BH600" s="769"/>
      <c r="BI600" s="769"/>
      <c r="BJ600" s="769"/>
      <c r="BK600" s="774"/>
      <c r="BL600" s="1327"/>
      <c r="BM600" s="1328"/>
      <c r="BN600" s="1328"/>
      <c r="BO600" s="1328"/>
      <c r="BP600" s="1328"/>
      <c r="BQ600" s="1369"/>
      <c r="BR600" s="1319"/>
      <c r="BS600" s="1319"/>
      <c r="BT600" s="1319"/>
      <c r="BU600" s="1320"/>
      <c r="BV600" s="1369"/>
      <c r="BW600" s="1319"/>
      <c r="BX600" s="1319"/>
      <c r="BY600" s="1319"/>
      <c r="BZ600" s="1319"/>
      <c r="CA600" s="1369"/>
      <c r="CB600" s="1319"/>
      <c r="CC600" s="1319"/>
      <c r="CD600" s="1319"/>
      <c r="CE600" s="1320"/>
      <c r="CF600" s="1319"/>
      <c r="CG600" s="1319"/>
      <c r="CH600" s="1319"/>
      <c r="CI600" s="1319"/>
      <c r="CJ600" s="1320"/>
      <c r="CK600" s="1369"/>
      <c r="CL600" s="1319"/>
      <c r="CM600" s="1319"/>
      <c r="CN600" s="1319"/>
      <c r="CO600" s="1320"/>
      <c r="CP600" s="1369"/>
      <c r="CQ600" s="1319"/>
      <c r="CR600" s="1319"/>
      <c r="CS600" s="1319"/>
      <c r="CT600" s="1320"/>
      <c r="CU600" s="1467"/>
      <c r="CV600" s="1458"/>
      <c r="CW600" s="1458"/>
      <c r="CX600" s="1663"/>
      <c r="CY600" s="1458"/>
      <c r="CZ600" s="1458"/>
      <c r="DA600" s="1458"/>
      <c r="DB600" s="1663"/>
      <c r="DC600" s="1328"/>
      <c r="DD600" s="1664"/>
      <c r="DE600" s="1669"/>
    </row>
    <row r="601" spans="1:109" ht="15.75" hidden="1" customHeight="1">
      <c r="A601" s="741" t="s">
        <v>1227</v>
      </c>
      <c r="B601" s="742">
        <v>595</v>
      </c>
      <c r="C601" s="758" t="s">
        <v>1636</v>
      </c>
      <c r="D601" s="742" t="s">
        <v>4154</v>
      </c>
      <c r="E601" s="742" t="s">
        <v>2223</v>
      </c>
      <c r="F601" s="754" t="s">
        <v>2595</v>
      </c>
      <c r="G601" s="759" t="s">
        <v>4157</v>
      </c>
      <c r="H601" s="760" t="s">
        <v>4158</v>
      </c>
      <c r="I601" s="761"/>
      <c r="J601" s="762"/>
      <c r="K601" s="762"/>
      <c r="L601" s="762"/>
      <c r="M601" s="762">
        <v>1</v>
      </c>
      <c r="N601" s="762"/>
      <c r="O601" s="762"/>
      <c r="P601" s="763"/>
      <c r="Q601" s="764">
        <f t="shared" si="9"/>
        <v>1</v>
      </c>
      <c r="R601" s="758" t="s">
        <v>1825</v>
      </c>
      <c r="S601" s="742"/>
      <c r="T601" s="765"/>
      <c r="U601" s="742" t="s">
        <v>2329</v>
      </c>
      <c r="V601" s="742" t="s">
        <v>1890</v>
      </c>
      <c r="W601" s="742" t="s">
        <v>4159</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3598</v>
      </c>
      <c r="AR601" s="769" t="s">
        <v>3598</v>
      </c>
      <c r="AS601" s="769" t="s">
        <v>3598</v>
      </c>
      <c r="AT601" s="769" t="s">
        <v>3598</v>
      </c>
      <c r="AU601" s="774" t="s">
        <v>3598</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2260</v>
      </c>
      <c r="BR601" s="769" t="s">
        <v>2260</v>
      </c>
      <c r="BS601" s="769" t="s">
        <v>2260</v>
      </c>
      <c r="BT601" s="769" t="s">
        <v>2260</v>
      </c>
      <c r="BU601" s="774" t="s">
        <v>2260</v>
      </c>
      <c r="BV601" s="777" t="s">
        <v>2260</v>
      </c>
      <c r="BW601" s="769" t="s">
        <v>2260</v>
      </c>
      <c r="BX601" s="769" t="s">
        <v>2260</v>
      </c>
      <c r="BY601" s="769" t="s">
        <v>2260</v>
      </c>
      <c r="BZ601" s="769" t="s">
        <v>2260</v>
      </c>
      <c r="CA601" s="777" t="s">
        <v>2260</v>
      </c>
      <c r="CB601" s="769" t="s">
        <v>2260</v>
      </c>
      <c r="CC601" s="769" t="s">
        <v>2260</v>
      </c>
      <c r="CD601" s="769" t="s">
        <v>2260</v>
      </c>
      <c r="CE601" s="774" t="s">
        <v>2260</v>
      </c>
      <c r="CF601" s="769" t="s">
        <v>2260</v>
      </c>
      <c r="CG601" s="769" t="s">
        <v>2260</v>
      </c>
      <c r="CH601" s="769" t="s">
        <v>2260</v>
      </c>
      <c r="CI601" s="769" t="s">
        <v>2260</v>
      </c>
      <c r="CJ601" s="774" t="s">
        <v>2260</v>
      </c>
      <c r="CK601" s="777" t="s">
        <v>2260</v>
      </c>
      <c r="CL601" s="769" t="s">
        <v>2260</v>
      </c>
      <c r="CM601" s="769" t="s">
        <v>2260</v>
      </c>
      <c r="CN601" s="769" t="s">
        <v>2260</v>
      </c>
      <c r="CO601" s="774" t="s">
        <v>2260</v>
      </c>
      <c r="CP601" s="777" t="s">
        <v>2260</v>
      </c>
      <c r="CQ601" s="769" t="s">
        <v>2260</v>
      </c>
      <c r="CR601" s="769" t="s">
        <v>2260</v>
      </c>
      <c r="CS601" s="769" t="s">
        <v>2260</v>
      </c>
      <c r="CT601" s="774" t="s">
        <v>2260</v>
      </c>
      <c r="CU601" s="1253" t="s">
        <v>2260</v>
      </c>
      <c r="CV601" s="1252" t="s">
        <v>2260</v>
      </c>
      <c r="CW601" s="1252" t="s">
        <v>2260</v>
      </c>
      <c r="CX601" s="1254" t="s">
        <v>2260</v>
      </c>
      <c r="CY601" s="1252" t="s">
        <v>2260</v>
      </c>
      <c r="CZ601" s="1252" t="s">
        <v>2260</v>
      </c>
      <c r="DA601" s="1252" t="s">
        <v>2260</v>
      </c>
      <c r="DB601" s="1254" t="s">
        <v>2260</v>
      </c>
      <c r="DC601" s="754"/>
      <c r="DD601" s="782">
        <v>1</v>
      </c>
      <c r="DE601" s="783"/>
    </row>
    <row r="602" spans="1:109" ht="15.75" hidden="1" customHeight="1">
      <c r="A602" s="741" t="s">
        <v>1227</v>
      </c>
      <c r="B602" s="742">
        <v>596</v>
      </c>
      <c r="C602" s="758" t="s">
        <v>1370</v>
      </c>
      <c r="D602" s="742" t="s">
        <v>4154</v>
      </c>
      <c r="E602" s="742" t="s">
        <v>2231</v>
      </c>
      <c r="F602" s="754" t="s">
        <v>2599</v>
      </c>
      <c r="G602" s="759" t="s">
        <v>4160</v>
      </c>
      <c r="H602" s="760" t="s">
        <v>4161</v>
      </c>
      <c r="I602" s="761">
        <v>0.25</v>
      </c>
      <c r="J602" s="762">
        <v>0.25</v>
      </c>
      <c r="K602" s="762">
        <v>0.25</v>
      </c>
      <c r="L602" s="762">
        <v>0.25</v>
      </c>
      <c r="M602" s="762"/>
      <c r="N602" s="762"/>
      <c r="O602" s="762"/>
      <c r="P602" s="763"/>
      <c r="Q602" s="764">
        <f t="shared" si="9"/>
        <v>1</v>
      </c>
      <c r="R602" s="758" t="s">
        <v>1852</v>
      </c>
      <c r="S602" s="742" t="s">
        <v>1826</v>
      </c>
      <c r="T602" s="765" t="s">
        <v>1827</v>
      </c>
      <c r="U602" s="742" t="s">
        <v>2610</v>
      </c>
      <c r="V602" s="742" t="s">
        <v>1857</v>
      </c>
      <c r="W602" s="742" t="s">
        <v>4160</v>
      </c>
      <c r="X602" s="798">
        <v>0</v>
      </c>
      <c r="Y602" s="790" t="s">
        <v>1828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210</v>
      </c>
      <c r="BM602" s="754" t="s">
        <v>210</v>
      </c>
      <c r="BN602" s="754" t="s">
        <v>210</v>
      </c>
      <c r="BO602" s="754" t="s">
        <v>210</v>
      </c>
      <c r="BP602" s="754" t="s">
        <v>210</v>
      </c>
      <c r="BQ602" s="777" t="s">
        <v>2260</v>
      </c>
      <c r="BR602" s="769" t="s">
        <v>2260</v>
      </c>
      <c r="BS602" s="769" t="s">
        <v>2260</v>
      </c>
      <c r="BT602" s="769" t="s">
        <v>2260</v>
      </c>
      <c r="BU602" s="774" t="s">
        <v>2260</v>
      </c>
      <c r="BV602" s="777" t="s">
        <v>2260</v>
      </c>
      <c r="BW602" s="769" t="s">
        <v>2260</v>
      </c>
      <c r="BX602" s="769" t="s">
        <v>2260</v>
      </c>
      <c r="BY602" s="769" t="s">
        <v>2260</v>
      </c>
      <c r="BZ602" s="769" t="s">
        <v>2260</v>
      </c>
      <c r="CA602" s="777" t="s">
        <v>2260</v>
      </c>
      <c r="CB602" s="769" t="s">
        <v>2260</v>
      </c>
      <c r="CC602" s="769" t="s">
        <v>2260</v>
      </c>
      <c r="CD602" s="769" t="s">
        <v>2260</v>
      </c>
      <c r="CE602" s="774" t="s">
        <v>2260</v>
      </c>
      <c r="CF602" s="769" t="s">
        <v>2260</v>
      </c>
      <c r="CG602" s="769" t="s">
        <v>2260</v>
      </c>
      <c r="CH602" s="769" t="s">
        <v>2260</v>
      </c>
      <c r="CI602" s="769" t="s">
        <v>2260</v>
      </c>
      <c r="CJ602" s="774" t="s">
        <v>2260</v>
      </c>
      <c r="CK602" s="777" t="s">
        <v>2260</v>
      </c>
      <c r="CL602" s="769" t="s">
        <v>2260</v>
      </c>
      <c r="CM602" s="769" t="s">
        <v>2260</v>
      </c>
      <c r="CN602" s="769" t="s">
        <v>2260</v>
      </c>
      <c r="CO602" s="774" t="s">
        <v>2260</v>
      </c>
      <c r="CP602" s="777" t="s">
        <v>2260</v>
      </c>
      <c r="CQ602" s="769" t="s">
        <v>2260</v>
      </c>
      <c r="CR602" s="769" t="s">
        <v>2260</v>
      </c>
      <c r="CS602" s="769" t="s">
        <v>2260</v>
      </c>
      <c r="CT602" s="774" t="s">
        <v>2260</v>
      </c>
      <c r="CU602" s="1253">
        <v>-3.9999999999999998E-6</v>
      </c>
      <c r="CV602" s="1252" t="s">
        <v>2260</v>
      </c>
      <c r="CW602" s="1252" t="s">
        <v>2260</v>
      </c>
      <c r="CX602" s="1254" t="s">
        <v>2260</v>
      </c>
      <c r="CY602" s="1252">
        <v>3.9999999999999998E-6</v>
      </c>
      <c r="CZ602" s="1252" t="s">
        <v>2260</v>
      </c>
      <c r="DA602" s="1252" t="s">
        <v>2260</v>
      </c>
      <c r="DB602" s="1254" t="s">
        <v>2260</v>
      </c>
      <c r="DC602" s="754"/>
      <c r="DD602" s="782">
        <v>1</v>
      </c>
      <c r="DE602" s="783"/>
    </row>
    <row r="603" spans="1:109" ht="15.75" hidden="1" customHeight="1">
      <c r="A603" s="741" t="s">
        <v>1227</v>
      </c>
      <c r="B603" s="742">
        <v>597</v>
      </c>
      <c r="C603" s="758" t="s">
        <v>1297</v>
      </c>
      <c r="D603" s="742" t="s">
        <v>4162</v>
      </c>
      <c r="E603" s="742" t="s">
        <v>2217</v>
      </c>
      <c r="F603" s="754" t="s">
        <v>4163</v>
      </c>
      <c r="G603" s="759" t="s">
        <v>705</v>
      </c>
      <c r="H603" s="760" t="s">
        <v>4164</v>
      </c>
      <c r="I603" s="761"/>
      <c r="J603" s="762">
        <v>1</v>
      </c>
      <c r="K603" s="762"/>
      <c r="L603" s="762"/>
      <c r="M603" s="762"/>
      <c r="N603" s="762"/>
      <c r="O603" s="762"/>
      <c r="P603" s="763"/>
      <c r="Q603" s="764">
        <f t="shared" si="9"/>
        <v>1</v>
      </c>
      <c r="R603" s="758" t="s">
        <v>1852</v>
      </c>
      <c r="S603" s="742" t="s">
        <v>1826</v>
      </c>
      <c r="T603" s="765" t="s">
        <v>1827</v>
      </c>
      <c r="U603" s="742" t="s">
        <v>705</v>
      </c>
      <c r="V603" s="742" t="s">
        <v>321</v>
      </c>
      <c r="W603" s="742" t="s">
        <v>4165</v>
      </c>
      <c r="X603" s="798">
        <v>1</v>
      </c>
      <c r="Y603" s="788" t="s">
        <v>1828</v>
      </c>
      <c r="Z603" s="759" t="s">
        <v>705</v>
      </c>
      <c r="AA603" s="754"/>
      <c r="AB603" s="754"/>
      <c r="AC603" s="754"/>
      <c r="AD603" s="754"/>
      <c r="AE603" s="754"/>
      <c r="AF603" s="768"/>
      <c r="AG603" s="769"/>
      <c r="AH603" s="769"/>
      <c r="AI603" s="769"/>
      <c r="AJ603" s="769"/>
      <c r="AK603" s="769"/>
      <c r="AL603" s="769"/>
      <c r="AM603" s="769"/>
      <c r="AN603" s="769"/>
      <c r="AO603" s="769"/>
      <c r="AP603" s="769"/>
      <c r="AQ603" s="1370"/>
      <c r="AR603" s="1324"/>
      <c r="AS603" s="1324"/>
      <c r="AT603" s="1324"/>
      <c r="AU603" s="1325"/>
      <c r="AV603" s="777"/>
      <c r="AW603" s="769"/>
      <c r="AX603" s="769"/>
      <c r="AY603" s="769"/>
      <c r="AZ603" s="769"/>
      <c r="BA603" s="769"/>
      <c r="BB603" s="769"/>
      <c r="BC603" s="769"/>
      <c r="BD603" s="769"/>
      <c r="BE603" s="769"/>
      <c r="BF603" s="769"/>
      <c r="BG603" s="769"/>
      <c r="BH603" s="769"/>
      <c r="BI603" s="769"/>
      <c r="BJ603" s="769"/>
      <c r="BK603" s="774"/>
      <c r="BL603" s="1327"/>
      <c r="BM603" s="1328"/>
      <c r="BN603" s="1328"/>
      <c r="BO603" s="1328"/>
      <c r="BP603" s="1328"/>
      <c r="BQ603" s="1460"/>
      <c r="BR603" s="1665"/>
      <c r="BS603" s="1665"/>
      <c r="BT603" s="1665"/>
      <c r="BU603" s="1466"/>
      <c r="BV603" s="1460"/>
      <c r="BW603" s="1665"/>
      <c r="BX603" s="1665"/>
      <c r="BY603" s="1665"/>
      <c r="BZ603" s="1665"/>
      <c r="CA603" s="1369"/>
      <c r="CB603" s="1319"/>
      <c r="CC603" s="1319"/>
      <c r="CD603" s="1319"/>
      <c r="CE603" s="1320"/>
      <c r="CF603" s="1319"/>
      <c r="CG603" s="1319"/>
      <c r="CH603" s="1319"/>
      <c r="CI603" s="1319"/>
      <c r="CJ603" s="1320"/>
      <c r="CK603" s="1460"/>
      <c r="CL603" s="1665"/>
      <c r="CM603" s="1665"/>
      <c r="CN603" s="1665"/>
      <c r="CO603" s="1466"/>
      <c r="CP603" s="1370"/>
      <c r="CQ603" s="1324"/>
      <c r="CR603" s="1324"/>
      <c r="CS603" s="1324"/>
      <c r="CT603" s="1325"/>
      <c r="CU603" s="1467"/>
      <c r="CV603" s="1458"/>
      <c r="CW603" s="1458"/>
      <c r="CX603" s="1663"/>
      <c r="CY603" s="1458"/>
      <c r="CZ603" s="1458"/>
      <c r="DA603" s="1458"/>
      <c r="DB603" s="1663"/>
      <c r="DC603" s="1328"/>
      <c r="DD603" s="1664"/>
      <c r="DE603" s="1669"/>
    </row>
    <row r="604" spans="1:109" ht="15.75" hidden="1" customHeight="1">
      <c r="A604" s="741" t="s">
        <v>1227</v>
      </c>
      <c r="B604" s="742">
        <v>598</v>
      </c>
      <c r="C604" s="897" t="s">
        <v>1291</v>
      </c>
      <c r="D604" s="742" t="s">
        <v>4162</v>
      </c>
      <c r="E604" s="742" t="s">
        <v>2217</v>
      </c>
      <c r="F604" s="754" t="s">
        <v>4166</v>
      </c>
      <c r="G604" s="759" t="s">
        <v>1084</v>
      </c>
      <c r="H604" s="760" t="s">
        <v>4167</v>
      </c>
      <c r="I604" s="761"/>
      <c r="J604" s="762">
        <v>1</v>
      </c>
      <c r="K604" s="762"/>
      <c r="L604" s="762"/>
      <c r="M604" s="762"/>
      <c r="N604" s="762"/>
      <c r="O604" s="762"/>
      <c r="P604" s="763"/>
      <c r="Q604" s="764">
        <f t="shared" si="9"/>
        <v>1</v>
      </c>
      <c r="R604" s="758" t="s">
        <v>1852</v>
      </c>
      <c r="S604" s="742" t="s">
        <v>1826</v>
      </c>
      <c r="T604" s="1389" t="s">
        <v>1837</v>
      </c>
      <c r="U604" s="742" t="s">
        <v>2348</v>
      </c>
      <c r="V604" s="742" t="s">
        <v>1857</v>
      </c>
      <c r="W604" s="742" t="s">
        <v>4168</v>
      </c>
      <c r="X604" s="798">
        <v>1</v>
      </c>
      <c r="Y604" s="788" t="s">
        <v>1838</v>
      </c>
      <c r="Z604" s="759" t="s">
        <v>1084</v>
      </c>
      <c r="AA604" s="754"/>
      <c r="AB604" s="754"/>
      <c r="AC604" s="754"/>
      <c r="AD604" s="754"/>
      <c r="AE604" s="754"/>
      <c r="AF604" s="768"/>
      <c r="AG604" s="769"/>
      <c r="AH604" s="769"/>
      <c r="AI604" s="769"/>
      <c r="AJ604" s="769"/>
      <c r="AK604" s="769"/>
      <c r="AL604" s="769"/>
      <c r="AM604" s="769"/>
      <c r="AN604" s="769"/>
      <c r="AO604" s="769"/>
      <c r="AP604" s="769"/>
      <c r="AQ604" s="1369"/>
      <c r="AR604" s="1319"/>
      <c r="AS604" s="1319"/>
      <c r="AT604" s="1319"/>
      <c r="AU604" s="1320"/>
      <c r="AV604" s="777"/>
      <c r="AW604" s="769"/>
      <c r="AX604" s="769"/>
      <c r="AY604" s="769"/>
      <c r="AZ604" s="769"/>
      <c r="BA604" s="769"/>
      <c r="BB604" s="769"/>
      <c r="BC604" s="769"/>
      <c r="BD604" s="769"/>
      <c r="BE604" s="769"/>
      <c r="BF604" s="769"/>
      <c r="BG604" s="769"/>
      <c r="BH604" s="769"/>
      <c r="BI604" s="769"/>
      <c r="BJ604" s="769"/>
      <c r="BK604" s="774"/>
      <c r="BL604" s="1327"/>
      <c r="BM604" s="1328"/>
      <c r="BN604" s="1328"/>
      <c r="BO604" s="1328"/>
      <c r="BP604" s="1328"/>
      <c r="BQ604" s="1369"/>
      <c r="BR604" s="1319"/>
      <c r="BS604" s="1319"/>
      <c r="BT604" s="1319"/>
      <c r="BU604" s="1320"/>
      <c r="BV604" s="1369"/>
      <c r="BW604" s="1319"/>
      <c r="BX604" s="1319"/>
      <c r="BY604" s="1319"/>
      <c r="BZ604" s="1319"/>
      <c r="CA604" s="1369"/>
      <c r="CB604" s="1319"/>
      <c r="CC604" s="1319"/>
      <c r="CD604" s="1319"/>
      <c r="CE604" s="1320"/>
      <c r="CF604" s="1319"/>
      <c r="CG604" s="1319"/>
      <c r="CH604" s="1319"/>
      <c r="CI604" s="1319"/>
      <c r="CJ604" s="1320"/>
      <c r="CK604" s="1370"/>
      <c r="CL604" s="1324"/>
      <c r="CM604" s="1324"/>
      <c r="CN604" s="1324"/>
      <c r="CO604" s="1325"/>
      <c r="CP604" s="1370"/>
      <c r="CQ604" s="1324"/>
      <c r="CR604" s="1324"/>
      <c r="CS604" s="1324"/>
      <c r="CT604" s="1325"/>
      <c r="CU604" s="1467"/>
      <c r="CV604" s="1458"/>
      <c r="CW604" s="1458"/>
      <c r="CX604" s="1663"/>
      <c r="CY604" s="1458"/>
      <c r="CZ604" s="1458"/>
      <c r="DA604" s="1458"/>
      <c r="DB604" s="1663"/>
      <c r="DC604" s="1328"/>
      <c r="DD604" s="1664"/>
      <c r="DE604" s="1669"/>
    </row>
    <row r="605" spans="1:109" ht="15.75" hidden="1" customHeight="1">
      <c r="A605" s="741" t="s">
        <v>1227</v>
      </c>
      <c r="B605" s="742">
        <v>599</v>
      </c>
      <c r="C605" s="758" t="s">
        <v>1387</v>
      </c>
      <c r="D605" s="742" t="s">
        <v>4162</v>
      </c>
      <c r="E605" s="742" t="s">
        <v>2223</v>
      </c>
      <c r="F605" s="754" t="s">
        <v>4169</v>
      </c>
      <c r="G605" s="759" t="s">
        <v>4170</v>
      </c>
      <c r="H605" s="760" t="s">
        <v>4171</v>
      </c>
      <c r="I605" s="761"/>
      <c r="J605" s="762">
        <v>1</v>
      </c>
      <c r="K605" s="762"/>
      <c r="L605" s="762"/>
      <c r="M605" s="762"/>
      <c r="N605" s="762"/>
      <c r="O605" s="762"/>
      <c r="P605" s="763"/>
      <c r="Q605" s="764">
        <f t="shared" si="9"/>
        <v>1</v>
      </c>
      <c r="R605" s="758" t="s">
        <v>1852</v>
      </c>
      <c r="S605" s="742" t="s">
        <v>1826</v>
      </c>
      <c r="T605" s="765" t="s">
        <v>1827</v>
      </c>
      <c r="U605" s="742" t="s">
        <v>705</v>
      </c>
      <c r="V605" s="742" t="s">
        <v>321</v>
      </c>
      <c r="W605" s="742" t="s">
        <v>4172</v>
      </c>
      <c r="X605" s="798">
        <v>0</v>
      </c>
      <c r="Y605" s="795" t="s">
        <v>1828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210</v>
      </c>
      <c r="BM605" s="754" t="s">
        <v>210</v>
      </c>
      <c r="BN605" s="754" t="s">
        <v>210</v>
      </c>
      <c r="BO605" s="754" t="s">
        <v>210</v>
      </c>
      <c r="BP605" s="754" t="s">
        <v>210</v>
      </c>
      <c r="BQ605" s="777" t="s">
        <v>2260</v>
      </c>
      <c r="BR605" s="769" t="s">
        <v>2260</v>
      </c>
      <c r="BS605" s="769" t="s">
        <v>2260</v>
      </c>
      <c r="BT605" s="769" t="s">
        <v>2260</v>
      </c>
      <c r="BU605" s="774" t="s">
        <v>2260</v>
      </c>
      <c r="BV605" s="777">
        <v>75</v>
      </c>
      <c r="BW605" s="769">
        <v>75</v>
      </c>
      <c r="BX605" s="769">
        <v>75</v>
      </c>
      <c r="BY605" s="769">
        <v>75</v>
      </c>
      <c r="BZ605" s="769">
        <v>75</v>
      </c>
      <c r="CA605" s="777" t="s">
        <v>2260</v>
      </c>
      <c r="CB605" s="769" t="s">
        <v>2260</v>
      </c>
      <c r="CC605" s="769" t="s">
        <v>2260</v>
      </c>
      <c r="CD605" s="769" t="s">
        <v>2260</v>
      </c>
      <c r="CE605" s="774" t="s">
        <v>2260</v>
      </c>
      <c r="CF605" s="769" t="s">
        <v>2260</v>
      </c>
      <c r="CG605" s="769" t="s">
        <v>2260</v>
      </c>
      <c r="CH605" s="769" t="s">
        <v>2260</v>
      </c>
      <c r="CI605" s="769" t="s">
        <v>2260</v>
      </c>
      <c r="CJ605" s="774" t="s">
        <v>2260</v>
      </c>
      <c r="CK605" s="777">
        <v>97</v>
      </c>
      <c r="CL605" s="769">
        <v>97</v>
      </c>
      <c r="CM605" s="769">
        <v>97</v>
      </c>
      <c r="CN605" s="769">
        <v>97</v>
      </c>
      <c r="CO605" s="774">
        <v>97</v>
      </c>
      <c r="CP605" s="777" t="s">
        <v>2260</v>
      </c>
      <c r="CQ605" s="769" t="s">
        <v>2260</v>
      </c>
      <c r="CR605" s="769" t="s">
        <v>2260</v>
      </c>
      <c r="CS605" s="769" t="s">
        <v>2260</v>
      </c>
      <c r="CT605" s="774" t="s">
        <v>2260</v>
      </c>
      <c r="CU605" s="1253">
        <v>-0.12</v>
      </c>
      <c r="CV605" s="1252" t="s">
        <v>2260</v>
      </c>
      <c r="CW605" s="1252" t="s">
        <v>2260</v>
      </c>
      <c r="CX605" s="1254" t="s">
        <v>2260</v>
      </c>
      <c r="CY605" s="1252">
        <v>6.3E-2</v>
      </c>
      <c r="CZ605" s="1252" t="s">
        <v>2260</v>
      </c>
      <c r="DA605" s="1252" t="s">
        <v>2260</v>
      </c>
      <c r="DB605" s="1254" t="s">
        <v>2260</v>
      </c>
      <c r="DC605" s="754"/>
      <c r="DD605" s="782">
        <v>1</v>
      </c>
      <c r="DE605" s="783"/>
    </row>
    <row r="606" spans="1:109" ht="15.75" hidden="1" customHeight="1">
      <c r="A606" s="741" t="s">
        <v>1227</v>
      </c>
      <c r="B606" s="742">
        <v>600</v>
      </c>
      <c r="C606" s="758" t="s">
        <v>1652</v>
      </c>
      <c r="D606" s="742" t="s">
        <v>4162</v>
      </c>
      <c r="E606" s="742" t="s">
        <v>2217</v>
      </c>
      <c r="F606" s="754" t="s">
        <v>4173</v>
      </c>
      <c r="G606" s="759" t="s">
        <v>4174</v>
      </c>
      <c r="H606" s="760" t="s">
        <v>4175</v>
      </c>
      <c r="I606" s="761"/>
      <c r="J606" s="762">
        <v>1</v>
      </c>
      <c r="K606" s="762"/>
      <c r="L606" s="762"/>
      <c r="M606" s="762"/>
      <c r="N606" s="762"/>
      <c r="O606" s="762"/>
      <c r="P606" s="763"/>
      <c r="Q606" s="764">
        <f t="shared" si="9"/>
        <v>1</v>
      </c>
      <c r="R606" s="758" t="s">
        <v>1825</v>
      </c>
      <c r="S606" s="742"/>
      <c r="T606" s="765"/>
      <c r="U606" s="742" t="s">
        <v>2348</v>
      </c>
      <c r="V606" s="742" t="s">
        <v>1857</v>
      </c>
      <c r="W606" s="742" t="s">
        <v>4176</v>
      </c>
      <c r="X606" s="798">
        <v>1</v>
      </c>
      <c r="Y606" s="790" t="s">
        <v>1828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2260</v>
      </c>
      <c r="BR606" s="769" t="s">
        <v>2260</v>
      </c>
      <c r="BS606" s="769" t="s">
        <v>2260</v>
      </c>
      <c r="BT606" s="769" t="s">
        <v>2260</v>
      </c>
      <c r="BU606" s="774" t="s">
        <v>2260</v>
      </c>
      <c r="BV606" s="777" t="s">
        <v>2260</v>
      </c>
      <c r="BW606" s="769" t="s">
        <v>2260</v>
      </c>
      <c r="BX606" s="769" t="s">
        <v>2260</v>
      </c>
      <c r="BY606" s="769" t="s">
        <v>2260</v>
      </c>
      <c r="BZ606" s="769" t="s">
        <v>2260</v>
      </c>
      <c r="CA606" s="777" t="s">
        <v>2260</v>
      </c>
      <c r="CB606" s="769" t="s">
        <v>2260</v>
      </c>
      <c r="CC606" s="769" t="s">
        <v>2260</v>
      </c>
      <c r="CD606" s="769" t="s">
        <v>2260</v>
      </c>
      <c r="CE606" s="774" t="s">
        <v>2260</v>
      </c>
      <c r="CF606" s="769" t="s">
        <v>2260</v>
      </c>
      <c r="CG606" s="769" t="s">
        <v>2260</v>
      </c>
      <c r="CH606" s="769" t="s">
        <v>2260</v>
      </c>
      <c r="CI606" s="769" t="s">
        <v>2260</v>
      </c>
      <c r="CJ606" s="774" t="s">
        <v>2260</v>
      </c>
      <c r="CK606" s="777" t="s">
        <v>2260</v>
      </c>
      <c r="CL606" s="769" t="s">
        <v>2260</v>
      </c>
      <c r="CM606" s="769" t="s">
        <v>2260</v>
      </c>
      <c r="CN606" s="769" t="s">
        <v>2260</v>
      </c>
      <c r="CO606" s="774" t="s">
        <v>2260</v>
      </c>
      <c r="CP606" s="777" t="s">
        <v>2260</v>
      </c>
      <c r="CQ606" s="769" t="s">
        <v>2260</v>
      </c>
      <c r="CR606" s="769" t="s">
        <v>2260</v>
      </c>
      <c r="CS606" s="769" t="s">
        <v>2260</v>
      </c>
      <c r="CT606" s="774" t="s">
        <v>2260</v>
      </c>
      <c r="CU606" s="1253" t="s">
        <v>2260</v>
      </c>
      <c r="CV606" s="1252" t="s">
        <v>2260</v>
      </c>
      <c r="CW606" s="1252" t="s">
        <v>2260</v>
      </c>
      <c r="CX606" s="1254" t="s">
        <v>2260</v>
      </c>
      <c r="CY606" s="1252" t="s">
        <v>2260</v>
      </c>
      <c r="CZ606" s="1252" t="s">
        <v>2260</v>
      </c>
      <c r="DA606" s="1252" t="s">
        <v>2260</v>
      </c>
      <c r="DB606" s="1254" t="s">
        <v>2260</v>
      </c>
      <c r="DC606" s="754"/>
      <c r="DD606" s="782">
        <v>1</v>
      </c>
      <c r="DE606" s="783"/>
    </row>
    <row r="607" spans="1:109" ht="15.75" hidden="1" customHeight="1">
      <c r="A607" s="741" t="s">
        <v>1227</v>
      </c>
      <c r="B607" s="742">
        <v>601</v>
      </c>
      <c r="C607" s="758" t="s">
        <v>1279</v>
      </c>
      <c r="D607" s="742" t="s">
        <v>4177</v>
      </c>
      <c r="E607" s="742" t="s">
        <v>2231</v>
      </c>
      <c r="F607" s="754" t="s">
        <v>4178</v>
      </c>
      <c r="G607" s="759" t="s">
        <v>172</v>
      </c>
      <c r="H607" s="760" t="s">
        <v>4179</v>
      </c>
      <c r="I607" s="761"/>
      <c r="J607" s="762">
        <v>1</v>
      </c>
      <c r="K607" s="762"/>
      <c r="L607" s="762"/>
      <c r="M607" s="762"/>
      <c r="N607" s="762"/>
      <c r="O607" s="762"/>
      <c r="P607" s="763"/>
      <c r="Q607" s="764">
        <f t="shared" si="9"/>
        <v>1</v>
      </c>
      <c r="R607" s="758" t="s">
        <v>1846</v>
      </c>
      <c r="S607" s="742" t="s">
        <v>1826</v>
      </c>
      <c r="T607" s="765" t="s">
        <v>1827</v>
      </c>
      <c r="U607" s="742" t="s">
        <v>2247</v>
      </c>
      <c r="V607" s="742" t="s">
        <v>1897</v>
      </c>
      <c r="W607" s="742" t="s">
        <v>2560</v>
      </c>
      <c r="X607" s="1243">
        <v>2</v>
      </c>
      <c r="Y607" s="790" t="s">
        <v>1838</v>
      </c>
      <c r="Z607" s="759" t="s">
        <v>172</v>
      </c>
      <c r="AA607" s="754"/>
      <c r="AB607" s="754"/>
      <c r="AC607" s="754"/>
      <c r="AD607" s="754"/>
      <c r="AE607" s="754"/>
      <c r="AF607" s="768"/>
      <c r="AG607" s="769"/>
      <c r="AH607" s="769"/>
      <c r="AI607" s="769"/>
      <c r="AJ607" s="769"/>
      <c r="AK607" s="769"/>
      <c r="AL607" s="769"/>
      <c r="AM607" s="769"/>
      <c r="AN607" s="769"/>
      <c r="AO607" s="769"/>
      <c r="AP607" s="769"/>
      <c r="AQ607" s="1460"/>
      <c r="AR607" s="1665"/>
      <c r="AS607" s="1665"/>
      <c r="AT607" s="1665"/>
      <c r="AU607" s="1466"/>
      <c r="AV607" s="777"/>
      <c r="AW607" s="769"/>
      <c r="AX607" s="769"/>
      <c r="AY607" s="769"/>
      <c r="AZ607" s="769"/>
      <c r="BA607" s="769"/>
      <c r="BB607" s="769"/>
      <c r="BC607" s="769"/>
      <c r="BD607" s="769"/>
      <c r="BE607" s="769"/>
      <c r="BF607" s="769"/>
      <c r="BG607" s="769"/>
      <c r="BH607" s="769"/>
      <c r="BI607" s="769"/>
      <c r="BJ607" s="769"/>
      <c r="BK607" s="774"/>
      <c r="BL607" s="1327"/>
      <c r="BM607" s="1328"/>
      <c r="BN607" s="1328"/>
      <c r="BO607" s="1328"/>
      <c r="BP607" s="1328"/>
      <c r="BQ607" s="1369"/>
      <c r="BR607" s="1319"/>
      <c r="BS607" s="1319"/>
      <c r="BT607" s="1319"/>
      <c r="BU607" s="1320"/>
      <c r="BV607" s="1369"/>
      <c r="BW607" s="1319"/>
      <c r="BX607" s="1319"/>
      <c r="BY607" s="1319"/>
      <c r="BZ607" s="1319"/>
      <c r="CA607" s="1369"/>
      <c r="CB607" s="1319"/>
      <c r="CC607" s="1319"/>
      <c r="CD607" s="1319"/>
      <c r="CE607" s="1320"/>
      <c r="CF607" s="1319"/>
      <c r="CG607" s="1319"/>
      <c r="CH607" s="1319"/>
      <c r="CI607" s="1319"/>
      <c r="CJ607" s="1320"/>
      <c r="CK607" s="1369"/>
      <c r="CL607" s="1319"/>
      <c r="CM607" s="1319"/>
      <c r="CN607" s="1319"/>
      <c r="CO607" s="1320"/>
      <c r="CP607" s="1369"/>
      <c r="CQ607" s="1319"/>
      <c r="CR607" s="1319"/>
      <c r="CS607" s="1319"/>
      <c r="CT607" s="1320"/>
      <c r="CU607" s="1467"/>
      <c r="CV607" s="1458"/>
      <c r="CW607" s="1458"/>
      <c r="CX607" s="1663"/>
      <c r="CY607" s="1458"/>
      <c r="CZ607" s="1458"/>
      <c r="DA607" s="1458"/>
      <c r="DB607" s="1663"/>
      <c r="DC607" s="1328"/>
      <c r="DD607" s="1664"/>
      <c r="DE607" s="1669"/>
    </row>
    <row r="608" spans="1:109" ht="15.75" hidden="1" customHeight="1">
      <c r="A608" s="741" t="s">
        <v>1227</v>
      </c>
      <c r="B608" s="742">
        <v>602</v>
      </c>
      <c r="C608" s="758" t="s">
        <v>1404</v>
      </c>
      <c r="D608" s="742" t="s">
        <v>4177</v>
      </c>
      <c r="E608" s="742" t="s">
        <v>2217</v>
      </c>
      <c r="F608" s="754" t="s">
        <v>4180</v>
      </c>
      <c r="G608" s="759" t="s">
        <v>4181</v>
      </c>
      <c r="H608" s="760" t="s">
        <v>4182</v>
      </c>
      <c r="I608" s="761"/>
      <c r="J608" s="762">
        <v>1</v>
      </c>
      <c r="K608" s="762"/>
      <c r="L608" s="762"/>
      <c r="M608" s="762"/>
      <c r="N608" s="762"/>
      <c r="O608" s="762"/>
      <c r="P608" s="763"/>
      <c r="Q608" s="764">
        <f t="shared" si="9"/>
        <v>1</v>
      </c>
      <c r="R608" s="758" t="s">
        <v>1852</v>
      </c>
      <c r="S608" s="742" t="s">
        <v>1826</v>
      </c>
      <c r="T608" s="765" t="s">
        <v>1827</v>
      </c>
      <c r="U608" s="742" t="s">
        <v>2421</v>
      </c>
      <c r="V608" s="742" t="s">
        <v>1857</v>
      </c>
      <c r="W608" s="742" t="s">
        <v>4183</v>
      </c>
      <c r="X608" s="798">
        <v>2</v>
      </c>
      <c r="Y608" s="790" t="s">
        <v>1838</v>
      </c>
      <c r="Z608" s="759" t="s">
        <v>2309</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210</v>
      </c>
      <c r="BM608" s="754" t="s">
        <v>210</v>
      </c>
      <c r="BN608" s="754" t="s">
        <v>210</v>
      </c>
      <c r="BO608" s="754" t="s">
        <v>210</v>
      </c>
      <c r="BP608" s="754" t="s">
        <v>210</v>
      </c>
      <c r="BQ608" s="777" t="s">
        <v>2260</v>
      </c>
      <c r="BR608" s="769" t="s">
        <v>2260</v>
      </c>
      <c r="BS608" s="769" t="s">
        <v>2260</v>
      </c>
      <c r="BT608" s="769" t="s">
        <v>2260</v>
      </c>
      <c r="BU608" s="774" t="s">
        <v>2260</v>
      </c>
      <c r="BV608" s="777" t="s">
        <v>2260</v>
      </c>
      <c r="BW608" s="769" t="s">
        <v>2260</v>
      </c>
      <c r="BX608" s="769" t="s">
        <v>2260</v>
      </c>
      <c r="BY608" s="769" t="s">
        <v>2260</v>
      </c>
      <c r="BZ608" s="769" t="s">
        <v>2260</v>
      </c>
      <c r="CA608" s="777" t="s">
        <v>2260</v>
      </c>
      <c r="CB608" s="769" t="s">
        <v>2260</v>
      </c>
      <c r="CC608" s="769" t="s">
        <v>2260</v>
      </c>
      <c r="CD608" s="769" t="s">
        <v>2260</v>
      </c>
      <c r="CE608" s="774" t="s">
        <v>2260</v>
      </c>
      <c r="CF608" s="769" t="s">
        <v>2260</v>
      </c>
      <c r="CG608" s="769" t="s">
        <v>2260</v>
      </c>
      <c r="CH608" s="769" t="s">
        <v>2260</v>
      </c>
      <c r="CI608" s="769" t="s">
        <v>2260</v>
      </c>
      <c r="CJ608" s="774" t="s">
        <v>2260</v>
      </c>
      <c r="CK608" s="777" t="s">
        <v>2260</v>
      </c>
      <c r="CL608" s="769" t="s">
        <v>2260</v>
      </c>
      <c r="CM608" s="769" t="s">
        <v>2260</v>
      </c>
      <c r="CN608" s="769" t="s">
        <v>2260</v>
      </c>
      <c r="CO608" s="774" t="s">
        <v>2260</v>
      </c>
      <c r="CP608" s="777" t="s">
        <v>2260</v>
      </c>
      <c r="CQ608" s="769" t="s">
        <v>2260</v>
      </c>
      <c r="CR608" s="769" t="s">
        <v>2260</v>
      </c>
      <c r="CS608" s="769" t="s">
        <v>2260</v>
      </c>
      <c r="CT608" s="774" t="s">
        <v>2260</v>
      </c>
      <c r="CU608" s="1253">
        <v>-0.60299999999999998</v>
      </c>
      <c r="CV608" s="1252" t="s">
        <v>2260</v>
      </c>
      <c r="CW608" s="1252" t="s">
        <v>2260</v>
      </c>
      <c r="CX608" s="1254" t="s">
        <v>2260</v>
      </c>
      <c r="CY608" s="1252">
        <v>0.503</v>
      </c>
      <c r="CZ608" s="1252" t="s">
        <v>2260</v>
      </c>
      <c r="DA608" s="1252" t="s">
        <v>2260</v>
      </c>
      <c r="DB608" s="1254" t="s">
        <v>2260</v>
      </c>
      <c r="DC608" s="754"/>
      <c r="DD608" s="782">
        <v>1</v>
      </c>
      <c r="DE608" s="783"/>
    </row>
    <row r="609" spans="1:109" ht="15.75" hidden="1" customHeight="1">
      <c r="A609" s="741" t="s">
        <v>1227</v>
      </c>
      <c r="B609" s="742">
        <v>603</v>
      </c>
      <c r="C609" s="758" t="s">
        <v>1421</v>
      </c>
      <c r="D609" s="742" t="s">
        <v>4177</v>
      </c>
      <c r="E609" s="742" t="s">
        <v>2231</v>
      </c>
      <c r="F609" s="754" t="s">
        <v>4184</v>
      </c>
      <c r="G609" s="759" t="s">
        <v>4185</v>
      </c>
      <c r="H609" s="760" t="s">
        <v>4186</v>
      </c>
      <c r="I609" s="761"/>
      <c r="J609" s="762">
        <v>1</v>
      </c>
      <c r="K609" s="762"/>
      <c r="L609" s="762"/>
      <c r="M609" s="762"/>
      <c r="N609" s="762"/>
      <c r="O609" s="762"/>
      <c r="P609" s="763"/>
      <c r="Q609" s="764">
        <f t="shared" si="9"/>
        <v>1</v>
      </c>
      <c r="R609" s="758" t="s">
        <v>1852</v>
      </c>
      <c r="S609" s="742" t="s">
        <v>1826</v>
      </c>
      <c r="T609" s="765" t="s">
        <v>1827</v>
      </c>
      <c r="U609" s="742" t="s">
        <v>2247</v>
      </c>
      <c r="V609" s="742" t="s">
        <v>1897</v>
      </c>
      <c r="W609" s="742" t="s">
        <v>4187</v>
      </c>
      <c r="X609" s="798">
        <v>0</v>
      </c>
      <c r="Y609" s="790" t="s">
        <v>1828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210</v>
      </c>
      <c r="BM609" s="754" t="s">
        <v>210</v>
      </c>
      <c r="BN609" s="754" t="s">
        <v>210</v>
      </c>
      <c r="BO609" s="754" t="s">
        <v>210</v>
      </c>
      <c r="BP609" s="754" t="s">
        <v>210</v>
      </c>
      <c r="BQ609" s="777" t="s">
        <v>2260</v>
      </c>
      <c r="BR609" s="769" t="s">
        <v>2260</v>
      </c>
      <c r="BS609" s="769" t="s">
        <v>2260</v>
      </c>
      <c r="BT609" s="769" t="s">
        <v>2260</v>
      </c>
      <c r="BU609" s="774" t="s">
        <v>2260</v>
      </c>
      <c r="BV609" s="777" t="s">
        <v>2260</v>
      </c>
      <c r="BW609" s="769" t="s">
        <v>2260</v>
      </c>
      <c r="BX609" s="769" t="s">
        <v>2260</v>
      </c>
      <c r="BY609" s="769" t="s">
        <v>2260</v>
      </c>
      <c r="BZ609" s="769" t="s">
        <v>2260</v>
      </c>
      <c r="CA609" s="777" t="s">
        <v>2260</v>
      </c>
      <c r="CB609" s="769" t="s">
        <v>2260</v>
      </c>
      <c r="CC609" s="769" t="s">
        <v>2260</v>
      </c>
      <c r="CD609" s="769" t="s">
        <v>2260</v>
      </c>
      <c r="CE609" s="774" t="s">
        <v>2260</v>
      </c>
      <c r="CF609" s="769" t="s">
        <v>2260</v>
      </c>
      <c r="CG609" s="769" t="s">
        <v>2260</v>
      </c>
      <c r="CH609" s="769" t="s">
        <v>2260</v>
      </c>
      <c r="CI609" s="769" t="s">
        <v>2260</v>
      </c>
      <c r="CJ609" s="769" t="s">
        <v>2260</v>
      </c>
      <c r="CK609" s="777" t="s">
        <v>2260</v>
      </c>
      <c r="CL609" s="769" t="s">
        <v>2260</v>
      </c>
      <c r="CM609" s="769" t="s">
        <v>2260</v>
      </c>
      <c r="CN609" s="769" t="s">
        <v>2260</v>
      </c>
      <c r="CO609" s="774" t="s">
        <v>2260</v>
      </c>
      <c r="CP609" s="777" t="s">
        <v>2260</v>
      </c>
      <c r="CQ609" s="769" t="s">
        <v>2260</v>
      </c>
      <c r="CR609" s="769" t="s">
        <v>2260</v>
      </c>
      <c r="CS609" s="769" t="s">
        <v>2260</v>
      </c>
      <c r="CT609" s="774" t="s">
        <v>2260</v>
      </c>
      <c r="CU609" s="1253">
        <v>-1.2999999999999999E-5</v>
      </c>
      <c r="CV609" s="1252" t="s">
        <v>2260</v>
      </c>
      <c r="CW609" s="1252" t="s">
        <v>2260</v>
      </c>
      <c r="CX609" s="1254" t="s">
        <v>2260</v>
      </c>
      <c r="CY609" s="1252">
        <v>1.1E-5</v>
      </c>
      <c r="CZ609" s="1252" t="s">
        <v>2260</v>
      </c>
      <c r="DA609" s="1252" t="s">
        <v>2260</v>
      </c>
      <c r="DB609" s="1254" t="s">
        <v>2260</v>
      </c>
      <c r="DC609" s="754"/>
      <c r="DD609" s="782">
        <v>1</v>
      </c>
      <c r="DE609" s="783"/>
    </row>
    <row r="610" spans="1:109" ht="15.75" hidden="1" customHeight="1">
      <c r="A610" s="741" t="s">
        <v>1227</v>
      </c>
      <c r="B610" s="742">
        <v>604</v>
      </c>
      <c r="C610" s="758" t="s">
        <v>1437</v>
      </c>
      <c r="D610" s="742" t="s">
        <v>4177</v>
      </c>
      <c r="E610" s="742" t="s">
        <v>2231</v>
      </c>
      <c r="F610" s="754" t="s">
        <v>4188</v>
      </c>
      <c r="G610" s="759" t="s">
        <v>4189</v>
      </c>
      <c r="H610" s="760" t="s">
        <v>4190</v>
      </c>
      <c r="I610" s="761"/>
      <c r="J610" s="762">
        <v>1</v>
      </c>
      <c r="K610" s="762"/>
      <c r="L610" s="762"/>
      <c r="M610" s="762"/>
      <c r="N610" s="762"/>
      <c r="O610" s="762"/>
      <c r="P610" s="763"/>
      <c r="Q610" s="764">
        <f t="shared" si="9"/>
        <v>1</v>
      </c>
      <c r="R610" s="758" t="s">
        <v>1852</v>
      </c>
      <c r="S610" s="742" t="s">
        <v>1826</v>
      </c>
      <c r="T610" s="765" t="s">
        <v>1827</v>
      </c>
      <c r="U610" s="742" t="s">
        <v>2247</v>
      </c>
      <c r="V610" s="742" t="s">
        <v>1857</v>
      </c>
      <c r="W610" s="742" t="s">
        <v>4191</v>
      </c>
      <c r="X610" s="798">
        <v>0</v>
      </c>
      <c r="Y610" s="790" t="s">
        <v>1828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28" t="s">
        <v>210</v>
      </c>
      <c r="BM610" s="1829" t="s">
        <v>210</v>
      </c>
      <c r="BN610" s="1829" t="s">
        <v>210</v>
      </c>
      <c r="BO610" s="1829" t="s">
        <v>210</v>
      </c>
      <c r="BP610" s="754" t="s">
        <v>210</v>
      </c>
      <c r="BQ610" s="777" t="s">
        <v>2260</v>
      </c>
      <c r="BR610" s="769" t="s">
        <v>2260</v>
      </c>
      <c r="BS610" s="769" t="s">
        <v>2260</v>
      </c>
      <c r="BT610" s="769" t="s">
        <v>2260</v>
      </c>
      <c r="BU610" s="774" t="s">
        <v>2260</v>
      </c>
      <c r="BV610" s="777" t="s">
        <v>2260</v>
      </c>
      <c r="BW610" s="769" t="s">
        <v>2260</v>
      </c>
      <c r="BX610" s="769" t="s">
        <v>2260</v>
      </c>
      <c r="BY610" s="769" t="s">
        <v>2260</v>
      </c>
      <c r="BZ610" s="769" t="s">
        <v>2260</v>
      </c>
      <c r="CA610" s="777" t="s">
        <v>2260</v>
      </c>
      <c r="CB610" s="769" t="s">
        <v>2260</v>
      </c>
      <c r="CC610" s="769" t="s">
        <v>2260</v>
      </c>
      <c r="CD610" s="769" t="s">
        <v>2260</v>
      </c>
      <c r="CE610" s="774" t="s">
        <v>2260</v>
      </c>
      <c r="CF610" s="769" t="s">
        <v>2260</v>
      </c>
      <c r="CG610" s="769" t="s">
        <v>2260</v>
      </c>
      <c r="CH610" s="769" t="s">
        <v>2260</v>
      </c>
      <c r="CI610" s="769" t="s">
        <v>2260</v>
      </c>
      <c r="CJ610" s="774" t="s">
        <v>2260</v>
      </c>
      <c r="CK610" s="777">
        <v>9900</v>
      </c>
      <c r="CL610" s="769">
        <v>9900</v>
      </c>
      <c r="CM610" s="769">
        <v>9900</v>
      </c>
      <c r="CN610" s="769">
        <v>9900</v>
      </c>
      <c r="CO610" s="774">
        <v>9900</v>
      </c>
      <c r="CP610" s="777" t="s">
        <v>2260</v>
      </c>
      <c r="CQ610" s="769" t="s">
        <v>2260</v>
      </c>
      <c r="CR610" s="769" t="s">
        <v>2260</v>
      </c>
      <c r="CS610" s="769" t="s">
        <v>2260</v>
      </c>
      <c r="CT610" s="774" t="s">
        <v>2260</v>
      </c>
      <c r="CU610" s="1253">
        <v>-5.9999999999999995E-4</v>
      </c>
      <c r="CV610" s="1252" t="s">
        <v>2260</v>
      </c>
      <c r="CW610" s="1252" t="s">
        <v>2260</v>
      </c>
      <c r="CX610" s="1254" t="s">
        <v>2260</v>
      </c>
      <c r="CY610" s="1252">
        <v>6.9999999999999999E-4</v>
      </c>
      <c r="CZ610" s="1252" t="s">
        <v>2260</v>
      </c>
      <c r="DA610" s="1252" t="s">
        <v>2260</v>
      </c>
      <c r="DB610" s="1254" t="s">
        <v>2260</v>
      </c>
      <c r="DC610" s="754"/>
      <c r="DD610" s="782">
        <v>1</v>
      </c>
      <c r="DE610" s="783"/>
    </row>
    <row r="611" spans="1:109" ht="15.75" hidden="1" customHeight="1">
      <c r="A611" s="741" t="s">
        <v>1227</v>
      </c>
      <c r="B611" s="742">
        <v>605</v>
      </c>
      <c r="C611" s="758" t="s">
        <v>1667</v>
      </c>
      <c r="D611" s="742" t="s">
        <v>4177</v>
      </c>
      <c r="E611" s="742" t="s">
        <v>2231</v>
      </c>
      <c r="F611" s="754" t="s">
        <v>4192</v>
      </c>
      <c r="G611" s="759" t="s">
        <v>4193</v>
      </c>
      <c r="H611" s="760" t="s">
        <v>4194</v>
      </c>
      <c r="I611" s="761"/>
      <c r="J611" s="762">
        <v>1</v>
      </c>
      <c r="K611" s="762"/>
      <c r="L611" s="762"/>
      <c r="M611" s="762"/>
      <c r="N611" s="762"/>
      <c r="O611" s="762"/>
      <c r="P611" s="763"/>
      <c r="Q611" s="764">
        <f t="shared" si="9"/>
        <v>1</v>
      </c>
      <c r="R611" s="758" t="s">
        <v>1825</v>
      </c>
      <c r="S611" s="742"/>
      <c r="T611" s="765"/>
      <c r="U611" s="742" t="s">
        <v>2247</v>
      </c>
      <c r="V611" s="742" t="s">
        <v>1897</v>
      </c>
      <c r="W611" s="742" t="s">
        <v>2560</v>
      </c>
      <c r="X611" s="798">
        <v>3</v>
      </c>
      <c r="Y611" s="790" t="s">
        <v>1838</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210</v>
      </c>
      <c r="BM611" s="754" t="s">
        <v>210</v>
      </c>
      <c r="BN611" s="754" t="s">
        <v>210</v>
      </c>
      <c r="BO611" s="754" t="s">
        <v>210</v>
      </c>
      <c r="BP611" s="754" t="s">
        <v>210</v>
      </c>
      <c r="BQ611" s="777" t="s">
        <v>2260</v>
      </c>
      <c r="BR611" s="769" t="s">
        <v>2260</v>
      </c>
      <c r="BS611" s="769" t="s">
        <v>2260</v>
      </c>
      <c r="BT611" s="769" t="s">
        <v>2260</v>
      </c>
      <c r="BU611" s="774" t="s">
        <v>2260</v>
      </c>
      <c r="BV611" s="777" t="s">
        <v>2260</v>
      </c>
      <c r="BW611" s="769" t="s">
        <v>2260</v>
      </c>
      <c r="BX611" s="769" t="s">
        <v>2260</v>
      </c>
      <c r="BY611" s="769" t="s">
        <v>2260</v>
      </c>
      <c r="BZ611" s="769" t="s">
        <v>2260</v>
      </c>
      <c r="CA611" s="777" t="s">
        <v>2260</v>
      </c>
      <c r="CB611" s="769" t="s">
        <v>2260</v>
      </c>
      <c r="CC611" s="769" t="s">
        <v>2260</v>
      </c>
      <c r="CD611" s="769" t="s">
        <v>2260</v>
      </c>
      <c r="CE611" s="774" t="s">
        <v>2260</v>
      </c>
      <c r="CF611" s="769" t="s">
        <v>2260</v>
      </c>
      <c r="CG611" s="769" t="s">
        <v>2260</v>
      </c>
      <c r="CH611" s="769" t="s">
        <v>2260</v>
      </c>
      <c r="CI611" s="769" t="s">
        <v>2260</v>
      </c>
      <c r="CJ611" s="774" t="s">
        <v>2260</v>
      </c>
      <c r="CK611" s="777" t="s">
        <v>2260</v>
      </c>
      <c r="CL611" s="769" t="s">
        <v>2260</v>
      </c>
      <c r="CM611" s="769" t="s">
        <v>2260</v>
      </c>
      <c r="CN611" s="769" t="s">
        <v>2260</v>
      </c>
      <c r="CO611" s="774" t="s">
        <v>2260</v>
      </c>
      <c r="CP611" s="777" t="s">
        <v>2260</v>
      </c>
      <c r="CQ611" s="769" t="s">
        <v>2260</v>
      </c>
      <c r="CR611" s="769" t="s">
        <v>2260</v>
      </c>
      <c r="CS611" s="769" t="s">
        <v>2260</v>
      </c>
      <c r="CT611" s="774" t="s">
        <v>2260</v>
      </c>
      <c r="CU611" s="1253" t="s">
        <v>2260</v>
      </c>
      <c r="CV611" s="1252" t="s">
        <v>2260</v>
      </c>
      <c r="CW611" s="1252" t="s">
        <v>2260</v>
      </c>
      <c r="CX611" s="1254" t="s">
        <v>2260</v>
      </c>
      <c r="CY611" s="1252" t="s">
        <v>2260</v>
      </c>
      <c r="CZ611" s="1252" t="s">
        <v>2260</v>
      </c>
      <c r="DA611" s="1252" t="s">
        <v>2260</v>
      </c>
      <c r="DB611" s="1254" t="s">
        <v>2260</v>
      </c>
      <c r="DC611" s="754"/>
      <c r="DD611" s="782">
        <v>1</v>
      </c>
      <c r="DE611" s="783"/>
    </row>
    <row r="612" spans="1:109" ht="15.75" hidden="1" customHeight="1">
      <c r="A612" s="741" t="s">
        <v>1227</v>
      </c>
      <c r="B612" s="742">
        <v>606</v>
      </c>
      <c r="C612" s="758" t="s">
        <v>1220</v>
      </c>
      <c r="D612" s="742" t="s">
        <v>4195</v>
      </c>
      <c r="E612" s="742" t="s">
        <v>2217</v>
      </c>
      <c r="F612" s="754" t="s">
        <v>2631</v>
      </c>
      <c r="G612" s="759" t="s">
        <v>784</v>
      </c>
      <c r="H612" s="760" t="s">
        <v>4196</v>
      </c>
      <c r="I612" s="761"/>
      <c r="J612" s="762"/>
      <c r="K612" s="762">
        <v>1</v>
      </c>
      <c r="L612" s="762"/>
      <c r="M612" s="762"/>
      <c r="N612" s="762"/>
      <c r="O612" s="762"/>
      <c r="P612" s="763"/>
      <c r="Q612" s="764">
        <f t="shared" si="9"/>
        <v>1</v>
      </c>
      <c r="R612" s="758" t="s">
        <v>1852</v>
      </c>
      <c r="S612" s="742" t="s">
        <v>1826</v>
      </c>
      <c r="T612" s="765" t="s">
        <v>1827</v>
      </c>
      <c r="U612" s="742" t="s">
        <v>2351</v>
      </c>
      <c r="V612" s="742" t="s">
        <v>1857</v>
      </c>
      <c r="W612" s="742" t="s">
        <v>4197</v>
      </c>
      <c r="X612" s="798">
        <v>2</v>
      </c>
      <c r="Y612" s="790" t="s">
        <v>1838</v>
      </c>
      <c r="Z612" s="759" t="s">
        <v>784</v>
      </c>
      <c r="AA612" s="754"/>
      <c r="AB612" s="754"/>
      <c r="AC612" s="754"/>
      <c r="AD612" s="754"/>
      <c r="AE612" s="754"/>
      <c r="AF612" s="768"/>
      <c r="AG612" s="769"/>
      <c r="AH612" s="769"/>
      <c r="AI612" s="769"/>
      <c r="AJ612" s="769"/>
      <c r="AK612" s="769"/>
      <c r="AL612" s="769"/>
      <c r="AM612" s="769"/>
      <c r="AN612" s="769"/>
      <c r="AO612" s="769"/>
      <c r="AP612" s="769"/>
      <c r="AQ612" s="1369"/>
      <c r="AR612" s="1319"/>
      <c r="AS612" s="1319"/>
      <c r="AT612" s="1319"/>
      <c r="AU612" s="1320"/>
      <c r="AV612" s="777"/>
      <c r="AW612" s="769"/>
      <c r="AX612" s="769"/>
      <c r="AY612" s="769"/>
      <c r="AZ612" s="769"/>
      <c r="BA612" s="769"/>
      <c r="BB612" s="769"/>
      <c r="BC612" s="769"/>
      <c r="BD612" s="769"/>
      <c r="BE612" s="769"/>
      <c r="BF612" s="769"/>
      <c r="BG612" s="769"/>
      <c r="BH612" s="769"/>
      <c r="BI612" s="769"/>
      <c r="BJ612" s="769"/>
      <c r="BK612" s="774"/>
      <c r="BL612" s="1327"/>
      <c r="BM612" s="1328"/>
      <c r="BN612" s="1328"/>
      <c r="BO612" s="1328"/>
      <c r="BP612" s="1328"/>
      <c r="BQ612" s="1370"/>
      <c r="BR612" s="1324"/>
      <c r="BS612" s="1324"/>
      <c r="BT612" s="1324"/>
      <c r="BU612" s="1325"/>
      <c r="BV612" s="1370"/>
      <c r="BW612" s="1324"/>
      <c r="BX612" s="1324"/>
      <c r="BY612" s="1324"/>
      <c r="BZ612" s="1324"/>
      <c r="CA612" s="1369"/>
      <c r="CB612" s="1319"/>
      <c r="CC612" s="1319"/>
      <c r="CD612" s="1319"/>
      <c r="CE612" s="1320"/>
      <c r="CF612" s="1319"/>
      <c r="CG612" s="1319"/>
      <c r="CH612" s="1319"/>
      <c r="CI612" s="1319"/>
      <c r="CJ612" s="1320"/>
      <c r="CK612" s="1370"/>
      <c r="CL612" s="1324"/>
      <c r="CM612" s="1324"/>
      <c r="CN612" s="1324"/>
      <c r="CO612" s="1325"/>
      <c r="CP612" s="1370"/>
      <c r="CQ612" s="1324"/>
      <c r="CR612" s="1324"/>
      <c r="CS612" s="1324"/>
      <c r="CT612" s="1325"/>
      <c r="CU612" s="1467"/>
      <c r="CV612" s="1458"/>
      <c r="CW612" s="1458"/>
      <c r="CX612" s="1663"/>
      <c r="CY612" s="1458"/>
      <c r="CZ612" s="1458"/>
      <c r="DA612" s="1458"/>
      <c r="DB612" s="1663"/>
      <c r="DC612" s="1328"/>
      <c r="DD612" s="1664"/>
      <c r="DE612" s="1669"/>
    </row>
    <row r="613" spans="1:109" ht="15.75" hidden="1" customHeight="1">
      <c r="A613" s="741" t="s">
        <v>1227</v>
      </c>
      <c r="B613" s="742">
        <v>607</v>
      </c>
      <c r="C613" s="758" t="s">
        <v>1504</v>
      </c>
      <c r="D613" s="742" t="s">
        <v>4195</v>
      </c>
      <c r="E613" s="742" t="s">
        <v>2231</v>
      </c>
      <c r="F613" s="754" t="s">
        <v>3398</v>
      </c>
      <c r="G613" s="759" t="s">
        <v>4198</v>
      </c>
      <c r="H613" s="760" t="s">
        <v>4199</v>
      </c>
      <c r="I613" s="761"/>
      <c r="J613" s="762"/>
      <c r="K613" s="762">
        <v>1</v>
      </c>
      <c r="L613" s="762"/>
      <c r="M613" s="762"/>
      <c r="N613" s="762"/>
      <c r="O613" s="762"/>
      <c r="P613" s="763"/>
      <c r="Q613" s="764">
        <f t="shared" si="9"/>
        <v>1</v>
      </c>
      <c r="R613" s="758" t="s">
        <v>1852</v>
      </c>
      <c r="S613" s="742" t="s">
        <v>1826</v>
      </c>
      <c r="T613" s="765" t="s">
        <v>1827</v>
      </c>
      <c r="U613" s="742" t="s">
        <v>2351</v>
      </c>
      <c r="V613" s="742" t="s">
        <v>1857</v>
      </c>
      <c r="W613" s="742" t="s">
        <v>4197</v>
      </c>
      <c r="X613" s="798">
        <v>2</v>
      </c>
      <c r="Y613" s="790" t="s">
        <v>1838</v>
      </c>
      <c r="Z613" s="759" t="s">
        <v>2381</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210</v>
      </c>
      <c r="BM613" s="754" t="s">
        <v>210</v>
      </c>
      <c r="BN613" s="754" t="s">
        <v>210</v>
      </c>
      <c r="BO613" s="754" t="s">
        <v>210</v>
      </c>
      <c r="BP613" s="754" t="s">
        <v>210</v>
      </c>
      <c r="BQ613" s="777" t="s">
        <v>2260</v>
      </c>
      <c r="BR613" s="769" t="s">
        <v>2260</v>
      </c>
      <c r="BS613" s="769" t="s">
        <v>2260</v>
      </c>
      <c r="BT613" s="769" t="s">
        <v>2260</v>
      </c>
      <c r="BU613" s="774" t="s">
        <v>2260</v>
      </c>
      <c r="BV613" s="777">
        <v>25.61</v>
      </c>
      <c r="BW613" s="769">
        <v>25.61</v>
      </c>
      <c r="BX613" s="769">
        <v>25.61</v>
      </c>
      <c r="BY613" s="769">
        <v>25.61</v>
      </c>
      <c r="BZ613" s="769">
        <v>25.61</v>
      </c>
      <c r="CA613" s="777" t="s">
        <v>2260</v>
      </c>
      <c r="CB613" s="769" t="s">
        <v>2260</v>
      </c>
      <c r="CC613" s="769" t="s">
        <v>2260</v>
      </c>
      <c r="CD613" s="769" t="s">
        <v>2260</v>
      </c>
      <c r="CE613" s="774" t="s">
        <v>2260</v>
      </c>
      <c r="CF613" s="769" t="s">
        <v>2260</v>
      </c>
      <c r="CG613" s="769" t="s">
        <v>2260</v>
      </c>
      <c r="CH613" s="769" t="s">
        <v>2260</v>
      </c>
      <c r="CI613" s="769" t="s">
        <v>2260</v>
      </c>
      <c r="CJ613" s="774" t="s">
        <v>2260</v>
      </c>
      <c r="CK613" s="777">
        <v>13.82</v>
      </c>
      <c r="CL613" s="769">
        <v>13.82</v>
      </c>
      <c r="CM613" s="769">
        <v>13.82</v>
      </c>
      <c r="CN613" s="769">
        <v>13.82</v>
      </c>
      <c r="CO613" s="774">
        <v>13.82</v>
      </c>
      <c r="CP613" s="777" t="s">
        <v>2260</v>
      </c>
      <c r="CQ613" s="769" t="s">
        <v>2260</v>
      </c>
      <c r="CR613" s="769" t="s">
        <v>2260</v>
      </c>
      <c r="CS613" s="769" t="s">
        <v>2260</v>
      </c>
      <c r="CT613" s="774" t="s">
        <v>2260</v>
      </c>
      <c r="CU613" s="1253">
        <v>-0.8</v>
      </c>
      <c r="CV613" s="1252" t="s">
        <v>2260</v>
      </c>
      <c r="CW613" s="1252" t="s">
        <v>2260</v>
      </c>
      <c r="CX613" s="1254" t="s">
        <v>2260</v>
      </c>
      <c r="CY613" s="1252">
        <v>0.48</v>
      </c>
      <c r="CZ613" s="1252" t="s">
        <v>2260</v>
      </c>
      <c r="DA613" s="1252" t="s">
        <v>2260</v>
      </c>
      <c r="DB613" s="1254" t="s">
        <v>2260</v>
      </c>
      <c r="DC613" s="754"/>
      <c r="DD613" s="782">
        <v>1</v>
      </c>
      <c r="DE613" s="783"/>
    </row>
    <row r="614" spans="1:109" ht="15.75" hidden="1" customHeight="1">
      <c r="A614" s="741" t="s">
        <v>1227</v>
      </c>
      <c r="B614" s="742">
        <v>608</v>
      </c>
      <c r="C614" s="758" t="s">
        <v>1515</v>
      </c>
      <c r="D614" s="742" t="s">
        <v>4195</v>
      </c>
      <c r="E614" s="742" t="s">
        <v>2223</v>
      </c>
      <c r="F614" s="754" t="s">
        <v>4200</v>
      </c>
      <c r="G614" s="759" t="s">
        <v>4201</v>
      </c>
      <c r="H614" s="760" t="s">
        <v>4202</v>
      </c>
      <c r="I614" s="761"/>
      <c r="J614" s="762"/>
      <c r="K614" s="762">
        <v>1</v>
      </c>
      <c r="L614" s="762"/>
      <c r="M614" s="762"/>
      <c r="N614" s="762"/>
      <c r="O614" s="762"/>
      <c r="P614" s="763"/>
      <c r="Q614" s="764">
        <f t="shared" si="9"/>
        <v>1</v>
      </c>
      <c r="R614" s="758" t="s">
        <v>1846</v>
      </c>
      <c r="S614" s="742" t="s">
        <v>1826</v>
      </c>
      <c r="T614" s="765" t="s">
        <v>1827</v>
      </c>
      <c r="U614" s="742" t="s">
        <v>2351</v>
      </c>
      <c r="V614" s="742" t="s">
        <v>1897</v>
      </c>
      <c r="W614" s="742" t="s">
        <v>2560</v>
      </c>
      <c r="X614" s="798">
        <v>0</v>
      </c>
      <c r="Y614" s="790" t="s">
        <v>1838</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210</v>
      </c>
      <c r="BM614" s="754" t="s">
        <v>210</v>
      </c>
      <c r="BN614" s="754" t="s">
        <v>210</v>
      </c>
      <c r="BO614" s="754" t="s">
        <v>210</v>
      </c>
      <c r="BP614" s="754" t="s">
        <v>210</v>
      </c>
      <c r="BQ614" s="777" t="s">
        <v>2260</v>
      </c>
      <c r="BR614" s="769" t="s">
        <v>2260</v>
      </c>
      <c r="BS614" s="769" t="s">
        <v>2260</v>
      </c>
      <c r="BT614" s="769" t="s">
        <v>2260</v>
      </c>
      <c r="BU614" s="774" t="s">
        <v>2260</v>
      </c>
      <c r="BV614" s="777" t="s">
        <v>2260</v>
      </c>
      <c r="BW614" s="769" t="s">
        <v>2260</v>
      </c>
      <c r="BX614" s="769" t="s">
        <v>2260</v>
      </c>
      <c r="BY614" s="769" t="s">
        <v>2260</v>
      </c>
      <c r="BZ614" s="769" t="s">
        <v>2260</v>
      </c>
      <c r="CA614" s="777">
        <v>55716</v>
      </c>
      <c r="CB614" s="769">
        <v>55716</v>
      </c>
      <c r="CC614" s="769">
        <v>55716</v>
      </c>
      <c r="CD614" s="769">
        <v>55716</v>
      </c>
      <c r="CE614" s="774">
        <v>55716</v>
      </c>
      <c r="CF614" s="769" t="s">
        <v>2260</v>
      </c>
      <c r="CG614" s="769" t="s">
        <v>2260</v>
      </c>
      <c r="CH614" s="769" t="s">
        <v>2260</v>
      </c>
      <c r="CI614" s="769" t="s">
        <v>2260</v>
      </c>
      <c r="CJ614" s="774" t="s">
        <v>2260</v>
      </c>
      <c r="CK614" s="777" t="s">
        <v>2260</v>
      </c>
      <c r="CL614" s="769" t="s">
        <v>2260</v>
      </c>
      <c r="CM614" s="769" t="s">
        <v>2260</v>
      </c>
      <c r="CN614" s="769" t="s">
        <v>2260</v>
      </c>
      <c r="CO614" s="774" t="s">
        <v>2260</v>
      </c>
      <c r="CP614" s="777" t="s">
        <v>2260</v>
      </c>
      <c r="CQ614" s="769" t="s">
        <v>2260</v>
      </c>
      <c r="CR614" s="769" t="s">
        <v>2260</v>
      </c>
      <c r="CS614" s="769" t="s">
        <v>2260</v>
      </c>
      <c r="CT614" s="774" t="s">
        <v>2260</v>
      </c>
      <c r="CU614" s="1253">
        <v>-1.8000000000000001E-4</v>
      </c>
      <c r="CV614" s="1252" t="s">
        <v>2260</v>
      </c>
      <c r="CW614" s="1252" t="s">
        <v>2260</v>
      </c>
      <c r="CX614" s="1254" t="s">
        <v>2260</v>
      </c>
      <c r="CY614" s="1252" t="s">
        <v>2260</v>
      </c>
      <c r="CZ614" s="1252" t="s">
        <v>2260</v>
      </c>
      <c r="DA614" s="1252" t="s">
        <v>2260</v>
      </c>
      <c r="DB614" s="1254" t="s">
        <v>2260</v>
      </c>
      <c r="DC614" s="754"/>
      <c r="DD614" s="782">
        <v>1</v>
      </c>
      <c r="DE614" s="783"/>
    </row>
    <row r="615" spans="1:109" ht="15.75" hidden="1" customHeight="1">
      <c r="A615" s="741" t="s">
        <v>1227</v>
      </c>
      <c r="B615" s="742">
        <v>609</v>
      </c>
      <c r="C615" s="758" t="s">
        <v>1526</v>
      </c>
      <c r="D615" s="742" t="s">
        <v>4195</v>
      </c>
      <c r="E615" s="742" t="s">
        <v>2223</v>
      </c>
      <c r="F615" s="754" t="s">
        <v>4203</v>
      </c>
      <c r="G615" s="759" t="s">
        <v>4204</v>
      </c>
      <c r="H615" s="760" t="s">
        <v>4205</v>
      </c>
      <c r="I615" s="761"/>
      <c r="J615" s="762"/>
      <c r="K615" s="762">
        <v>1</v>
      </c>
      <c r="L615" s="762"/>
      <c r="M615" s="762"/>
      <c r="N615" s="762"/>
      <c r="O615" s="762"/>
      <c r="P615" s="763"/>
      <c r="Q615" s="764">
        <f t="shared" si="9"/>
        <v>1</v>
      </c>
      <c r="R615" s="758" t="s">
        <v>1846</v>
      </c>
      <c r="S615" s="742" t="s">
        <v>1826</v>
      </c>
      <c r="T615" s="765" t="s">
        <v>1827</v>
      </c>
      <c r="U615" s="742" t="s">
        <v>2234</v>
      </c>
      <c r="V615" s="742" t="s">
        <v>1857</v>
      </c>
      <c r="W615" s="742" t="s">
        <v>4206</v>
      </c>
      <c r="X615" s="798">
        <v>0</v>
      </c>
      <c r="Y615" s="790" t="s">
        <v>1838</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28" t="s">
        <v>210</v>
      </c>
      <c r="BM615" s="1829" t="s">
        <v>210</v>
      </c>
      <c r="BN615" s="1829" t="s">
        <v>210</v>
      </c>
      <c r="BO615" s="1829" t="s">
        <v>210</v>
      </c>
      <c r="BP615" s="754" t="s">
        <v>210</v>
      </c>
      <c r="BQ615" s="777" t="s">
        <v>2260</v>
      </c>
      <c r="BR615" s="769" t="s">
        <v>2260</v>
      </c>
      <c r="BS615" s="769" t="s">
        <v>2260</v>
      </c>
      <c r="BT615" s="769" t="s">
        <v>2260</v>
      </c>
      <c r="BU615" s="774" t="s">
        <v>2260</v>
      </c>
      <c r="BV615" s="777" t="s">
        <v>2260</v>
      </c>
      <c r="BW615" s="769" t="s">
        <v>2260</v>
      </c>
      <c r="BX615" s="769" t="s">
        <v>2260</v>
      </c>
      <c r="BY615" s="769" t="s">
        <v>2260</v>
      </c>
      <c r="BZ615" s="769" t="s">
        <v>2260</v>
      </c>
      <c r="CA615" s="777" t="s">
        <v>2260</v>
      </c>
      <c r="CB615" s="769" t="s">
        <v>2260</v>
      </c>
      <c r="CC615" s="769" t="s">
        <v>2260</v>
      </c>
      <c r="CD615" s="769" t="s">
        <v>2260</v>
      </c>
      <c r="CE615" s="774" t="s">
        <v>2260</v>
      </c>
      <c r="CF615" s="769" t="s">
        <v>2260</v>
      </c>
      <c r="CG615" s="769" t="s">
        <v>2260</v>
      </c>
      <c r="CH615" s="769" t="s">
        <v>2260</v>
      </c>
      <c r="CI615" s="769" t="s">
        <v>2260</v>
      </c>
      <c r="CJ615" s="774" t="s">
        <v>2260</v>
      </c>
      <c r="CK615" s="777" t="s">
        <v>2260</v>
      </c>
      <c r="CL615" s="769" t="s">
        <v>2260</v>
      </c>
      <c r="CM615" s="769" t="s">
        <v>2260</v>
      </c>
      <c r="CN615" s="769" t="s">
        <v>2260</v>
      </c>
      <c r="CO615" s="774" t="s">
        <v>2260</v>
      </c>
      <c r="CP615" s="777" t="s">
        <v>2260</v>
      </c>
      <c r="CQ615" s="769" t="s">
        <v>2260</v>
      </c>
      <c r="CR615" s="769" t="s">
        <v>2260</v>
      </c>
      <c r="CS615" s="769" t="s">
        <v>2260</v>
      </c>
      <c r="CT615" s="774" t="s">
        <v>2260</v>
      </c>
      <c r="CU615" s="1253">
        <v>-0.1326</v>
      </c>
      <c r="CV615" s="1252" t="s">
        <v>2260</v>
      </c>
      <c r="CW615" s="1252" t="s">
        <v>2260</v>
      </c>
      <c r="CX615" s="1254" t="s">
        <v>2260</v>
      </c>
      <c r="CY615" s="1252" t="s">
        <v>2260</v>
      </c>
      <c r="CZ615" s="1252" t="s">
        <v>2260</v>
      </c>
      <c r="DA615" s="1252" t="s">
        <v>2260</v>
      </c>
      <c r="DB615" s="1254" t="s">
        <v>2260</v>
      </c>
      <c r="DC615" s="754" t="s">
        <v>173</v>
      </c>
      <c r="DD615" s="782">
        <v>1</v>
      </c>
      <c r="DE615" s="783"/>
    </row>
    <row r="616" spans="1:109" ht="15.75" hidden="1" customHeight="1">
      <c r="A616" s="741" t="s">
        <v>1227</v>
      </c>
      <c r="B616" s="742">
        <v>610</v>
      </c>
      <c r="C616" s="758" t="s">
        <v>1280</v>
      </c>
      <c r="D616" s="742" t="s">
        <v>4207</v>
      </c>
      <c r="E616" s="742" t="s">
        <v>2217</v>
      </c>
      <c r="F616" s="754" t="s">
        <v>4208</v>
      </c>
      <c r="G616" s="759" t="s">
        <v>179</v>
      </c>
      <c r="H616" s="760" t="s">
        <v>4209</v>
      </c>
      <c r="I616" s="761"/>
      <c r="J616" s="762">
        <v>1</v>
      </c>
      <c r="K616" s="762"/>
      <c r="L616" s="762"/>
      <c r="M616" s="762"/>
      <c r="N616" s="762"/>
      <c r="O616" s="762"/>
      <c r="P616" s="763"/>
      <c r="Q616" s="764">
        <f t="shared" si="9"/>
        <v>1</v>
      </c>
      <c r="R616" s="758" t="s">
        <v>1852</v>
      </c>
      <c r="S616" s="742" t="s">
        <v>1826</v>
      </c>
      <c r="T616" s="765" t="s">
        <v>1827</v>
      </c>
      <c r="U616" s="742" t="s">
        <v>2220</v>
      </c>
      <c r="V616" s="742" t="s">
        <v>1851</v>
      </c>
      <c r="W616" s="742" t="s">
        <v>2677</v>
      </c>
      <c r="X616" s="1243">
        <v>0</v>
      </c>
      <c r="Y616" s="767" t="s">
        <v>1838</v>
      </c>
      <c r="Z616" s="759" t="s">
        <v>179</v>
      </c>
      <c r="AA616" s="754"/>
      <c r="AB616" s="754"/>
      <c r="AC616" s="754"/>
      <c r="AD616" s="754"/>
      <c r="AE616" s="754"/>
      <c r="AF616" s="768"/>
      <c r="AG616" s="814"/>
      <c r="AH616" s="814"/>
      <c r="AI616" s="814"/>
      <c r="AJ616" s="814"/>
      <c r="AK616" s="814"/>
      <c r="AL616" s="814"/>
      <c r="AM616" s="814"/>
      <c r="AN616" s="814"/>
      <c r="AO616" s="814"/>
      <c r="AP616" s="814"/>
      <c r="AQ616" s="1321"/>
      <c r="AR616" s="1322"/>
      <c r="AS616" s="1322"/>
      <c r="AT616" s="1322"/>
      <c r="AU616" s="1323"/>
      <c r="AV616" s="815"/>
      <c r="AW616" s="814"/>
      <c r="AX616" s="814"/>
      <c r="AY616" s="814"/>
      <c r="AZ616" s="814"/>
      <c r="BA616" s="814"/>
      <c r="BB616" s="814"/>
      <c r="BC616" s="814"/>
      <c r="BD616" s="814"/>
      <c r="BE616" s="814"/>
      <c r="BF616" s="814"/>
      <c r="BG616" s="814"/>
      <c r="BH616" s="814"/>
      <c r="BI616" s="814"/>
      <c r="BJ616" s="814"/>
      <c r="BK616" s="816"/>
      <c r="BL616" s="1327"/>
      <c r="BM616" s="1328"/>
      <c r="BN616" s="1328"/>
      <c r="BO616" s="1328"/>
      <c r="BP616" s="1389"/>
      <c r="BQ616" s="1321"/>
      <c r="BR616" s="1322"/>
      <c r="BS616" s="1322"/>
      <c r="BT616" s="1322"/>
      <c r="BU616" s="1323"/>
      <c r="BV616" s="1321"/>
      <c r="BW616" s="1322"/>
      <c r="BX616" s="1322"/>
      <c r="BY616" s="1322"/>
      <c r="BZ616" s="1322"/>
      <c r="CA616" s="1321"/>
      <c r="CB616" s="1322"/>
      <c r="CC616" s="1322"/>
      <c r="CD616" s="1322"/>
      <c r="CE616" s="1323"/>
      <c r="CF616" s="1322"/>
      <c r="CG616" s="1322"/>
      <c r="CH616" s="1322"/>
      <c r="CI616" s="1322"/>
      <c r="CJ616" s="1323"/>
      <c r="CK616" s="1321"/>
      <c r="CL616" s="1322"/>
      <c r="CM616" s="1322"/>
      <c r="CN616" s="1322"/>
      <c r="CO616" s="1323"/>
      <c r="CP616" s="1321"/>
      <c r="CQ616" s="1322"/>
      <c r="CR616" s="1322"/>
      <c r="CS616" s="1322"/>
      <c r="CT616" s="1323"/>
      <c r="CU616" s="1467"/>
      <c r="CV616" s="1458"/>
      <c r="CW616" s="1458"/>
      <c r="CX616" s="1663"/>
      <c r="CY616" s="1458"/>
      <c r="CZ616" s="1458"/>
      <c r="DA616" s="1458"/>
      <c r="DB616" s="1663"/>
      <c r="DC616" s="1328"/>
      <c r="DD616" s="1664"/>
      <c r="DE616" s="1669"/>
    </row>
    <row r="617" spans="1:109" ht="15.75" hidden="1" customHeight="1">
      <c r="A617" s="741" t="s">
        <v>1227</v>
      </c>
      <c r="B617" s="742">
        <v>611</v>
      </c>
      <c r="C617" s="758" t="s">
        <v>1285</v>
      </c>
      <c r="D617" s="742" t="s">
        <v>4207</v>
      </c>
      <c r="E617" s="742" t="s">
        <v>2231</v>
      </c>
      <c r="F617" s="754" t="s">
        <v>4210</v>
      </c>
      <c r="G617" s="759" t="s">
        <v>567</v>
      </c>
      <c r="H617" s="760" t="s">
        <v>4211</v>
      </c>
      <c r="I617" s="761">
        <v>1</v>
      </c>
      <c r="J617" s="762"/>
      <c r="K617" s="762"/>
      <c r="L617" s="762"/>
      <c r="M617" s="762"/>
      <c r="N617" s="762"/>
      <c r="O617" s="762"/>
      <c r="P617" s="763"/>
      <c r="Q617" s="764">
        <f t="shared" si="9"/>
        <v>1</v>
      </c>
      <c r="R617" s="758" t="s">
        <v>1825</v>
      </c>
      <c r="S617" s="742"/>
      <c r="T617" s="765"/>
      <c r="U617" s="742" t="s">
        <v>3028</v>
      </c>
      <c r="V617" s="742" t="s">
        <v>321</v>
      </c>
      <c r="W617" s="742" t="s">
        <v>3029</v>
      </c>
      <c r="X617" s="1243">
        <v>1</v>
      </c>
      <c r="Y617" s="767" t="s">
        <v>1838</v>
      </c>
      <c r="Z617" s="759" t="s">
        <v>567</v>
      </c>
      <c r="AA617" s="754"/>
      <c r="AB617" s="754"/>
      <c r="AC617" s="754"/>
      <c r="AD617" s="754"/>
      <c r="AE617" s="754"/>
      <c r="AF617" s="768"/>
      <c r="AG617" s="785"/>
      <c r="AH617" s="785"/>
      <c r="AI617" s="785"/>
      <c r="AJ617" s="785"/>
      <c r="AK617" s="785"/>
      <c r="AL617" s="785"/>
      <c r="AM617" s="785"/>
      <c r="AN617" s="785"/>
      <c r="AO617" s="785"/>
      <c r="AP617" s="785"/>
      <c r="AQ617" s="1460"/>
      <c r="AR617" s="1665"/>
      <c r="AS617" s="1665"/>
      <c r="AT617" s="1665"/>
      <c r="AU617" s="1466"/>
      <c r="AV617" s="786"/>
      <c r="AW617" s="785"/>
      <c r="AX617" s="785"/>
      <c r="AY617" s="785"/>
      <c r="AZ617" s="785"/>
      <c r="BA617" s="785"/>
      <c r="BB617" s="785"/>
      <c r="BC617" s="785"/>
      <c r="BD617" s="785"/>
      <c r="BE617" s="785"/>
      <c r="BF617" s="785"/>
      <c r="BG617" s="785"/>
      <c r="BH617" s="785"/>
      <c r="BI617" s="785"/>
      <c r="BJ617" s="785"/>
      <c r="BK617" s="787"/>
      <c r="BL617" s="1327"/>
      <c r="BM617" s="1328"/>
      <c r="BN617" s="1328"/>
      <c r="BO617" s="1328"/>
      <c r="BP617" s="1389"/>
      <c r="BQ617" s="1659"/>
      <c r="BR617" s="1319"/>
      <c r="BS617" s="1319"/>
      <c r="BT617" s="1319"/>
      <c r="BU617" s="1320"/>
      <c r="BV617" s="1659"/>
      <c r="BW617" s="1319"/>
      <c r="BX617" s="1319"/>
      <c r="BY617" s="1319"/>
      <c r="BZ617" s="1319"/>
      <c r="CA617" s="1369"/>
      <c r="CB617" s="1319"/>
      <c r="CC617" s="1319"/>
      <c r="CD617" s="1319"/>
      <c r="CE617" s="1320"/>
      <c r="CF617" s="1319"/>
      <c r="CG617" s="1319"/>
      <c r="CH617" s="1319"/>
      <c r="CI617" s="1319"/>
      <c r="CJ617" s="1320"/>
      <c r="CK617" s="1369"/>
      <c r="CL617" s="1319"/>
      <c r="CM617" s="1319"/>
      <c r="CN617" s="1319"/>
      <c r="CO617" s="1320"/>
      <c r="CP617" s="1369"/>
      <c r="CQ617" s="1319"/>
      <c r="CR617" s="1319"/>
      <c r="CS617" s="1319"/>
      <c r="CT617" s="1320"/>
      <c r="CU617" s="1467"/>
      <c r="CV617" s="1458"/>
      <c r="CW617" s="1458"/>
      <c r="CX617" s="1663"/>
      <c r="CY617" s="1458"/>
      <c r="CZ617" s="1458"/>
      <c r="DA617" s="1458"/>
      <c r="DB617" s="1663"/>
      <c r="DC617" s="1328"/>
      <c r="DD617" s="1664"/>
      <c r="DE617" s="1669"/>
    </row>
    <row r="618" spans="1:109" ht="15.75" hidden="1" customHeight="1">
      <c r="A618" s="741" t="s">
        <v>1227</v>
      </c>
      <c r="B618" s="742">
        <v>612</v>
      </c>
      <c r="C618" s="758" t="s">
        <v>1226</v>
      </c>
      <c r="D618" s="742" t="s">
        <v>4207</v>
      </c>
      <c r="E618" s="742" t="s">
        <v>2231</v>
      </c>
      <c r="F618" s="754" t="s">
        <v>4212</v>
      </c>
      <c r="G618" s="759" t="s">
        <v>891</v>
      </c>
      <c r="H618" s="760" t="s">
        <v>4213</v>
      </c>
      <c r="I618" s="761"/>
      <c r="J618" s="762"/>
      <c r="K618" s="762">
        <v>1</v>
      </c>
      <c r="L618" s="762"/>
      <c r="M618" s="762"/>
      <c r="N618" s="762"/>
      <c r="O618" s="762"/>
      <c r="P618" s="763"/>
      <c r="Q618" s="764">
        <f t="shared" si="9"/>
        <v>1</v>
      </c>
      <c r="R618" s="758" t="s">
        <v>1825</v>
      </c>
      <c r="S618" s="742"/>
      <c r="T618" s="765"/>
      <c r="U618" s="742" t="s">
        <v>2351</v>
      </c>
      <c r="V618" s="742" t="s">
        <v>321</v>
      </c>
      <c r="W618" s="742" t="s">
        <v>3029</v>
      </c>
      <c r="X618" s="798">
        <v>2</v>
      </c>
      <c r="Y618" s="767" t="s">
        <v>1838</v>
      </c>
      <c r="Z618" s="759" t="s">
        <v>891</v>
      </c>
      <c r="AA618" s="754"/>
      <c r="AB618" s="754"/>
      <c r="AC618" s="754"/>
      <c r="AD618" s="754"/>
      <c r="AE618" s="754"/>
      <c r="AF618" s="768"/>
      <c r="AG618" s="769"/>
      <c r="AH618" s="769"/>
      <c r="AI618" s="769"/>
      <c r="AJ618" s="769"/>
      <c r="AK618" s="769"/>
      <c r="AL618" s="769"/>
      <c r="AM618" s="769"/>
      <c r="AN618" s="769"/>
      <c r="AO618" s="769"/>
      <c r="AP618" s="769"/>
      <c r="AQ618" s="1369"/>
      <c r="AR618" s="1319"/>
      <c r="AS618" s="1319"/>
      <c r="AT618" s="1319"/>
      <c r="AU618" s="1320"/>
      <c r="AV618" s="777"/>
      <c r="AW618" s="769"/>
      <c r="AX618" s="769"/>
      <c r="AY618" s="769"/>
      <c r="AZ618" s="769"/>
      <c r="BA618" s="769"/>
      <c r="BB618" s="769"/>
      <c r="BC618" s="769"/>
      <c r="BD618" s="769"/>
      <c r="BE618" s="769"/>
      <c r="BF618" s="769"/>
      <c r="BG618" s="769"/>
      <c r="BH618" s="769"/>
      <c r="BI618" s="769"/>
      <c r="BJ618" s="769"/>
      <c r="BK618" s="774"/>
      <c r="BL618" s="1327"/>
      <c r="BM618" s="1328"/>
      <c r="BN618" s="1328"/>
      <c r="BO618" s="1328"/>
      <c r="BP618" s="1389"/>
      <c r="BQ618" s="1369"/>
      <c r="BR618" s="1319"/>
      <c r="BS618" s="1319"/>
      <c r="BT618" s="1319"/>
      <c r="BU618" s="1320"/>
      <c r="BV618" s="1369"/>
      <c r="BW618" s="1319"/>
      <c r="BX618" s="1319"/>
      <c r="BY618" s="1319"/>
      <c r="BZ618" s="1319"/>
      <c r="CA618" s="1369"/>
      <c r="CB618" s="1319"/>
      <c r="CC618" s="1319"/>
      <c r="CD618" s="1319"/>
      <c r="CE618" s="1320"/>
      <c r="CF618" s="1319"/>
      <c r="CG618" s="1319"/>
      <c r="CH618" s="1319"/>
      <c r="CI618" s="1319"/>
      <c r="CJ618" s="1320"/>
      <c r="CK618" s="1369"/>
      <c r="CL618" s="1319"/>
      <c r="CM618" s="1319"/>
      <c r="CN618" s="1319"/>
      <c r="CO618" s="1320"/>
      <c r="CP618" s="1369"/>
      <c r="CQ618" s="1319"/>
      <c r="CR618" s="1319"/>
      <c r="CS618" s="1319"/>
      <c r="CT618" s="1320"/>
      <c r="CU618" s="1467"/>
      <c r="CV618" s="1458"/>
      <c r="CW618" s="1458"/>
      <c r="CX618" s="1663"/>
      <c r="CY618" s="1458"/>
      <c r="CZ618" s="1458"/>
      <c r="DA618" s="1458"/>
      <c r="DB618" s="1663"/>
      <c r="DC618" s="1328"/>
      <c r="DD618" s="1664"/>
      <c r="DE618" s="1669"/>
    </row>
    <row r="619" spans="1:109" ht="15.75" hidden="1" customHeight="1">
      <c r="A619" s="741" t="s">
        <v>1227</v>
      </c>
      <c r="B619" s="742">
        <v>613</v>
      </c>
      <c r="C619" s="758" t="s">
        <v>1283</v>
      </c>
      <c r="D619" s="742" t="s">
        <v>4207</v>
      </c>
      <c r="E619" s="742" t="s">
        <v>2223</v>
      </c>
      <c r="F619" s="754" t="s">
        <v>4214</v>
      </c>
      <c r="G619" s="759" t="s">
        <v>203</v>
      </c>
      <c r="H619" s="760" t="s">
        <v>4215</v>
      </c>
      <c r="I619" s="761"/>
      <c r="J619" s="762">
        <v>1</v>
      </c>
      <c r="K619" s="762"/>
      <c r="L619" s="762"/>
      <c r="M619" s="762"/>
      <c r="N619" s="762"/>
      <c r="O619" s="762"/>
      <c r="P619" s="763"/>
      <c r="Q619" s="764">
        <f t="shared" si="9"/>
        <v>1</v>
      </c>
      <c r="R619" s="758" t="s">
        <v>1846</v>
      </c>
      <c r="S619" s="742" t="s">
        <v>1826</v>
      </c>
      <c r="T619" s="765" t="s">
        <v>1827</v>
      </c>
      <c r="U619" s="742" t="s">
        <v>2363</v>
      </c>
      <c r="V619" s="742" t="s">
        <v>1857</v>
      </c>
      <c r="W619" s="742" t="s">
        <v>4216</v>
      </c>
      <c r="X619" s="1243">
        <v>1</v>
      </c>
      <c r="Y619" s="767" t="s">
        <v>1838</v>
      </c>
      <c r="Z619" s="759" t="s">
        <v>203</v>
      </c>
      <c r="AA619" s="754"/>
      <c r="AB619" s="754"/>
      <c r="AC619" s="754"/>
      <c r="AD619" s="754"/>
      <c r="AE619" s="754"/>
      <c r="AF619" s="768"/>
      <c r="AG619" s="769"/>
      <c r="AH619" s="769"/>
      <c r="AI619" s="769"/>
      <c r="AJ619" s="769"/>
      <c r="AK619" s="769"/>
      <c r="AL619" s="769"/>
      <c r="AM619" s="769"/>
      <c r="AN619" s="769"/>
      <c r="AO619" s="769"/>
      <c r="AP619" s="769"/>
      <c r="AQ619" s="1370"/>
      <c r="AR619" s="1324"/>
      <c r="AS619" s="1324"/>
      <c r="AT619" s="1324"/>
      <c r="AU619" s="1325"/>
      <c r="AV619" s="777"/>
      <c r="AW619" s="769"/>
      <c r="AX619" s="769"/>
      <c r="AY619" s="769"/>
      <c r="AZ619" s="769"/>
      <c r="BA619" s="769"/>
      <c r="BB619" s="769"/>
      <c r="BC619" s="769"/>
      <c r="BD619" s="769"/>
      <c r="BE619" s="769"/>
      <c r="BF619" s="769"/>
      <c r="BG619" s="769"/>
      <c r="BH619" s="769"/>
      <c r="BI619" s="769"/>
      <c r="BJ619" s="769"/>
      <c r="BK619" s="774"/>
      <c r="BL619" s="1327"/>
      <c r="BM619" s="1328"/>
      <c r="BN619" s="1328"/>
      <c r="BO619" s="1328"/>
      <c r="BP619" s="1389"/>
      <c r="BQ619" s="1369"/>
      <c r="BR619" s="1319"/>
      <c r="BS619" s="1319"/>
      <c r="BT619" s="1319"/>
      <c r="BU619" s="1320"/>
      <c r="BV619" s="1370"/>
      <c r="BW619" s="1324"/>
      <c r="BX619" s="1324"/>
      <c r="BY619" s="1324"/>
      <c r="BZ619" s="1324"/>
      <c r="CA619" s="1369"/>
      <c r="CB619" s="1319"/>
      <c r="CC619" s="1319"/>
      <c r="CD619" s="1319"/>
      <c r="CE619" s="1320"/>
      <c r="CF619" s="1319"/>
      <c r="CG619" s="1319"/>
      <c r="CH619" s="1319"/>
      <c r="CI619" s="1319"/>
      <c r="CJ619" s="1319"/>
      <c r="CK619" s="1369"/>
      <c r="CL619" s="1319"/>
      <c r="CM619" s="1319"/>
      <c r="CN619" s="1319"/>
      <c r="CO619" s="1320"/>
      <c r="CP619" s="1369"/>
      <c r="CQ619" s="1319"/>
      <c r="CR619" s="1319"/>
      <c r="CS619" s="1319"/>
      <c r="CT619" s="1320"/>
      <c r="CU619" s="1467"/>
      <c r="CV619" s="1458"/>
      <c r="CW619" s="1458"/>
      <c r="CX619" s="1663"/>
      <c r="CY619" s="1458"/>
      <c r="CZ619" s="1458"/>
      <c r="DA619" s="1458"/>
      <c r="DB619" s="1663"/>
      <c r="DC619" s="1328"/>
      <c r="DD619" s="1664"/>
      <c r="DE619" s="1669"/>
    </row>
    <row r="620" spans="1:109" ht="15.75" hidden="1" customHeight="1">
      <c r="A620" s="741" t="s">
        <v>1227</v>
      </c>
      <c r="B620" s="742">
        <v>614</v>
      </c>
      <c r="C620" s="758" t="s">
        <v>1284</v>
      </c>
      <c r="D620" s="742" t="s">
        <v>4207</v>
      </c>
      <c r="E620" s="742" t="s">
        <v>2231</v>
      </c>
      <c r="F620" s="754" t="s">
        <v>4217</v>
      </c>
      <c r="G620" s="759" t="s">
        <v>209</v>
      </c>
      <c r="H620" s="760" t="s">
        <v>4218</v>
      </c>
      <c r="I620" s="761"/>
      <c r="J620" s="762">
        <v>1</v>
      </c>
      <c r="K620" s="762"/>
      <c r="L620" s="762"/>
      <c r="M620" s="762"/>
      <c r="N620" s="762"/>
      <c r="O620" s="762"/>
      <c r="P620" s="763"/>
      <c r="Q620" s="764">
        <f t="shared" si="9"/>
        <v>1</v>
      </c>
      <c r="R620" s="758" t="s">
        <v>1846</v>
      </c>
      <c r="S620" s="742" t="s">
        <v>1826</v>
      </c>
      <c r="T620" s="765" t="s">
        <v>1827</v>
      </c>
      <c r="U620" s="742" t="s">
        <v>2238</v>
      </c>
      <c r="V620" s="742" t="s">
        <v>321</v>
      </c>
      <c r="W620" s="742" t="s">
        <v>4219</v>
      </c>
      <c r="X620" s="798">
        <v>2</v>
      </c>
      <c r="Y620" s="788" t="s">
        <v>1838</v>
      </c>
      <c r="Z620" s="759" t="s">
        <v>209</v>
      </c>
      <c r="AA620" s="754"/>
      <c r="AB620" s="754"/>
      <c r="AC620" s="754"/>
      <c r="AD620" s="754"/>
      <c r="AE620" s="754"/>
      <c r="AF620" s="768"/>
      <c r="AG620" s="769"/>
      <c r="AH620" s="769"/>
      <c r="AI620" s="769"/>
      <c r="AJ620" s="769"/>
      <c r="AK620" s="769"/>
      <c r="AL620" s="769"/>
      <c r="AM620" s="769"/>
      <c r="AN620" s="769"/>
      <c r="AO620" s="769"/>
      <c r="AP620" s="769"/>
      <c r="AQ620" s="1370"/>
      <c r="AR620" s="1324"/>
      <c r="AS620" s="1324"/>
      <c r="AT620" s="1324"/>
      <c r="AU620" s="1325"/>
      <c r="AV620" s="777"/>
      <c r="AW620" s="769"/>
      <c r="AX620" s="769"/>
      <c r="AY620" s="769"/>
      <c r="AZ620" s="769"/>
      <c r="BA620" s="769"/>
      <c r="BB620" s="769"/>
      <c r="BC620" s="769"/>
      <c r="BD620" s="769"/>
      <c r="BE620" s="769"/>
      <c r="BF620" s="769"/>
      <c r="BG620" s="769"/>
      <c r="BH620" s="769"/>
      <c r="BI620" s="769"/>
      <c r="BJ620" s="769"/>
      <c r="BK620" s="774"/>
      <c r="BL620" s="1327"/>
      <c r="BM620" s="1328"/>
      <c r="BN620" s="1328"/>
      <c r="BO620" s="1328"/>
      <c r="BP620" s="1389"/>
      <c r="BQ620" s="1369"/>
      <c r="BR620" s="1319"/>
      <c r="BS620" s="1319"/>
      <c r="BT620" s="1319"/>
      <c r="BU620" s="1320"/>
      <c r="BV620" s="1369"/>
      <c r="BW620" s="1319"/>
      <c r="BX620" s="1319"/>
      <c r="BY620" s="1319"/>
      <c r="BZ620" s="1319"/>
      <c r="CA620" s="1369"/>
      <c r="CB620" s="1319"/>
      <c r="CC620" s="1319"/>
      <c r="CD620" s="1319"/>
      <c r="CE620" s="1320"/>
      <c r="CF620" s="1319"/>
      <c r="CG620" s="1319"/>
      <c r="CH620" s="1319"/>
      <c r="CI620" s="1319"/>
      <c r="CJ620" s="1320"/>
      <c r="CK620" s="1369"/>
      <c r="CL620" s="1319"/>
      <c r="CM620" s="1319"/>
      <c r="CN620" s="1319"/>
      <c r="CO620" s="1320"/>
      <c r="CP620" s="1369"/>
      <c r="CQ620" s="1319"/>
      <c r="CR620" s="1319"/>
      <c r="CS620" s="1319"/>
      <c r="CT620" s="1320"/>
      <c r="CU620" s="1467"/>
      <c r="CV620" s="1458"/>
      <c r="CW620" s="1458"/>
      <c r="CX620" s="1663"/>
      <c r="CY620" s="1458"/>
      <c r="CZ620" s="1458"/>
      <c r="DA620" s="1458"/>
      <c r="DB620" s="1663"/>
      <c r="DC620" s="1328"/>
      <c r="DD620" s="1664"/>
      <c r="DE620" s="1669"/>
    </row>
    <row r="621" spans="1:109" ht="15.75" hidden="1" customHeight="1">
      <c r="A621" s="741" t="s">
        <v>1227</v>
      </c>
      <c r="B621" s="742">
        <v>615</v>
      </c>
      <c r="C621" s="758" t="s">
        <v>1222</v>
      </c>
      <c r="D621" s="742" t="s">
        <v>4207</v>
      </c>
      <c r="E621" s="742" t="s">
        <v>2223</v>
      </c>
      <c r="F621" s="754" t="s">
        <v>4220</v>
      </c>
      <c r="G621" s="759" t="s">
        <v>795</v>
      </c>
      <c r="H621" s="760" t="s">
        <v>4221</v>
      </c>
      <c r="I621" s="761"/>
      <c r="J621" s="762"/>
      <c r="K621" s="762">
        <v>1</v>
      </c>
      <c r="L621" s="762"/>
      <c r="M621" s="762"/>
      <c r="N621" s="762"/>
      <c r="O621" s="762"/>
      <c r="P621" s="763"/>
      <c r="Q621" s="764">
        <f t="shared" si="9"/>
        <v>1</v>
      </c>
      <c r="R621" s="758" t="s">
        <v>1846</v>
      </c>
      <c r="S621" s="742" t="s">
        <v>1826</v>
      </c>
      <c r="T621" s="765" t="s">
        <v>1827</v>
      </c>
      <c r="U621" s="742" t="s">
        <v>2234</v>
      </c>
      <c r="V621" s="742" t="s">
        <v>1857</v>
      </c>
      <c r="W621" s="742" t="s">
        <v>4222</v>
      </c>
      <c r="X621" s="1243">
        <v>2</v>
      </c>
      <c r="Y621" s="788" t="s">
        <v>1838</v>
      </c>
      <c r="Z621" s="759" t="s">
        <v>795</v>
      </c>
      <c r="AA621" s="754"/>
      <c r="AB621" s="754"/>
      <c r="AC621" s="754"/>
      <c r="AD621" s="754"/>
      <c r="AE621" s="754"/>
      <c r="AF621" s="768"/>
      <c r="AG621" s="769"/>
      <c r="AH621" s="769"/>
      <c r="AI621" s="769"/>
      <c r="AJ621" s="769"/>
      <c r="AK621" s="769"/>
      <c r="AL621" s="769"/>
      <c r="AM621" s="769"/>
      <c r="AN621" s="769"/>
      <c r="AO621" s="769"/>
      <c r="AP621" s="769"/>
      <c r="AQ621" s="1369"/>
      <c r="AR621" s="1319"/>
      <c r="AS621" s="1319"/>
      <c r="AT621" s="1319"/>
      <c r="AU621" s="1320"/>
      <c r="AV621" s="777"/>
      <c r="AW621" s="769"/>
      <c r="AX621" s="769"/>
      <c r="AY621" s="769"/>
      <c r="AZ621" s="769"/>
      <c r="BA621" s="769"/>
      <c r="BB621" s="769"/>
      <c r="BC621" s="769"/>
      <c r="BD621" s="769"/>
      <c r="BE621" s="769"/>
      <c r="BF621" s="769"/>
      <c r="BG621" s="769"/>
      <c r="BH621" s="769"/>
      <c r="BI621" s="769"/>
      <c r="BJ621" s="769"/>
      <c r="BK621" s="774"/>
      <c r="BL621" s="1327"/>
      <c r="BM621" s="1328"/>
      <c r="BN621" s="1328"/>
      <c r="BO621" s="1328"/>
      <c r="BP621" s="1389"/>
      <c r="BQ621" s="1369"/>
      <c r="BR621" s="1319"/>
      <c r="BS621" s="1319"/>
      <c r="BT621" s="1319"/>
      <c r="BU621" s="1320"/>
      <c r="BV621" s="1370"/>
      <c r="BW621" s="1324"/>
      <c r="BX621" s="1324"/>
      <c r="BY621" s="1324"/>
      <c r="BZ621" s="1324"/>
      <c r="CA621" s="1369"/>
      <c r="CB621" s="1319"/>
      <c r="CC621" s="1319"/>
      <c r="CD621" s="1319"/>
      <c r="CE621" s="1320"/>
      <c r="CF621" s="1319"/>
      <c r="CG621" s="1319"/>
      <c r="CH621" s="1319"/>
      <c r="CI621" s="1319"/>
      <c r="CJ621" s="1320"/>
      <c r="CK621" s="1369"/>
      <c r="CL621" s="1319"/>
      <c r="CM621" s="1319"/>
      <c r="CN621" s="1319"/>
      <c r="CO621" s="1320"/>
      <c r="CP621" s="1369"/>
      <c r="CQ621" s="1319"/>
      <c r="CR621" s="1319"/>
      <c r="CS621" s="1319"/>
      <c r="CT621" s="1320"/>
      <c r="CU621" s="1467"/>
      <c r="CV621" s="1458"/>
      <c r="CW621" s="1458"/>
      <c r="CX621" s="1663"/>
      <c r="CY621" s="1458"/>
      <c r="CZ621" s="1458"/>
      <c r="DA621" s="1458"/>
      <c r="DB621" s="1663"/>
      <c r="DC621" s="1328"/>
      <c r="DD621" s="1664"/>
      <c r="DE621" s="1669"/>
    </row>
    <row r="622" spans="1:109" ht="15.75" hidden="1" customHeight="1">
      <c r="A622" s="741" t="s">
        <v>1227</v>
      </c>
      <c r="B622" s="742">
        <v>616</v>
      </c>
      <c r="C622" s="758" t="s">
        <v>1452</v>
      </c>
      <c r="D622" s="742" t="s">
        <v>4207</v>
      </c>
      <c r="E622" s="742" t="s">
        <v>2223</v>
      </c>
      <c r="F622" s="754" t="s">
        <v>4223</v>
      </c>
      <c r="G622" s="759" t="s">
        <v>4224</v>
      </c>
      <c r="H622" s="760" t="s">
        <v>4225</v>
      </c>
      <c r="I622" s="761">
        <v>1</v>
      </c>
      <c r="J622" s="762"/>
      <c r="K622" s="762"/>
      <c r="L622" s="762"/>
      <c r="M622" s="762"/>
      <c r="N622" s="762"/>
      <c r="O622" s="762"/>
      <c r="P622" s="763"/>
      <c r="Q622" s="764">
        <f t="shared" si="9"/>
        <v>1</v>
      </c>
      <c r="R622" s="758" t="s">
        <v>1846</v>
      </c>
      <c r="S622" s="742" t="s">
        <v>1826</v>
      </c>
      <c r="T622" s="765" t="s">
        <v>1827</v>
      </c>
      <c r="U622" s="742" t="s">
        <v>3028</v>
      </c>
      <c r="V622" s="742" t="s">
        <v>1857</v>
      </c>
      <c r="W622" s="742" t="s">
        <v>4226</v>
      </c>
      <c r="X622" s="798">
        <v>0</v>
      </c>
      <c r="Y622" s="788" t="s">
        <v>1838</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210</v>
      </c>
      <c r="BM622" s="754" t="s">
        <v>210</v>
      </c>
      <c r="BN622" s="754" t="s">
        <v>210</v>
      </c>
      <c r="BO622" s="754" t="s">
        <v>210</v>
      </c>
      <c r="BP622" s="765" t="s">
        <v>210</v>
      </c>
      <c r="BQ622" s="777" t="s">
        <v>2260</v>
      </c>
      <c r="BR622" s="769" t="s">
        <v>2260</v>
      </c>
      <c r="BS622" s="769" t="s">
        <v>2260</v>
      </c>
      <c r="BT622" s="769" t="s">
        <v>2260</v>
      </c>
      <c r="BU622" s="774" t="s">
        <v>2260</v>
      </c>
      <c r="BV622" s="777" t="s">
        <v>2260</v>
      </c>
      <c r="BW622" s="769" t="s">
        <v>2260</v>
      </c>
      <c r="BX622" s="769" t="s">
        <v>2260</v>
      </c>
      <c r="BY622" s="769" t="s">
        <v>2260</v>
      </c>
      <c r="BZ622" s="769" t="s">
        <v>2260</v>
      </c>
      <c r="CA622" s="777">
        <v>0</v>
      </c>
      <c r="CB622" s="769">
        <v>0</v>
      </c>
      <c r="CC622" s="769">
        <v>0</v>
      </c>
      <c r="CD622" s="769">
        <v>0</v>
      </c>
      <c r="CE622" s="774">
        <v>0</v>
      </c>
      <c r="CF622" s="769" t="s">
        <v>2260</v>
      </c>
      <c r="CG622" s="769" t="s">
        <v>2260</v>
      </c>
      <c r="CH622" s="769" t="s">
        <v>2260</v>
      </c>
      <c r="CI622" s="769" t="s">
        <v>2260</v>
      </c>
      <c r="CJ622" s="774" t="s">
        <v>2260</v>
      </c>
      <c r="CK622" s="777" t="s">
        <v>2260</v>
      </c>
      <c r="CL622" s="769" t="s">
        <v>2260</v>
      </c>
      <c r="CM622" s="769" t="s">
        <v>2260</v>
      </c>
      <c r="CN622" s="769" t="s">
        <v>2260</v>
      </c>
      <c r="CO622" s="774" t="s">
        <v>2260</v>
      </c>
      <c r="CP622" s="777" t="s">
        <v>2260</v>
      </c>
      <c r="CQ622" s="769" t="s">
        <v>2260</v>
      </c>
      <c r="CR622" s="769" t="s">
        <v>2260</v>
      </c>
      <c r="CS622" s="769" t="s">
        <v>2260</v>
      </c>
      <c r="CT622" s="774" t="s">
        <v>2260</v>
      </c>
      <c r="CU622" s="1253">
        <v>-0.16</v>
      </c>
      <c r="CV622" s="1252" t="s">
        <v>2260</v>
      </c>
      <c r="CW622" s="1252" t="s">
        <v>2260</v>
      </c>
      <c r="CX622" s="1254" t="s">
        <v>2260</v>
      </c>
      <c r="CY622" s="1252" t="s">
        <v>2260</v>
      </c>
      <c r="CZ622" s="1252" t="s">
        <v>2260</v>
      </c>
      <c r="DA622" s="1252" t="s">
        <v>2260</v>
      </c>
      <c r="DB622" s="1254" t="s">
        <v>2260</v>
      </c>
      <c r="DC622" s="754"/>
      <c r="DD622" s="782">
        <v>1</v>
      </c>
      <c r="DE622" s="783"/>
    </row>
    <row r="623" spans="1:109" ht="15.75" hidden="1" customHeight="1">
      <c r="A623" s="741" t="s">
        <v>1227</v>
      </c>
      <c r="B623" s="742">
        <v>617</v>
      </c>
      <c r="C623" s="758" t="s">
        <v>1223</v>
      </c>
      <c r="D623" s="742" t="s">
        <v>4227</v>
      </c>
      <c r="E623" s="742" t="s">
        <v>2217</v>
      </c>
      <c r="F623" s="754" t="s">
        <v>2613</v>
      </c>
      <c r="G623" s="759" t="s">
        <v>1085</v>
      </c>
      <c r="H623" s="760" t="s">
        <v>4228</v>
      </c>
      <c r="I623" s="761"/>
      <c r="J623" s="762"/>
      <c r="K623" s="762">
        <v>1</v>
      </c>
      <c r="L623" s="762"/>
      <c r="M623" s="762"/>
      <c r="N623" s="762"/>
      <c r="O623" s="762"/>
      <c r="P623" s="763"/>
      <c r="Q623" s="764">
        <f t="shared" si="9"/>
        <v>1</v>
      </c>
      <c r="R623" s="758" t="s">
        <v>1846</v>
      </c>
      <c r="S623" s="742" t="s">
        <v>1826</v>
      </c>
      <c r="T623" s="765" t="s">
        <v>1827</v>
      </c>
      <c r="U623" s="742" t="s">
        <v>2387</v>
      </c>
      <c r="V623" s="742" t="s">
        <v>321</v>
      </c>
      <c r="W623" s="742" t="s">
        <v>4229</v>
      </c>
      <c r="X623" s="1243">
        <v>2</v>
      </c>
      <c r="Y623" s="790" t="s">
        <v>1828</v>
      </c>
      <c r="Z623" s="759" t="s">
        <v>1085</v>
      </c>
      <c r="AA623" s="754"/>
      <c r="AB623" s="754"/>
      <c r="AC623" s="754"/>
      <c r="AD623" s="754"/>
      <c r="AE623" s="754"/>
      <c r="AF623" s="768"/>
      <c r="AG623" s="769"/>
      <c r="AH623" s="769"/>
      <c r="AI623" s="769"/>
      <c r="AJ623" s="769"/>
      <c r="AK623" s="769"/>
      <c r="AL623" s="769"/>
      <c r="AM623" s="769"/>
      <c r="AN623" s="769"/>
      <c r="AO623" s="769"/>
      <c r="AP623" s="769"/>
      <c r="AQ623" s="1369"/>
      <c r="AR623" s="1319"/>
      <c r="AS623" s="1319"/>
      <c r="AT623" s="1319"/>
      <c r="AU623" s="1320"/>
      <c r="AV623" s="777"/>
      <c r="AW623" s="769"/>
      <c r="AX623" s="769"/>
      <c r="AY623" s="769"/>
      <c r="AZ623" s="769"/>
      <c r="BA623" s="769"/>
      <c r="BB623" s="769"/>
      <c r="BC623" s="769"/>
      <c r="BD623" s="769"/>
      <c r="BE623" s="769"/>
      <c r="BF623" s="769"/>
      <c r="BG623" s="769"/>
      <c r="BH623" s="769"/>
      <c r="BI623" s="769"/>
      <c r="BJ623" s="769"/>
      <c r="BK623" s="774"/>
      <c r="BL623" s="1327"/>
      <c r="BM623" s="1328"/>
      <c r="BN623" s="1328"/>
      <c r="BO623" s="1328"/>
      <c r="BP623" s="1389"/>
      <c r="BQ623" s="1369"/>
      <c r="BR623" s="1319"/>
      <c r="BS623" s="1319"/>
      <c r="BT623" s="1319"/>
      <c r="BU623" s="1320"/>
      <c r="BV623" s="1369"/>
      <c r="BW623" s="1319"/>
      <c r="BX623" s="1319"/>
      <c r="BY623" s="1319"/>
      <c r="BZ623" s="1319"/>
      <c r="CA623" s="1369"/>
      <c r="CB623" s="1319"/>
      <c r="CC623" s="1319"/>
      <c r="CD623" s="1319"/>
      <c r="CE623" s="1320"/>
      <c r="CF623" s="1319"/>
      <c r="CG623" s="1319"/>
      <c r="CH623" s="1319"/>
      <c r="CI623" s="1319"/>
      <c r="CJ623" s="1320"/>
      <c r="CK623" s="1369"/>
      <c r="CL623" s="1319"/>
      <c r="CM623" s="1319"/>
      <c r="CN623" s="1319"/>
      <c r="CO623" s="1320"/>
      <c r="CP623" s="1369"/>
      <c r="CQ623" s="1319"/>
      <c r="CR623" s="1319"/>
      <c r="CS623" s="1319"/>
      <c r="CT623" s="1320"/>
      <c r="CU623" s="1467"/>
      <c r="CV623" s="1458"/>
      <c r="CW623" s="1458"/>
      <c r="CX623" s="1663"/>
      <c r="CY623" s="1458"/>
      <c r="CZ623" s="1458"/>
      <c r="DA623" s="1458"/>
      <c r="DB623" s="1663"/>
      <c r="DC623" s="1328"/>
      <c r="DD623" s="1664"/>
      <c r="DE623" s="1669"/>
    </row>
    <row r="624" spans="1:109" ht="15.75" hidden="1" customHeight="1">
      <c r="A624" s="741" t="s">
        <v>1227</v>
      </c>
      <c r="B624" s="742">
        <v>618</v>
      </c>
      <c r="C624" s="758" t="s">
        <v>1235</v>
      </c>
      <c r="D624" s="742" t="s">
        <v>4227</v>
      </c>
      <c r="E624" s="742" t="s">
        <v>2217</v>
      </c>
      <c r="F624" s="754" t="s">
        <v>2616</v>
      </c>
      <c r="G624" s="759" t="s">
        <v>788</v>
      </c>
      <c r="H624" s="760" t="s">
        <v>4230</v>
      </c>
      <c r="I624" s="761"/>
      <c r="J624" s="762"/>
      <c r="K624" s="762">
        <v>1</v>
      </c>
      <c r="L624" s="762"/>
      <c r="M624" s="762"/>
      <c r="N624" s="762"/>
      <c r="O624" s="762"/>
      <c r="P624" s="763"/>
      <c r="Q624" s="764">
        <f t="shared" si="9"/>
        <v>1</v>
      </c>
      <c r="R624" s="758" t="s">
        <v>1852</v>
      </c>
      <c r="S624" s="742" t="s">
        <v>1826</v>
      </c>
      <c r="T624" s="765" t="s">
        <v>1827</v>
      </c>
      <c r="U624" s="742" t="s">
        <v>788</v>
      </c>
      <c r="V624" s="742" t="s">
        <v>1857</v>
      </c>
      <c r="W624" s="742" t="s">
        <v>4231</v>
      </c>
      <c r="X624" s="1243">
        <v>2</v>
      </c>
      <c r="Y624" s="788" t="s">
        <v>1838</v>
      </c>
      <c r="Z624" s="759" t="s">
        <v>788</v>
      </c>
      <c r="AA624" s="754"/>
      <c r="AB624" s="754"/>
      <c r="AC624" s="754"/>
      <c r="AD624" s="754"/>
      <c r="AE624" s="754"/>
      <c r="AF624" s="768"/>
      <c r="AG624" s="769"/>
      <c r="AH624" s="769"/>
      <c r="AI624" s="769"/>
      <c r="AJ624" s="769"/>
      <c r="AK624" s="769"/>
      <c r="AL624" s="769"/>
      <c r="AM624" s="769"/>
      <c r="AN624" s="769"/>
      <c r="AO624" s="769"/>
      <c r="AP624" s="769"/>
      <c r="AQ624" s="1370"/>
      <c r="AR624" s="1324"/>
      <c r="AS624" s="1324"/>
      <c r="AT624" s="1324"/>
      <c r="AU624" s="1325"/>
      <c r="AV624" s="777"/>
      <c r="AW624" s="769"/>
      <c r="AX624" s="769"/>
      <c r="AY624" s="769"/>
      <c r="AZ624" s="769"/>
      <c r="BA624" s="769"/>
      <c r="BB624" s="769"/>
      <c r="BC624" s="769"/>
      <c r="BD624" s="769"/>
      <c r="BE624" s="769"/>
      <c r="BF624" s="769"/>
      <c r="BG624" s="769"/>
      <c r="BH624" s="769"/>
      <c r="BI624" s="769"/>
      <c r="BJ624" s="769"/>
      <c r="BK624" s="774"/>
      <c r="BL624" s="1327"/>
      <c r="BM624" s="1328"/>
      <c r="BN624" s="1328"/>
      <c r="BO624" s="1328"/>
      <c r="BP624" s="1389"/>
      <c r="BQ624" s="1370"/>
      <c r="BR624" s="1324"/>
      <c r="BS624" s="1324"/>
      <c r="BT624" s="1324"/>
      <c r="BU624" s="1325"/>
      <c r="BV624" s="1370"/>
      <c r="BW624" s="1324"/>
      <c r="BX624" s="1324"/>
      <c r="BY624" s="1324"/>
      <c r="BZ624" s="1324"/>
      <c r="CA624" s="1369"/>
      <c r="CB624" s="1319"/>
      <c r="CC624" s="1319"/>
      <c r="CD624" s="1319"/>
      <c r="CE624" s="1320"/>
      <c r="CF624" s="1319"/>
      <c r="CG624" s="1319"/>
      <c r="CH624" s="1319"/>
      <c r="CI624" s="1319"/>
      <c r="CJ624" s="1320"/>
      <c r="CK624" s="1370"/>
      <c r="CL624" s="1324"/>
      <c r="CM624" s="1324"/>
      <c r="CN624" s="1324"/>
      <c r="CO624" s="1325"/>
      <c r="CP624" s="1370"/>
      <c r="CQ624" s="1324"/>
      <c r="CR624" s="1324"/>
      <c r="CS624" s="1324"/>
      <c r="CT624" s="1325"/>
      <c r="CU624" s="1467"/>
      <c r="CV624" s="1458"/>
      <c r="CW624" s="1458"/>
      <c r="CX624" s="1663"/>
      <c r="CY624" s="1458"/>
      <c r="CZ624" s="1458"/>
      <c r="DA624" s="1458"/>
      <c r="DB624" s="1663"/>
      <c r="DC624" s="1328"/>
      <c r="DD624" s="1664"/>
      <c r="DE624" s="1669"/>
    </row>
    <row r="625" spans="1:109" ht="15.75" hidden="1" customHeight="1">
      <c r="A625" s="741" t="s">
        <v>1227</v>
      </c>
      <c r="B625" s="742">
        <v>619</v>
      </c>
      <c r="C625" s="758" t="s">
        <v>1464</v>
      </c>
      <c r="D625" s="742" t="s">
        <v>4227</v>
      </c>
      <c r="E625" s="742" t="s">
        <v>2223</v>
      </c>
      <c r="F625" s="754" t="s">
        <v>2619</v>
      </c>
      <c r="G625" s="759" t="s">
        <v>4232</v>
      </c>
      <c r="H625" s="760" t="s">
        <v>4233</v>
      </c>
      <c r="I625" s="761">
        <v>1</v>
      </c>
      <c r="J625" s="762"/>
      <c r="K625" s="762"/>
      <c r="L625" s="762"/>
      <c r="M625" s="762"/>
      <c r="N625" s="762"/>
      <c r="O625" s="762"/>
      <c r="P625" s="763"/>
      <c r="Q625" s="764">
        <f t="shared" si="9"/>
        <v>1</v>
      </c>
      <c r="R625" s="758" t="s">
        <v>1852</v>
      </c>
      <c r="S625" s="742" t="s">
        <v>1826</v>
      </c>
      <c r="T625" s="765" t="s">
        <v>1827</v>
      </c>
      <c r="U625" s="742" t="s">
        <v>2290</v>
      </c>
      <c r="V625" s="742" t="s">
        <v>1857</v>
      </c>
      <c r="W625" s="742" t="s">
        <v>4234</v>
      </c>
      <c r="X625" s="798">
        <v>0</v>
      </c>
      <c r="Y625" s="791" t="s">
        <v>1838</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210</v>
      </c>
      <c r="BM625" s="754" t="s">
        <v>210</v>
      </c>
      <c r="BN625" s="754" t="s">
        <v>210</v>
      </c>
      <c r="BO625" s="754" t="s">
        <v>210</v>
      </c>
      <c r="BP625" s="765" t="s">
        <v>210</v>
      </c>
      <c r="BQ625" s="777" t="s">
        <v>2260</v>
      </c>
      <c r="BR625" s="769" t="s">
        <v>2260</v>
      </c>
      <c r="BS625" s="769" t="s">
        <v>2260</v>
      </c>
      <c r="BT625" s="769" t="s">
        <v>2260</v>
      </c>
      <c r="BU625" s="774" t="s">
        <v>2260</v>
      </c>
      <c r="BV625" s="777" t="s">
        <v>2260</v>
      </c>
      <c r="BW625" s="769" t="s">
        <v>2260</v>
      </c>
      <c r="BX625" s="769" t="s">
        <v>2260</v>
      </c>
      <c r="BY625" s="769" t="s">
        <v>2260</v>
      </c>
      <c r="BZ625" s="769" t="s">
        <v>2260</v>
      </c>
      <c r="CA625" s="777" t="s">
        <v>2260</v>
      </c>
      <c r="CB625" s="769" t="s">
        <v>2260</v>
      </c>
      <c r="CC625" s="769" t="s">
        <v>2260</v>
      </c>
      <c r="CD625" s="769" t="s">
        <v>2260</v>
      </c>
      <c r="CE625" s="774" t="s">
        <v>2260</v>
      </c>
      <c r="CF625" s="769" t="s">
        <v>2260</v>
      </c>
      <c r="CG625" s="769" t="s">
        <v>2260</v>
      </c>
      <c r="CH625" s="769" t="s">
        <v>2260</v>
      </c>
      <c r="CI625" s="769" t="s">
        <v>2260</v>
      </c>
      <c r="CJ625" s="774" t="s">
        <v>2260</v>
      </c>
      <c r="CK625" s="777" t="s">
        <v>2260</v>
      </c>
      <c r="CL625" s="769" t="s">
        <v>2260</v>
      </c>
      <c r="CM625" s="769" t="s">
        <v>2260</v>
      </c>
      <c r="CN625" s="769" t="s">
        <v>2260</v>
      </c>
      <c r="CO625" s="774" t="s">
        <v>2260</v>
      </c>
      <c r="CP625" s="777" t="s">
        <v>2260</v>
      </c>
      <c r="CQ625" s="769" t="s">
        <v>2260</v>
      </c>
      <c r="CR625" s="769" t="s">
        <v>2260</v>
      </c>
      <c r="CS625" s="769" t="s">
        <v>2260</v>
      </c>
      <c r="CT625" s="774" t="s">
        <v>2260</v>
      </c>
      <c r="CU625" s="1253">
        <v>-2.6999999999999999E-5</v>
      </c>
      <c r="CV625" s="1252" t="s">
        <v>2260</v>
      </c>
      <c r="CW625" s="1252" t="s">
        <v>2260</v>
      </c>
      <c r="CX625" s="1254" t="s">
        <v>2260</v>
      </c>
      <c r="CY625" s="1252">
        <v>2.6999999999999999E-5</v>
      </c>
      <c r="CZ625" s="1252" t="s">
        <v>2260</v>
      </c>
      <c r="DA625" s="1252" t="s">
        <v>2260</v>
      </c>
      <c r="DB625" s="1254" t="s">
        <v>2260</v>
      </c>
      <c r="DC625" s="754"/>
      <c r="DD625" s="782">
        <v>1</v>
      </c>
      <c r="DE625" s="783"/>
    </row>
    <row r="626" spans="1:109" ht="15.75" hidden="1" customHeight="1">
      <c r="A626" s="741" t="s">
        <v>1227</v>
      </c>
      <c r="B626" s="742">
        <v>620</v>
      </c>
      <c r="C626" s="758" t="s">
        <v>1472</v>
      </c>
      <c r="D626" s="742" t="s">
        <v>4227</v>
      </c>
      <c r="E626" s="742" t="s">
        <v>2231</v>
      </c>
      <c r="F626" s="754" t="s">
        <v>2624</v>
      </c>
      <c r="G626" s="759" t="s">
        <v>4235</v>
      </c>
      <c r="H626" s="760" t="s">
        <v>4236</v>
      </c>
      <c r="I626" s="761">
        <v>1</v>
      </c>
      <c r="J626" s="762"/>
      <c r="K626" s="762"/>
      <c r="L626" s="762"/>
      <c r="M626" s="762"/>
      <c r="N626" s="762"/>
      <c r="O626" s="762"/>
      <c r="P626" s="763"/>
      <c r="Q626" s="764">
        <f t="shared" si="9"/>
        <v>1</v>
      </c>
      <c r="R626" s="758" t="s">
        <v>1852</v>
      </c>
      <c r="S626" s="742" t="s">
        <v>1826</v>
      </c>
      <c r="T626" s="765" t="s">
        <v>1827</v>
      </c>
      <c r="U626" s="742" t="s">
        <v>2523</v>
      </c>
      <c r="V626" s="742" t="s">
        <v>321</v>
      </c>
      <c r="W626" s="742" t="s">
        <v>4237</v>
      </c>
      <c r="X626" s="798">
        <v>0</v>
      </c>
      <c r="Y626" s="795" t="s">
        <v>1828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210</v>
      </c>
      <c r="BM626" s="754" t="s">
        <v>210</v>
      </c>
      <c r="BN626" s="754" t="s">
        <v>210</v>
      </c>
      <c r="BO626" s="754" t="s">
        <v>210</v>
      </c>
      <c r="BP626" s="765" t="s">
        <v>210</v>
      </c>
      <c r="BQ626" s="777" t="s">
        <v>2260</v>
      </c>
      <c r="BR626" s="769" t="s">
        <v>2260</v>
      </c>
      <c r="BS626" s="769" t="s">
        <v>2260</v>
      </c>
      <c r="BT626" s="769" t="s">
        <v>2260</v>
      </c>
      <c r="BU626" s="774" t="s">
        <v>2260</v>
      </c>
      <c r="BV626" s="777" t="s">
        <v>2260</v>
      </c>
      <c r="BW626" s="769" t="s">
        <v>2260</v>
      </c>
      <c r="BX626" s="769" t="s">
        <v>2260</v>
      </c>
      <c r="BY626" s="769" t="s">
        <v>2260</v>
      </c>
      <c r="BZ626" s="769" t="s">
        <v>2260</v>
      </c>
      <c r="CA626" s="777" t="s">
        <v>2260</v>
      </c>
      <c r="CB626" s="769" t="s">
        <v>2260</v>
      </c>
      <c r="CC626" s="769" t="s">
        <v>2260</v>
      </c>
      <c r="CD626" s="769" t="s">
        <v>2260</v>
      </c>
      <c r="CE626" s="774" t="s">
        <v>2260</v>
      </c>
      <c r="CF626" s="769" t="s">
        <v>2260</v>
      </c>
      <c r="CG626" s="769" t="s">
        <v>2260</v>
      </c>
      <c r="CH626" s="769" t="s">
        <v>2260</v>
      </c>
      <c r="CI626" s="769" t="s">
        <v>2260</v>
      </c>
      <c r="CJ626" s="774" t="s">
        <v>2260</v>
      </c>
      <c r="CK626" s="777" t="s">
        <v>2260</v>
      </c>
      <c r="CL626" s="769" t="s">
        <v>2260</v>
      </c>
      <c r="CM626" s="769" t="s">
        <v>2260</v>
      </c>
      <c r="CN626" s="769" t="s">
        <v>2260</v>
      </c>
      <c r="CO626" s="774" t="s">
        <v>2260</v>
      </c>
      <c r="CP626" s="777" t="s">
        <v>2260</v>
      </c>
      <c r="CQ626" s="769" t="s">
        <v>2260</v>
      </c>
      <c r="CR626" s="769" t="s">
        <v>2260</v>
      </c>
      <c r="CS626" s="769" t="s">
        <v>2260</v>
      </c>
      <c r="CT626" s="774" t="s">
        <v>2260</v>
      </c>
      <c r="CU626" s="1253">
        <v>-2.0000000000000001E-4</v>
      </c>
      <c r="CV626" s="1252" t="s">
        <v>2260</v>
      </c>
      <c r="CW626" s="1252" t="s">
        <v>2260</v>
      </c>
      <c r="CX626" s="1254" t="s">
        <v>2260</v>
      </c>
      <c r="CY626" s="1252">
        <v>1.7000000000000001E-4</v>
      </c>
      <c r="CZ626" s="1252" t="s">
        <v>2260</v>
      </c>
      <c r="DA626" s="1252" t="s">
        <v>2260</v>
      </c>
      <c r="DB626" s="1254" t="s">
        <v>2260</v>
      </c>
      <c r="DC626" s="754"/>
      <c r="DD626" s="782">
        <v>1</v>
      </c>
      <c r="DE626" s="783"/>
    </row>
    <row r="627" spans="1:109" ht="15.75" hidden="1" customHeight="1">
      <c r="A627" s="741" t="s">
        <v>1227</v>
      </c>
      <c r="B627" s="742">
        <v>621</v>
      </c>
      <c r="C627" s="758" t="s">
        <v>1536</v>
      </c>
      <c r="D627" s="742" t="s">
        <v>4227</v>
      </c>
      <c r="E627" s="742" t="s">
        <v>2217</v>
      </c>
      <c r="F627" s="754" t="s">
        <v>2627</v>
      </c>
      <c r="G627" s="759" t="s">
        <v>2981</v>
      </c>
      <c r="H627" s="760" t="s">
        <v>4238</v>
      </c>
      <c r="I627" s="761">
        <v>0.03</v>
      </c>
      <c r="J627" s="762">
        <v>0.25</v>
      </c>
      <c r="K627" s="762">
        <v>0.54</v>
      </c>
      <c r="L627" s="762">
        <v>0.18</v>
      </c>
      <c r="M627" s="762"/>
      <c r="N627" s="762"/>
      <c r="O627" s="762"/>
      <c r="P627" s="763"/>
      <c r="Q627" s="764">
        <f t="shared" si="9"/>
        <v>1</v>
      </c>
      <c r="R627" s="758" t="s">
        <v>1846</v>
      </c>
      <c r="S627" s="742" t="s">
        <v>1826</v>
      </c>
      <c r="T627" s="765" t="s">
        <v>1827</v>
      </c>
      <c r="U627" s="742" t="s">
        <v>2408</v>
      </c>
      <c r="V627" s="742" t="s">
        <v>1857</v>
      </c>
      <c r="W627" s="742" t="s">
        <v>4239</v>
      </c>
      <c r="X627" s="798">
        <v>0</v>
      </c>
      <c r="Y627" s="790" t="s">
        <v>1838</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210</v>
      </c>
      <c r="BM627" s="754" t="s">
        <v>210</v>
      </c>
      <c r="BN627" s="754" t="s">
        <v>210</v>
      </c>
      <c r="BO627" s="754" t="s">
        <v>210</v>
      </c>
      <c r="BP627" s="765" t="s">
        <v>210</v>
      </c>
      <c r="BQ627" s="777" t="s">
        <v>2260</v>
      </c>
      <c r="BR627" s="769" t="s">
        <v>2260</v>
      </c>
      <c r="BS627" s="769" t="s">
        <v>2260</v>
      </c>
      <c r="BT627" s="769" t="s">
        <v>2260</v>
      </c>
      <c r="BU627" s="774" t="s">
        <v>2260</v>
      </c>
      <c r="BV627" s="777" t="s">
        <v>2260</v>
      </c>
      <c r="BW627" s="769" t="s">
        <v>2260</v>
      </c>
      <c r="BX627" s="769" t="s">
        <v>2260</v>
      </c>
      <c r="BY627" s="769" t="s">
        <v>2260</v>
      </c>
      <c r="BZ627" s="769" t="s">
        <v>2260</v>
      </c>
      <c r="CA627" s="777" t="s">
        <v>2260</v>
      </c>
      <c r="CB627" s="769" t="s">
        <v>2260</v>
      </c>
      <c r="CC627" s="769" t="s">
        <v>2260</v>
      </c>
      <c r="CD627" s="769" t="s">
        <v>2260</v>
      </c>
      <c r="CE627" s="774" t="s">
        <v>2260</v>
      </c>
      <c r="CF627" s="769" t="s">
        <v>2260</v>
      </c>
      <c r="CG627" s="769" t="s">
        <v>2260</v>
      </c>
      <c r="CH627" s="769" t="s">
        <v>2260</v>
      </c>
      <c r="CI627" s="769" t="s">
        <v>2260</v>
      </c>
      <c r="CJ627" s="774" t="s">
        <v>2260</v>
      </c>
      <c r="CK627" s="777" t="s">
        <v>2260</v>
      </c>
      <c r="CL627" s="769" t="s">
        <v>2260</v>
      </c>
      <c r="CM627" s="769" t="s">
        <v>2260</v>
      </c>
      <c r="CN627" s="769" t="s">
        <v>2260</v>
      </c>
      <c r="CO627" s="774" t="s">
        <v>2260</v>
      </c>
      <c r="CP627" s="777" t="s">
        <v>2260</v>
      </c>
      <c r="CQ627" s="769" t="s">
        <v>2260</v>
      </c>
      <c r="CR627" s="769" t="s">
        <v>2260</v>
      </c>
      <c r="CS627" s="769" t="s">
        <v>2260</v>
      </c>
      <c r="CT627" s="774" t="s">
        <v>2260</v>
      </c>
      <c r="CU627" s="1253">
        <v>-1.95E-2</v>
      </c>
      <c r="CV627" s="1252" t="s">
        <v>2260</v>
      </c>
      <c r="CW627" s="1252" t="s">
        <v>2260</v>
      </c>
      <c r="CX627" s="1254" t="s">
        <v>2260</v>
      </c>
      <c r="CY627" s="1252" t="s">
        <v>2260</v>
      </c>
      <c r="CZ627" s="1252" t="s">
        <v>2260</v>
      </c>
      <c r="DA627" s="1252" t="s">
        <v>2260</v>
      </c>
      <c r="DB627" s="1254" t="s">
        <v>2260</v>
      </c>
      <c r="DC627" s="754"/>
      <c r="DD627" s="782">
        <v>1</v>
      </c>
      <c r="DE627" s="783"/>
    </row>
    <row r="628" spans="1:109" ht="15.75" hidden="1" customHeight="1">
      <c r="A628" s="741" t="s">
        <v>1227</v>
      </c>
      <c r="B628" s="742">
        <v>622</v>
      </c>
      <c r="C628" s="758" t="s">
        <v>1546</v>
      </c>
      <c r="D628" s="742" t="s">
        <v>4227</v>
      </c>
      <c r="E628" s="742" t="s">
        <v>2231</v>
      </c>
      <c r="F628" s="754" t="s">
        <v>4240</v>
      </c>
      <c r="G628" s="759" t="s">
        <v>4241</v>
      </c>
      <c r="H628" s="760" t="s">
        <v>4242</v>
      </c>
      <c r="I628" s="761"/>
      <c r="J628" s="762"/>
      <c r="K628" s="762">
        <v>1</v>
      </c>
      <c r="L628" s="762"/>
      <c r="M628" s="762"/>
      <c r="N628" s="762"/>
      <c r="O628" s="762"/>
      <c r="P628" s="763"/>
      <c r="Q628" s="764">
        <f t="shared" si="9"/>
        <v>1</v>
      </c>
      <c r="R628" s="758" t="s">
        <v>1852</v>
      </c>
      <c r="S628" s="742" t="s">
        <v>1826</v>
      </c>
      <c r="T628" s="765" t="s">
        <v>1827</v>
      </c>
      <c r="U628" s="742" t="s">
        <v>2537</v>
      </c>
      <c r="V628" s="742" t="s">
        <v>1857</v>
      </c>
      <c r="W628" s="742" t="s">
        <v>4243</v>
      </c>
      <c r="X628" s="798">
        <v>0</v>
      </c>
      <c r="Y628" s="795" t="s">
        <v>1828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210</v>
      </c>
      <c r="BM628" s="754" t="s">
        <v>210</v>
      </c>
      <c r="BN628" s="754" t="s">
        <v>210</v>
      </c>
      <c r="BO628" s="754" t="s">
        <v>210</v>
      </c>
      <c r="BP628" s="765" t="s">
        <v>210</v>
      </c>
      <c r="BQ628" s="777" t="s">
        <v>2260</v>
      </c>
      <c r="BR628" s="769" t="s">
        <v>2260</v>
      </c>
      <c r="BS628" s="769" t="s">
        <v>2260</v>
      </c>
      <c r="BT628" s="769" t="s">
        <v>2260</v>
      </c>
      <c r="BU628" s="774" t="s">
        <v>2260</v>
      </c>
      <c r="BV628" s="777" t="s">
        <v>2260</v>
      </c>
      <c r="BW628" s="769" t="s">
        <v>2260</v>
      </c>
      <c r="BX628" s="769" t="s">
        <v>2260</v>
      </c>
      <c r="BY628" s="769" t="s">
        <v>2260</v>
      </c>
      <c r="BZ628" s="769" t="s">
        <v>2260</v>
      </c>
      <c r="CA628" s="777" t="s">
        <v>2260</v>
      </c>
      <c r="CB628" s="769" t="s">
        <v>2260</v>
      </c>
      <c r="CC628" s="769" t="s">
        <v>2260</v>
      </c>
      <c r="CD628" s="769" t="s">
        <v>2260</v>
      </c>
      <c r="CE628" s="774" t="s">
        <v>2260</v>
      </c>
      <c r="CF628" s="769" t="s">
        <v>2260</v>
      </c>
      <c r="CG628" s="769" t="s">
        <v>2260</v>
      </c>
      <c r="CH628" s="769" t="s">
        <v>2260</v>
      </c>
      <c r="CI628" s="769" t="s">
        <v>2260</v>
      </c>
      <c r="CJ628" s="774" t="s">
        <v>2260</v>
      </c>
      <c r="CK628" s="777" t="s">
        <v>2260</v>
      </c>
      <c r="CL628" s="769" t="s">
        <v>2260</v>
      </c>
      <c r="CM628" s="769" t="s">
        <v>2260</v>
      </c>
      <c r="CN628" s="769" t="s">
        <v>2260</v>
      </c>
      <c r="CO628" s="774" t="s">
        <v>2260</v>
      </c>
      <c r="CP628" s="777" t="s">
        <v>2260</v>
      </c>
      <c r="CQ628" s="769" t="s">
        <v>2260</v>
      </c>
      <c r="CR628" s="769" t="s">
        <v>2260</v>
      </c>
      <c r="CS628" s="769" t="s">
        <v>2260</v>
      </c>
      <c r="CT628" s="774" t="s">
        <v>2260</v>
      </c>
      <c r="CU628" s="1253">
        <v>-8.4999999999999995E-4</v>
      </c>
      <c r="CV628" s="1252" t="s">
        <v>2260</v>
      </c>
      <c r="CW628" s="1252" t="s">
        <v>2260</v>
      </c>
      <c r="CX628" s="1254" t="s">
        <v>2260</v>
      </c>
      <c r="CY628" s="1252">
        <v>6.9999999999999999E-4</v>
      </c>
      <c r="CZ628" s="1252" t="s">
        <v>2260</v>
      </c>
      <c r="DA628" s="1252" t="s">
        <v>2260</v>
      </c>
      <c r="DB628" s="1254" t="s">
        <v>2260</v>
      </c>
      <c r="DC628" s="754"/>
      <c r="DD628" s="782">
        <v>1</v>
      </c>
      <c r="DE628" s="783"/>
    </row>
    <row r="629" spans="1:109" ht="15.75" hidden="1" customHeight="1">
      <c r="A629" s="741" t="s">
        <v>1227</v>
      </c>
      <c r="B629" s="742">
        <v>623</v>
      </c>
      <c r="C629" s="758" t="s">
        <v>1555</v>
      </c>
      <c r="D629" s="742" t="s">
        <v>4227</v>
      </c>
      <c r="E629" s="742" t="s">
        <v>2231</v>
      </c>
      <c r="F629" s="754" t="s">
        <v>4244</v>
      </c>
      <c r="G629" s="759" t="s">
        <v>4245</v>
      </c>
      <c r="H629" s="760" t="s">
        <v>4246</v>
      </c>
      <c r="I629" s="761"/>
      <c r="J629" s="762"/>
      <c r="K629" s="762">
        <v>1</v>
      </c>
      <c r="L629" s="762"/>
      <c r="M629" s="762"/>
      <c r="N629" s="762"/>
      <c r="O629" s="762"/>
      <c r="P629" s="763"/>
      <c r="Q629" s="764">
        <f t="shared" si="9"/>
        <v>1</v>
      </c>
      <c r="R629" s="758" t="s">
        <v>1852</v>
      </c>
      <c r="S629" s="742" t="s">
        <v>1826</v>
      </c>
      <c r="T629" s="765" t="s">
        <v>1827</v>
      </c>
      <c r="U629" s="742" t="s">
        <v>2537</v>
      </c>
      <c r="V629" s="742" t="s">
        <v>1857</v>
      </c>
      <c r="W629" s="742" t="s">
        <v>4247</v>
      </c>
      <c r="X629" s="798">
        <v>0</v>
      </c>
      <c r="Y629" s="795" t="s">
        <v>1828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210</v>
      </c>
      <c r="BM629" s="754" t="s">
        <v>210</v>
      </c>
      <c r="BN629" s="754" t="s">
        <v>210</v>
      </c>
      <c r="BO629" s="754" t="s">
        <v>210</v>
      </c>
      <c r="BP629" s="765" t="s">
        <v>210</v>
      </c>
      <c r="BQ629" s="777" t="s">
        <v>2260</v>
      </c>
      <c r="BR629" s="769" t="s">
        <v>2260</v>
      </c>
      <c r="BS629" s="769" t="s">
        <v>2260</v>
      </c>
      <c r="BT629" s="769" t="s">
        <v>2260</v>
      </c>
      <c r="BU629" s="774" t="s">
        <v>2260</v>
      </c>
      <c r="BV629" s="777" t="s">
        <v>2260</v>
      </c>
      <c r="BW629" s="769" t="s">
        <v>2260</v>
      </c>
      <c r="BX629" s="769" t="s">
        <v>2260</v>
      </c>
      <c r="BY629" s="769" t="s">
        <v>2260</v>
      </c>
      <c r="BZ629" s="769" t="s">
        <v>2260</v>
      </c>
      <c r="CA629" s="777" t="s">
        <v>2260</v>
      </c>
      <c r="CB629" s="769" t="s">
        <v>2260</v>
      </c>
      <c r="CC629" s="769" t="s">
        <v>2260</v>
      </c>
      <c r="CD629" s="769" t="s">
        <v>2260</v>
      </c>
      <c r="CE629" s="774" t="s">
        <v>2260</v>
      </c>
      <c r="CF629" s="769" t="s">
        <v>2260</v>
      </c>
      <c r="CG629" s="769" t="s">
        <v>2260</v>
      </c>
      <c r="CH629" s="769" t="s">
        <v>2260</v>
      </c>
      <c r="CI629" s="769" t="s">
        <v>2260</v>
      </c>
      <c r="CJ629" s="769" t="s">
        <v>2260</v>
      </c>
      <c r="CK629" s="777" t="s">
        <v>2260</v>
      </c>
      <c r="CL629" s="769" t="s">
        <v>2260</v>
      </c>
      <c r="CM629" s="769" t="s">
        <v>2260</v>
      </c>
      <c r="CN629" s="769" t="s">
        <v>2260</v>
      </c>
      <c r="CO629" s="774" t="s">
        <v>2260</v>
      </c>
      <c r="CP629" s="777" t="s">
        <v>2260</v>
      </c>
      <c r="CQ629" s="769" t="s">
        <v>2260</v>
      </c>
      <c r="CR629" s="769" t="s">
        <v>2260</v>
      </c>
      <c r="CS629" s="769" t="s">
        <v>2260</v>
      </c>
      <c r="CT629" s="774" t="s">
        <v>2260</v>
      </c>
      <c r="CU629" s="1253">
        <v>-4.0000000000000001E-3</v>
      </c>
      <c r="CV629" s="1252" t="s">
        <v>2260</v>
      </c>
      <c r="CW629" s="1252" t="s">
        <v>2260</v>
      </c>
      <c r="CX629" s="1254" t="s">
        <v>2260</v>
      </c>
      <c r="CY629" s="1252">
        <v>3.3E-3</v>
      </c>
      <c r="CZ629" s="1252" t="s">
        <v>2260</v>
      </c>
      <c r="DA629" s="1252" t="s">
        <v>2260</v>
      </c>
      <c r="DB629" s="1254" t="s">
        <v>2260</v>
      </c>
      <c r="DC629" s="754"/>
      <c r="DD629" s="782">
        <v>1</v>
      </c>
      <c r="DE629" s="783"/>
    </row>
    <row r="630" spans="1:109" ht="15.75" hidden="1" customHeight="1">
      <c r="A630" s="741" t="s">
        <v>1227</v>
      </c>
      <c r="B630" s="742">
        <v>624</v>
      </c>
      <c r="C630" s="758" t="s">
        <v>1564</v>
      </c>
      <c r="D630" s="742" t="s">
        <v>4227</v>
      </c>
      <c r="E630" s="742" t="s">
        <v>2217</v>
      </c>
      <c r="F630" s="754" t="s">
        <v>4248</v>
      </c>
      <c r="G630" s="759" t="s">
        <v>2600</v>
      </c>
      <c r="H630" s="760" t="s">
        <v>4249</v>
      </c>
      <c r="I630" s="761"/>
      <c r="J630" s="762"/>
      <c r="K630" s="762"/>
      <c r="L630" s="762">
        <v>1</v>
      </c>
      <c r="M630" s="762"/>
      <c r="N630" s="762"/>
      <c r="O630" s="762"/>
      <c r="P630" s="763"/>
      <c r="Q630" s="764">
        <f t="shared" si="9"/>
        <v>1</v>
      </c>
      <c r="R630" s="758" t="s">
        <v>1846</v>
      </c>
      <c r="S630" s="742" t="s">
        <v>1826</v>
      </c>
      <c r="T630" s="765" t="s">
        <v>1827</v>
      </c>
      <c r="U630" s="742" t="s">
        <v>815</v>
      </c>
      <c r="V630" s="742" t="s">
        <v>321</v>
      </c>
      <c r="W630" s="742" t="s">
        <v>4250</v>
      </c>
      <c r="X630" s="798">
        <v>2</v>
      </c>
      <c r="Y630" s="795" t="s">
        <v>1828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210</v>
      </c>
      <c r="BM630" s="754" t="s">
        <v>210</v>
      </c>
      <c r="BN630" s="754" t="s">
        <v>210</v>
      </c>
      <c r="BO630" s="754" t="s">
        <v>210</v>
      </c>
      <c r="BP630" s="765" t="s">
        <v>210</v>
      </c>
      <c r="BQ630" s="777" t="s">
        <v>2260</v>
      </c>
      <c r="BR630" s="769" t="s">
        <v>2260</v>
      </c>
      <c r="BS630" s="769" t="s">
        <v>2260</v>
      </c>
      <c r="BT630" s="769" t="s">
        <v>2260</v>
      </c>
      <c r="BU630" s="774" t="s">
        <v>2260</v>
      </c>
      <c r="BV630" s="777" t="s">
        <v>2260</v>
      </c>
      <c r="BW630" s="769" t="s">
        <v>2260</v>
      </c>
      <c r="BX630" s="769" t="s">
        <v>2260</v>
      </c>
      <c r="BY630" s="769" t="s">
        <v>2260</v>
      </c>
      <c r="BZ630" s="769" t="s">
        <v>2260</v>
      </c>
      <c r="CA630" s="777" t="s">
        <v>2260</v>
      </c>
      <c r="CB630" s="769" t="s">
        <v>2260</v>
      </c>
      <c r="CC630" s="769" t="s">
        <v>2260</v>
      </c>
      <c r="CD630" s="769" t="s">
        <v>2260</v>
      </c>
      <c r="CE630" s="774" t="s">
        <v>2260</v>
      </c>
      <c r="CF630" s="769" t="s">
        <v>2260</v>
      </c>
      <c r="CG630" s="769" t="s">
        <v>2260</v>
      </c>
      <c r="CH630" s="769" t="s">
        <v>2260</v>
      </c>
      <c r="CI630" s="769" t="s">
        <v>2260</v>
      </c>
      <c r="CJ630" s="769" t="s">
        <v>2260</v>
      </c>
      <c r="CK630" s="777" t="s">
        <v>2260</v>
      </c>
      <c r="CL630" s="769" t="s">
        <v>2260</v>
      </c>
      <c r="CM630" s="769" t="s">
        <v>2260</v>
      </c>
      <c r="CN630" s="769" t="s">
        <v>2260</v>
      </c>
      <c r="CO630" s="774" t="s">
        <v>2260</v>
      </c>
      <c r="CP630" s="777" t="s">
        <v>2260</v>
      </c>
      <c r="CQ630" s="769" t="s">
        <v>2260</v>
      </c>
      <c r="CR630" s="769" t="s">
        <v>2260</v>
      </c>
      <c r="CS630" s="769" t="s">
        <v>2260</v>
      </c>
      <c r="CT630" s="774" t="s">
        <v>2260</v>
      </c>
      <c r="CU630" s="1253">
        <v>-9.8000000000000004E-2</v>
      </c>
      <c r="CV630" s="1252" t="s">
        <v>2260</v>
      </c>
      <c r="CW630" s="1252" t="s">
        <v>2260</v>
      </c>
      <c r="CX630" s="1254" t="s">
        <v>2260</v>
      </c>
      <c r="CY630" s="1252" t="s">
        <v>2260</v>
      </c>
      <c r="CZ630" s="1252" t="s">
        <v>2260</v>
      </c>
      <c r="DA630" s="1252" t="s">
        <v>2260</v>
      </c>
      <c r="DB630" s="1254" t="s">
        <v>2260</v>
      </c>
      <c r="DC630" s="754"/>
      <c r="DD630" s="782">
        <v>1</v>
      </c>
      <c r="DE630" s="783"/>
    </row>
    <row r="631" spans="1:109" ht="15.75" hidden="1" customHeight="1">
      <c r="A631" s="741" t="s">
        <v>1227</v>
      </c>
      <c r="B631" s="742">
        <v>625</v>
      </c>
      <c r="C631" s="758" t="s">
        <v>1572</v>
      </c>
      <c r="D631" s="742" t="s">
        <v>4227</v>
      </c>
      <c r="E631" s="742" t="s">
        <v>2231</v>
      </c>
      <c r="F631" s="754" t="s">
        <v>4251</v>
      </c>
      <c r="G631" s="759" t="s">
        <v>4252</v>
      </c>
      <c r="H631" s="760" t="s">
        <v>4253</v>
      </c>
      <c r="I631" s="761"/>
      <c r="J631" s="762"/>
      <c r="K631" s="762">
        <v>1</v>
      </c>
      <c r="L631" s="762"/>
      <c r="M631" s="762"/>
      <c r="N631" s="762"/>
      <c r="O631" s="762"/>
      <c r="P631" s="763"/>
      <c r="Q631" s="764">
        <f t="shared" si="9"/>
        <v>1</v>
      </c>
      <c r="R631" s="758" t="s">
        <v>1835</v>
      </c>
      <c r="S631" s="742" t="s">
        <v>1826</v>
      </c>
      <c r="T631" s="765" t="s">
        <v>1827</v>
      </c>
      <c r="U631" s="742" t="s">
        <v>2387</v>
      </c>
      <c r="V631" s="742" t="s">
        <v>1857</v>
      </c>
      <c r="W631" s="742" t="s">
        <v>2440</v>
      </c>
      <c r="X631" s="798">
        <v>0</v>
      </c>
      <c r="Y631" s="795" t="s">
        <v>1828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210</v>
      </c>
      <c r="BM631" s="754" t="s">
        <v>210</v>
      </c>
      <c r="BN631" s="754" t="s">
        <v>210</v>
      </c>
      <c r="BO631" s="754" t="s">
        <v>210</v>
      </c>
      <c r="BP631" s="765" t="s">
        <v>210</v>
      </c>
      <c r="BQ631" s="777" t="s">
        <v>2260</v>
      </c>
      <c r="BR631" s="769" t="s">
        <v>2260</v>
      </c>
      <c r="BS631" s="769" t="s">
        <v>2260</v>
      </c>
      <c r="BT631" s="769" t="s">
        <v>2260</v>
      </c>
      <c r="BU631" s="774" t="s">
        <v>2260</v>
      </c>
      <c r="BV631" s="777" t="s">
        <v>2260</v>
      </c>
      <c r="BW631" s="769" t="s">
        <v>2260</v>
      </c>
      <c r="BX631" s="769" t="s">
        <v>2260</v>
      </c>
      <c r="BY631" s="769" t="s">
        <v>2260</v>
      </c>
      <c r="BZ631" s="769" t="s">
        <v>2260</v>
      </c>
      <c r="CA631" s="777" t="s">
        <v>2260</v>
      </c>
      <c r="CB631" s="769" t="s">
        <v>2260</v>
      </c>
      <c r="CC631" s="769" t="s">
        <v>2260</v>
      </c>
      <c r="CD631" s="769" t="s">
        <v>2260</v>
      </c>
      <c r="CE631" s="774" t="s">
        <v>2260</v>
      </c>
      <c r="CF631" s="769" t="s">
        <v>2260</v>
      </c>
      <c r="CG631" s="769" t="s">
        <v>2260</v>
      </c>
      <c r="CH631" s="769" t="s">
        <v>2260</v>
      </c>
      <c r="CI631" s="769" t="s">
        <v>2260</v>
      </c>
      <c r="CJ631" s="769" t="s">
        <v>2260</v>
      </c>
      <c r="CK631" s="777">
        <v>0</v>
      </c>
      <c r="CL631" s="769">
        <v>0</v>
      </c>
      <c r="CM631" s="769">
        <v>0</v>
      </c>
      <c r="CN631" s="769">
        <v>0</v>
      </c>
      <c r="CO631" s="774">
        <v>13</v>
      </c>
      <c r="CP631" s="777" t="s">
        <v>2260</v>
      </c>
      <c r="CQ631" s="769" t="s">
        <v>2260</v>
      </c>
      <c r="CR631" s="769" t="s">
        <v>2260</v>
      </c>
      <c r="CS631" s="769" t="s">
        <v>2260</v>
      </c>
      <c r="CT631" s="774" t="s">
        <v>2260</v>
      </c>
      <c r="CU631" s="1253" t="s">
        <v>2260</v>
      </c>
      <c r="CV631" s="1252" t="s">
        <v>2260</v>
      </c>
      <c r="CW631" s="1252" t="s">
        <v>2260</v>
      </c>
      <c r="CX631" s="1254" t="s">
        <v>2260</v>
      </c>
      <c r="CY631" s="1252">
        <v>5.5E-2</v>
      </c>
      <c r="CZ631" s="1252">
        <v>0.78</v>
      </c>
      <c r="DA631" s="1252" t="s">
        <v>2260</v>
      </c>
      <c r="DB631" s="1254" t="s">
        <v>2260</v>
      </c>
      <c r="DC631" s="754"/>
      <c r="DD631" s="782">
        <v>1</v>
      </c>
      <c r="DE631" s="783"/>
    </row>
    <row r="632" spans="1:109" ht="15.75" hidden="1" customHeight="1">
      <c r="A632" s="741" t="s">
        <v>1227</v>
      </c>
      <c r="B632" s="742">
        <v>626</v>
      </c>
      <c r="C632" s="758" t="s">
        <v>1579</v>
      </c>
      <c r="D632" s="742" t="s">
        <v>4227</v>
      </c>
      <c r="E632" s="742" t="s">
        <v>2231</v>
      </c>
      <c r="F632" s="754" t="s">
        <v>4254</v>
      </c>
      <c r="G632" s="759" t="s">
        <v>4255</v>
      </c>
      <c r="H632" s="760" t="s">
        <v>4255</v>
      </c>
      <c r="I632" s="761"/>
      <c r="J632" s="762"/>
      <c r="K632" s="762">
        <v>1</v>
      </c>
      <c r="L632" s="762"/>
      <c r="M632" s="762"/>
      <c r="N632" s="762"/>
      <c r="O632" s="762"/>
      <c r="P632" s="763"/>
      <c r="Q632" s="764">
        <f t="shared" si="9"/>
        <v>1</v>
      </c>
      <c r="R632" s="758" t="s">
        <v>1846</v>
      </c>
      <c r="S632" s="742" t="s">
        <v>1826</v>
      </c>
      <c r="T632" s="765" t="s">
        <v>1827</v>
      </c>
      <c r="U632" s="742" t="s">
        <v>2387</v>
      </c>
      <c r="V632" s="825" t="s">
        <v>1860</v>
      </c>
      <c r="W632" s="742" t="s">
        <v>4256</v>
      </c>
      <c r="X632" s="798">
        <v>1</v>
      </c>
      <c r="Y632" s="795" t="s">
        <v>1828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210</v>
      </c>
      <c r="BM632" s="754" t="s">
        <v>210</v>
      </c>
      <c r="BN632" s="754" t="s">
        <v>210</v>
      </c>
      <c r="BO632" s="754" t="s">
        <v>210</v>
      </c>
      <c r="BP632" s="765" t="s">
        <v>210</v>
      </c>
      <c r="BQ632" s="777" t="s">
        <v>2260</v>
      </c>
      <c r="BR632" s="769" t="s">
        <v>2260</v>
      </c>
      <c r="BS632" s="769" t="s">
        <v>2260</v>
      </c>
      <c r="BT632" s="769" t="s">
        <v>2260</v>
      </c>
      <c r="BU632" s="774" t="s">
        <v>2260</v>
      </c>
      <c r="BV632" s="777" t="s">
        <v>2260</v>
      </c>
      <c r="BW632" s="769" t="s">
        <v>2260</v>
      </c>
      <c r="BX632" s="769" t="s">
        <v>2260</v>
      </c>
      <c r="BY632" s="769" t="s">
        <v>2260</v>
      </c>
      <c r="BZ632" s="769" t="s">
        <v>2260</v>
      </c>
      <c r="CA632" s="777" t="s">
        <v>2260</v>
      </c>
      <c r="CB632" s="769" t="s">
        <v>2260</v>
      </c>
      <c r="CC632" s="769" t="s">
        <v>2260</v>
      </c>
      <c r="CD632" s="769" t="s">
        <v>2260</v>
      </c>
      <c r="CE632" s="774" t="s">
        <v>2260</v>
      </c>
      <c r="CF632" s="769" t="s">
        <v>2260</v>
      </c>
      <c r="CG632" s="769" t="s">
        <v>2260</v>
      </c>
      <c r="CH632" s="769" t="s">
        <v>2260</v>
      </c>
      <c r="CI632" s="769" t="s">
        <v>2260</v>
      </c>
      <c r="CJ632" s="769" t="s">
        <v>2260</v>
      </c>
      <c r="CK632" s="777" t="s">
        <v>2260</v>
      </c>
      <c r="CL632" s="769" t="s">
        <v>2260</v>
      </c>
      <c r="CM632" s="769" t="s">
        <v>2260</v>
      </c>
      <c r="CN632" s="769" t="s">
        <v>2260</v>
      </c>
      <c r="CO632" s="774" t="s">
        <v>2260</v>
      </c>
      <c r="CP632" s="777" t="s">
        <v>2260</v>
      </c>
      <c r="CQ632" s="769" t="s">
        <v>2260</v>
      </c>
      <c r="CR632" s="769" t="s">
        <v>2260</v>
      </c>
      <c r="CS632" s="769" t="s">
        <v>2260</v>
      </c>
      <c r="CT632" s="774" t="s">
        <v>2260</v>
      </c>
      <c r="CU632" s="1253">
        <v>-1.7000000000000001E-2</v>
      </c>
      <c r="CV632" s="1252" t="s">
        <v>2260</v>
      </c>
      <c r="CW632" s="1252" t="s">
        <v>2260</v>
      </c>
      <c r="CX632" s="1254" t="s">
        <v>2260</v>
      </c>
      <c r="CY632" s="1252" t="s">
        <v>2260</v>
      </c>
      <c r="CZ632" s="1252" t="s">
        <v>2260</v>
      </c>
      <c r="DA632" s="1252" t="s">
        <v>2260</v>
      </c>
      <c r="DB632" s="1254" t="s">
        <v>2260</v>
      </c>
      <c r="DC632" s="754"/>
      <c r="DD632" s="782">
        <v>1</v>
      </c>
      <c r="DE632" s="783"/>
    </row>
    <row r="633" spans="1:109" ht="15.75" hidden="1" customHeight="1">
      <c r="A633" s="741" t="s">
        <v>1227</v>
      </c>
      <c r="B633" s="742">
        <v>627</v>
      </c>
      <c r="C633" s="758" t="s">
        <v>1583</v>
      </c>
      <c r="D633" s="742" t="s">
        <v>4227</v>
      </c>
      <c r="E633" s="742" t="s">
        <v>2231</v>
      </c>
      <c r="F633" s="754" t="s">
        <v>4257</v>
      </c>
      <c r="G633" s="759" t="s">
        <v>4258</v>
      </c>
      <c r="H633" s="760" t="s">
        <v>4259</v>
      </c>
      <c r="I633" s="761"/>
      <c r="J633" s="762"/>
      <c r="K633" s="762">
        <v>1</v>
      </c>
      <c r="L633" s="762"/>
      <c r="M633" s="762"/>
      <c r="N633" s="762"/>
      <c r="O633" s="762"/>
      <c r="P633" s="763"/>
      <c r="Q633" s="764">
        <f t="shared" si="9"/>
        <v>1</v>
      </c>
      <c r="R633" s="758" t="s">
        <v>1835</v>
      </c>
      <c r="S633" s="742" t="s">
        <v>1826</v>
      </c>
      <c r="T633" s="765" t="s">
        <v>1827</v>
      </c>
      <c r="U633" s="742" t="s">
        <v>2387</v>
      </c>
      <c r="V633" s="825" t="s">
        <v>1860</v>
      </c>
      <c r="W633" s="742" t="s">
        <v>4260</v>
      </c>
      <c r="X633" s="798">
        <v>1</v>
      </c>
      <c r="Y633" s="795" t="s">
        <v>1828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210</v>
      </c>
      <c r="BM633" s="754" t="s">
        <v>210</v>
      </c>
      <c r="BN633" s="754" t="s">
        <v>210</v>
      </c>
      <c r="BO633" s="754" t="s">
        <v>210</v>
      </c>
      <c r="BP633" s="765" t="s">
        <v>210</v>
      </c>
      <c r="BQ633" s="777" t="s">
        <v>2260</v>
      </c>
      <c r="BR633" s="769" t="s">
        <v>2260</v>
      </c>
      <c r="BS633" s="769" t="s">
        <v>2260</v>
      </c>
      <c r="BT633" s="769" t="s">
        <v>2260</v>
      </c>
      <c r="BU633" s="774" t="s">
        <v>2260</v>
      </c>
      <c r="BV633" s="777" t="s">
        <v>2260</v>
      </c>
      <c r="BW633" s="769" t="s">
        <v>2260</v>
      </c>
      <c r="BX633" s="769" t="s">
        <v>2260</v>
      </c>
      <c r="BY633" s="769" t="s">
        <v>2260</v>
      </c>
      <c r="BZ633" s="769" t="s">
        <v>2260</v>
      </c>
      <c r="CA633" s="777" t="s">
        <v>2260</v>
      </c>
      <c r="CB633" s="769" t="s">
        <v>2260</v>
      </c>
      <c r="CC633" s="769" t="s">
        <v>2260</v>
      </c>
      <c r="CD633" s="769" t="s">
        <v>2260</v>
      </c>
      <c r="CE633" s="774" t="s">
        <v>2260</v>
      </c>
      <c r="CF633" s="769" t="s">
        <v>2260</v>
      </c>
      <c r="CG633" s="769" t="s">
        <v>2260</v>
      </c>
      <c r="CH633" s="769" t="s">
        <v>2260</v>
      </c>
      <c r="CI633" s="769" t="s">
        <v>2260</v>
      </c>
      <c r="CJ633" s="769" t="s">
        <v>2260</v>
      </c>
      <c r="CK633" s="777" t="s">
        <v>2260</v>
      </c>
      <c r="CL633" s="769" t="s">
        <v>2260</v>
      </c>
      <c r="CM633" s="769" t="s">
        <v>2260</v>
      </c>
      <c r="CN633" s="769" t="s">
        <v>2260</v>
      </c>
      <c r="CO633" s="774" t="s">
        <v>2260</v>
      </c>
      <c r="CP633" s="777" t="s">
        <v>2260</v>
      </c>
      <c r="CQ633" s="769" t="s">
        <v>2260</v>
      </c>
      <c r="CR633" s="769" t="s">
        <v>2260</v>
      </c>
      <c r="CS633" s="769" t="s">
        <v>2260</v>
      </c>
      <c r="CT633" s="774" t="s">
        <v>2260</v>
      </c>
      <c r="CU633" s="1253" t="s">
        <v>2260</v>
      </c>
      <c r="CV633" s="1252" t="s">
        <v>2260</v>
      </c>
      <c r="CW633" s="1252" t="s">
        <v>2260</v>
      </c>
      <c r="CX633" s="1254" t="s">
        <v>2260</v>
      </c>
      <c r="CY633" s="1252">
        <v>0.01</v>
      </c>
      <c r="CZ633" s="1252" t="s">
        <v>2260</v>
      </c>
      <c r="DA633" s="1252" t="s">
        <v>2260</v>
      </c>
      <c r="DB633" s="1254" t="s">
        <v>2260</v>
      </c>
      <c r="DC633" s="754"/>
      <c r="DD633" s="782">
        <v>1</v>
      </c>
      <c r="DE633" s="783"/>
    </row>
    <row r="634" spans="1:109" ht="15.75" hidden="1" customHeight="1">
      <c r="A634" s="741" t="s">
        <v>1227</v>
      </c>
      <c r="B634" s="742">
        <v>628</v>
      </c>
      <c r="C634" s="758" t="s">
        <v>1478</v>
      </c>
      <c r="D634" s="742" t="s">
        <v>4227</v>
      </c>
      <c r="E634" s="742" t="s">
        <v>2231</v>
      </c>
      <c r="F634" s="754" t="s">
        <v>4261</v>
      </c>
      <c r="G634" s="759" t="s">
        <v>4262</v>
      </c>
      <c r="H634" s="760" t="s">
        <v>4263</v>
      </c>
      <c r="I634" s="761">
        <v>1</v>
      </c>
      <c r="J634" s="762"/>
      <c r="K634" s="762"/>
      <c r="L634" s="762"/>
      <c r="M634" s="762"/>
      <c r="N634" s="762"/>
      <c r="O634" s="762"/>
      <c r="P634" s="763"/>
      <c r="Q634" s="764">
        <f t="shared" si="9"/>
        <v>1</v>
      </c>
      <c r="R634" s="758" t="s">
        <v>1852</v>
      </c>
      <c r="S634" s="742" t="s">
        <v>1826</v>
      </c>
      <c r="T634" s="765" t="s">
        <v>1827</v>
      </c>
      <c r="U634" s="742" t="s">
        <v>2290</v>
      </c>
      <c r="V634" s="825" t="s">
        <v>4264</v>
      </c>
      <c r="W634" s="742" t="s">
        <v>4234</v>
      </c>
      <c r="X634" s="798">
        <v>0</v>
      </c>
      <c r="Y634" s="795" t="s">
        <v>1838</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210</v>
      </c>
      <c r="BM634" s="754" t="s">
        <v>210</v>
      </c>
      <c r="BN634" s="754" t="s">
        <v>210</v>
      </c>
      <c r="BO634" s="754" t="s">
        <v>210</v>
      </c>
      <c r="BP634" s="765" t="s">
        <v>210</v>
      </c>
      <c r="BQ634" s="777" t="s">
        <v>2260</v>
      </c>
      <c r="BR634" s="769" t="s">
        <v>2260</v>
      </c>
      <c r="BS634" s="769" t="s">
        <v>2260</v>
      </c>
      <c r="BT634" s="769" t="s">
        <v>2260</v>
      </c>
      <c r="BU634" s="774" t="s">
        <v>2260</v>
      </c>
      <c r="BV634" s="777" t="s">
        <v>2260</v>
      </c>
      <c r="BW634" s="769" t="s">
        <v>2260</v>
      </c>
      <c r="BX634" s="769" t="s">
        <v>2260</v>
      </c>
      <c r="BY634" s="769" t="s">
        <v>2260</v>
      </c>
      <c r="BZ634" s="769" t="s">
        <v>2260</v>
      </c>
      <c r="CA634" s="777" t="s">
        <v>2260</v>
      </c>
      <c r="CB634" s="769" t="s">
        <v>2260</v>
      </c>
      <c r="CC634" s="769" t="s">
        <v>2260</v>
      </c>
      <c r="CD634" s="769" t="s">
        <v>2260</v>
      </c>
      <c r="CE634" s="774" t="s">
        <v>2260</v>
      </c>
      <c r="CF634" s="769" t="s">
        <v>2260</v>
      </c>
      <c r="CG634" s="769" t="s">
        <v>2260</v>
      </c>
      <c r="CH634" s="769" t="s">
        <v>2260</v>
      </c>
      <c r="CI634" s="769" t="s">
        <v>2260</v>
      </c>
      <c r="CJ634" s="769" t="s">
        <v>2260</v>
      </c>
      <c r="CK634" s="777" t="s">
        <v>2260</v>
      </c>
      <c r="CL634" s="769" t="s">
        <v>2260</v>
      </c>
      <c r="CM634" s="769" t="s">
        <v>2260</v>
      </c>
      <c r="CN634" s="769" t="s">
        <v>2260</v>
      </c>
      <c r="CO634" s="774" t="s">
        <v>2260</v>
      </c>
      <c r="CP634" s="777" t="s">
        <v>2260</v>
      </c>
      <c r="CQ634" s="769" t="s">
        <v>2260</v>
      </c>
      <c r="CR634" s="769" t="s">
        <v>2260</v>
      </c>
      <c r="CS634" s="769" t="s">
        <v>2260</v>
      </c>
      <c r="CT634" s="774" t="s">
        <v>2260</v>
      </c>
      <c r="CU634" s="1253">
        <v>-2.0999999999999999E-5</v>
      </c>
      <c r="CV634" s="1252" t="s">
        <v>2260</v>
      </c>
      <c r="CW634" s="1252" t="s">
        <v>2260</v>
      </c>
      <c r="CX634" s="1254" t="s">
        <v>2260</v>
      </c>
      <c r="CY634" s="1252">
        <v>2.0999999999999999E-5</v>
      </c>
      <c r="CZ634" s="1252" t="s">
        <v>2260</v>
      </c>
      <c r="DA634" s="1252" t="s">
        <v>2260</v>
      </c>
      <c r="DB634" s="1254" t="s">
        <v>2260</v>
      </c>
      <c r="DC634" s="754"/>
      <c r="DD634" s="782">
        <v>1</v>
      </c>
      <c r="DE634" s="783"/>
    </row>
    <row r="635" spans="1:109" ht="15.75" hidden="1" customHeight="1">
      <c r="A635" s="741" t="s">
        <v>1227</v>
      </c>
      <c r="B635" s="742">
        <v>629</v>
      </c>
      <c r="C635" s="758" t="s">
        <v>1681</v>
      </c>
      <c r="D635" s="742"/>
      <c r="E635" s="742"/>
      <c r="F635" s="754" t="s">
        <v>2331</v>
      </c>
      <c r="G635" s="759" t="s">
        <v>2332</v>
      </c>
      <c r="H635" s="760"/>
      <c r="I635" s="761"/>
      <c r="J635" s="762"/>
      <c r="K635" s="762"/>
      <c r="L635" s="762"/>
      <c r="M635" s="762"/>
      <c r="N635" s="762"/>
      <c r="O635" s="762"/>
      <c r="P635" s="763"/>
      <c r="Q635" s="764">
        <f t="shared" si="9"/>
        <v>0</v>
      </c>
      <c r="R635" s="758" t="s">
        <v>1825</v>
      </c>
      <c r="S635" s="742"/>
      <c r="T635" s="765"/>
      <c r="U635" s="742"/>
      <c r="V635" s="742" t="s">
        <v>1890</v>
      </c>
      <c r="W635" s="742" t="s">
        <v>2333</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2334</v>
      </c>
      <c r="AR635" s="769" t="s">
        <v>2334</v>
      </c>
      <c r="AS635" s="769" t="s">
        <v>2334</v>
      </c>
      <c r="AT635" s="769" t="s">
        <v>2334</v>
      </c>
      <c r="AU635" s="774" t="s">
        <v>2334</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2260</v>
      </c>
      <c r="BR635" s="769" t="s">
        <v>2260</v>
      </c>
      <c r="BS635" s="769" t="s">
        <v>2260</v>
      </c>
      <c r="BT635" s="769" t="s">
        <v>2260</v>
      </c>
      <c r="BU635" s="774" t="s">
        <v>2260</v>
      </c>
      <c r="BV635" s="777" t="s">
        <v>2260</v>
      </c>
      <c r="BW635" s="769" t="s">
        <v>2260</v>
      </c>
      <c r="BX635" s="769" t="s">
        <v>2260</v>
      </c>
      <c r="BY635" s="769" t="s">
        <v>2260</v>
      </c>
      <c r="BZ635" s="769" t="s">
        <v>2260</v>
      </c>
      <c r="CA635" s="777" t="s">
        <v>2260</v>
      </c>
      <c r="CB635" s="769" t="s">
        <v>2260</v>
      </c>
      <c r="CC635" s="769" t="s">
        <v>2260</v>
      </c>
      <c r="CD635" s="769" t="s">
        <v>2260</v>
      </c>
      <c r="CE635" s="774" t="s">
        <v>2260</v>
      </c>
      <c r="CF635" s="769" t="s">
        <v>2260</v>
      </c>
      <c r="CG635" s="769" t="s">
        <v>2260</v>
      </c>
      <c r="CH635" s="769" t="s">
        <v>2260</v>
      </c>
      <c r="CI635" s="769" t="s">
        <v>2260</v>
      </c>
      <c r="CJ635" s="769" t="s">
        <v>2260</v>
      </c>
      <c r="CK635" s="777" t="s">
        <v>2260</v>
      </c>
      <c r="CL635" s="769" t="s">
        <v>2260</v>
      </c>
      <c r="CM635" s="769" t="s">
        <v>2260</v>
      </c>
      <c r="CN635" s="769" t="s">
        <v>2260</v>
      </c>
      <c r="CO635" s="774" t="s">
        <v>2260</v>
      </c>
      <c r="CP635" s="777" t="s">
        <v>2260</v>
      </c>
      <c r="CQ635" s="769" t="s">
        <v>2260</v>
      </c>
      <c r="CR635" s="769" t="s">
        <v>2260</v>
      </c>
      <c r="CS635" s="769" t="s">
        <v>2260</v>
      </c>
      <c r="CT635" s="774" t="s">
        <v>2260</v>
      </c>
      <c r="CU635" s="1253" t="s">
        <v>2260</v>
      </c>
      <c r="CV635" s="1252" t="s">
        <v>2260</v>
      </c>
      <c r="CW635" s="1252" t="s">
        <v>2260</v>
      </c>
      <c r="CX635" s="1254" t="s">
        <v>2260</v>
      </c>
      <c r="CY635" s="1252" t="s">
        <v>2260</v>
      </c>
      <c r="CZ635" s="1252" t="s">
        <v>2260</v>
      </c>
      <c r="DA635" s="1252" t="s">
        <v>2260</v>
      </c>
      <c r="DB635" s="1254" t="s">
        <v>2260</v>
      </c>
      <c r="DC635" s="754"/>
      <c r="DD635" s="782"/>
      <c r="DE635" s="783"/>
    </row>
    <row r="636" spans="1:109" ht="15.75" hidden="1" customHeight="1">
      <c r="A636" s="741" t="s">
        <v>1227</v>
      </c>
      <c r="B636" s="742">
        <v>630</v>
      </c>
      <c r="C636" s="758" t="s">
        <v>1484</v>
      </c>
      <c r="D636" s="742"/>
      <c r="E636" s="742"/>
      <c r="F636" s="754" t="s">
        <v>4265</v>
      </c>
      <c r="G636" s="759" t="s">
        <v>4266</v>
      </c>
      <c r="H636" s="760"/>
      <c r="I636" s="761"/>
      <c r="J636" s="762">
        <v>1</v>
      </c>
      <c r="K636" s="762"/>
      <c r="L636" s="762"/>
      <c r="M636" s="762"/>
      <c r="N636" s="762"/>
      <c r="O636" s="762"/>
      <c r="P636" s="763"/>
      <c r="Q636" s="764">
        <f t="shared" si="9"/>
        <v>1</v>
      </c>
      <c r="R636" s="758" t="s">
        <v>1846</v>
      </c>
      <c r="S636" s="742" t="s">
        <v>1826</v>
      </c>
      <c r="T636" s="765" t="s">
        <v>1827</v>
      </c>
      <c r="U636" s="742"/>
      <c r="V636" s="1217" t="s">
        <v>2844</v>
      </c>
      <c r="W636" s="742" t="s">
        <v>4267</v>
      </c>
      <c r="X636" s="798">
        <v>0</v>
      </c>
      <c r="Y636" s="1272" t="s">
        <v>1838</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210</v>
      </c>
      <c r="BQ636" s="777" t="s">
        <v>2260</v>
      </c>
      <c r="BR636" s="769" t="s">
        <v>2260</v>
      </c>
      <c r="BS636" s="769" t="s">
        <v>2260</v>
      </c>
      <c r="BT636" s="769" t="s">
        <v>2260</v>
      </c>
      <c r="BU636" s="774" t="s">
        <v>2260</v>
      </c>
      <c r="BV636" s="777" t="s">
        <v>2260</v>
      </c>
      <c r="BW636" s="769" t="s">
        <v>2260</v>
      </c>
      <c r="BX636" s="769" t="s">
        <v>2260</v>
      </c>
      <c r="BY636" s="769" t="s">
        <v>2260</v>
      </c>
      <c r="BZ636" s="769" t="s">
        <v>2260</v>
      </c>
      <c r="CA636" s="777" t="s">
        <v>2260</v>
      </c>
      <c r="CB636" s="769" t="s">
        <v>2260</v>
      </c>
      <c r="CC636" s="769" t="s">
        <v>2260</v>
      </c>
      <c r="CD636" s="769" t="s">
        <v>2260</v>
      </c>
      <c r="CE636" s="774" t="s">
        <v>2260</v>
      </c>
      <c r="CF636" s="769" t="s">
        <v>2260</v>
      </c>
      <c r="CG636" s="769" t="s">
        <v>2260</v>
      </c>
      <c r="CH636" s="769" t="s">
        <v>2260</v>
      </c>
      <c r="CI636" s="769" t="s">
        <v>2260</v>
      </c>
      <c r="CJ636" s="769" t="s">
        <v>2260</v>
      </c>
      <c r="CK636" s="777" t="s">
        <v>2260</v>
      </c>
      <c r="CL636" s="769" t="s">
        <v>2260</v>
      </c>
      <c r="CM636" s="769" t="s">
        <v>2260</v>
      </c>
      <c r="CN636" s="769" t="s">
        <v>2260</v>
      </c>
      <c r="CO636" s="774" t="s">
        <v>2260</v>
      </c>
      <c r="CP636" s="777" t="s">
        <v>2260</v>
      </c>
      <c r="CQ636" s="769" t="s">
        <v>2260</v>
      </c>
      <c r="CR636" s="769" t="s">
        <v>2260</v>
      </c>
      <c r="CS636" s="769" t="s">
        <v>2260</v>
      </c>
      <c r="CT636" s="774" t="s">
        <v>2260</v>
      </c>
      <c r="CU636" s="1253">
        <v>-8.8999999999999996E-2</v>
      </c>
      <c r="CV636" s="1252" t="s">
        <v>2260</v>
      </c>
      <c r="CW636" s="1252" t="s">
        <v>2260</v>
      </c>
      <c r="CX636" s="1254" t="s">
        <v>2260</v>
      </c>
      <c r="CY636" s="1252" t="s">
        <v>2260</v>
      </c>
      <c r="CZ636" s="1252" t="s">
        <v>2260</v>
      </c>
      <c r="DA636" s="1252" t="s">
        <v>2260</v>
      </c>
      <c r="DB636" s="1254" t="s">
        <v>2260</v>
      </c>
      <c r="DC636" s="754"/>
      <c r="DD636" s="782"/>
      <c r="DE636" s="783"/>
    </row>
    <row r="637" spans="1:109" ht="15.75" hidden="1" customHeight="1">
      <c r="A637" s="741" t="s">
        <v>1227</v>
      </c>
      <c r="B637" s="742">
        <v>631</v>
      </c>
      <c r="C637" s="758" t="s">
        <v>1693</v>
      </c>
      <c r="D637" s="742"/>
      <c r="E637" s="742"/>
      <c r="F637" s="754" t="s">
        <v>3812</v>
      </c>
      <c r="G637" s="759" t="s">
        <v>2840</v>
      </c>
      <c r="H637" s="760"/>
      <c r="I637" s="761"/>
      <c r="J637" s="762"/>
      <c r="K637" s="762"/>
      <c r="L637" s="762"/>
      <c r="M637" s="762"/>
      <c r="N637" s="762"/>
      <c r="O637" s="762"/>
      <c r="P637" s="763"/>
      <c r="Q637" s="764">
        <f t="shared" si="9"/>
        <v>0</v>
      </c>
      <c r="R637" s="758" t="s">
        <v>1825</v>
      </c>
      <c r="S637" s="742"/>
      <c r="T637" s="765"/>
      <c r="U637" s="742"/>
      <c r="V637" s="742" t="s">
        <v>321</v>
      </c>
      <c r="W637" s="742" t="s">
        <v>2841</v>
      </c>
      <c r="X637" s="1245">
        <v>0</v>
      </c>
      <c r="Y637" s="788" t="s">
        <v>1828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2260</v>
      </c>
      <c r="BR637" s="769" t="s">
        <v>2260</v>
      </c>
      <c r="BS637" s="769" t="s">
        <v>2260</v>
      </c>
      <c r="BT637" s="769" t="s">
        <v>2260</v>
      </c>
      <c r="BU637" s="774" t="s">
        <v>2260</v>
      </c>
      <c r="BV637" s="777" t="s">
        <v>2260</v>
      </c>
      <c r="BW637" s="769" t="s">
        <v>2260</v>
      </c>
      <c r="BX637" s="769" t="s">
        <v>2260</v>
      </c>
      <c r="BY637" s="769" t="s">
        <v>2260</v>
      </c>
      <c r="BZ637" s="769" t="s">
        <v>2260</v>
      </c>
      <c r="CA637" s="777" t="s">
        <v>2260</v>
      </c>
      <c r="CB637" s="769" t="s">
        <v>2260</v>
      </c>
      <c r="CC637" s="769" t="s">
        <v>2260</v>
      </c>
      <c r="CD637" s="769" t="s">
        <v>2260</v>
      </c>
      <c r="CE637" s="774" t="s">
        <v>2260</v>
      </c>
      <c r="CF637" s="769" t="s">
        <v>2260</v>
      </c>
      <c r="CG637" s="769" t="s">
        <v>2260</v>
      </c>
      <c r="CH637" s="769" t="s">
        <v>2260</v>
      </c>
      <c r="CI637" s="769" t="s">
        <v>2260</v>
      </c>
      <c r="CJ637" s="769" t="s">
        <v>2260</v>
      </c>
      <c r="CK637" s="777" t="s">
        <v>2260</v>
      </c>
      <c r="CL637" s="769" t="s">
        <v>2260</v>
      </c>
      <c r="CM637" s="769" t="s">
        <v>2260</v>
      </c>
      <c r="CN637" s="769" t="s">
        <v>2260</v>
      </c>
      <c r="CO637" s="774" t="s">
        <v>2260</v>
      </c>
      <c r="CP637" s="777" t="s">
        <v>2260</v>
      </c>
      <c r="CQ637" s="769" t="s">
        <v>2260</v>
      </c>
      <c r="CR637" s="769" t="s">
        <v>2260</v>
      </c>
      <c r="CS637" s="769" t="s">
        <v>2260</v>
      </c>
      <c r="CT637" s="774" t="s">
        <v>2260</v>
      </c>
      <c r="CU637" s="1253" t="s">
        <v>2260</v>
      </c>
      <c r="CV637" s="1252" t="s">
        <v>2260</v>
      </c>
      <c r="CW637" s="1252" t="s">
        <v>2260</v>
      </c>
      <c r="CX637" s="1254" t="s">
        <v>2260</v>
      </c>
      <c r="CY637" s="1252" t="s">
        <v>2260</v>
      </c>
      <c r="CZ637" s="1252" t="s">
        <v>2260</v>
      </c>
      <c r="DA637" s="1252" t="s">
        <v>2260</v>
      </c>
      <c r="DB637" s="1254" t="s">
        <v>2260</v>
      </c>
      <c r="DC637" s="754"/>
      <c r="DD637" s="782"/>
      <c r="DE637" s="783"/>
    </row>
    <row r="638" spans="1:109" ht="15.75" hidden="1" customHeight="1">
      <c r="A638" s="741" t="s">
        <v>1227</v>
      </c>
      <c r="B638" s="742">
        <v>632</v>
      </c>
      <c r="C638" s="758" t="s">
        <v>1585</v>
      </c>
      <c r="D638" s="742"/>
      <c r="E638" s="742"/>
      <c r="F638" s="754" t="s">
        <v>4268</v>
      </c>
      <c r="G638" s="759" t="s">
        <v>4269</v>
      </c>
      <c r="H638" s="760"/>
      <c r="I638" s="761"/>
      <c r="J638" s="762"/>
      <c r="K638" s="762">
        <v>1</v>
      </c>
      <c r="L638" s="762"/>
      <c r="M638" s="762"/>
      <c r="N638" s="762"/>
      <c r="O638" s="762"/>
      <c r="P638" s="763"/>
      <c r="Q638" s="764">
        <f t="shared" si="9"/>
        <v>1</v>
      </c>
      <c r="R638" s="758" t="s">
        <v>1846</v>
      </c>
      <c r="S638" s="742" t="s">
        <v>1826</v>
      </c>
      <c r="T638" s="765" t="s">
        <v>1837</v>
      </c>
      <c r="U638" s="742"/>
      <c r="V638" s="742" t="s">
        <v>2844</v>
      </c>
      <c r="W638" s="742"/>
      <c r="X638" s="798">
        <v>0</v>
      </c>
      <c r="Y638" s="788" t="s">
        <v>1838</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210</v>
      </c>
      <c r="BQ638" s="777" t="s">
        <v>2260</v>
      </c>
      <c r="BR638" s="769" t="s">
        <v>2260</v>
      </c>
      <c r="BS638" s="769" t="s">
        <v>2260</v>
      </c>
      <c r="BT638" s="769" t="s">
        <v>2260</v>
      </c>
      <c r="BU638" s="774" t="s">
        <v>2260</v>
      </c>
      <c r="BV638" s="777" t="s">
        <v>2260</v>
      </c>
      <c r="BW638" s="769" t="s">
        <v>2260</v>
      </c>
      <c r="BX638" s="769" t="s">
        <v>2260</v>
      </c>
      <c r="BY638" s="769" t="s">
        <v>2260</v>
      </c>
      <c r="BZ638" s="769" t="s">
        <v>2260</v>
      </c>
      <c r="CA638" s="777" t="s">
        <v>2260</v>
      </c>
      <c r="CB638" s="769" t="s">
        <v>2260</v>
      </c>
      <c r="CC638" s="769" t="s">
        <v>2260</v>
      </c>
      <c r="CD638" s="769" t="s">
        <v>2260</v>
      </c>
      <c r="CE638" s="774" t="s">
        <v>2260</v>
      </c>
      <c r="CF638" s="769" t="s">
        <v>2260</v>
      </c>
      <c r="CG638" s="769" t="s">
        <v>2260</v>
      </c>
      <c r="CH638" s="769" t="s">
        <v>2260</v>
      </c>
      <c r="CI638" s="769" t="s">
        <v>2260</v>
      </c>
      <c r="CJ638" s="769" t="s">
        <v>2260</v>
      </c>
      <c r="CK638" s="777" t="s">
        <v>2260</v>
      </c>
      <c r="CL638" s="769" t="s">
        <v>2260</v>
      </c>
      <c r="CM638" s="769" t="s">
        <v>2260</v>
      </c>
      <c r="CN638" s="769" t="s">
        <v>2260</v>
      </c>
      <c r="CO638" s="774" t="s">
        <v>2260</v>
      </c>
      <c r="CP638" s="777" t="s">
        <v>2260</v>
      </c>
      <c r="CQ638" s="769" t="s">
        <v>2260</v>
      </c>
      <c r="CR638" s="769" t="s">
        <v>2260</v>
      </c>
      <c r="CS638" s="769" t="s">
        <v>2260</v>
      </c>
      <c r="CT638" s="774" t="s">
        <v>2260</v>
      </c>
      <c r="CU638" s="1260">
        <v>-4.2500000000000003E-2</v>
      </c>
      <c r="CV638" s="1252" t="s">
        <v>2260</v>
      </c>
      <c r="CW638" s="1252" t="s">
        <v>2260</v>
      </c>
      <c r="CX638" s="1254" t="s">
        <v>2260</v>
      </c>
      <c r="CY638" s="1252" t="s">
        <v>2260</v>
      </c>
      <c r="CZ638" s="1252" t="s">
        <v>2260</v>
      </c>
      <c r="DA638" s="1252" t="s">
        <v>2260</v>
      </c>
      <c r="DB638" s="1254" t="s">
        <v>2260</v>
      </c>
      <c r="DC638" s="754"/>
      <c r="DD638" s="782"/>
      <c r="DE638" s="783"/>
    </row>
    <row r="639" spans="1:109" ht="15.75" hidden="1" customHeight="1">
      <c r="A639" s="741" t="s">
        <v>1241</v>
      </c>
      <c r="B639" s="742">
        <v>633</v>
      </c>
      <c r="C639" s="758" t="s">
        <v>1320</v>
      </c>
      <c r="D639" s="742" t="s">
        <v>4270</v>
      </c>
      <c r="E639" s="742" t="s">
        <v>2223</v>
      </c>
      <c r="F639" s="754">
        <v>1</v>
      </c>
      <c r="G639" s="759" t="s">
        <v>4271</v>
      </c>
      <c r="H639" s="760" t="s">
        <v>4272</v>
      </c>
      <c r="I639" s="761">
        <v>0.57999999999999996</v>
      </c>
      <c r="J639" s="762">
        <v>0</v>
      </c>
      <c r="K639" s="762">
        <v>0.42</v>
      </c>
      <c r="L639" s="762">
        <v>0</v>
      </c>
      <c r="M639" s="762">
        <v>0</v>
      </c>
      <c r="N639" s="762">
        <v>0</v>
      </c>
      <c r="O639" s="762">
        <v>0</v>
      </c>
      <c r="P639" s="763">
        <v>0</v>
      </c>
      <c r="Q639" s="764">
        <f t="shared" si="9"/>
        <v>1</v>
      </c>
      <c r="R639" s="758" t="s">
        <v>1835</v>
      </c>
      <c r="S639" s="742" t="s">
        <v>1826</v>
      </c>
      <c r="T639" s="765" t="s">
        <v>1837</v>
      </c>
      <c r="U639" s="742" t="s">
        <v>2537</v>
      </c>
      <c r="V639" s="742" t="s">
        <v>1857</v>
      </c>
      <c r="W639" s="742" t="s">
        <v>4273</v>
      </c>
      <c r="X639" s="798">
        <v>0</v>
      </c>
      <c r="Y639" s="795" t="s">
        <v>1828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28"/>
      <c r="BM639" s="1829"/>
      <c r="BN639" s="1829"/>
      <c r="BO639" s="1829"/>
      <c r="BP639" s="754" t="s">
        <v>210</v>
      </c>
      <c r="BQ639" s="777" t="s">
        <v>2260</v>
      </c>
      <c r="BR639" s="769" t="s">
        <v>2260</v>
      </c>
      <c r="BS639" s="769" t="s">
        <v>2260</v>
      </c>
      <c r="BT639" s="769" t="s">
        <v>2260</v>
      </c>
      <c r="BU639" s="774" t="s">
        <v>2260</v>
      </c>
      <c r="BV639" s="777" t="s">
        <v>2260</v>
      </c>
      <c r="BW639" s="769" t="s">
        <v>2260</v>
      </c>
      <c r="BX639" s="769" t="s">
        <v>2260</v>
      </c>
      <c r="BY639" s="769" t="s">
        <v>2260</v>
      </c>
      <c r="BZ639" s="769" t="s">
        <v>2260</v>
      </c>
      <c r="CA639" s="777" t="s">
        <v>2260</v>
      </c>
      <c r="CB639" s="769" t="s">
        <v>2260</v>
      </c>
      <c r="CC639" s="769" t="s">
        <v>2260</v>
      </c>
      <c r="CD639" s="769" t="s">
        <v>2260</v>
      </c>
      <c r="CE639" s="774" t="s">
        <v>2260</v>
      </c>
      <c r="CF639" s="769" t="s">
        <v>2260</v>
      </c>
      <c r="CG639" s="769" t="s">
        <v>2260</v>
      </c>
      <c r="CH639" s="769" t="s">
        <v>2260</v>
      </c>
      <c r="CI639" s="769" t="s">
        <v>2260</v>
      </c>
      <c r="CJ639" s="769" t="s">
        <v>2260</v>
      </c>
      <c r="CK639" s="777" t="s">
        <v>2260</v>
      </c>
      <c r="CL639" s="769" t="s">
        <v>2260</v>
      </c>
      <c r="CM639" s="769" t="s">
        <v>2260</v>
      </c>
      <c r="CN639" s="769" t="s">
        <v>2260</v>
      </c>
      <c r="CO639" s="774" t="s">
        <v>2260</v>
      </c>
      <c r="CP639" s="777" t="s">
        <v>2260</v>
      </c>
      <c r="CQ639" s="769" t="s">
        <v>2260</v>
      </c>
      <c r="CR639" s="769" t="s">
        <v>2260</v>
      </c>
      <c r="CS639" s="769" t="s">
        <v>2260</v>
      </c>
      <c r="CT639" s="774" t="s">
        <v>2260</v>
      </c>
      <c r="CU639" s="1253" t="s">
        <v>2260</v>
      </c>
      <c r="CV639" s="1252" t="s">
        <v>2260</v>
      </c>
      <c r="CW639" s="1252" t="s">
        <v>2260</v>
      </c>
      <c r="CX639" s="1254" t="s">
        <v>2260</v>
      </c>
      <c r="CY639" s="1252" t="s">
        <v>2260</v>
      </c>
      <c r="CZ639" s="1252" t="s">
        <v>2260</v>
      </c>
      <c r="DA639" s="1252" t="s">
        <v>2260</v>
      </c>
      <c r="DB639" s="1254" t="s">
        <v>2260</v>
      </c>
      <c r="DC639" s="754" t="s">
        <v>173</v>
      </c>
      <c r="DD639" s="782">
        <v>1</v>
      </c>
      <c r="DE639" s="783"/>
    </row>
    <row r="640" spans="1:109" ht="15.75" hidden="1" customHeight="1">
      <c r="A640" s="741" t="s">
        <v>1241</v>
      </c>
      <c r="B640" s="742">
        <v>634</v>
      </c>
      <c r="C640" s="758" t="s">
        <v>1337</v>
      </c>
      <c r="D640" s="742" t="s">
        <v>4274</v>
      </c>
      <c r="E640" s="742" t="s">
        <v>2217</v>
      </c>
      <c r="F640" s="754">
        <v>2</v>
      </c>
      <c r="G640" s="759" t="s">
        <v>4275</v>
      </c>
      <c r="H640" s="760" t="s">
        <v>4276</v>
      </c>
      <c r="I640" s="761">
        <v>0.7</v>
      </c>
      <c r="J640" s="762">
        <v>0</v>
      </c>
      <c r="K640" s="762">
        <v>0.3</v>
      </c>
      <c r="L640" s="762">
        <v>0</v>
      </c>
      <c r="M640" s="762">
        <v>0</v>
      </c>
      <c r="N640" s="762">
        <v>0</v>
      </c>
      <c r="O640" s="762">
        <v>0</v>
      </c>
      <c r="P640" s="763">
        <v>0</v>
      </c>
      <c r="Q640" s="764">
        <f t="shared" si="9"/>
        <v>1</v>
      </c>
      <c r="R640" s="758" t="s">
        <v>1852</v>
      </c>
      <c r="S640" s="742" t="s">
        <v>1826</v>
      </c>
      <c r="T640" s="765" t="s">
        <v>1837</v>
      </c>
      <c r="U640" s="742" t="s">
        <v>2387</v>
      </c>
      <c r="V640" s="742" t="s">
        <v>1857</v>
      </c>
      <c r="W640" s="742" t="s">
        <v>4277</v>
      </c>
      <c r="X640" s="798">
        <v>0</v>
      </c>
      <c r="Y640" s="795" t="s">
        <v>1828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173</v>
      </c>
      <c r="BM640" s="754" t="s">
        <v>173</v>
      </c>
      <c r="BN640" s="754" t="s">
        <v>173</v>
      </c>
      <c r="BO640" s="754" t="s">
        <v>173</v>
      </c>
      <c r="BP640" s="765" t="s">
        <v>210</v>
      </c>
      <c r="BQ640" s="777" t="s">
        <v>2260</v>
      </c>
      <c r="BR640" s="769" t="s">
        <v>2260</v>
      </c>
      <c r="BS640" s="769" t="s">
        <v>2260</v>
      </c>
      <c r="BT640" s="769" t="s">
        <v>2260</v>
      </c>
      <c r="BU640" s="774" t="s">
        <v>2260</v>
      </c>
      <c r="BV640" s="777" t="s">
        <v>2260</v>
      </c>
      <c r="BW640" s="769" t="s">
        <v>2260</v>
      </c>
      <c r="BX640" s="769" t="s">
        <v>2260</v>
      </c>
      <c r="BY640" s="769" t="s">
        <v>2260</v>
      </c>
      <c r="BZ640" s="769" t="s">
        <v>2260</v>
      </c>
      <c r="CA640" s="777" t="s">
        <v>2260</v>
      </c>
      <c r="CB640" s="769" t="s">
        <v>2260</v>
      </c>
      <c r="CC640" s="769" t="s">
        <v>2260</v>
      </c>
      <c r="CD640" s="769" t="s">
        <v>2260</v>
      </c>
      <c r="CE640" s="774" t="s">
        <v>2260</v>
      </c>
      <c r="CF640" s="769" t="s">
        <v>2260</v>
      </c>
      <c r="CG640" s="769" t="s">
        <v>2260</v>
      </c>
      <c r="CH640" s="769" t="s">
        <v>2260</v>
      </c>
      <c r="CI640" s="769" t="s">
        <v>2260</v>
      </c>
      <c r="CJ640" s="769" t="s">
        <v>2260</v>
      </c>
      <c r="CK640" s="777" t="s">
        <v>2260</v>
      </c>
      <c r="CL640" s="769" t="s">
        <v>2260</v>
      </c>
      <c r="CM640" s="769" t="s">
        <v>2260</v>
      </c>
      <c r="CN640" s="769" t="s">
        <v>2260</v>
      </c>
      <c r="CO640" s="774" t="s">
        <v>2260</v>
      </c>
      <c r="CP640" s="777" t="s">
        <v>2260</v>
      </c>
      <c r="CQ640" s="769" t="s">
        <v>2260</v>
      </c>
      <c r="CR640" s="769" t="s">
        <v>2260</v>
      </c>
      <c r="CS640" s="769" t="s">
        <v>2260</v>
      </c>
      <c r="CT640" s="774" t="s">
        <v>2260</v>
      </c>
      <c r="CU640" s="1253">
        <v>-1.132E-3</v>
      </c>
      <c r="CV640" s="1252" t="s">
        <v>2260</v>
      </c>
      <c r="CW640" s="1252" t="s">
        <v>2260</v>
      </c>
      <c r="CX640" s="1254" t="s">
        <v>2260</v>
      </c>
      <c r="CY640" s="1252">
        <v>1.132E-3</v>
      </c>
      <c r="CZ640" s="1252" t="s">
        <v>2260</v>
      </c>
      <c r="DA640" s="1252" t="s">
        <v>2260</v>
      </c>
      <c r="DB640" s="1254" t="s">
        <v>2260</v>
      </c>
      <c r="DC640" s="754"/>
      <c r="DD640" s="782">
        <v>1</v>
      </c>
      <c r="DE640" s="783"/>
    </row>
    <row r="641" spans="1:109" ht="15.75" hidden="1" customHeight="1">
      <c r="A641" s="741" t="s">
        <v>1241</v>
      </c>
      <c r="B641" s="742">
        <v>635</v>
      </c>
      <c r="C641" s="758" t="s">
        <v>1603</v>
      </c>
      <c r="D641" s="742" t="s">
        <v>4274</v>
      </c>
      <c r="E641" s="742" t="s">
        <v>2231</v>
      </c>
      <c r="F641" s="754">
        <v>3</v>
      </c>
      <c r="G641" s="759" t="s">
        <v>4278</v>
      </c>
      <c r="H641" s="760" t="s">
        <v>4279</v>
      </c>
      <c r="I641" s="761">
        <v>0.69</v>
      </c>
      <c r="J641" s="762">
        <v>0</v>
      </c>
      <c r="K641" s="762">
        <v>0.31</v>
      </c>
      <c r="L641" s="762">
        <v>0</v>
      </c>
      <c r="M641" s="762">
        <v>0</v>
      </c>
      <c r="N641" s="762">
        <v>0</v>
      </c>
      <c r="O641" s="762">
        <v>0</v>
      </c>
      <c r="P641" s="763">
        <v>0</v>
      </c>
      <c r="Q641" s="764">
        <f t="shared" si="9"/>
        <v>1</v>
      </c>
      <c r="R641" s="758" t="s">
        <v>1825</v>
      </c>
      <c r="S641" s="742"/>
      <c r="T641" s="765"/>
      <c r="U641" s="742" t="s">
        <v>2280</v>
      </c>
      <c r="V641" s="742" t="s">
        <v>321</v>
      </c>
      <c r="W641" s="742" t="s">
        <v>4280</v>
      </c>
      <c r="X641" s="1278">
        <v>1</v>
      </c>
      <c r="Y641" s="795" t="s">
        <v>1828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2260</v>
      </c>
      <c r="BR641" s="769" t="s">
        <v>2260</v>
      </c>
      <c r="BS641" s="769" t="s">
        <v>2260</v>
      </c>
      <c r="BT641" s="769" t="s">
        <v>2260</v>
      </c>
      <c r="BU641" s="774" t="s">
        <v>2260</v>
      </c>
      <c r="BV641" s="777" t="s">
        <v>2260</v>
      </c>
      <c r="BW641" s="769" t="s">
        <v>2260</v>
      </c>
      <c r="BX641" s="769" t="s">
        <v>2260</v>
      </c>
      <c r="BY641" s="769" t="s">
        <v>2260</v>
      </c>
      <c r="BZ641" s="769" t="s">
        <v>2260</v>
      </c>
      <c r="CA641" s="777" t="s">
        <v>2260</v>
      </c>
      <c r="CB641" s="769" t="s">
        <v>2260</v>
      </c>
      <c r="CC641" s="769" t="s">
        <v>2260</v>
      </c>
      <c r="CD641" s="769" t="s">
        <v>2260</v>
      </c>
      <c r="CE641" s="774" t="s">
        <v>2260</v>
      </c>
      <c r="CF641" s="769" t="s">
        <v>2260</v>
      </c>
      <c r="CG641" s="769" t="s">
        <v>2260</v>
      </c>
      <c r="CH641" s="769" t="s">
        <v>2260</v>
      </c>
      <c r="CI641" s="769" t="s">
        <v>2260</v>
      </c>
      <c r="CJ641" s="769" t="s">
        <v>2260</v>
      </c>
      <c r="CK641" s="777" t="s">
        <v>2260</v>
      </c>
      <c r="CL641" s="769" t="s">
        <v>2260</v>
      </c>
      <c r="CM641" s="769" t="s">
        <v>2260</v>
      </c>
      <c r="CN641" s="769" t="s">
        <v>2260</v>
      </c>
      <c r="CO641" s="774" t="s">
        <v>2260</v>
      </c>
      <c r="CP641" s="777" t="s">
        <v>2260</v>
      </c>
      <c r="CQ641" s="769" t="s">
        <v>2260</v>
      </c>
      <c r="CR641" s="769" t="s">
        <v>2260</v>
      </c>
      <c r="CS641" s="769" t="s">
        <v>2260</v>
      </c>
      <c r="CT641" s="774" t="s">
        <v>2260</v>
      </c>
      <c r="CU641" s="1253" t="s">
        <v>2260</v>
      </c>
      <c r="CV641" s="1252" t="s">
        <v>2260</v>
      </c>
      <c r="CW641" s="1252" t="s">
        <v>2260</v>
      </c>
      <c r="CX641" s="1254" t="s">
        <v>2260</v>
      </c>
      <c r="CY641" s="1252" t="s">
        <v>2260</v>
      </c>
      <c r="CZ641" s="1252" t="s">
        <v>2260</v>
      </c>
      <c r="DA641" s="1252" t="s">
        <v>2260</v>
      </c>
      <c r="DB641" s="1254" t="s">
        <v>2260</v>
      </c>
      <c r="DC641" s="754"/>
      <c r="DD641" s="782">
        <v>1</v>
      </c>
      <c r="DE641" s="783"/>
    </row>
    <row r="642" spans="1:109" ht="15.75" hidden="1" customHeight="1">
      <c r="A642" s="741" t="s">
        <v>1241</v>
      </c>
      <c r="B642" s="742">
        <v>636</v>
      </c>
      <c r="C642" s="758" t="s">
        <v>1505</v>
      </c>
      <c r="D642" s="742" t="s">
        <v>4274</v>
      </c>
      <c r="E642" s="742" t="s">
        <v>2217</v>
      </c>
      <c r="F642" s="754">
        <v>4</v>
      </c>
      <c r="G642" s="759" t="s">
        <v>4281</v>
      </c>
      <c r="H642" s="760" t="s">
        <v>4282</v>
      </c>
      <c r="I642" s="761">
        <v>0.04</v>
      </c>
      <c r="J642" s="762">
        <v>0</v>
      </c>
      <c r="K642" s="762">
        <v>0.96</v>
      </c>
      <c r="L642" s="762">
        <v>0</v>
      </c>
      <c r="M642" s="762">
        <v>0</v>
      </c>
      <c r="N642" s="762">
        <v>0</v>
      </c>
      <c r="O642" s="762">
        <v>0</v>
      </c>
      <c r="P642" s="763">
        <v>0</v>
      </c>
      <c r="Q642" s="764">
        <f t="shared" si="9"/>
        <v>1</v>
      </c>
      <c r="R642" s="758" t="s">
        <v>1852</v>
      </c>
      <c r="S642" s="742" t="s">
        <v>1826</v>
      </c>
      <c r="T642" s="765" t="s">
        <v>1837</v>
      </c>
      <c r="U642" s="742" t="s">
        <v>2387</v>
      </c>
      <c r="V642" s="742" t="s">
        <v>1860</v>
      </c>
      <c r="W642" s="742" t="s">
        <v>4283</v>
      </c>
      <c r="X642" s="1243">
        <v>2</v>
      </c>
      <c r="Y642" s="795" t="s">
        <v>1828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173</v>
      </c>
      <c r="BM642" s="754" t="s">
        <v>173</v>
      </c>
      <c r="BN642" s="754" t="s">
        <v>173</v>
      </c>
      <c r="BO642" s="754" t="s">
        <v>173</v>
      </c>
      <c r="BP642" s="765" t="s">
        <v>210</v>
      </c>
      <c r="BQ642" s="777" t="s">
        <v>2260</v>
      </c>
      <c r="BR642" s="769" t="s">
        <v>2260</v>
      </c>
      <c r="BS642" s="769" t="s">
        <v>2260</v>
      </c>
      <c r="BT642" s="769" t="s">
        <v>2260</v>
      </c>
      <c r="BU642" s="774" t="s">
        <v>2260</v>
      </c>
      <c r="BV642" s="777" t="s">
        <v>2260</v>
      </c>
      <c r="BW642" s="769" t="s">
        <v>2260</v>
      </c>
      <c r="BX642" s="769" t="s">
        <v>2260</v>
      </c>
      <c r="BY642" s="769" t="s">
        <v>2260</v>
      </c>
      <c r="BZ642" s="769" t="s">
        <v>2260</v>
      </c>
      <c r="CA642" s="777" t="s">
        <v>2260</v>
      </c>
      <c r="CB642" s="769" t="s">
        <v>2260</v>
      </c>
      <c r="CC642" s="769" t="s">
        <v>2260</v>
      </c>
      <c r="CD642" s="769" t="s">
        <v>2260</v>
      </c>
      <c r="CE642" s="774" t="s">
        <v>2260</v>
      </c>
      <c r="CF642" s="769" t="s">
        <v>2260</v>
      </c>
      <c r="CG642" s="769" t="s">
        <v>2260</v>
      </c>
      <c r="CH642" s="769" t="s">
        <v>2260</v>
      </c>
      <c r="CI642" s="769" t="s">
        <v>2260</v>
      </c>
      <c r="CJ642" s="769" t="s">
        <v>2260</v>
      </c>
      <c r="CK642" s="812">
        <v>0</v>
      </c>
      <c r="CL642" s="769">
        <v>0</v>
      </c>
      <c r="CM642" s="769">
        <v>0</v>
      </c>
      <c r="CN642" s="769">
        <v>0</v>
      </c>
      <c r="CO642" s="774">
        <v>1131.3399999999999</v>
      </c>
      <c r="CP642" s="777" t="s">
        <v>2260</v>
      </c>
      <c r="CQ642" s="769" t="s">
        <v>2260</v>
      </c>
      <c r="CR642" s="769" t="s">
        <v>2260</v>
      </c>
      <c r="CS642" s="769" t="s">
        <v>2260</v>
      </c>
      <c r="CT642" s="774" t="s">
        <v>2260</v>
      </c>
      <c r="CU642" s="1253">
        <v>-5.5800000000000002E-2</v>
      </c>
      <c r="CV642" s="1252" t="s">
        <v>2260</v>
      </c>
      <c r="CW642" s="1252" t="s">
        <v>2260</v>
      </c>
      <c r="CX642" s="1254" t="s">
        <v>2260</v>
      </c>
      <c r="CY642" s="1252">
        <v>5.5800000000000002E-2</v>
      </c>
      <c r="CZ642" s="1252" t="s">
        <v>2260</v>
      </c>
      <c r="DA642" s="1252" t="s">
        <v>2260</v>
      </c>
      <c r="DB642" s="1254" t="s">
        <v>2260</v>
      </c>
      <c r="DC642" s="754"/>
      <c r="DD642" s="782">
        <v>1</v>
      </c>
      <c r="DE642" s="783"/>
    </row>
    <row r="643" spans="1:109" ht="15.75" hidden="1" customHeight="1">
      <c r="A643" s="741" t="s">
        <v>1241</v>
      </c>
      <c r="B643" s="742">
        <v>637</v>
      </c>
      <c r="C643" s="758" t="s">
        <v>1620</v>
      </c>
      <c r="D643" s="742" t="s">
        <v>4274</v>
      </c>
      <c r="E643" s="742" t="s">
        <v>2231</v>
      </c>
      <c r="F643" s="754">
        <v>5</v>
      </c>
      <c r="G643" s="759" t="s">
        <v>4284</v>
      </c>
      <c r="H643" s="760" t="s">
        <v>4285</v>
      </c>
      <c r="I643" s="761">
        <v>0.7</v>
      </c>
      <c r="J643" s="762">
        <v>0</v>
      </c>
      <c r="K643" s="762">
        <v>0</v>
      </c>
      <c r="L643" s="762">
        <v>0.3</v>
      </c>
      <c r="M643" s="762">
        <v>0</v>
      </c>
      <c r="N643" s="762">
        <v>0</v>
      </c>
      <c r="O643" s="762">
        <v>0</v>
      </c>
      <c r="P643" s="763">
        <v>0</v>
      </c>
      <c r="Q643" s="764">
        <f t="shared" si="9"/>
        <v>1</v>
      </c>
      <c r="R643" s="758" t="s">
        <v>1825</v>
      </c>
      <c r="S643" s="742"/>
      <c r="T643" s="765"/>
      <c r="U643" s="742" t="s">
        <v>2387</v>
      </c>
      <c r="V643" s="742" t="s">
        <v>1857</v>
      </c>
      <c r="W643" s="742" t="s">
        <v>4286</v>
      </c>
      <c r="X643" s="1278">
        <v>0</v>
      </c>
      <c r="Y643" s="795" t="s">
        <v>1828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2260</v>
      </c>
      <c r="BR643" s="769" t="s">
        <v>2260</v>
      </c>
      <c r="BS643" s="769" t="s">
        <v>2260</v>
      </c>
      <c r="BT643" s="769" t="s">
        <v>2260</v>
      </c>
      <c r="BU643" s="774" t="s">
        <v>2260</v>
      </c>
      <c r="BV643" s="777" t="s">
        <v>2260</v>
      </c>
      <c r="BW643" s="769" t="s">
        <v>2260</v>
      </c>
      <c r="BX643" s="769" t="s">
        <v>2260</v>
      </c>
      <c r="BY643" s="769" t="s">
        <v>2260</v>
      </c>
      <c r="BZ643" s="769" t="s">
        <v>2260</v>
      </c>
      <c r="CA643" s="777" t="s">
        <v>2260</v>
      </c>
      <c r="CB643" s="769" t="s">
        <v>2260</v>
      </c>
      <c r="CC643" s="769" t="s">
        <v>2260</v>
      </c>
      <c r="CD643" s="769" t="s">
        <v>2260</v>
      </c>
      <c r="CE643" s="774" t="s">
        <v>2260</v>
      </c>
      <c r="CF643" s="769" t="s">
        <v>2260</v>
      </c>
      <c r="CG643" s="769" t="s">
        <v>2260</v>
      </c>
      <c r="CH643" s="769" t="s">
        <v>2260</v>
      </c>
      <c r="CI643" s="769" t="s">
        <v>2260</v>
      </c>
      <c r="CJ643" s="769" t="s">
        <v>2260</v>
      </c>
      <c r="CK643" s="777" t="s">
        <v>2260</v>
      </c>
      <c r="CL643" s="769" t="s">
        <v>2260</v>
      </c>
      <c r="CM643" s="769" t="s">
        <v>2260</v>
      </c>
      <c r="CN643" s="769" t="s">
        <v>2260</v>
      </c>
      <c r="CO643" s="774" t="s">
        <v>2260</v>
      </c>
      <c r="CP643" s="777" t="s">
        <v>2260</v>
      </c>
      <c r="CQ643" s="769" t="s">
        <v>2260</v>
      </c>
      <c r="CR643" s="769" t="s">
        <v>2260</v>
      </c>
      <c r="CS643" s="769" t="s">
        <v>2260</v>
      </c>
      <c r="CT643" s="774" t="s">
        <v>2260</v>
      </c>
      <c r="CU643" s="1253" t="s">
        <v>2260</v>
      </c>
      <c r="CV643" s="1252" t="s">
        <v>2260</v>
      </c>
      <c r="CW643" s="1252" t="s">
        <v>2260</v>
      </c>
      <c r="CX643" s="1254" t="s">
        <v>2260</v>
      </c>
      <c r="CY643" s="1252" t="s">
        <v>2260</v>
      </c>
      <c r="CZ643" s="1252" t="s">
        <v>2260</v>
      </c>
      <c r="DA643" s="1252" t="s">
        <v>2260</v>
      </c>
      <c r="DB643" s="1254" t="s">
        <v>2260</v>
      </c>
      <c r="DC643" s="754"/>
      <c r="DD643" s="782">
        <v>1</v>
      </c>
      <c r="DE643" s="783"/>
    </row>
    <row r="644" spans="1:109" ht="15.75" hidden="1" customHeight="1">
      <c r="A644" s="741" t="s">
        <v>1241</v>
      </c>
      <c r="B644" s="742">
        <v>638</v>
      </c>
      <c r="C644" s="758" t="s">
        <v>1516</v>
      </c>
      <c r="D644" s="742" t="s">
        <v>4274</v>
      </c>
      <c r="E644" s="742" t="s">
        <v>2231</v>
      </c>
      <c r="F644" s="754" t="s">
        <v>4287</v>
      </c>
      <c r="G644" s="759" t="s">
        <v>4288</v>
      </c>
      <c r="H644" s="760" t="s">
        <v>4289</v>
      </c>
      <c r="I644" s="761">
        <v>0.09</v>
      </c>
      <c r="J644" s="762">
        <v>0.12</v>
      </c>
      <c r="K644" s="762">
        <v>0.24</v>
      </c>
      <c r="L644" s="762">
        <v>0.55000000000000004</v>
      </c>
      <c r="M644" s="762">
        <v>0</v>
      </c>
      <c r="N644" s="762">
        <v>0</v>
      </c>
      <c r="O644" s="762">
        <v>0</v>
      </c>
      <c r="P644" s="763">
        <v>0</v>
      </c>
      <c r="Q644" s="764">
        <f t="shared" si="9"/>
        <v>1</v>
      </c>
      <c r="R644" s="758" t="s">
        <v>1852</v>
      </c>
      <c r="S644" s="742" t="s">
        <v>1826</v>
      </c>
      <c r="T644" s="765" t="s">
        <v>1827</v>
      </c>
      <c r="U644" s="742" t="s">
        <v>2408</v>
      </c>
      <c r="V644" s="742" t="s">
        <v>321</v>
      </c>
      <c r="W644" s="742" t="s">
        <v>2917</v>
      </c>
      <c r="X644" s="1243">
        <v>1</v>
      </c>
      <c r="Y644" s="795" t="s">
        <v>1828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210</v>
      </c>
      <c r="BM644" s="754" t="s">
        <v>210</v>
      </c>
      <c r="BN644" s="754" t="s">
        <v>210</v>
      </c>
      <c r="BO644" s="754" t="s">
        <v>210</v>
      </c>
      <c r="BP644" s="765" t="s">
        <v>210</v>
      </c>
      <c r="BQ644" s="777" t="s">
        <v>2260</v>
      </c>
      <c r="BR644" s="769" t="s">
        <v>2260</v>
      </c>
      <c r="BS644" s="769" t="s">
        <v>2260</v>
      </c>
      <c r="BT644" s="769" t="s">
        <v>2260</v>
      </c>
      <c r="BU644" s="774" t="s">
        <v>2260</v>
      </c>
      <c r="BV644" s="777">
        <v>-2</v>
      </c>
      <c r="BW644" s="769">
        <v>-2</v>
      </c>
      <c r="BX644" s="769">
        <v>-2</v>
      </c>
      <c r="BY644" s="769">
        <v>-2</v>
      </c>
      <c r="BZ644" s="769">
        <v>-2</v>
      </c>
      <c r="CA644" s="777" t="s">
        <v>2260</v>
      </c>
      <c r="CB644" s="769" t="s">
        <v>2260</v>
      </c>
      <c r="CC644" s="769" t="s">
        <v>2260</v>
      </c>
      <c r="CD644" s="769" t="s">
        <v>2260</v>
      </c>
      <c r="CE644" s="774" t="s">
        <v>2260</v>
      </c>
      <c r="CF644" s="769" t="s">
        <v>2260</v>
      </c>
      <c r="CG644" s="769" t="s">
        <v>2260</v>
      </c>
      <c r="CH644" s="769" t="s">
        <v>2260</v>
      </c>
      <c r="CI644" s="769" t="s">
        <v>2260</v>
      </c>
      <c r="CJ644" s="769" t="s">
        <v>2260</v>
      </c>
      <c r="CK644" s="777">
        <v>5</v>
      </c>
      <c r="CL644" s="769">
        <v>10</v>
      </c>
      <c r="CM644" s="769">
        <v>15</v>
      </c>
      <c r="CN644" s="769">
        <v>20</v>
      </c>
      <c r="CO644" s="774">
        <v>25</v>
      </c>
      <c r="CP644" s="777" t="s">
        <v>2260</v>
      </c>
      <c r="CQ644" s="769" t="s">
        <v>2260</v>
      </c>
      <c r="CR644" s="769" t="s">
        <v>2260</v>
      </c>
      <c r="CS644" s="769" t="s">
        <v>2260</v>
      </c>
      <c r="CT644" s="774" t="s">
        <v>2260</v>
      </c>
      <c r="CU644" s="1253">
        <v>-0.23599999999999999</v>
      </c>
      <c r="CV644" s="1252" t="s">
        <v>2260</v>
      </c>
      <c r="CW644" s="1252" t="s">
        <v>2260</v>
      </c>
      <c r="CX644" s="1254" t="s">
        <v>2260</v>
      </c>
      <c r="CY644" s="1252">
        <v>0.23599999999999999</v>
      </c>
      <c r="CZ644" s="1252" t="s">
        <v>2260</v>
      </c>
      <c r="DA644" s="1252" t="s">
        <v>2260</v>
      </c>
      <c r="DB644" s="1254" t="s">
        <v>2260</v>
      </c>
      <c r="DC644" s="754"/>
      <c r="DD644" s="782">
        <v>1</v>
      </c>
      <c r="DE644" s="783"/>
    </row>
    <row r="645" spans="1:109" ht="15.75" hidden="1" customHeight="1">
      <c r="A645" s="741" t="s">
        <v>1241</v>
      </c>
      <c r="B645" s="742">
        <v>639</v>
      </c>
      <c r="C645" s="758" t="s">
        <v>1637</v>
      </c>
      <c r="D645" s="742"/>
      <c r="E645" s="742"/>
      <c r="F645" s="754" t="s">
        <v>4290</v>
      </c>
      <c r="G645" s="759" t="s">
        <v>4291</v>
      </c>
      <c r="H645" s="760"/>
      <c r="I645" s="761">
        <v>0.09</v>
      </c>
      <c r="J645" s="762">
        <v>0.12</v>
      </c>
      <c r="K645" s="762">
        <v>0.24</v>
      </c>
      <c r="L645" s="762">
        <v>0.55000000000000004</v>
      </c>
      <c r="M645" s="762">
        <v>0</v>
      </c>
      <c r="N645" s="762">
        <v>0</v>
      </c>
      <c r="O645" s="762">
        <v>0</v>
      </c>
      <c r="P645" s="763">
        <v>0</v>
      </c>
      <c r="Q645" s="764">
        <f t="shared" si="9"/>
        <v>1</v>
      </c>
      <c r="R645" s="758" t="s">
        <v>1825</v>
      </c>
      <c r="S645" s="742"/>
      <c r="T645" s="765"/>
      <c r="U645" s="742"/>
      <c r="V645" s="742" t="s">
        <v>321</v>
      </c>
      <c r="W645" s="742" t="s">
        <v>4292</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2260</v>
      </c>
      <c r="AR645" s="769" t="s">
        <v>2260</v>
      </c>
      <c r="AS645" s="769" t="s">
        <v>2260</v>
      </c>
      <c r="AT645" s="769" t="s">
        <v>2260</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2260</v>
      </c>
      <c r="BR645" s="769" t="s">
        <v>2260</v>
      </c>
      <c r="BS645" s="769" t="s">
        <v>2260</v>
      </c>
      <c r="BT645" s="769" t="s">
        <v>2260</v>
      </c>
      <c r="BU645" s="774" t="s">
        <v>2260</v>
      </c>
      <c r="BV645" s="777" t="s">
        <v>2260</v>
      </c>
      <c r="BW645" s="769" t="s">
        <v>2260</v>
      </c>
      <c r="BX645" s="769" t="s">
        <v>2260</v>
      </c>
      <c r="BY645" s="769" t="s">
        <v>2260</v>
      </c>
      <c r="BZ645" s="769" t="s">
        <v>2260</v>
      </c>
      <c r="CA645" s="777" t="s">
        <v>2260</v>
      </c>
      <c r="CB645" s="769" t="s">
        <v>2260</v>
      </c>
      <c r="CC645" s="769" t="s">
        <v>2260</v>
      </c>
      <c r="CD645" s="769" t="s">
        <v>2260</v>
      </c>
      <c r="CE645" s="774" t="s">
        <v>2260</v>
      </c>
      <c r="CF645" s="769" t="s">
        <v>2260</v>
      </c>
      <c r="CG645" s="769" t="s">
        <v>2260</v>
      </c>
      <c r="CH645" s="769" t="s">
        <v>2260</v>
      </c>
      <c r="CI645" s="769" t="s">
        <v>2260</v>
      </c>
      <c r="CJ645" s="769" t="s">
        <v>2260</v>
      </c>
      <c r="CK645" s="777" t="s">
        <v>2260</v>
      </c>
      <c r="CL645" s="769" t="s">
        <v>2260</v>
      </c>
      <c r="CM645" s="769" t="s">
        <v>2260</v>
      </c>
      <c r="CN645" s="769" t="s">
        <v>2260</v>
      </c>
      <c r="CO645" s="774" t="s">
        <v>2260</v>
      </c>
      <c r="CP645" s="777" t="s">
        <v>2260</v>
      </c>
      <c r="CQ645" s="769" t="s">
        <v>2260</v>
      </c>
      <c r="CR645" s="769" t="s">
        <v>2260</v>
      </c>
      <c r="CS645" s="769" t="s">
        <v>2260</v>
      </c>
      <c r="CT645" s="774" t="s">
        <v>2260</v>
      </c>
      <c r="CU645" s="1253" t="s">
        <v>2260</v>
      </c>
      <c r="CV645" s="1252" t="s">
        <v>2260</v>
      </c>
      <c r="CW645" s="1252" t="s">
        <v>2260</v>
      </c>
      <c r="CX645" s="1254" t="s">
        <v>2260</v>
      </c>
      <c r="CY645" s="1252" t="s">
        <v>2260</v>
      </c>
      <c r="CZ645" s="1252" t="s">
        <v>2260</v>
      </c>
      <c r="DA645" s="1252" t="s">
        <v>2260</v>
      </c>
      <c r="DB645" s="1254" t="s">
        <v>2260</v>
      </c>
      <c r="DC645" s="754"/>
      <c r="DD645" s="782"/>
      <c r="DE645" s="783"/>
    </row>
    <row r="646" spans="1:109" ht="15.75" hidden="1" customHeight="1">
      <c r="A646" s="741" t="s">
        <v>1241</v>
      </c>
      <c r="B646" s="742">
        <v>640</v>
      </c>
      <c r="C646" s="758" t="s">
        <v>1354</v>
      </c>
      <c r="D646" s="742" t="s">
        <v>4293</v>
      </c>
      <c r="E646" s="742" t="s">
        <v>2231</v>
      </c>
      <c r="F646" s="754">
        <v>7</v>
      </c>
      <c r="G646" s="759" t="s">
        <v>4294</v>
      </c>
      <c r="H646" s="760" t="s">
        <v>4295</v>
      </c>
      <c r="I646" s="761">
        <v>0.36</v>
      </c>
      <c r="J646" s="762">
        <v>0.26</v>
      </c>
      <c r="K646" s="762">
        <v>0.24</v>
      </c>
      <c r="L646" s="762">
        <v>0.14000000000000001</v>
      </c>
      <c r="M646" s="762">
        <v>0</v>
      </c>
      <c r="N646" s="762">
        <v>0</v>
      </c>
      <c r="O646" s="762">
        <v>0</v>
      </c>
      <c r="P646" s="763">
        <v>0</v>
      </c>
      <c r="Q646" s="764">
        <f t="shared" si="9"/>
        <v>1</v>
      </c>
      <c r="R646" s="758" t="s">
        <v>1846</v>
      </c>
      <c r="S646" s="742" t="s">
        <v>1826</v>
      </c>
      <c r="T646" s="765" t="s">
        <v>1827</v>
      </c>
      <c r="U646" s="742" t="s">
        <v>2610</v>
      </c>
      <c r="V646" s="742" t="s">
        <v>1857</v>
      </c>
      <c r="W646" s="742" t="s">
        <v>4296</v>
      </c>
      <c r="X646" s="798">
        <v>0</v>
      </c>
      <c r="Y646" s="795" t="s">
        <v>1828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210</v>
      </c>
      <c r="BM646" s="754" t="s">
        <v>210</v>
      </c>
      <c r="BN646" s="754" t="s">
        <v>210</v>
      </c>
      <c r="BO646" s="754" t="s">
        <v>210</v>
      </c>
      <c r="BP646" s="765" t="s">
        <v>210</v>
      </c>
      <c r="BQ646" s="777" t="s">
        <v>2260</v>
      </c>
      <c r="BR646" s="769" t="s">
        <v>2260</v>
      </c>
      <c r="BS646" s="769" t="s">
        <v>2260</v>
      </c>
      <c r="BT646" s="769" t="s">
        <v>2260</v>
      </c>
      <c r="BU646" s="774" t="s">
        <v>2260</v>
      </c>
      <c r="BV646" s="777" t="s">
        <v>2260</v>
      </c>
      <c r="BW646" s="769" t="s">
        <v>2260</v>
      </c>
      <c r="BX646" s="769" t="s">
        <v>2260</v>
      </c>
      <c r="BY646" s="769" t="s">
        <v>2260</v>
      </c>
      <c r="BZ646" s="769" t="s">
        <v>2260</v>
      </c>
      <c r="CA646" s="777" t="s">
        <v>2260</v>
      </c>
      <c r="CB646" s="769" t="s">
        <v>2260</v>
      </c>
      <c r="CC646" s="769" t="s">
        <v>2260</v>
      </c>
      <c r="CD646" s="769" t="s">
        <v>2260</v>
      </c>
      <c r="CE646" s="774" t="s">
        <v>2260</v>
      </c>
      <c r="CF646" s="769" t="s">
        <v>2260</v>
      </c>
      <c r="CG646" s="769" t="s">
        <v>2260</v>
      </c>
      <c r="CH646" s="769" t="s">
        <v>2260</v>
      </c>
      <c r="CI646" s="769" t="s">
        <v>2260</v>
      </c>
      <c r="CJ646" s="769" t="s">
        <v>2260</v>
      </c>
      <c r="CK646" s="777" t="s">
        <v>2260</v>
      </c>
      <c r="CL646" s="769" t="s">
        <v>2260</v>
      </c>
      <c r="CM646" s="769" t="s">
        <v>2260</v>
      </c>
      <c r="CN646" s="769" t="s">
        <v>2260</v>
      </c>
      <c r="CO646" s="774" t="s">
        <v>2260</v>
      </c>
      <c r="CP646" s="777" t="s">
        <v>2260</v>
      </c>
      <c r="CQ646" s="769" t="s">
        <v>2260</v>
      </c>
      <c r="CR646" s="769" t="s">
        <v>2260</v>
      </c>
      <c r="CS646" s="769" t="s">
        <v>2260</v>
      </c>
      <c r="CT646" s="774" t="s">
        <v>2260</v>
      </c>
      <c r="CU646" s="1253">
        <v>-1.9999999999999999E-6</v>
      </c>
      <c r="CV646" s="1252" t="s">
        <v>2260</v>
      </c>
      <c r="CW646" s="1252" t="s">
        <v>2260</v>
      </c>
      <c r="CX646" s="1254" t="s">
        <v>2260</v>
      </c>
      <c r="CY646" s="1252" t="s">
        <v>2260</v>
      </c>
      <c r="CZ646" s="1252" t="s">
        <v>2260</v>
      </c>
      <c r="DA646" s="1252" t="s">
        <v>2260</v>
      </c>
      <c r="DB646" s="1254" t="s">
        <v>2260</v>
      </c>
      <c r="DC646" s="754"/>
      <c r="DD646" s="782">
        <v>1</v>
      </c>
      <c r="DE646" s="783"/>
    </row>
    <row r="647" spans="1:109" ht="15.75" hidden="1" customHeight="1">
      <c r="A647" s="741" t="s">
        <v>1241</v>
      </c>
      <c r="B647" s="742">
        <v>641</v>
      </c>
      <c r="C647" s="758" t="s">
        <v>1653</v>
      </c>
      <c r="D647" s="742" t="s">
        <v>4270</v>
      </c>
      <c r="E647" s="742" t="s">
        <v>2217</v>
      </c>
      <c r="F647" s="754">
        <v>8</v>
      </c>
      <c r="G647" s="759" t="s">
        <v>4297</v>
      </c>
      <c r="H647" s="760" t="s">
        <v>4298</v>
      </c>
      <c r="I647" s="761">
        <v>0</v>
      </c>
      <c r="J647" s="762">
        <v>7.0000000000000007E-2</v>
      </c>
      <c r="K647" s="762">
        <v>0.28999999999999998</v>
      </c>
      <c r="L647" s="762">
        <v>0.64</v>
      </c>
      <c r="M647" s="762">
        <v>0</v>
      </c>
      <c r="N647" s="762">
        <v>0</v>
      </c>
      <c r="O647" s="762">
        <v>0</v>
      </c>
      <c r="P647" s="763">
        <v>0</v>
      </c>
      <c r="Q647" s="764">
        <f t="shared" si="9"/>
        <v>1</v>
      </c>
      <c r="R647" s="758" t="s">
        <v>1825</v>
      </c>
      <c r="S647" s="742"/>
      <c r="T647" s="765"/>
      <c r="U647" s="742" t="s">
        <v>2229</v>
      </c>
      <c r="V647" s="742" t="s">
        <v>165</v>
      </c>
      <c r="W647" s="742" t="s">
        <v>4299</v>
      </c>
      <c r="X647" s="1278">
        <v>0</v>
      </c>
      <c r="Y647" s="795" t="s">
        <v>1828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2260</v>
      </c>
      <c r="BR647" s="769" t="s">
        <v>2260</v>
      </c>
      <c r="BS647" s="769" t="s">
        <v>2260</v>
      </c>
      <c r="BT647" s="769" t="s">
        <v>2260</v>
      </c>
      <c r="BU647" s="774" t="s">
        <v>2260</v>
      </c>
      <c r="BV647" s="777" t="s">
        <v>2260</v>
      </c>
      <c r="BW647" s="769" t="s">
        <v>2260</v>
      </c>
      <c r="BX647" s="769" t="s">
        <v>2260</v>
      </c>
      <c r="BY647" s="769" t="s">
        <v>2260</v>
      </c>
      <c r="BZ647" s="769" t="s">
        <v>2260</v>
      </c>
      <c r="CA647" s="777" t="s">
        <v>2260</v>
      </c>
      <c r="CB647" s="769" t="s">
        <v>2260</v>
      </c>
      <c r="CC647" s="769" t="s">
        <v>2260</v>
      </c>
      <c r="CD647" s="769" t="s">
        <v>2260</v>
      </c>
      <c r="CE647" s="774" t="s">
        <v>2260</v>
      </c>
      <c r="CF647" s="769" t="s">
        <v>2260</v>
      </c>
      <c r="CG647" s="769" t="s">
        <v>2260</v>
      </c>
      <c r="CH647" s="769" t="s">
        <v>2260</v>
      </c>
      <c r="CI647" s="769" t="s">
        <v>2260</v>
      </c>
      <c r="CJ647" s="769" t="s">
        <v>2260</v>
      </c>
      <c r="CK647" s="777" t="s">
        <v>2260</v>
      </c>
      <c r="CL647" s="769" t="s">
        <v>2260</v>
      </c>
      <c r="CM647" s="769" t="s">
        <v>2260</v>
      </c>
      <c r="CN647" s="769" t="s">
        <v>2260</v>
      </c>
      <c r="CO647" s="774" t="s">
        <v>2260</v>
      </c>
      <c r="CP647" s="777" t="s">
        <v>2260</v>
      </c>
      <c r="CQ647" s="769" t="s">
        <v>2260</v>
      </c>
      <c r="CR647" s="769" t="s">
        <v>2260</v>
      </c>
      <c r="CS647" s="769" t="s">
        <v>2260</v>
      </c>
      <c r="CT647" s="774" t="s">
        <v>2260</v>
      </c>
      <c r="CU647" s="1253" t="s">
        <v>2260</v>
      </c>
      <c r="CV647" s="1252" t="s">
        <v>2260</v>
      </c>
      <c r="CW647" s="1252" t="s">
        <v>2260</v>
      </c>
      <c r="CX647" s="1254" t="s">
        <v>2260</v>
      </c>
      <c r="CY647" s="1252" t="s">
        <v>2260</v>
      </c>
      <c r="CZ647" s="1252" t="s">
        <v>2260</v>
      </c>
      <c r="DA647" s="1252" t="s">
        <v>2260</v>
      </c>
      <c r="DB647" s="1254" t="s">
        <v>2260</v>
      </c>
      <c r="DC647" s="754"/>
      <c r="DD647" s="782">
        <v>1</v>
      </c>
      <c r="DE647" s="783"/>
    </row>
    <row r="648" spans="1:109" ht="15.75" hidden="1" customHeight="1">
      <c r="A648" s="741" t="s">
        <v>1241</v>
      </c>
      <c r="B648" s="742">
        <v>642</v>
      </c>
      <c r="C648" s="758" t="s">
        <v>1527</v>
      </c>
      <c r="D648" s="742" t="s">
        <v>4293</v>
      </c>
      <c r="E648" s="742" t="s">
        <v>2231</v>
      </c>
      <c r="F648" s="754">
        <v>9</v>
      </c>
      <c r="G648" s="759" t="s">
        <v>4300</v>
      </c>
      <c r="H648" s="760" t="s">
        <v>4301</v>
      </c>
      <c r="I648" s="761">
        <v>0</v>
      </c>
      <c r="J648" s="762">
        <v>0.32</v>
      </c>
      <c r="K648" s="762">
        <v>0.68</v>
      </c>
      <c r="L648" s="762">
        <v>0</v>
      </c>
      <c r="M648" s="762">
        <v>0</v>
      </c>
      <c r="N648" s="762">
        <v>0</v>
      </c>
      <c r="O648" s="762">
        <v>0</v>
      </c>
      <c r="P648" s="763">
        <v>0</v>
      </c>
      <c r="Q648" s="764">
        <f t="shared" si="9"/>
        <v>1</v>
      </c>
      <c r="R648" s="758" t="s">
        <v>1852</v>
      </c>
      <c r="S648" s="742" t="s">
        <v>1826</v>
      </c>
      <c r="T648" s="765" t="s">
        <v>1827</v>
      </c>
      <c r="U648" s="742" t="s">
        <v>2348</v>
      </c>
      <c r="V648" s="742" t="s">
        <v>1857</v>
      </c>
      <c r="W648" s="742" t="s">
        <v>4302</v>
      </c>
      <c r="X648" s="798">
        <v>2</v>
      </c>
      <c r="Y648" s="795" t="s">
        <v>1828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210</v>
      </c>
      <c r="BM648" s="754" t="s">
        <v>210</v>
      </c>
      <c r="BN648" s="754" t="s">
        <v>210</v>
      </c>
      <c r="BO648" s="754" t="s">
        <v>210</v>
      </c>
      <c r="BP648" s="765" t="s">
        <v>210</v>
      </c>
      <c r="BQ648" s="777" t="s">
        <v>2260</v>
      </c>
      <c r="BR648" s="769" t="s">
        <v>2260</v>
      </c>
      <c r="BS648" s="769" t="s">
        <v>2260</v>
      </c>
      <c r="BT648" s="769" t="s">
        <v>2260</v>
      </c>
      <c r="BU648" s="774" t="s">
        <v>2260</v>
      </c>
      <c r="BV648" s="777" t="s">
        <v>2260</v>
      </c>
      <c r="BW648" s="769" t="s">
        <v>2260</v>
      </c>
      <c r="BX648" s="769" t="s">
        <v>2260</v>
      </c>
      <c r="BY648" s="769" t="s">
        <v>2260</v>
      </c>
      <c r="BZ648" s="769" t="s">
        <v>2260</v>
      </c>
      <c r="CA648" s="777" t="s">
        <v>2260</v>
      </c>
      <c r="CB648" s="769" t="s">
        <v>2260</v>
      </c>
      <c r="CC648" s="769" t="s">
        <v>2260</v>
      </c>
      <c r="CD648" s="769" t="s">
        <v>2260</v>
      </c>
      <c r="CE648" s="774" t="s">
        <v>2260</v>
      </c>
      <c r="CF648" s="769" t="s">
        <v>2260</v>
      </c>
      <c r="CG648" s="769" t="s">
        <v>2260</v>
      </c>
      <c r="CH648" s="769" t="s">
        <v>2260</v>
      </c>
      <c r="CI648" s="769" t="s">
        <v>2260</v>
      </c>
      <c r="CJ648" s="769" t="s">
        <v>2260</v>
      </c>
      <c r="CK648" s="777" t="s">
        <v>2260</v>
      </c>
      <c r="CL648" s="769" t="s">
        <v>2260</v>
      </c>
      <c r="CM648" s="769" t="s">
        <v>2260</v>
      </c>
      <c r="CN648" s="769" t="s">
        <v>2260</v>
      </c>
      <c r="CO648" s="774" t="s">
        <v>2260</v>
      </c>
      <c r="CP648" s="777" t="s">
        <v>2260</v>
      </c>
      <c r="CQ648" s="769" t="s">
        <v>2260</v>
      </c>
      <c r="CR648" s="769" t="s">
        <v>2260</v>
      </c>
      <c r="CS648" s="769" t="s">
        <v>2260</v>
      </c>
      <c r="CT648" s="774" t="s">
        <v>2260</v>
      </c>
      <c r="CU648" s="1253">
        <v>-1.47E-2</v>
      </c>
      <c r="CV648" s="1252" t="s">
        <v>2260</v>
      </c>
      <c r="CW648" s="1252" t="s">
        <v>2260</v>
      </c>
      <c r="CX648" s="1254" t="s">
        <v>2260</v>
      </c>
      <c r="CY648" s="1252">
        <v>1.47E-2</v>
      </c>
      <c r="CZ648" s="1252" t="s">
        <v>2260</v>
      </c>
      <c r="DA648" s="1252" t="s">
        <v>2260</v>
      </c>
      <c r="DB648" s="1254" t="s">
        <v>2260</v>
      </c>
      <c r="DC648" s="754"/>
      <c r="DD648" s="782">
        <v>1</v>
      </c>
      <c r="DE648" s="783"/>
    </row>
    <row r="649" spans="1:109" ht="15.75" hidden="1" customHeight="1">
      <c r="A649" s="741" t="s">
        <v>1241</v>
      </c>
      <c r="B649" s="742">
        <v>643</v>
      </c>
      <c r="C649" s="758" t="s">
        <v>1775</v>
      </c>
      <c r="D649" s="742" t="s">
        <v>4303</v>
      </c>
      <c r="E649" s="742" t="s">
        <v>2231</v>
      </c>
      <c r="F649" s="754">
        <v>10</v>
      </c>
      <c r="G649" s="759" t="s">
        <v>2254</v>
      </c>
      <c r="H649" s="760" t="s">
        <v>4304</v>
      </c>
      <c r="I649" s="761">
        <v>0</v>
      </c>
      <c r="J649" s="762">
        <v>0.26</v>
      </c>
      <c r="K649" s="762">
        <v>0.74</v>
      </c>
      <c r="L649" s="762">
        <v>0</v>
      </c>
      <c r="M649" s="762">
        <v>0</v>
      </c>
      <c r="N649" s="762">
        <v>0</v>
      </c>
      <c r="O649" s="762">
        <v>0</v>
      </c>
      <c r="P649" s="763">
        <v>0</v>
      </c>
      <c r="Q649" s="764">
        <f t="shared" ref="Q649:Q712" si="10">SUM(I649:P649)</f>
        <v>1</v>
      </c>
      <c r="R649" s="758" t="s">
        <v>1852</v>
      </c>
      <c r="S649" s="742" t="s">
        <v>1826</v>
      </c>
      <c r="T649" s="765" t="s">
        <v>1827</v>
      </c>
      <c r="U649" s="742" t="s">
        <v>1891</v>
      </c>
      <c r="V649" s="742" t="s">
        <v>1897</v>
      </c>
      <c r="W649" s="742" t="s">
        <v>3195</v>
      </c>
      <c r="X649" s="1243">
        <v>2</v>
      </c>
      <c r="Y649" s="795" t="s">
        <v>1828</v>
      </c>
      <c r="Z649" s="759" t="s">
        <v>2254</v>
      </c>
      <c r="AA649" s="754"/>
      <c r="AB649" s="754"/>
      <c r="AC649" s="754"/>
      <c r="AD649" s="754"/>
      <c r="AE649" s="754"/>
      <c r="AF649" s="768"/>
      <c r="AG649" s="769"/>
      <c r="AH649" s="769"/>
      <c r="AI649" s="769"/>
      <c r="AJ649" s="769"/>
      <c r="AK649" s="769"/>
      <c r="AL649" s="769"/>
      <c r="AM649" s="769"/>
      <c r="AN649" s="769"/>
      <c r="AO649" s="769"/>
      <c r="AP649" s="769"/>
      <c r="AQ649" s="1369"/>
      <c r="AR649" s="1319"/>
      <c r="AS649" s="1319"/>
      <c r="AT649" s="1319"/>
      <c r="AU649" s="1320"/>
      <c r="AV649" s="777"/>
      <c r="AW649" s="769"/>
      <c r="AX649" s="769"/>
      <c r="AY649" s="769"/>
      <c r="AZ649" s="769"/>
      <c r="BA649" s="769"/>
      <c r="BB649" s="769"/>
      <c r="BC649" s="769"/>
      <c r="BD649" s="769"/>
      <c r="BE649" s="769"/>
      <c r="BF649" s="769"/>
      <c r="BG649" s="769"/>
      <c r="BH649" s="769"/>
      <c r="BI649" s="769"/>
      <c r="BJ649" s="769"/>
      <c r="BK649" s="774"/>
      <c r="BL649" s="1327"/>
      <c r="BM649" s="1328"/>
      <c r="BN649" s="1328"/>
      <c r="BO649" s="1328"/>
      <c r="BP649" s="1389"/>
      <c r="BQ649" s="1369"/>
      <c r="BR649" s="1319"/>
      <c r="BS649" s="1319"/>
      <c r="BT649" s="1319"/>
      <c r="BU649" s="1320"/>
      <c r="BV649" s="1369"/>
      <c r="BW649" s="1319"/>
      <c r="BX649" s="1319"/>
      <c r="BY649" s="1319"/>
      <c r="BZ649" s="1319"/>
      <c r="CA649" s="1369"/>
      <c r="CB649" s="1319"/>
      <c r="CC649" s="1319"/>
      <c r="CD649" s="1319"/>
      <c r="CE649" s="1320"/>
      <c r="CF649" s="1319"/>
      <c r="CG649" s="1319"/>
      <c r="CH649" s="1319"/>
      <c r="CI649" s="1319"/>
      <c r="CJ649" s="1319"/>
      <c r="CK649" s="1369"/>
      <c r="CL649" s="1319"/>
      <c r="CM649" s="1319"/>
      <c r="CN649" s="1319"/>
      <c r="CO649" s="1320"/>
      <c r="CP649" s="1369"/>
      <c r="CQ649" s="1319"/>
      <c r="CR649" s="1319"/>
      <c r="CS649" s="1319"/>
      <c r="CT649" s="1320"/>
      <c r="CU649" s="1467"/>
      <c r="CV649" s="1458"/>
      <c r="CW649" s="1458"/>
      <c r="CX649" s="1663"/>
      <c r="CY649" s="1458"/>
      <c r="CZ649" s="1458"/>
      <c r="DA649" s="1458"/>
      <c r="DB649" s="1663"/>
      <c r="DC649" s="1328"/>
      <c r="DD649" s="1664"/>
      <c r="DE649" s="1669"/>
    </row>
    <row r="650" spans="1:109" ht="15.75" hidden="1" customHeight="1">
      <c r="A650" s="741" t="s">
        <v>1241</v>
      </c>
      <c r="B650" s="742">
        <v>644</v>
      </c>
      <c r="C650" s="758" t="s">
        <v>1668</v>
      </c>
      <c r="D650" s="742" t="s">
        <v>4270</v>
      </c>
      <c r="E650" s="742" t="s">
        <v>2231</v>
      </c>
      <c r="F650" s="754">
        <v>11</v>
      </c>
      <c r="G650" s="759" t="s">
        <v>4305</v>
      </c>
      <c r="H650" s="760" t="s">
        <v>4306</v>
      </c>
      <c r="I650" s="761">
        <v>0</v>
      </c>
      <c r="J650" s="762">
        <v>0</v>
      </c>
      <c r="K650" s="762">
        <v>0</v>
      </c>
      <c r="L650" s="762">
        <v>0</v>
      </c>
      <c r="M650" s="762">
        <v>1</v>
      </c>
      <c r="N650" s="762">
        <v>0</v>
      </c>
      <c r="O650" s="762">
        <v>0</v>
      </c>
      <c r="P650" s="763">
        <v>0</v>
      </c>
      <c r="Q650" s="764">
        <f t="shared" si="10"/>
        <v>1</v>
      </c>
      <c r="R650" s="758" t="s">
        <v>1825</v>
      </c>
      <c r="S650" s="742"/>
      <c r="T650" s="765"/>
      <c r="U650" s="742" t="s">
        <v>2396</v>
      </c>
      <c r="V650" s="742" t="s">
        <v>321</v>
      </c>
      <c r="W650" s="742" t="s">
        <v>4307</v>
      </c>
      <c r="X650" s="1278">
        <v>0</v>
      </c>
      <c r="Y650" s="795" t="s">
        <v>1828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2260</v>
      </c>
      <c r="BR650" s="769" t="s">
        <v>2260</v>
      </c>
      <c r="BS650" s="769" t="s">
        <v>2260</v>
      </c>
      <c r="BT650" s="769" t="s">
        <v>2260</v>
      </c>
      <c r="BU650" s="774" t="s">
        <v>2260</v>
      </c>
      <c r="BV650" s="777" t="s">
        <v>2260</v>
      </c>
      <c r="BW650" s="769" t="s">
        <v>2260</v>
      </c>
      <c r="BX650" s="769" t="s">
        <v>2260</v>
      </c>
      <c r="BY650" s="769" t="s">
        <v>2260</v>
      </c>
      <c r="BZ650" s="769" t="s">
        <v>2260</v>
      </c>
      <c r="CA650" s="777" t="s">
        <v>2260</v>
      </c>
      <c r="CB650" s="769" t="s">
        <v>2260</v>
      </c>
      <c r="CC650" s="769" t="s">
        <v>2260</v>
      </c>
      <c r="CD650" s="769" t="s">
        <v>2260</v>
      </c>
      <c r="CE650" s="774" t="s">
        <v>2260</v>
      </c>
      <c r="CF650" s="769" t="s">
        <v>2260</v>
      </c>
      <c r="CG650" s="769" t="s">
        <v>2260</v>
      </c>
      <c r="CH650" s="769" t="s">
        <v>2260</v>
      </c>
      <c r="CI650" s="769" t="s">
        <v>2260</v>
      </c>
      <c r="CJ650" s="769" t="s">
        <v>2260</v>
      </c>
      <c r="CK650" s="777" t="s">
        <v>2260</v>
      </c>
      <c r="CL650" s="769" t="s">
        <v>2260</v>
      </c>
      <c r="CM650" s="769" t="s">
        <v>2260</v>
      </c>
      <c r="CN650" s="769" t="s">
        <v>2260</v>
      </c>
      <c r="CO650" s="774" t="s">
        <v>2260</v>
      </c>
      <c r="CP650" s="777" t="s">
        <v>2260</v>
      </c>
      <c r="CQ650" s="769" t="s">
        <v>2260</v>
      </c>
      <c r="CR650" s="769" t="s">
        <v>2260</v>
      </c>
      <c r="CS650" s="769" t="s">
        <v>2260</v>
      </c>
      <c r="CT650" s="774" t="s">
        <v>2260</v>
      </c>
      <c r="CU650" s="1253" t="s">
        <v>2260</v>
      </c>
      <c r="CV650" s="1252" t="s">
        <v>2260</v>
      </c>
      <c r="CW650" s="1252" t="s">
        <v>2260</v>
      </c>
      <c r="CX650" s="1254" t="s">
        <v>2260</v>
      </c>
      <c r="CY650" s="1252" t="s">
        <v>2260</v>
      </c>
      <c r="CZ650" s="1252" t="s">
        <v>2260</v>
      </c>
      <c r="DA650" s="1252" t="s">
        <v>2260</v>
      </c>
      <c r="DB650" s="1254" t="s">
        <v>2260</v>
      </c>
      <c r="DC650" s="754"/>
      <c r="DD650" s="782">
        <v>1</v>
      </c>
      <c r="DE650" s="783"/>
    </row>
    <row r="651" spans="1:109" ht="15.75" hidden="1" customHeight="1">
      <c r="A651" s="741" t="s">
        <v>1241</v>
      </c>
      <c r="B651" s="742">
        <v>645</v>
      </c>
      <c r="C651" s="758" t="s">
        <v>1682</v>
      </c>
      <c r="D651" s="742" t="s">
        <v>4303</v>
      </c>
      <c r="E651" s="742" t="s">
        <v>2223</v>
      </c>
      <c r="F651" s="754">
        <v>12</v>
      </c>
      <c r="G651" s="759" t="s">
        <v>4308</v>
      </c>
      <c r="H651" s="760" t="s">
        <v>4309</v>
      </c>
      <c r="I651" s="761">
        <v>0</v>
      </c>
      <c r="J651" s="762">
        <v>0</v>
      </c>
      <c r="K651" s="762">
        <v>0</v>
      </c>
      <c r="L651" s="762">
        <v>0</v>
      </c>
      <c r="M651" s="762">
        <v>1</v>
      </c>
      <c r="N651" s="762">
        <v>0</v>
      </c>
      <c r="O651" s="762">
        <v>0</v>
      </c>
      <c r="P651" s="763">
        <v>0</v>
      </c>
      <c r="Q651" s="764">
        <f t="shared" si="10"/>
        <v>1</v>
      </c>
      <c r="R651" s="758" t="s">
        <v>1825</v>
      </c>
      <c r="S651" s="742"/>
      <c r="T651" s="765"/>
      <c r="U651" s="742" t="s">
        <v>2396</v>
      </c>
      <c r="V651" s="742" t="s">
        <v>1857</v>
      </c>
      <c r="W651" s="742" t="s">
        <v>4310</v>
      </c>
      <c r="X651" s="798">
        <v>0</v>
      </c>
      <c r="Y651" s="795" t="s">
        <v>1828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2260</v>
      </c>
      <c r="BR651" s="769" t="s">
        <v>2260</v>
      </c>
      <c r="BS651" s="769" t="s">
        <v>2260</v>
      </c>
      <c r="BT651" s="769" t="s">
        <v>2260</v>
      </c>
      <c r="BU651" s="774" t="s">
        <v>2260</v>
      </c>
      <c r="BV651" s="777" t="s">
        <v>2260</v>
      </c>
      <c r="BW651" s="769" t="s">
        <v>2260</v>
      </c>
      <c r="BX651" s="769" t="s">
        <v>2260</v>
      </c>
      <c r="BY651" s="769" t="s">
        <v>2260</v>
      </c>
      <c r="BZ651" s="769" t="s">
        <v>2260</v>
      </c>
      <c r="CA651" s="777" t="s">
        <v>2260</v>
      </c>
      <c r="CB651" s="769" t="s">
        <v>2260</v>
      </c>
      <c r="CC651" s="769" t="s">
        <v>2260</v>
      </c>
      <c r="CD651" s="769" t="s">
        <v>2260</v>
      </c>
      <c r="CE651" s="774" t="s">
        <v>2260</v>
      </c>
      <c r="CF651" s="769" t="s">
        <v>2260</v>
      </c>
      <c r="CG651" s="769" t="s">
        <v>2260</v>
      </c>
      <c r="CH651" s="769" t="s">
        <v>2260</v>
      </c>
      <c r="CI651" s="769" t="s">
        <v>2260</v>
      </c>
      <c r="CJ651" s="769" t="s">
        <v>2260</v>
      </c>
      <c r="CK651" s="777" t="s">
        <v>2260</v>
      </c>
      <c r="CL651" s="769" t="s">
        <v>2260</v>
      </c>
      <c r="CM651" s="769" t="s">
        <v>2260</v>
      </c>
      <c r="CN651" s="769" t="s">
        <v>2260</v>
      </c>
      <c r="CO651" s="774" t="s">
        <v>2260</v>
      </c>
      <c r="CP651" s="777" t="s">
        <v>2260</v>
      </c>
      <c r="CQ651" s="769" t="s">
        <v>2260</v>
      </c>
      <c r="CR651" s="769" t="s">
        <v>2260</v>
      </c>
      <c r="CS651" s="769" t="s">
        <v>2260</v>
      </c>
      <c r="CT651" s="774" t="s">
        <v>2260</v>
      </c>
      <c r="CU651" s="1253" t="s">
        <v>2260</v>
      </c>
      <c r="CV651" s="1252" t="s">
        <v>2260</v>
      </c>
      <c r="CW651" s="1252" t="s">
        <v>2260</v>
      </c>
      <c r="CX651" s="1254" t="s">
        <v>2260</v>
      </c>
      <c r="CY651" s="1252" t="s">
        <v>2260</v>
      </c>
      <c r="CZ651" s="1252" t="s">
        <v>2260</v>
      </c>
      <c r="DA651" s="1252" t="s">
        <v>2260</v>
      </c>
      <c r="DB651" s="1254" t="s">
        <v>2260</v>
      </c>
      <c r="DC651" s="754"/>
      <c r="DD651" s="782">
        <v>1</v>
      </c>
      <c r="DE651" s="783"/>
    </row>
    <row r="652" spans="1:109" ht="15.75" hidden="1" customHeight="1">
      <c r="A652" s="741" t="s">
        <v>1241</v>
      </c>
      <c r="B652" s="742">
        <v>646</v>
      </c>
      <c r="C652" s="758" t="s">
        <v>1694</v>
      </c>
      <c r="D652" s="742" t="s">
        <v>4270</v>
      </c>
      <c r="E652" s="742" t="s">
        <v>2223</v>
      </c>
      <c r="F652" s="754">
        <v>13</v>
      </c>
      <c r="G652" s="759" t="s">
        <v>4311</v>
      </c>
      <c r="H652" s="760" t="s">
        <v>4312</v>
      </c>
      <c r="I652" s="761">
        <v>0</v>
      </c>
      <c r="J652" s="762">
        <v>0</v>
      </c>
      <c r="K652" s="762">
        <v>0</v>
      </c>
      <c r="L652" s="762">
        <v>0</v>
      </c>
      <c r="M652" s="762">
        <v>1</v>
      </c>
      <c r="N652" s="762">
        <v>0</v>
      </c>
      <c r="O652" s="762">
        <v>0</v>
      </c>
      <c r="P652" s="763">
        <v>0</v>
      </c>
      <c r="Q652" s="764">
        <f t="shared" si="10"/>
        <v>1</v>
      </c>
      <c r="R652" s="758" t="s">
        <v>1825</v>
      </c>
      <c r="S652" s="742"/>
      <c r="T652" s="765"/>
      <c r="U652" s="742" t="s">
        <v>2396</v>
      </c>
      <c r="V652" s="742" t="s">
        <v>321</v>
      </c>
      <c r="W652" s="742" t="s">
        <v>4313</v>
      </c>
      <c r="X652" s="798">
        <v>2</v>
      </c>
      <c r="Y652" s="795" t="s">
        <v>1838</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2260</v>
      </c>
      <c r="BR652" s="769" t="s">
        <v>2260</v>
      </c>
      <c r="BS652" s="769" t="s">
        <v>2260</v>
      </c>
      <c r="BT652" s="769" t="s">
        <v>2260</v>
      </c>
      <c r="BU652" s="774" t="s">
        <v>2260</v>
      </c>
      <c r="BV652" s="777" t="s">
        <v>2260</v>
      </c>
      <c r="BW652" s="769" t="s">
        <v>2260</v>
      </c>
      <c r="BX652" s="769" t="s">
        <v>2260</v>
      </c>
      <c r="BY652" s="769" t="s">
        <v>2260</v>
      </c>
      <c r="BZ652" s="769" t="s">
        <v>2260</v>
      </c>
      <c r="CA652" s="777" t="s">
        <v>2260</v>
      </c>
      <c r="CB652" s="769" t="s">
        <v>2260</v>
      </c>
      <c r="CC652" s="769" t="s">
        <v>2260</v>
      </c>
      <c r="CD652" s="769" t="s">
        <v>2260</v>
      </c>
      <c r="CE652" s="774" t="s">
        <v>2260</v>
      </c>
      <c r="CF652" s="769" t="s">
        <v>2260</v>
      </c>
      <c r="CG652" s="769" t="s">
        <v>2260</v>
      </c>
      <c r="CH652" s="769" t="s">
        <v>2260</v>
      </c>
      <c r="CI652" s="769" t="s">
        <v>2260</v>
      </c>
      <c r="CJ652" s="769" t="s">
        <v>2260</v>
      </c>
      <c r="CK652" s="777" t="s">
        <v>2260</v>
      </c>
      <c r="CL652" s="769" t="s">
        <v>2260</v>
      </c>
      <c r="CM652" s="769" t="s">
        <v>2260</v>
      </c>
      <c r="CN652" s="769" t="s">
        <v>2260</v>
      </c>
      <c r="CO652" s="774" t="s">
        <v>2260</v>
      </c>
      <c r="CP652" s="777" t="s">
        <v>2260</v>
      </c>
      <c r="CQ652" s="769" t="s">
        <v>2260</v>
      </c>
      <c r="CR652" s="769" t="s">
        <v>2260</v>
      </c>
      <c r="CS652" s="769" t="s">
        <v>2260</v>
      </c>
      <c r="CT652" s="774" t="s">
        <v>2260</v>
      </c>
      <c r="CU652" s="1253" t="s">
        <v>2260</v>
      </c>
      <c r="CV652" s="1252" t="s">
        <v>2260</v>
      </c>
      <c r="CW652" s="1252" t="s">
        <v>2260</v>
      </c>
      <c r="CX652" s="1254" t="s">
        <v>2260</v>
      </c>
      <c r="CY652" s="1252" t="s">
        <v>2260</v>
      </c>
      <c r="CZ652" s="1252" t="s">
        <v>2260</v>
      </c>
      <c r="DA652" s="1252" t="s">
        <v>2260</v>
      </c>
      <c r="DB652" s="1254" t="s">
        <v>2260</v>
      </c>
      <c r="DC652" s="754"/>
      <c r="DD652" s="782">
        <v>1</v>
      </c>
      <c r="DE652" s="783"/>
    </row>
    <row r="653" spans="1:109" ht="15.75" hidden="1" customHeight="1">
      <c r="A653" s="741" t="s">
        <v>1241</v>
      </c>
      <c r="B653" s="742">
        <v>647</v>
      </c>
      <c r="C653" s="758" t="s">
        <v>1704</v>
      </c>
      <c r="D653" s="742" t="s">
        <v>4303</v>
      </c>
      <c r="E653" s="742" t="s">
        <v>2231</v>
      </c>
      <c r="F653" s="754">
        <v>14</v>
      </c>
      <c r="G653" s="759" t="s">
        <v>4314</v>
      </c>
      <c r="H653" s="760" t="s">
        <v>4315</v>
      </c>
      <c r="I653" s="761">
        <v>0</v>
      </c>
      <c r="J653" s="762">
        <v>0</v>
      </c>
      <c r="K653" s="762">
        <v>0</v>
      </c>
      <c r="L653" s="762">
        <v>0</v>
      </c>
      <c r="M653" s="762">
        <v>1</v>
      </c>
      <c r="N653" s="762">
        <v>0</v>
      </c>
      <c r="O653" s="762">
        <v>0</v>
      </c>
      <c r="P653" s="763">
        <v>0</v>
      </c>
      <c r="Q653" s="764">
        <f t="shared" si="10"/>
        <v>1</v>
      </c>
      <c r="R653" s="758" t="s">
        <v>1825</v>
      </c>
      <c r="S653" s="742"/>
      <c r="T653" s="765"/>
      <c r="U653" s="742" t="s">
        <v>2396</v>
      </c>
      <c r="V653" s="742" t="s">
        <v>321</v>
      </c>
      <c r="W653" s="742" t="s">
        <v>2398</v>
      </c>
      <c r="X653" s="798">
        <v>0</v>
      </c>
      <c r="Y653" s="795" t="s">
        <v>1828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2260</v>
      </c>
      <c r="BR653" s="769" t="s">
        <v>2260</v>
      </c>
      <c r="BS653" s="769" t="s">
        <v>2260</v>
      </c>
      <c r="BT653" s="769" t="s">
        <v>2260</v>
      </c>
      <c r="BU653" s="774" t="s">
        <v>2260</v>
      </c>
      <c r="BV653" s="777" t="s">
        <v>2260</v>
      </c>
      <c r="BW653" s="769" t="s">
        <v>2260</v>
      </c>
      <c r="BX653" s="769" t="s">
        <v>2260</v>
      </c>
      <c r="BY653" s="769" t="s">
        <v>2260</v>
      </c>
      <c r="BZ653" s="769" t="s">
        <v>2260</v>
      </c>
      <c r="CA653" s="777" t="s">
        <v>2260</v>
      </c>
      <c r="CB653" s="769" t="s">
        <v>2260</v>
      </c>
      <c r="CC653" s="769" t="s">
        <v>2260</v>
      </c>
      <c r="CD653" s="769" t="s">
        <v>2260</v>
      </c>
      <c r="CE653" s="774" t="s">
        <v>2260</v>
      </c>
      <c r="CF653" s="769" t="s">
        <v>2260</v>
      </c>
      <c r="CG653" s="769" t="s">
        <v>2260</v>
      </c>
      <c r="CH653" s="769" t="s">
        <v>2260</v>
      </c>
      <c r="CI653" s="769" t="s">
        <v>2260</v>
      </c>
      <c r="CJ653" s="769" t="s">
        <v>2260</v>
      </c>
      <c r="CK653" s="777" t="s">
        <v>2260</v>
      </c>
      <c r="CL653" s="769" t="s">
        <v>2260</v>
      </c>
      <c r="CM653" s="769" t="s">
        <v>2260</v>
      </c>
      <c r="CN653" s="769" t="s">
        <v>2260</v>
      </c>
      <c r="CO653" s="774" t="s">
        <v>2260</v>
      </c>
      <c r="CP653" s="777" t="s">
        <v>2260</v>
      </c>
      <c r="CQ653" s="769" t="s">
        <v>2260</v>
      </c>
      <c r="CR653" s="769" t="s">
        <v>2260</v>
      </c>
      <c r="CS653" s="769" t="s">
        <v>2260</v>
      </c>
      <c r="CT653" s="774" t="s">
        <v>2260</v>
      </c>
      <c r="CU653" s="1253" t="s">
        <v>2260</v>
      </c>
      <c r="CV653" s="1252" t="s">
        <v>2260</v>
      </c>
      <c r="CW653" s="1252" t="s">
        <v>2260</v>
      </c>
      <c r="CX653" s="1254" t="s">
        <v>2260</v>
      </c>
      <c r="CY653" s="1252" t="s">
        <v>2260</v>
      </c>
      <c r="CZ653" s="1252" t="s">
        <v>2260</v>
      </c>
      <c r="DA653" s="1252" t="s">
        <v>2260</v>
      </c>
      <c r="DB653" s="1254" t="s">
        <v>2260</v>
      </c>
      <c r="DC653" s="754"/>
      <c r="DD653" s="782">
        <v>1</v>
      </c>
      <c r="DE653" s="783"/>
    </row>
    <row r="654" spans="1:109" ht="15.75" hidden="1" customHeight="1">
      <c r="A654" s="741" t="s">
        <v>1241</v>
      </c>
      <c r="B654" s="742">
        <v>648</v>
      </c>
      <c r="C654" s="758" t="s">
        <v>1714</v>
      </c>
      <c r="D654" s="742" t="s">
        <v>4303</v>
      </c>
      <c r="E654" s="742" t="s">
        <v>2231</v>
      </c>
      <c r="F654" s="754">
        <v>15</v>
      </c>
      <c r="G654" s="759" t="s">
        <v>4316</v>
      </c>
      <c r="H654" s="760" t="s">
        <v>4317</v>
      </c>
      <c r="I654" s="761">
        <v>0</v>
      </c>
      <c r="J654" s="762">
        <v>0</v>
      </c>
      <c r="K654" s="762">
        <v>0</v>
      </c>
      <c r="L654" s="762">
        <v>0</v>
      </c>
      <c r="M654" s="762">
        <v>1</v>
      </c>
      <c r="N654" s="762">
        <v>0</v>
      </c>
      <c r="O654" s="762">
        <v>0</v>
      </c>
      <c r="P654" s="763">
        <v>0</v>
      </c>
      <c r="Q654" s="764">
        <f t="shared" si="10"/>
        <v>1</v>
      </c>
      <c r="R654" s="758" t="s">
        <v>1825</v>
      </c>
      <c r="S654" s="742"/>
      <c r="T654" s="765"/>
      <c r="U654" s="742" t="s">
        <v>2396</v>
      </c>
      <c r="V654" s="742" t="s">
        <v>321</v>
      </c>
      <c r="W654" s="742" t="s">
        <v>4318</v>
      </c>
      <c r="X654" s="798">
        <v>0</v>
      </c>
      <c r="Y654" s="795" t="s">
        <v>1828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2260</v>
      </c>
      <c r="BR654" s="769" t="s">
        <v>2260</v>
      </c>
      <c r="BS654" s="769" t="s">
        <v>2260</v>
      </c>
      <c r="BT654" s="769" t="s">
        <v>2260</v>
      </c>
      <c r="BU654" s="774" t="s">
        <v>2260</v>
      </c>
      <c r="BV654" s="777" t="s">
        <v>2260</v>
      </c>
      <c r="BW654" s="769" t="s">
        <v>2260</v>
      </c>
      <c r="BX654" s="769" t="s">
        <v>2260</v>
      </c>
      <c r="BY654" s="769" t="s">
        <v>2260</v>
      </c>
      <c r="BZ654" s="769" t="s">
        <v>2260</v>
      </c>
      <c r="CA654" s="777" t="s">
        <v>2260</v>
      </c>
      <c r="CB654" s="769" t="s">
        <v>2260</v>
      </c>
      <c r="CC654" s="769" t="s">
        <v>2260</v>
      </c>
      <c r="CD654" s="769" t="s">
        <v>2260</v>
      </c>
      <c r="CE654" s="774" t="s">
        <v>2260</v>
      </c>
      <c r="CF654" s="769" t="s">
        <v>2260</v>
      </c>
      <c r="CG654" s="769" t="s">
        <v>2260</v>
      </c>
      <c r="CH654" s="769" t="s">
        <v>2260</v>
      </c>
      <c r="CI654" s="769" t="s">
        <v>2260</v>
      </c>
      <c r="CJ654" s="769" t="s">
        <v>2260</v>
      </c>
      <c r="CK654" s="777" t="s">
        <v>2260</v>
      </c>
      <c r="CL654" s="769" t="s">
        <v>2260</v>
      </c>
      <c r="CM654" s="769" t="s">
        <v>2260</v>
      </c>
      <c r="CN654" s="769" t="s">
        <v>2260</v>
      </c>
      <c r="CO654" s="774" t="s">
        <v>2260</v>
      </c>
      <c r="CP654" s="777" t="s">
        <v>2260</v>
      </c>
      <c r="CQ654" s="769" t="s">
        <v>2260</v>
      </c>
      <c r="CR654" s="769" t="s">
        <v>2260</v>
      </c>
      <c r="CS654" s="769" t="s">
        <v>2260</v>
      </c>
      <c r="CT654" s="774" t="s">
        <v>2260</v>
      </c>
      <c r="CU654" s="1253" t="s">
        <v>2260</v>
      </c>
      <c r="CV654" s="1252" t="s">
        <v>2260</v>
      </c>
      <c r="CW654" s="1252" t="s">
        <v>2260</v>
      </c>
      <c r="CX654" s="1254" t="s">
        <v>2260</v>
      </c>
      <c r="CY654" s="1252" t="s">
        <v>2260</v>
      </c>
      <c r="CZ654" s="1252" t="s">
        <v>2260</v>
      </c>
      <c r="DA654" s="1252" t="s">
        <v>2260</v>
      </c>
      <c r="DB654" s="1254" t="s">
        <v>2260</v>
      </c>
      <c r="DC654" s="754"/>
      <c r="DD654" s="782">
        <v>1</v>
      </c>
      <c r="DE654" s="783"/>
    </row>
    <row r="655" spans="1:109" ht="15.75" hidden="1" customHeight="1">
      <c r="A655" s="741" t="s">
        <v>1241</v>
      </c>
      <c r="B655" s="742">
        <v>649</v>
      </c>
      <c r="C655" s="758" t="s">
        <v>1722</v>
      </c>
      <c r="D655" s="742" t="s">
        <v>4303</v>
      </c>
      <c r="E655" s="742" t="s">
        <v>2231</v>
      </c>
      <c r="F655" s="754">
        <v>16</v>
      </c>
      <c r="G655" s="759" t="s">
        <v>4319</v>
      </c>
      <c r="H655" s="760" t="s">
        <v>4320</v>
      </c>
      <c r="I655" s="761">
        <v>0</v>
      </c>
      <c r="J655" s="762">
        <v>0</v>
      </c>
      <c r="K655" s="762">
        <v>0</v>
      </c>
      <c r="L655" s="762">
        <v>0</v>
      </c>
      <c r="M655" s="762">
        <v>1</v>
      </c>
      <c r="N655" s="762">
        <v>0</v>
      </c>
      <c r="O655" s="762">
        <v>0</v>
      </c>
      <c r="P655" s="763">
        <v>0</v>
      </c>
      <c r="Q655" s="764">
        <f t="shared" si="10"/>
        <v>1</v>
      </c>
      <c r="R655" s="758" t="s">
        <v>1825</v>
      </c>
      <c r="S655" s="742"/>
      <c r="T655" s="765"/>
      <c r="U655" s="742" t="s">
        <v>2396</v>
      </c>
      <c r="V655" s="742" t="s">
        <v>321</v>
      </c>
      <c r="W655" s="742" t="s">
        <v>4321</v>
      </c>
      <c r="X655" s="798">
        <v>0</v>
      </c>
      <c r="Y655" s="795" t="s">
        <v>1828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2260</v>
      </c>
      <c r="BR655" s="769" t="s">
        <v>2260</v>
      </c>
      <c r="BS655" s="769" t="s">
        <v>2260</v>
      </c>
      <c r="BT655" s="769" t="s">
        <v>2260</v>
      </c>
      <c r="BU655" s="774" t="s">
        <v>2260</v>
      </c>
      <c r="BV655" s="777" t="s">
        <v>2260</v>
      </c>
      <c r="BW655" s="769" t="s">
        <v>2260</v>
      </c>
      <c r="BX655" s="769" t="s">
        <v>2260</v>
      </c>
      <c r="BY655" s="769" t="s">
        <v>2260</v>
      </c>
      <c r="BZ655" s="769" t="s">
        <v>2260</v>
      </c>
      <c r="CA655" s="777" t="s">
        <v>2260</v>
      </c>
      <c r="CB655" s="769" t="s">
        <v>2260</v>
      </c>
      <c r="CC655" s="769" t="s">
        <v>2260</v>
      </c>
      <c r="CD655" s="769" t="s">
        <v>2260</v>
      </c>
      <c r="CE655" s="774" t="s">
        <v>2260</v>
      </c>
      <c r="CF655" s="769" t="s">
        <v>2260</v>
      </c>
      <c r="CG655" s="769" t="s">
        <v>2260</v>
      </c>
      <c r="CH655" s="769" t="s">
        <v>2260</v>
      </c>
      <c r="CI655" s="769" t="s">
        <v>2260</v>
      </c>
      <c r="CJ655" s="769" t="s">
        <v>2260</v>
      </c>
      <c r="CK655" s="777" t="s">
        <v>2260</v>
      </c>
      <c r="CL655" s="769" t="s">
        <v>2260</v>
      </c>
      <c r="CM655" s="769" t="s">
        <v>2260</v>
      </c>
      <c r="CN655" s="769" t="s">
        <v>2260</v>
      </c>
      <c r="CO655" s="774" t="s">
        <v>2260</v>
      </c>
      <c r="CP655" s="777" t="s">
        <v>2260</v>
      </c>
      <c r="CQ655" s="769" t="s">
        <v>2260</v>
      </c>
      <c r="CR655" s="769" t="s">
        <v>2260</v>
      </c>
      <c r="CS655" s="769" t="s">
        <v>2260</v>
      </c>
      <c r="CT655" s="774" t="s">
        <v>2260</v>
      </c>
      <c r="CU655" s="1253" t="s">
        <v>2260</v>
      </c>
      <c r="CV655" s="1252" t="s">
        <v>2260</v>
      </c>
      <c r="CW655" s="1252" t="s">
        <v>2260</v>
      </c>
      <c r="CX655" s="1254" t="s">
        <v>2260</v>
      </c>
      <c r="CY655" s="1252" t="s">
        <v>2260</v>
      </c>
      <c r="CZ655" s="1252" t="s">
        <v>2260</v>
      </c>
      <c r="DA655" s="1252" t="s">
        <v>2260</v>
      </c>
      <c r="DB655" s="1254" t="s">
        <v>2260</v>
      </c>
      <c r="DC655" s="754"/>
      <c r="DD655" s="782">
        <v>1</v>
      </c>
      <c r="DE655" s="783"/>
    </row>
    <row r="656" spans="1:109" ht="15.75" hidden="1" customHeight="1">
      <c r="A656" s="741" t="s">
        <v>1241</v>
      </c>
      <c r="B656" s="742">
        <v>650</v>
      </c>
      <c r="C656" s="758" t="s">
        <v>1371</v>
      </c>
      <c r="D656" s="742" t="s">
        <v>4270</v>
      </c>
      <c r="E656" s="742" t="s">
        <v>2231</v>
      </c>
      <c r="F656" s="754">
        <v>17</v>
      </c>
      <c r="G656" s="759" t="s">
        <v>2745</v>
      </c>
      <c r="H656" s="760" t="s">
        <v>4322</v>
      </c>
      <c r="I656" s="761">
        <v>0</v>
      </c>
      <c r="J656" s="762">
        <v>0</v>
      </c>
      <c r="K656" s="762">
        <v>0</v>
      </c>
      <c r="L656" s="762">
        <v>0</v>
      </c>
      <c r="M656" s="762">
        <v>1</v>
      </c>
      <c r="N656" s="762">
        <v>0</v>
      </c>
      <c r="O656" s="762">
        <v>0</v>
      </c>
      <c r="P656" s="763">
        <v>0</v>
      </c>
      <c r="Q656" s="764">
        <f t="shared" si="10"/>
        <v>1</v>
      </c>
      <c r="R656" s="758" t="s">
        <v>1846</v>
      </c>
      <c r="S656" s="742" t="s">
        <v>1826</v>
      </c>
      <c r="T656" s="765" t="s">
        <v>1827</v>
      </c>
      <c r="U656" s="742" t="s">
        <v>2396</v>
      </c>
      <c r="V656" s="742" t="s">
        <v>321</v>
      </c>
      <c r="W656" s="742" t="s">
        <v>4323</v>
      </c>
      <c r="X656" s="798">
        <v>0</v>
      </c>
      <c r="Y656" s="795" t="s">
        <v>1828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210</v>
      </c>
      <c r="BM656" s="754" t="s">
        <v>210</v>
      </c>
      <c r="BN656" s="754" t="s">
        <v>210</v>
      </c>
      <c r="BO656" s="754" t="s">
        <v>210</v>
      </c>
      <c r="BP656" s="765" t="s">
        <v>210</v>
      </c>
      <c r="BQ656" s="777" t="s">
        <v>2260</v>
      </c>
      <c r="BR656" s="769" t="s">
        <v>2260</v>
      </c>
      <c r="BS656" s="769" t="s">
        <v>2260</v>
      </c>
      <c r="BT656" s="769" t="s">
        <v>2260</v>
      </c>
      <c r="BU656" s="774" t="s">
        <v>2260</v>
      </c>
      <c r="BV656" s="777" t="s">
        <v>2260</v>
      </c>
      <c r="BW656" s="769" t="s">
        <v>2260</v>
      </c>
      <c r="BX656" s="769" t="s">
        <v>2260</v>
      </c>
      <c r="BY656" s="769" t="s">
        <v>2260</v>
      </c>
      <c r="BZ656" s="769" t="s">
        <v>2260</v>
      </c>
      <c r="CA656" s="777" t="s">
        <v>2260</v>
      </c>
      <c r="CB656" s="769" t="s">
        <v>2260</v>
      </c>
      <c r="CC656" s="769" t="s">
        <v>2260</v>
      </c>
      <c r="CD656" s="769" t="s">
        <v>2260</v>
      </c>
      <c r="CE656" s="774" t="s">
        <v>2260</v>
      </c>
      <c r="CF656" s="769" t="s">
        <v>2260</v>
      </c>
      <c r="CG656" s="769" t="s">
        <v>2260</v>
      </c>
      <c r="CH656" s="769" t="s">
        <v>2260</v>
      </c>
      <c r="CI656" s="769" t="s">
        <v>2260</v>
      </c>
      <c r="CJ656" s="769" t="s">
        <v>2260</v>
      </c>
      <c r="CK656" s="777" t="s">
        <v>2260</v>
      </c>
      <c r="CL656" s="769" t="s">
        <v>2260</v>
      </c>
      <c r="CM656" s="769" t="s">
        <v>2260</v>
      </c>
      <c r="CN656" s="769" t="s">
        <v>2260</v>
      </c>
      <c r="CO656" s="774" t="s">
        <v>2260</v>
      </c>
      <c r="CP656" s="777" t="s">
        <v>2260</v>
      </c>
      <c r="CQ656" s="769" t="s">
        <v>2260</v>
      </c>
      <c r="CR656" s="769" t="s">
        <v>2260</v>
      </c>
      <c r="CS656" s="769" t="s">
        <v>2260</v>
      </c>
      <c r="CT656" s="774" t="s">
        <v>2260</v>
      </c>
      <c r="CU656" s="1253">
        <v>-1.84E-2</v>
      </c>
      <c r="CV656" s="1252" t="s">
        <v>2260</v>
      </c>
      <c r="CW656" s="1252" t="s">
        <v>2260</v>
      </c>
      <c r="CX656" s="1254" t="s">
        <v>2260</v>
      </c>
      <c r="CY656" s="1252" t="s">
        <v>2260</v>
      </c>
      <c r="CZ656" s="1252" t="s">
        <v>2260</v>
      </c>
      <c r="DA656" s="1252" t="s">
        <v>2260</v>
      </c>
      <c r="DB656" s="1254" t="s">
        <v>2260</v>
      </c>
      <c r="DC656" s="754"/>
      <c r="DD656" s="782">
        <v>1</v>
      </c>
      <c r="DE656" s="783"/>
    </row>
    <row r="657" spans="1:109" ht="15.75" hidden="1" customHeight="1">
      <c r="A657" s="741" t="s">
        <v>1241</v>
      </c>
      <c r="B657" s="742">
        <v>651</v>
      </c>
      <c r="C657" s="758" t="s">
        <v>1388</v>
      </c>
      <c r="D657" s="742" t="s">
        <v>4270</v>
      </c>
      <c r="E657" s="742" t="s">
        <v>2231</v>
      </c>
      <c r="F657" s="754">
        <v>18</v>
      </c>
      <c r="G657" s="759" t="s">
        <v>2402</v>
      </c>
      <c r="H657" s="760" t="s">
        <v>4324</v>
      </c>
      <c r="I657" s="761">
        <v>0</v>
      </c>
      <c r="J657" s="762">
        <v>0</v>
      </c>
      <c r="K657" s="762">
        <v>0</v>
      </c>
      <c r="L657" s="762">
        <v>0</v>
      </c>
      <c r="M657" s="762">
        <v>1</v>
      </c>
      <c r="N657" s="762">
        <v>0</v>
      </c>
      <c r="O657" s="762">
        <v>0</v>
      </c>
      <c r="P657" s="763">
        <v>0</v>
      </c>
      <c r="Q657" s="764">
        <f t="shared" si="10"/>
        <v>1</v>
      </c>
      <c r="R657" s="758" t="s">
        <v>1852</v>
      </c>
      <c r="S657" s="742" t="s">
        <v>1826</v>
      </c>
      <c r="T657" s="765" t="s">
        <v>1827</v>
      </c>
      <c r="U657" s="742" t="s">
        <v>2396</v>
      </c>
      <c r="V657" s="742" t="s">
        <v>321</v>
      </c>
      <c r="W657" s="742" t="s">
        <v>4325</v>
      </c>
      <c r="X657" s="1243">
        <v>2</v>
      </c>
      <c r="Y657" s="795" t="s">
        <v>1838</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210</v>
      </c>
      <c r="BM657" s="754" t="s">
        <v>210</v>
      </c>
      <c r="BN657" s="754" t="s">
        <v>210</v>
      </c>
      <c r="BO657" s="754" t="s">
        <v>210</v>
      </c>
      <c r="BP657" s="765" t="s">
        <v>210</v>
      </c>
      <c r="BQ657" s="777" t="s">
        <v>2260</v>
      </c>
      <c r="BR657" s="769" t="s">
        <v>2260</v>
      </c>
      <c r="BS657" s="769" t="s">
        <v>2260</v>
      </c>
      <c r="BT657" s="769" t="s">
        <v>2260</v>
      </c>
      <c r="BU657" s="774" t="s">
        <v>2260</v>
      </c>
      <c r="BV657" s="775">
        <v>5.13</v>
      </c>
      <c r="BW657" s="776">
        <v>5.13</v>
      </c>
      <c r="BX657" s="776">
        <v>5.13</v>
      </c>
      <c r="BY657" s="776">
        <v>5.13</v>
      </c>
      <c r="BZ657" s="776">
        <v>5.13</v>
      </c>
      <c r="CA657" s="777" t="s">
        <v>2260</v>
      </c>
      <c r="CB657" s="769" t="s">
        <v>2260</v>
      </c>
      <c r="CC657" s="769" t="s">
        <v>2260</v>
      </c>
      <c r="CD657" s="769" t="s">
        <v>2260</v>
      </c>
      <c r="CE657" s="774" t="s">
        <v>2260</v>
      </c>
      <c r="CF657" s="769" t="s">
        <v>2260</v>
      </c>
      <c r="CG657" s="769" t="s">
        <v>2260</v>
      </c>
      <c r="CH657" s="769" t="s">
        <v>2260</v>
      </c>
      <c r="CI657" s="769" t="s">
        <v>2260</v>
      </c>
      <c r="CJ657" s="769" t="s">
        <v>2260</v>
      </c>
      <c r="CK657" s="777">
        <v>3.87</v>
      </c>
      <c r="CL657" s="769">
        <v>3.53</v>
      </c>
      <c r="CM657" s="769">
        <v>3.17</v>
      </c>
      <c r="CN657" s="769">
        <v>2.83</v>
      </c>
      <c r="CO657" s="774">
        <v>2.4700000000000002</v>
      </c>
      <c r="CP657" s="777" t="s">
        <v>2260</v>
      </c>
      <c r="CQ657" s="769" t="s">
        <v>2260</v>
      </c>
      <c r="CR657" s="769" t="s">
        <v>2260</v>
      </c>
      <c r="CS657" s="769" t="s">
        <v>2260</v>
      </c>
      <c r="CT657" s="774" t="s">
        <v>2260</v>
      </c>
      <c r="CU657" s="1253">
        <v>-3.6160000000000001</v>
      </c>
      <c r="CV657" s="1252" t="s">
        <v>2260</v>
      </c>
      <c r="CW657" s="1252" t="s">
        <v>2260</v>
      </c>
      <c r="CX657" s="1254" t="s">
        <v>2260</v>
      </c>
      <c r="CY657" s="1252">
        <v>3.6160000000000001</v>
      </c>
      <c r="CZ657" s="1252" t="s">
        <v>2260</v>
      </c>
      <c r="DA657" s="1252" t="s">
        <v>2260</v>
      </c>
      <c r="DB657" s="1254" t="s">
        <v>2260</v>
      </c>
      <c r="DC657" s="754"/>
      <c r="DD657" s="782">
        <v>1</v>
      </c>
      <c r="DE657" s="783"/>
    </row>
    <row r="658" spans="1:109" ht="15.75" hidden="1" customHeight="1">
      <c r="A658" s="741" t="s">
        <v>1241</v>
      </c>
      <c r="B658" s="742">
        <v>652</v>
      </c>
      <c r="C658" s="758" t="s">
        <v>1792</v>
      </c>
      <c r="D658" s="742" t="s">
        <v>4303</v>
      </c>
      <c r="E658" s="742" t="s">
        <v>2231</v>
      </c>
      <c r="F658" s="754">
        <v>19</v>
      </c>
      <c r="G658" s="759" t="s">
        <v>2251</v>
      </c>
      <c r="H658" s="760" t="s">
        <v>4326</v>
      </c>
      <c r="I658" s="761">
        <v>0</v>
      </c>
      <c r="J658" s="762">
        <v>0</v>
      </c>
      <c r="K658" s="762">
        <v>0</v>
      </c>
      <c r="L658" s="762">
        <v>0</v>
      </c>
      <c r="M658" s="762">
        <v>1</v>
      </c>
      <c r="N658" s="762">
        <v>0</v>
      </c>
      <c r="O658" s="762">
        <v>0</v>
      </c>
      <c r="P658" s="763">
        <v>0</v>
      </c>
      <c r="Q658" s="764">
        <f t="shared" si="10"/>
        <v>1</v>
      </c>
      <c r="R658" s="758" t="s">
        <v>1852</v>
      </c>
      <c r="S658" s="742" t="s">
        <v>1826</v>
      </c>
      <c r="T658" s="765" t="s">
        <v>1827</v>
      </c>
      <c r="U658" s="742" t="s">
        <v>1888</v>
      </c>
      <c r="V658" s="742" t="s">
        <v>1897</v>
      </c>
      <c r="W658" s="742" t="s">
        <v>3204</v>
      </c>
      <c r="X658" s="1243">
        <v>2</v>
      </c>
      <c r="Y658" s="795" t="s">
        <v>1828</v>
      </c>
      <c r="Z658" s="759" t="s">
        <v>2251</v>
      </c>
      <c r="AA658" s="754"/>
      <c r="AB658" s="754"/>
      <c r="AC658" s="754"/>
      <c r="AD658" s="754"/>
      <c r="AE658" s="754"/>
      <c r="AF658" s="768"/>
      <c r="AG658" s="769"/>
      <c r="AH658" s="769"/>
      <c r="AI658" s="769"/>
      <c r="AJ658" s="769"/>
      <c r="AK658" s="769"/>
      <c r="AL658" s="769"/>
      <c r="AM658" s="769"/>
      <c r="AN658" s="769"/>
      <c r="AO658" s="769"/>
      <c r="AP658" s="769"/>
      <c r="AQ658" s="1369"/>
      <c r="AR658" s="1319"/>
      <c r="AS658" s="1319"/>
      <c r="AT658" s="1319"/>
      <c r="AU658" s="1320"/>
      <c r="AV658" s="777"/>
      <c r="AW658" s="769"/>
      <c r="AX658" s="769"/>
      <c r="AY658" s="769"/>
      <c r="AZ658" s="769"/>
      <c r="BA658" s="769"/>
      <c r="BB658" s="769"/>
      <c r="BC658" s="769"/>
      <c r="BD658" s="769"/>
      <c r="BE658" s="769"/>
      <c r="BF658" s="769"/>
      <c r="BG658" s="769"/>
      <c r="BH658" s="769"/>
      <c r="BI658" s="769"/>
      <c r="BJ658" s="769"/>
      <c r="BK658" s="774"/>
      <c r="BL658" s="1327"/>
      <c r="BM658" s="1328"/>
      <c r="BN658" s="1328"/>
      <c r="BO658" s="1328"/>
      <c r="BP658" s="1389"/>
      <c r="BQ658" s="1369"/>
      <c r="BR658" s="1319"/>
      <c r="BS658" s="1319"/>
      <c r="BT658" s="1319"/>
      <c r="BU658" s="1320"/>
      <c r="BV658" s="1369"/>
      <c r="BW658" s="1319"/>
      <c r="BX658" s="1319"/>
      <c r="BY658" s="1319"/>
      <c r="BZ658" s="1319"/>
      <c r="CA658" s="1369"/>
      <c r="CB658" s="1319"/>
      <c r="CC658" s="1319"/>
      <c r="CD658" s="1319"/>
      <c r="CE658" s="1320"/>
      <c r="CF658" s="1319"/>
      <c r="CG658" s="1319"/>
      <c r="CH658" s="1319"/>
      <c r="CI658" s="1319"/>
      <c r="CJ658" s="1319"/>
      <c r="CK658" s="1369"/>
      <c r="CL658" s="1319"/>
      <c r="CM658" s="1319"/>
      <c r="CN658" s="1319"/>
      <c r="CO658" s="1320"/>
      <c r="CP658" s="1369"/>
      <c r="CQ658" s="1319"/>
      <c r="CR658" s="1319"/>
      <c r="CS658" s="1319"/>
      <c r="CT658" s="1320"/>
      <c r="CU658" s="1467"/>
      <c r="CV658" s="1458"/>
      <c r="CW658" s="1458"/>
      <c r="CX658" s="1663"/>
      <c r="CY658" s="1458"/>
      <c r="CZ658" s="1458"/>
      <c r="DA658" s="1458"/>
      <c r="DB658" s="1663"/>
      <c r="DC658" s="1328"/>
      <c r="DD658" s="1664"/>
      <c r="DE658" s="1669"/>
    </row>
    <row r="659" spans="1:109" ht="15.75" hidden="1" customHeight="1">
      <c r="A659" s="741" t="s">
        <v>1241</v>
      </c>
      <c r="B659" s="742">
        <v>653</v>
      </c>
      <c r="C659" s="758" t="s">
        <v>1288</v>
      </c>
      <c r="D659" s="742" t="s">
        <v>4293</v>
      </c>
      <c r="E659" s="742" t="s">
        <v>2217</v>
      </c>
      <c r="F659" s="754">
        <v>20</v>
      </c>
      <c r="G659" s="759" t="s">
        <v>172</v>
      </c>
      <c r="H659" s="760" t="s">
        <v>4327</v>
      </c>
      <c r="I659" s="761">
        <v>0</v>
      </c>
      <c r="J659" s="762">
        <v>1</v>
      </c>
      <c r="K659" s="762">
        <v>0</v>
      </c>
      <c r="L659" s="762">
        <v>0</v>
      </c>
      <c r="M659" s="762">
        <v>0</v>
      </c>
      <c r="N659" s="762">
        <v>0</v>
      </c>
      <c r="O659" s="762">
        <v>0</v>
      </c>
      <c r="P659" s="763">
        <v>0</v>
      </c>
      <c r="Q659" s="764">
        <f t="shared" si="10"/>
        <v>1</v>
      </c>
      <c r="R659" s="758" t="s">
        <v>1846</v>
      </c>
      <c r="S659" s="742" t="s">
        <v>1826</v>
      </c>
      <c r="T659" s="765" t="s">
        <v>1827</v>
      </c>
      <c r="U659" s="742" t="s">
        <v>2247</v>
      </c>
      <c r="V659" s="742" t="s">
        <v>1897</v>
      </c>
      <c r="W659" s="742" t="s">
        <v>4328</v>
      </c>
      <c r="X659" s="798">
        <v>2</v>
      </c>
      <c r="Y659" s="795" t="s">
        <v>1838</v>
      </c>
      <c r="Z659" s="759" t="s">
        <v>172</v>
      </c>
      <c r="AA659" s="754"/>
      <c r="AB659" s="754"/>
      <c r="AC659" s="754"/>
      <c r="AD659" s="754"/>
      <c r="AE659" s="754"/>
      <c r="AF659" s="768"/>
      <c r="AG659" s="769"/>
      <c r="AH659" s="769"/>
      <c r="AI659" s="769"/>
      <c r="AJ659" s="769"/>
      <c r="AK659" s="769"/>
      <c r="AL659" s="769"/>
      <c r="AM659" s="769"/>
      <c r="AN659" s="769"/>
      <c r="AO659" s="769"/>
      <c r="AP659" s="769"/>
      <c r="AQ659" s="1370"/>
      <c r="AR659" s="1324"/>
      <c r="AS659" s="1324"/>
      <c r="AT659" s="1324"/>
      <c r="AU659" s="1325"/>
      <c r="AV659" s="777"/>
      <c r="AW659" s="769"/>
      <c r="AX659" s="769"/>
      <c r="AY659" s="769"/>
      <c r="AZ659" s="769"/>
      <c r="BA659" s="769"/>
      <c r="BB659" s="769"/>
      <c r="BC659" s="769"/>
      <c r="BD659" s="769"/>
      <c r="BE659" s="769"/>
      <c r="BF659" s="769"/>
      <c r="BG659" s="769"/>
      <c r="BH659" s="769"/>
      <c r="BI659" s="769"/>
      <c r="BJ659" s="769"/>
      <c r="BK659" s="774"/>
      <c r="BL659" s="1327"/>
      <c r="BM659" s="1328"/>
      <c r="BN659" s="1328"/>
      <c r="BO659" s="1328"/>
      <c r="BP659" s="1389"/>
      <c r="BQ659" s="1369"/>
      <c r="BR659" s="1319"/>
      <c r="BS659" s="1319"/>
      <c r="BT659" s="1319"/>
      <c r="BU659" s="1320"/>
      <c r="BV659" s="1369"/>
      <c r="BW659" s="1319"/>
      <c r="BX659" s="1319"/>
      <c r="BY659" s="1319"/>
      <c r="BZ659" s="1319"/>
      <c r="CA659" s="1369"/>
      <c r="CB659" s="1319"/>
      <c r="CC659" s="1319"/>
      <c r="CD659" s="1319"/>
      <c r="CE659" s="1320"/>
      <c r="CF659" s="1319"/>
      <c r="CG659" s="1319"/>
      <c r="CH659" s="1319"/>
      <c r="CI659" s="1319"/>
      <c r="CJ659" s="1319"/>
      <c r="CK659" s="1369"/>
      <c r="CL659" s="1319"/>
      <c r="CM659" s="1319"/>
      <c r="CN659" s="1319"/>
      <c r="CO659" s="1320"/>
      <c r="CP659" s="1369"/>
      <c r="CQ659" s="1319"/>
      <c r="CR659" s="1319"/>
      <c r="CS659" s="1319"/>
      <c r="CT659" s="1320"/>
      <c r="CU659" s="1467"/>
      <c r="CV659" s="1458"/>
      <c r="CW659" s="1458"/>
      <c r="CX659" s="1663"/>
      <c r="CY659" s="1458"/>
      <c r="CZ659" s="1458"/>
      <c r="DA659" s="1458"/>
      <c r="DB659" s="1663"/>
      <c r="DC659" s="1328"/>
      <c r="DD659" s="1664"/>
      <c r="DE659" s="1669"/>
    </row>
    <row r="660" spans="1:109" ht="15.75" hidden="1" customHeight="1">
      <c r="A660" s="741" t="s">
        <v>1241</v>
      </c>
      <c r="B660" s="742">
        <v>654</v>
      </c>
      <c r="C660" s="758" t="s">
        <v>1289</v>
      </c>
      <c r="D660" s="742" t="s">
        <v>4293</v>
      </c>
      <c r="E660" s="742" t="s">
        <v>2217</v>
      </c>
      <c r="F660" s="754">
        <v>21</v>
      </c>
      <c r="G660" s="759" t="s">
        <v>179</v>
      </c>
      <c r="H660" s="760" t="s">
        <v>4329</v>
      </c>
      <c r="I660" s="761">
        <v>0</v>
      </c>
      <c r="J660" s="762">
        <v>1</v>
      </c>
      <c r="K660" s="762">
        <v>0</v>
      </c>
      <c r="L660" s="762">
        <v>0</v>
      </c>
      <c r="M660" s="762">
        <v>0</v>
      </c>
      <c r="N660" s="762">
        <v>0</v>
      </c>
      <c r="O660" s="762">
        <v>0</v>
      </c>
      <c r="P660" s="763">
        <v>0</v>
      </c>
      <c r="Q660" s="764">
        <f t="shared" si="10"/>
        <v>1</v>
      </c>
      <c r="R660" s="758" t="s">
        <v>1852</v>
      </c>
      <c r="S660" s="742" t="s">
        <v>1826</v>
      </c>
      <c r="T660" s="765" t="s">
        <v>1827</v>
      </c>
      <c r="U660" s="742" t="s">
        <v>2220</v>
      </c>
      <c r="V660" s="742" t="s">
        <v>1851</v>
      </c>
      <c r="W660" s="742" t="s">
        <v>4330</v>
      </c>
      <c r="X660" s="802">
        <v>0</v>
      </c>
      <c r="Y660" s="795" t="s">
        <v>1838</v>
      </c>
      <c r="Z660" s="759" t="s">
        <v>179</v>
      </c>
      <c r="AA660" s="754"/>
      <c r="AB660" s="754"/>
      <c r="AC660" s="754"/>
      <c r="AD660" s="754"/>
      <c r="AE660" s="754"/>
      <c r="AF660" s="768"/>
      <c r="AG660" s="769"/>
      <c r="AH660" s="769"/>
      <c r="AI660" s="769"/>
      <c r="AJ660" s="769"/>
      <c r="AK660" s="769"/>
      <c r="AL660" s="769"/>
      <c r="AM660" s="814"/>
      <c r="AN660" s="814"/>
      <c r="AO660" s="814"/>
      <c r="AP660" s="814"/>
      <c r="AQ660" s="1321"/>
      <c r="AR660" s="1322"/>
      <c r="AS660" s="1322"/>
      <c r="AT660" s="1322"/>
      <c r="AU660" s="1323"/>
      <c r="AV660" s="815"/>
      <c r="AW660" s="814"/>
      <c r="AX660" s="814"/>
      <c r="AY660" s="814"/>
      <c r="AZ660" s="814"/>
      <c r="BA660" s="814"/>
      <c r="BB660" s="814"/>
      <c r="BC660" s="814"/>
      <c r="BD660" s="814"/>
      <c r="BE660" s="814"/>
      <c r="BF660" s="814"/>
      <c r="BG660" s="814"/>
      <c r="BH660" s="814"/>
      <c r="BI660" s="814"/>
      <c r="BJ660" s="814"/>
      <c r="BK660" s="816"/>
      <c r="BL660" s="1327"/>
      <c r="BM660" s="1328"/>
      <c r="BN660" s="1328"/>
      <c r="BO660" s="1328"/>
      <c r="BP660" s="1389"/>
      <c r="BQ660" s="1321"/>
      <c r="BR660" s="1322"/>
      <c r="BS660" s="1322"/>
      <c r="BT660" s="1322"/>
      <c r="BU660" s="1323"/>
      <c r="BV660" s="1321"/>
      <c r="BW660" s="1322"/>
      <c r="BX660" s="1322"/>
      <c r="BY660" s="1322"/>
      <c r="BZ660" s="1322"/>
      <c r="CA660" s="1321"/>
      <c r="CB660" s="1322"/>
      <c r="CC660" s="1322"/>
      <c r="CD660" s="1322"/>
      <c r="CE660" s="1323"/>
      <c r="CF660" s="1319"/>
      <c r="CG660" s="1319"/>
      <c r="CH660" s="1319"/>
      <c r="CI660" s="1319"/>
      <c r="CJ660" s="1319"/>
      <c r="CK660" s="1321"/>
      <c r="CL660" s="1322"/>
      <c r="CM660" s="1322"/>
      <c r="CN660" s="1322"/>
      <c r="CO660" s="1323"/>
      <c r="CP660" s="1321"/>
      <c r="CQ660" s="1322"/>
      <c r="CR660" s="1322"/>
      <c r="CS660" s="1322"/>
      <c r="CT660" s="1323"/>
      <c r="CU660" s="1467"/>
      <c r="CV660" s="1458"/>
      <c r="CW660" s="1458"/>
      <c r="CX660" s="1663"/>
      <c r="CY660" s="1458"/>
      <c r="CZ660" s="1458"/>
      <c r="DA660" s="1458"/>
      <c r="DB660" s="1663"/>
      <c r="DC660" s="1328"/>
      <c r="DD660" s="1664"/>
      <c r="DE660" s="1669"/>
    </row>
    <row r="661" spans="1:109" ht="15" hidden="1" customHeight="1">
      <c r="A661" s="741" t="s">
        <v>1241</v>
      </c>
      <c r="B661" s="742">
        <v>655</v>
      </c>
      <c r="C661" s="758" t="s">
        <v>1300</v>
      </c>
      <c r="D661" s="742" t="s">
        <v>4293</v>
      </c>
      <c r="E661" s="742" t="s">
        <v>2217</v>
      </c>
      <c r="F661" s="754">
        <v>22</v>
      </c>
      <c r="G661" s="759" t="s">
        <v>705</v>
      </c>
      <c r="H661" s="760" t="s">
        <v>4331</v>
      </c>
      <c r="I661" s="761">
        <v>0</v>
      </c>
      <c r="J661" s="762">
        <v>1</v>
      </c>
      <c r="K661" s="762">
        <v>0</v>
      </c>
      <c r="L661" s="762">
        <v>0</v>
      </c>
      <c r="M661" s="762">
        <v>0</v>
      </c>
      <c r="N661" s="762">
        <v>0</v>
      </c>
      <c r="O661" s="762">
        <v>0</v>
      </c>
      <c r="P661" s="763">
        <v>0</v>
      </c>
      <c r="Q661" s="764">
        <f t="shared" si="10"/>
        <v>1</v>
      </c>
      <c r="R661" s="758" t="s">
        <v>1852</v>
      </c>
      <c r="S661" s="742" t="s">
        <v>1826</v>
      </c>
      <c r="T661" s="765" t="s">
        <v>1827</v>
      </c>
      <c r="U661" s="742" t="s">
        <v>705</v>
      </c>
      <c r="V661" s="742" t="s">
        <v>1857</v>
      </c>
      <c r="W661" s="742" t="s">
        <v>4332</v>
      </c>
      <c r="X661" s="798">
        <v>1</v>
      </c>
      <c r="Y661" s="790" t="s">
        <v>1838</v>
      </c>
      <c r="Z661" s="759" t="s">
        <v>705</v>
      </c>
      <c r="AA661" s="754"/>
      <c r="AB661" s="754"/>
      <c r="AC661" s="754"/>
      <c r="AD661" s="754"/>
      <c r="AE661" s="754"/>
      <c r="AF661" s="768"/>
      <c r="AG661" s="769"/>
      <c r="AH661" s="769"/>
      <c r="AI661" s="769"/>
      <c r="AJ661" s="769"/>
      <c r="AK661" s="769"/>
      <c r="AL661" s="769"/>
      <c r="AM661" s="769"/>
      <c r="AN661" s="769"/>
      <c r="AO661" s="769"/>
      <c r="AP661" s="769"/>
      <c r="AQ661" s="1370"/>
      <c r="AR661" s="1324"/>
      <c r="AS661" s="1324"/>
      <c r="AT661" s="1324"/>
      <c r="AU661" s="1325"/>
      <c r="AV661" s="777"/>
      <c r="AW661" s="769"/>
      <c r="AX661" s="769"/>
      <c r="AY661" s="769"/>
      <c r="AZ661" s="769"/>
      <c r="BA661" s="769"/>
      <c r="BB661" s="769"/>
      <c r="BC661" s="769"/>
      <c r="BD661" s="769"/>
      <c r="BE661" s="769"/>
      <c r="BF661" s="769"/>
      <c r="BG661" s="769"/>
      <c r="BH661" s="769"/>
      <c r="BI661" s="769"/>
      <c r="BJ661" s="769"/>
      <c r="BK661" s="774"/>
      <c r="BL661" s="1327"/>
      <c r="BM661" s="1328"/>
      <c r="BN661" s="1328"/>
      <c r="BO661" s="1328"/>
      <c r="BP661" s="1389"/>
      <c r="BQ661" s="1728"/>
      <c r="BR661" s="1729"/>
      <c r="BS661" s="1729"/>
      <c r="BT661" s="1729"/>
      <c r="BU661" s="1730"/>
      <c r="BV661" s="1370"/>
      <c r="BW661" s="1324"/>
      <c r="BX661" s="1324"/>
      <c r="BY661" s="1324"/>
      <c r="BZ661" s="1324"/>
      <c r="CA661" s="1369"/>
      <c r="CB661" s="1319"/>
      <c r="CC661" s="1319"/>
      <c r="CD661" s="1319"/>
      <c r="CE661" s="1320"/>
      <c r="CF661" s="1319"/>
      <c r="CG661" s="1319"/>
      <c r="CH661" s="1319"/>
      <c r="CI661" s="1319"/>
      <c r="CJ661" s="1319"/>
      <c r="CK661" s="1370"/>
      <c r="CL661" s="1324"/>
      <c r="CM661" s="1324"/>
      <c r="CN661" s="1324"/>
      <c r="CO661" s="1325"/>
      <c r="CP661" s="1321"/>
      <c r="CQ661" s="1322"/>
      <c r="CR661" s="1322"/>
      <c r="CS661" s="1322"/>
      <c r="CT661" s="1323"/>
      <c r="CU661" s="1467"/>
      <c r="CV661" s="1458"/>
      <c r="CW661" s="1458"/>
      <c r="CX661" s="1663"/>
      <c r="CY661" s="1458"/>
      <c r="CZ661" s="1458"/>
      <c r="DA661" s="1458"/>
      <c r="DB661" s="1663"/>
      <c r="DC661" s="1328"/>
      <c r="DD661" s="1664"/>
      <c r="DE661" s="1669"/>
    </row>
    <row r="662" spans="1:109" ht="15.75" hidden="1" customHeight="1">
      <c r="A662" s="741" t="s">
        <v>1241</v>
      </c>
      <c r="B662" s="742">
        <v>656</v>
      </c>
      <c r="C662" s="758" t="s">
        <v>1293</v>
      </c>
      <c r="D662" s="742" t="s">
        <v>4293</v>
      </c>
      <c r="E662" s="742" t="s">
        <v>2231</v>
      </c>
      <c r="F662" s="754">
        <v>23</v>
      </c>
      <c r="G662" s="759" t="s">
        <v>209</v>
      </c>
      <c r="H662" s="760" t="s">
        <v>4333</v>
      </c>
      <c r="I662" s="761">
        <v>0</v>
      </c>
      <c r="J662" s="762">
        <v>1</v>
      </c>
      <c r="K662" s="762">
        <v>0</v>
      </c>
      <c r="L662" s="762">
        <v>0</v>
      </c>
      <c r="M662" s="762">
        <v>0</v>
      </c>
      <c r="N662" s="762">
        <v>0</v>
      </c>
      <c r="O662" s="762">
        <v>0</v>
      </c>
      <c r="P662" s="763">
        <v>0</v>
      </c>
      <c r="Q662" s="764">
        <f t="shared" si="10"/>
        <v>1</v>
      </c>
      <c r="R662" s="758" t="s">
        <v>1846</v>
      </c>
      <c r="S662" s="742" t="s">
        <v>1826</v>
      </c>
      <c r="T662" s="765" t="s">
        <v>1827</v>
      </c>
      <c r="U662" s="742" t="s">
        <v>2238</v>
      </c>
      <c r="V662" s="742" t="s">
        <v>321</v>
      </c>
      <c r="W662" s="742" t="s">
        <v>4334</v>
      </c>
      <c r="X662" s="798">
        <v>2</v>
      </c>
      <c r="Y662" s="788" t="s">
        <v>1838</v>
      </c>
      <c r="Z662" s="759" t="s">
        <v>209</v>
      </c>
      <c r="AA662" s="754"/>
      <c r="AB662" s="754"/>
      <c r="AC662" s="754"/>
      <c r="AD662" s="754"/>
      <c r="AE662" s="754"/>
      <c r="AF662" s="768"/>
      <c r="AG662" s="769"/>
      <c r="AH662" s="769"/>
      <c r="AI662" s="769"/>
      <c r="AJ662" s="769"/>
      <c r="AK662" s="769"/>
      <c r="AL662" s="769"/>
      <c r="AM662" s="769"/>
      <c r="AN662" s="769"/>
      <c r="AO662" s="769"/>
      <c r="AP662" s="769"/>
      <c r="AQ662" s="1370"/>
      <c r="AR662" s="1324"/>
      <c r="AS662" s="1324"/>
      <c r="AT662" s="1324"/>
      <c r="AU662" s="1325"/>
      <c r="AV662" s="777"/>
      <c r="AW662" s="769"/>
      <c r="AX662" s="769"/>
      <c r="AY662" s="769"/>
      <c r="AZ662" s="769"/>
      <c r="BA662" s="769"/>
      <c r="BB662" s="769"/>
      <c r="BC662" s="769"/>
      <c r="BD662" s="769"/>
      <c r="BE662" s="769"/>
      <c r="BF662" s="769"/>
      <c r="BG662" s="769"/>
      <c r="BH662" s="769"/>
      <c r="BI662" s="769"/>
      <c r="BJ662" s="769"/>
      <c r="BK662" s="774"/>
      <c r="BL662" s="1327"/>
      <c r="BM662" s="1328"/>
      <c r="BN662" s="1328"/>
      <c r="BO662" s="1328"/>
      <c r="BP662" s="1389"/>
      <c r="BQ662" s="1369"/>
      <c r="BR662" s="1319"/>
      <c r="BS662" s="1319"/>
      <c r="BT662" s="1319"/>
      <c r="BU662" s="1320"/>
      <c r="BV662" s="1369"/>
      <c r="BW662" s="1319"/>
      <c r="BX662" s="1319"/>
      <c r="BY662" s="1319"/>
      <c r="BZ662" s="1319"/>
      <c r="CA662" s="1370"/>
      <c r="CB662" s="1324"/>
      <c r="CC662" s="1324"/>
      <c r="CD662" s="1324"/>
      <c r="CE662" s="1325"/>
      <c r="CF662" s="1319"/>
      <c r="CG662" s="1319"/>
      <c r="CH662" s="1319"/>
      <c r="CI662" s="1319"/>
      <c r="CJ662" s="1320"/>
      <c r="CK662" s="1369"/>
      <c r="CL662" s="1319"/>
      <c r="CM662" s="1319"/>
      <c r="CN662" s="1319"/>
      <c r="CO662" s="1320"/>
      <c r="CP662" s="1369"/>
      <c r="CQ662" s="1319"/>
      <c r="CR662" s="1319"/>
      <c r="CS662" s="1319"/>
      <c r="CT662" s="1320"/>
      <c r="CU662" s="1467"/>
      <c r="CV662" s="1458"/>
      <c r="CW662" s="1458"/>
      <c r="CX662" s="1663"/>
      <c r="CY662" s="1458"/>
      <c r="CZ662" s="1458"/>
      <c r="DA662" s="1458"/>
      <c r="DB662" s="1663"/>
      <c r="DC662" s="1328"/>
      <c r="DD662" s="1664"/>
      <c r="DE662" s="1669"/>
    </row>
    <row r="663" spans="1:109" ht="15.75" hidden="1" customHeight="1">
      <c r="A663" s="741" t="s">
        <v>1241</v>
      </c>
      <c r="B663" s="742">
        <v>657</v>
      </c>
      <c r="C663" s="758" t="s">
        <v>1292</v>
      </c>
      <c r="D663" s="742" t="s">
        <v>4293</v>
      </c>
      <c r="E663" s="742" t="s">
        <v>2217</v>
      </c>
      <c r="F663" s="754">
        <v>24</v>
      </c>
      <c r="G663" s="759" t="s">
        <v>203</v>
      </c>
      <c r="H663" s="760" t="s">
        <v>4335</v>
      </c>
      <c r="I663" s="761">
        <v>0</v>
      </c>
      <c r="J663" s="762">
        <v>1</v>
      </c>
      <c r="K663" s="762">
        <v>0</v>
      </c>
      <c r="L663" s="762">
        <v>0</v>
      </c>
      <c r="M663" s="762">
        <v>0</v>
      </c>
      <c r="N663" s="762">
        <v>0</v>
      </c>
      <c r="O663" s="762">
        <v>0</v>
      </c>
      <c r="P663" s="763">
        <v>0</v>
      </c>
      <c r="Q663" s="764">
        <f t="shared" si="10"/>
        <v>1</v>
      </c>
      <c r="R663" s="758" t="s">
        <v>1846</v>
      </c>
      <c r="S663" s="742" t="s">
        <v>1826</v>
      </c>
      <c r="T663" s="765" t="s">
        <v>1827</v>
      </c>
      <c r="U663" s="742" t="s">
        <v>2363</v>
      </c>
      <c r="V663" s="742" t="s">
        <v>1857</v>
      </c>
      <c r="W663" s="742" t="s">
        <v>4336</v>
      </c>
      <c r="X663" s="798">
        <v>1</v>
      </c>
      <c r="Y663" s="788" t="s">
        <v>1838</v>
      </c>
      <c r="Z663" s="759" t="s">
        <v>203</v>
      </c>
      <c r="AA663" s="754"/>
      <c r="AB663" s="754"/>
      <c r="AC663" s="754"/>
      <c r="AD663" s="754"/>
      <c r="AE663" s="754"/>
      <c r="AF663" s="768"/>
      <c r="AG663" s="769"/>
      <c r="AH663" s="769"/>
      <c r="AI663" s="769"/>
      <c r="AJ663" s="769"/>
      <c r="AK663" s="769"/>
      <c r="AL663" s="769"/>
      <c r="AM663" s="769"/>
      <c r="AN663" s="769"/>
      <c r="AO663" s="769"/>
      <c r="AP663" s="769"/>
      <c r="AQ663" s="1370"/>
      <c r="AR663" s="1324"/>
      <c r="AS663" s="1324"/>
      <c r="AT663" s="1324"/>
      <c r="AU663" s="1325"/>
      <c r="AV663" s="777"/>
      <c r="AW663" s="769"/>
      <c r="AX663" s="769"/>
      <c r="AY663" s="769"/>
      <c r="AZ663" s="769"/>
      <c r="BA663" s="769"/>
      <c r="BB663" s="769"/>
      <c r="BC663" s="769"/>
      <c r="BD663" s="769"/>
      <c r="BE663" s="769"/>
      <c r="BF663" s="769"/>
      <c r="BG663" s="769"/>
      <c r="BH663" s="769"/>
      <c r="BI663" s="769"/>
      <c r="BJ663" s="769"/>
      <c r="BK663" s="774"/>
      <c r="BL663" s="1327"/>
      <c r="BM663" s="1328"/>
      <c r="BN663" s="1328"/>
      <c r="BO663" s="1328"/>
      <c r="BP663" s="1389"/>
      <c r="BQ663" s="1369"/>
      <c r="BR663" s="1319"/>
      <c r="BS663" s="1319"/>
      <c r="BT663" s="1319"/>
      <c r="BU663" s="1320"/>
      <c r="BV663" s="1369"/>
      <c r="BW663" s="1319"/>
      <c r="BX663" s="1319"/>
      <c r="BY663" s="1319"/>
      <c r="BZ663" s="1319"/>
      <c r="CA663" s="1460"/>
      <c r="CB663" s="1665"/>
      <c r="CC663" s="1665"/>
      <c r="CD663" s="1665"/>
      <c r="CE663" s="1466"/>
      <c r="CF663" s="1319"/>
      <c r="CG663" s="1319"/>
      <c r="CH663" s="1319"/>
      <c r="CI663" s="1319"/>
      <c r="CJ663" s="1320"/>
      <c r="CK663" s="1369"/>
      <c r="CL663" s="1319"/>
      <c r="CM663" s="1319"/>
      <c r="CN663" s="1319"/>
      <c r="CO663" s="1320"/>
      <c r="CP663" s="1369"/>
      <c r="CQ663" s="1319"/>
      <c r="CR663" s="1319"/>
      <c r="CS663" s="1319"/>
      <c r="CT663" s="1320"/>
      <c r="CU663" s="1467"/>
      <c r="CV663" s="1458"/>
      <c r="CW663" s="1458"/>
      <c r="CX663" s="1663"/>
      <c r="CY663" s="1458"/>
      <c r="CZ663" s="1458"/>
      <c r="DA663" s="1458"/>
      <c r="DB663" s="1663"/>
      <c r="DC663" s="1328"/>
      <c r="DD663" s="1664"/>
      <c r="DE663" s="1669"/>
    </row>
    <row r="664" spans="1:109" ht="15.75" hidden="1" customHeight="1">
      <c r="A664" s="741" t="s">
        <v>1241</v>
      </c>
      <c r="B664" s="742">
        <v>658</v>
      </c>
      <c r="C664" s="758" t="s">
        <v>1298</v>
      </c>
      <c r="D664" s="742" t="s">
        <v>4293</v>
      </c>
      <c r="E664" s="742" t="s">
        <v>2217</v>
      </c>
      <c r="F664" s="754">
        <v>25</v>
      </c>
      <c r="G664" s="759" t="s">
        <v>1084</v>
      </c>
      <c r="H664" s="760" t="s">
        <v>4337</v>
      </c>
      <c r="I664" s="761">
        <v>0</v>
      </c>
      <c r="J664" s="762">
        <v>1</v>
      </c>
      <c r="K664" s="762">
        <v>0</v>
      </c>
      <c r="L664" s="762">
        <v>0</v>
      </c>
      <c r="M664" s="762">
        <v>0</v>
      </c>
      <c r="N664" s="762">
        <v>0</v>
      </c>
      <c r="O664" s="762">
        <v>0</v>
      </c>
      <c r="P664" s="763">
        <v>0</v>
      </c>
      <c r="Q664" s="764">
        <f t="shared" si="10"/>
        <v>1</v>
      </c>
      <c r="R664" s="758" t="s">
        <v>1852</v>
      </c>
      <c r="S664" s="742" t="s">
        <v>1826</v>
      </c>
      <c r="T664" s="1389" t="s">
        <v>1837</v>
      </c>
      <c r="U664" s="742" t="s">
        <v>2348</v>
      </c>
      <c r="V664" s="742" t="s">
        <v>1857</v>
      </c>
      <c r="W664" s="742" t="s">
        <v>4338</v>
      </c>
      <c r="X664" s="798">
        <v>1</v>
      </c>
      <c r="Y664" s="788" t="s">
        <v>1838</v>
      </c>
      <c r="Z664" s="759" t="s">
        <v>1084</v>
      </c>
      <c r="AA664" s="754"/>
      <c r="AB664" s="754"/>
      <c r="AC664" s="754"/>
      <c r="AD664" s="754"/>
      <c r="AE664" s="754"/>
      <c r="AF664" s="768"/>
      <c r="AG664" s="769"/>
      <c r="AH664" s="769"/>
      <c r="AI664" s="769"/>
      <c r="AJ664" s="769"/>
      <c r="AK664" s="769"/>
      <c r="AL664" s="769"/>
      <c r="AM664" s="769"/>
      <c r="AN664" s="769"/>
      <c r="AO664" s="769"/>
      <c r="AP664" s="769"/>
      <c r="AQ664" s="1369"/>
      <c r="AR664" s="1319"/>
      <c r="AS664" s="1319"/>
      <c r="AT664" s="1319"/>
      <c r="AU664" s="1320"/>
      <c r="AV664" s="777"/>
      <c r="AW664" s="769"/>
      <c r="AX664" s="769"/>
      <c r="AY664" s="769"/>
      <c r="AZ664" s="769"/>
      <c r="BA664" s="769"/>
      <c r="BB664" s="769"/>
      <c r="BC664" s="769"/>
      <c r="BD664" s="769"/>
      <c r="BE664" s="769"/>
      <c r="BF664" s="769"/>
      <c r="BG664" s="769"/>
      <c r="BH664" s="769"/>
      <c r="BI664" s="769"/>
      <c r="BJ664" s="769"/>
      <c r="BK664" s="774"/>
      <c r="BL664" s="1327"/>
      <c r="BM664" s="1328"/>
      <c r="BN664" s="1328"/>
      <c r="BO664" s="1328"/>
      <c r="BP664" s="1389"/>
      <c r="BQ664" s="1369"/>
      <c r="BR664" s="1319"/>
      <c r="BS664" s="1319"/>
      <c r="BT664" s="1319"/>
      <c r="BU664" s="1320"/>
      <c r="BV664" s="1369"/>
      <c r="BW664" s="1319"/>
      <c r="BX664" s="1319"/>
      <c r="BY664" s="1319"/>
      <c r="BZ664" s="1319"/>
      <c r="CA664" s="1369"/>
      <c r="CB664" s="1319"/>
      <c r="CC664" s="1319"/>
      <c r="CD664" s="1319"/>
      <c r="CE664" s="1320"/>
      <c r="CF664" s="1319"/>
      <c r="CG664" s="1319"/>
      <c r="CH664" s="1319"/>
      <c r="CI664" s="1319"/>
      <c r="CJ664" s="1320"/>
      <c r="CK664" s="1370"/>
      <c r="CL664" s="1324"/>
      <c r="CM664" s="1324"/>
      <c r="CN664" s="1324"/>
      <c r="CO664" s="1325"/>
      <c r="CP664" s="1370"/>
      <c r="CQ664" s="1324"/>
      <c r="CR664" s="1324"/>
      <c r="CS664" s="1324"/>
      <c r="CT664" s="1325"/>
      <c r="CU664" s="1467"/>
      <c r="CV664" s="1458"/>
      <c r="CW664" s="1458"/>
      <c r="CX664" s="1663"/>
      <c r="CY664" s="1458"/>
      <c r="CZ664" s="1458"/>
      <c r="DA664" s="1458"/>
      <c r="DB664" s="1663"/>
      <c r="DC664" s="1328"/>
      <c r="DD664" s="1664"/>
      <c r="DE664" s="1669"/>
    </row>
    <row r="665" spans="1:109" ht="15.75" hidden="1" customHeight="1">
      <c r="A665" s="741" t="s">
        <v>1241</v>
      </c>
      <c r="B665" s="742">
        <v>659</v>
      </c>
      <c r="C665" s="758" t="s">
        <v>1405</v>
      </c>
      <c r="D665" s="742" t="s">
        <v>4293</v>
      </c>
      <c r="E665" s="742" t="s">
        <v>2217</v>
      </c>
      <c r="F665" s="754">
        <v>26</v>
      </c>
      <c r="G665" s="759" t="s">
        <v>4339</v>
      </c>
      <c r="H665" s="760" t="s">
        <v>4340</v>
      </c>
      <c r="I665" s="761">
        <v>0</v>
      </c>
      <c r="J665" s="762">
        <v>1</v>
      </c>
      <c r="K665" s="762">
        <v>0</v>
      </c>
      <c r="L665" s="762">
        <v>0</v>
      </c>
      <c r="M665" s="762">
        <v>0</v>
      </c>
      <c r="N665" s="762">
        <v>0</v>
      </c>
      <c r="O665" s="762">
        <v>0</v>
      </c>
      <c r="P665" s="763">
        <v>0</v>
      </c>
      <c r="Q665" s="764">
        <f t="shared" si="10"/>
        <v>1</v>
      </c>
      <c r="R665" s="758" t="s">
        <v>1852</v>
      </c>
      <c r="S665" s="742" t="s">
        <v>1826</v>
      </c>
      <c r="T665" s="765" t="s">
        <v>1827</v>
      </c>
      <c r="U665" s="742" t="s">
        <v>2421</v>
      </c>
      <c r="V665" s="742" t="s">
        <v>1857</v>
      </c>
      <c r="W665" s="742" t="s">
        <v>4341</v>
      </c>
      <c r="X665" s="798">
        <v>1</v>
      </c>
      <c r="Y665" s="788" t="s">
        <v>1838</v>
      </c>
      <c r="Z665" s="759" t="s">
        <v>2309</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210</v>
      </c>
      <c r="BM665" s="754" t="s">
        <v>210</v>
      </c>
      <c r="BN665" s="754" t="s">
        <v>210</v>
      </c>
      <c r="BO665" s="754" t="s">
        <v>210</v>
      </c>
      <c r="BP665" s="765" t="s">
        <v>210</v>
      </c>
      <c r="BQ665" s="777" t="s">
        <v>2260</v>
      </c>
      <c r="BR665" s="769" t="s">
        <v>2260</v>
      </c>
      <c r="BS665" s="769" t="s">
        <v>2260</v>
      </c>
      <c r="BT665" s="769" t="s">
        <v>2260</v>
      </c>
      <c r="BU665" s="774" t="s">
        <v>2260</v>
      </c>
      <c r="BV665" s="777">
        <v>22.8</v>
      </c>
      <c r="BW665" s="769">
        <v>22.8</v>
      </c>
      <c r="BX665" s="769">
        <v>22.8</v>
      </c>
      <c r="BY665" s="769">
        <v>22.8</v>
      </c>
      <c r="BZ665" s="769">
        <v>22.8</v>
      </c>
      <c r="CA665" s="777" t="s">
        <v>2260</v>
      </c>
      <c r="CB665" s="769" t="s">
        <v>2260</v>
      </c>
      <c r="CC665" s="769" t="s">
        <v>2260</v>
      </c>
      <c r="CD665" s="769" t="s">
        <v>2260</v>
      </c>
      <c r="CE665" s="774" t="s">
        <v>2260</v>
      </c>
      <c r="CF665" s="769" t="s">
        <v>2260</v>
      </c>
      <c r="CG665" s="769" t="s">
        <v>2260</v>
      </c>
      <c r="CH665" s="769" t="s">
        <v>2260</v>
      </c>
      <c r="CI665" s="769" t="s">
        <v>2260</v>
      </c>
      <c r="CJ665" s="774" t="s">
        <v>2260</v>
      </c>
      <c r="CK665" s="777">
        <v>3.7</v>
      </c>
      <c r="CL665" s="769">
        <v>2.9</v>
      </c>
      <c r="CM665" s="769">
        <v>2</v>
      </c>
      <c r="CN665" s="769">
        <v>1.2</v>
      </c>
      <c r="CO665" s="774">
        <v>0.4</v>
      </c>
      <c r="CP665" s="777" t="s">
        <v>2260</v>
      </c>
      <c r="CQ665" s="769" t="s">
        <v>2260</v>
      </c>
      <c r="CR665" s="769" t="s">
        <v>2260</v>
      </c>
      <c r="CS665" s="769" t="s">
        <v>2260</v>
      </c>
      <c r="CT665" s="774" t="s">
        <v>2260</v>
      </c>
      <c r="CU665" s="1253">
        <v>-1.2290000000000001</v>
      </c>
      <c r="CV665" s="1252" t="s">
        <v>2260</v>
      </c>
      <c r="CW665" s="1252" t="s">
        <v>2260</v>
      </c>
      <c r="CX665" s="1254" t="s">
        <v>2260</v>
      </c>
      <c r="CY665" s="1252">
        <v>1.024</v>
      </c>
      <c r="CZ665" s="1252" t="s">
        <v>2260</v>
      </c>
      <c r="DA665" s="1252" t="s">
        <v>2260</v>
      </c>
      <c r="DB665" s="1254" t="s">
        <v>2260</v>
      </c>
      <c r="DC665" s="754"/>
      <c r="DD665" s="782">
        <v>1</v>
      </c>
      <c r="DE665" s="783"/>
    </row>
    <row r="666" spans="1:109" ht="15.75" hidden="1" customHeight="1">
      <c r="A666" s="741" t="s">
        <v>1241</v>
      </c>
      <c r="B666" s="742">
        <v>660</v>
      </c>
      <c r="C666" s="758" t="s">
        <v>1422</v>
      </c>
      <c r="D666" s="742" t="s">
        <v>4293</v>
      </c>
      <c r="E666" s="742" t="s">
        <v>2217</v>
      </c>
      <c r="F666" s="754">
        <v>27</v>
      </c>
      <c r="G666" s="759" t="s">
        <v>4342</v>
      </c>
      <c r="H666" s="760" t="s">
        <v>4343</v>
      </c>
      <c r="I666" s="761">
        <v>0</v>
      </c>
      <c r="J666" s="762">
        <v>1</v>
      </c>
      <c r="K666" s="762">
        <v>0</v>
      </c>
      <c r="L666" s="762">
        <v>0</v>
      </c>
      <c r="M666" s="762">
        <v>0</v>
      </c>
      <c r="N666" s="762">
        <v>0</v>
      </c>
      <c r="O666" s="762">
        <v>0</v>
      </c>
      <c r="P666" s="763">
        <v>0</v>
      </c>
      <c r="Q666" s="764">
        <f t="shared" si="10"/>
        <v>1</v>
      </c>
      <c r="R666" s="758" t="s">
        <v>1852</v>
      </c>
      <c r="S666" s="742" t="s">
        <v>1826</v>
      </c>
      <c r="T666" s="765" t="s">
        <v>1827</v>
      </c>
      <c r="U666" s="742" t="s">
        <v>2220</v>
      </c>
      <c r="V666" s="742" t="s">
        <v>1857</v>
      </c>
      <c r="W666" s="742" t="s">
        <v>4344</v>
      </c>
      <c r="X666" s="798">
        <v>0</v>
      </c>
      <c r="Y666" s="790" t="s">
        <v>1838</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210</v>
      </c>
      <c r="BM666" s="754" t="s">
        <v>210</v>
      </c>
      <c r="BN666" s="754" t="s">
        <v>210</v>
      </c>
      <c r="BO666" s="754" t="s">
        <v>210</v>
      </c>
      <c r="BP666" s="765" t="s">
        <v>210</v>
      </c>
      <c r="BQ666" s="777" t="s">
        <v>2260</v>
      </c>
      <c r="BR666" s="769" t="s">
        <v>2260</v>
      </c>
      <c r="BS666" s="769" t="s">
        <v>2260</v>
      </c>
      <c r="BT666" s="769" t="s">
        <v>2260</v>
      </c>
      <c r="BU666" s="774" t="s">
        <v>2260</v>
      </c>
      <c r="BV666" s="777" t="s">
        <v>2260</v>
      </c>
      <c r="BW666" s="769" t="s">
        <v>2260</v>
      </c>
      <c r="BX666" s="769" t="s">
        <v>2260</v>
      </c>
      <c r="BY666" s="769" t="s">
        <v>2260</v>
      </c>
      <c r="BZ666" s="769" t="s">
        <v>2260</v>
      </c>
      <c r="CA666" s="777" t="s">
        <v>2260</v>
      </c>
      <c r="CB666" s="769" t="s">
        <v>2260</v>
      </c>
      <c r="CC666" s="769" t="s">
        <v>2260</v>
      </c>
      <c r="CD666" s="769" t="s">
        <v>2260</v>
      </c>
      <c r="CE666" s="774" t="s">
        <v>2260</v>
      </c>
      <c r="CF666" s="769" t="s">
        <v>2260</v>
      </c>
      <c r="CG666" s="769" t="s">
        <v>2260</v>
      </c>
      <c r="CH666" s="769" t="s">
        <v>2260</v>
      </c>
      <c r="CI666" s="769" t="s">
        <v>2260</v>
      </c>
      <c r="CJ666" s="774" t="s">
        <v>2260</v>
      </c>
      <c r="CK666" s="777" t="s">
        <v>2260</v>
      </c>
      <c r="CL666" s="769" t="s">
        <v>2260</v>
      </c>
      <c r="CM666" s="769" t="s">
        <v>2260</v>
      </c>
      <c r="CN666" s="769" t="s">
        <v>2260</v>
      </c>
      <c r="CO666" s="774" t="s">
        <v>2260</v>
      </c>
      <c r="CP666" s="777" t="s">
        <v>2260</v>
      </c>
      <c r="CQ666" s="769" t="s">
        <v>2260</v>
      </c>
      <c r="CR666" s="769" t="s">
        <v>2260</v>
      </c>
      <c r="CS666" s="769" t="s">
        <v>2260</v>
      </c>
      <c r="CT666" s="774" t="s">
        <v>2260</v>
      </c>
      <c r="CU666" s="1253">
        <v>-0.26500000000000001</v>
      </c>
      <c r="CV666" s="1252" t="s">
        <v>2260</v>
      </c>
      <c r="CW666" s="1252" t="s">
        <v>2260</v>
      </c>
      <c r="CX666" s="1254" t="s">
        <v>2260</v>
      </c>
      <c r="CY666" s="1252">
        <v>0.26500000000000001</v>
      </c>
      <c r="CZ666" s="1252" t="s">
        <v>2260</v>
      </c>
      <c r="DA666" s="1252" t="s">
        <v>2260</v>
      </c>
      <c r="DB666" s="1254" t="s">
        <v>2260</v>
      </c>
      <c r="DC666" s="754"/>
      <c r="DD666" s="782">
        <v>1</v>
      </c>
      <c r="DE666" s="783"/>
    </row>
    <row r="667" spans="1:109" ht="15.75" hidden="1" customHeight="1">
      <c r="A667" s="741" t="s">
        <v>1241</v>
      </c>
      <c r="B667" s="742">
        <v>661</v>
      </c>
      <c r="C667" s="758" t="s">
        <v>1438</v>
      </c>
      <c r="D667" s="742" t="s">
        <v>4293</v>
      </c>
      <c r="E667" s="742" t="s">
        <v>2223</v>
      </c>
      <c r="F667" s="754">
        <v>28</v>
      </c>
      <c r="G667" s="759" t="s">
        <v>2297</v>
      </c>
      <c r="H667" s="760" t="s">
        <v>4345</v>
      </c>
      <c r="I667" s="761">
        <v>0</v>
      </c>
      <c r="J667" s="762">
        <v>1</v>
      </c>
      <c r="K667" s="762">
        <v>0</v>
      </c>
      <c r="L667" s="762">
        <v>0</v>
      </c>
      <c r="M667" s="762">
        <v>0</v>
      </c>
      <c r="N667" s="762">
        <v>0</v>
      </c>
      <c r="O667" s="762">
        <v>0</v>
      </c>
      <c r="P667" s="763">
        <v>0</v>
      </c>
      <c r="Q667" s="764">
        <f t="shared" si="10"/>
        <v>1</v>
      </c>
      <c r="R667" s="758" t="s">
        <v>1852</v>
      </c>
      <c r="S667" s="742" t="s">
        <v>1826</v>
      </c>
      <c r="T667" s="765" t="s">
        <v>1827</v>
      </c>
      <c r="U667" s="742" t="s">
        <v>2297</v>
      </c>
      <c r="V667" s="742" t="s">
        <v>1857</v>
      </c>
      <c r="W667" s="742" t="s">
        <v>4346</v>
      </c>
      <c r="X667" s="798">
        <v>0</v>
      </c>
      <c r="Y667" s="790" t="s">
        <v>1838</v>
      </c>
      <c r="Z667" s="759" t="s">
        <v>2297</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210</v>
      </c>
      <c r="BM667" s="754" t="s">
        <v>210</v>
      </c>
      <c r="BN667" s="754" t="s">
        <v>210</v>
      </c>
      <c r="BO667" s="754" t="s">
        <v>210</v>
      </c>
      <c r="BP667" s="765" t="s">
        <v>210</v>
      </c>
      <c r="BQ667" s="777" t="s">
        <v>2260</v>
      </c>
      <c r="BR667" s="769" t="s">
        <v>2260</v>
      </c>
      <c r="BS667" s="769" t="s">
        <v>2260</v>
      </c>
      <c r="BT667" s="769" t="s">
        <v>2260</v>
      </c>
      <c r="BU667" s="774" t="s">
        <v>2260</v>
      </c>
      <c r="BV667" s="777" t="s">
        <v>2260</v>
      </c>
      <c r="BW667" s="769" t="s">
        <v>2260</v>
      </c>
      <c r="BX667" s="769" t="s">
        <v>2260</v>
      </c>
      <c r="BY667" s="769" t="s">
        <v>2260</v>
      </c>
      <c r="BZ667" s="769" t="s">
        <v>2260</v>
      </c>
      <c r="CA667" s="777" t="s">
        <v>2260</v>
      </c>
      <c r="CB667" s="769" t="s">
        <v>2260</v>
      </c>
      <c r="CC667" s="769" t="s">
        <v>2260</v>
      </c>
      <c r="CD667" s="769" t="s">
        <v>2260</v>
      </c>
      <c r="CE667" s="774" t="s">
        <v>2260</v>
      </c>
      <c r="CF667" s="1179"/>
      <c r="CG667" s="1179"/>
      <c r="CH667" s="1179"/>
      <c r="CI667" s="1179"/>
      <c r="CJ667" s="1180"/>
      <c r="CK667" s="777" t="s">
        <v>2260</v>
      </c>
      <c r="CL667" s="769" t="s">
        <v>2260</v>
      </c>
      <c r="CM667" s="769" t="s">
        <v>2260</v>
      </c>
      <c r="CN667" s="769" t="s">
        <v>2260</v>
      </c>
      <c r="CO667" s="774" t="s">
        <v>2260</v>
      </c>
      <c r="CP667" s="777" t="s">
        <v>2260</v>
      </c>
      <c r="CQ667" s="769" t="s">
        <v>2260</v>
      </c>
      <c r="CR667" s="769" t="s">
        <v>2260</v>
      </c>
      <c r="CS667" s="769" t="s">
        <v>2260</v>
      </c>
      <c r="CT667" s="774" t="s">
        <v>2260</v>
      </c>
      <c r="CU667" s="1253">
        <v>-0.13900000000000001</v>
      </c>
      <c r="CV667" s="1252" t="s">
        <v>2260</v>
      </c>
      <c r="CW667" s="1252" t="s">
        <v>2260</v>
      </c>
      <c r="CX667" s="1254" t="s">
        <v>2260</v>
      </c>
      <c r="CY667" s="1255" t="s">
        <v>2260</v>
      </c>
      <c r="CZ667" s="1252" t="s">
        <v>2260</v>
      </c>
      <c r="DA667" s="1252" t="s">
        <v>2260</v>
      </c>
      <c r="DB667" s="1254" t="s">
        <v>2260</v>
      </c>
      <c r="DC667" s="754"/>
      <c r="DD667" s="782">
        <v>1</v>
      </c>
      <c r="DE667" s="783"/>
    </row>
    <row r="668" spans="1:109" ht="15.75" hidden="1" customHeight="1">
      <c r="A668" s="741" t="s">
        <v>1241</v>
      </c>
      <c r="B668" s="742">
        <v>662</v>
      </c>
      <c r="C668" s="758" t="s">
        <v>1453</v>
      </c>
      <c r="D668" s="742" t="s">
        <v>4293</v>
      </c>
      <c r="E668" s="742" t="s">
        <v>2231</v>
      </c>
      <c r="F668" s="754">
        <v>29</v>
      </c>
      <c r="G668" s="759" t="s">
        <v>4347</v>
      </c>
      <c r="H668" s="760" t="s">
        <v>4348</v>
      </c>
      <c r="I668" s="761">
        <v>0</v>
      </c>
      <c r="J668" s="762">
        <v>1</v>
      </c>
      <c r="K668" s="762">
        <v>0</v>
      </c>
      <c r="L668" s="762">
        <v>0</v>
      </c>
      <c r="M668" s="762">
        <v>0</v>
      </c>
      <c r="N668" s="762">
        <v>0</v>
      </c>
      <c r="O668" s="762">
        <v>0</v>
      </c>
      <c r="P668" s="763">
        <v>0</v>
      </c>
      <c r="Q668" s="764">
        <f t="shared" si="10"/>
        <v>1</v>
      </c>
      <c r="R668" s="758" t="s">
        <v>1852</v>
      </c>
      <c r="S668" s="742" t="s">
        <v>1826</v>
      </c>
      <c r="T668" s="765" t="s">
        <v>1827</v>
      </c>
      <c r="U668" s="742" t="s">
        <v>2220</v>
      </c>
      <c r="V668" s="742" t="s">
        <v>1857</v>
      </c>
      <c r="W668" s="742" t="s">
        <v>4349</v>
      </c>
      <c r="X668" s="798">
        <v>0</v>
      </c>
      <c r="Y668" s="790" t="s">
        <v>1828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210</v>
      </c>
      <c r="BM668" s="754" t="s">
        <v>210</v>
      </c>
      <c r="BN668" s="754" t="s">
        <v>210</v>
      </c>
      <c r="BO668" s="754" t="s">
        <v>210</v>
      </c>
      <c r="BP668" s="765" t="s">
        <v>210</v>
      </c>
      <c r="BQ668" s="777" t="s">
        <v>2260</v>
      </c>
      <c r="BR668" s="769" t="s">
        <v>2260</v>
      </c>
      <c r="BS668" s="769" t="s">
        <v>2260</v>
      </c>
      <c r="BT668" s="769" t="s">
        <v>2260</v>
      </c>
      <c r="BU668" s="774" t="s">
        <v>2260</v>
      </c>
      <c r="BV668" s="777" t="s">
        <v>2260</v>
      </c>
      <c r="BW668" s="769" t="s">
        <v>2260</v>
      </c>
      <c r="BX668" s="769" t="s">
        <v>2260</v>
      </c>
      <c r="BY668" s="769" t="s">
        <v>2260</v>
      </c>
      <c r="BZ668" s="769" t="s">
        <v>2260</v>
      </c>
      <c r="CA668" s="792" t="s">
        <v>2260</v>
      </c>
      <c r="CB668" s="793" t="s">
        <v>2260</v>
      </c>
      <c r="CC668" s="793" t="s">
        <v>2260</v>
      </c>
      <c r="CD668" s="793" t="s">
        <v>2260</v>
      </c>
      <c r="CE668" s="794" t="s">
        <v>2260</v>
      </c>
      <c r="CF668" s="769" t="s">
        <v>2260</v>
      </c>
      <c r="CG668" s="769" t="s">
        <v>2260</v>
      </c>
      <c r="CH668" s="769" t="s">
        <v>2260</v>
      </c>
      <c r="CI668" s="769" t="s">
        <v>2260</v>
      </c>
      <c r="CJ668" s="774" t="s">
        <v>2260</v>
      </c>
      <c r="CK668" s="792" t="s">
        <v>2260</v>
      </c>
      <c r="CL668" s="793" t="s">
        <v>2260</v>
      </c>
      <c r="CM668" s="793" t="s">
        <v>2260</v>
      </c>
      <c r="CN668" s="793" t="s">
        <v>2260</v>
      </c>
      <c r="CO668" s="794" t="s">
        <v>2260</v>
      </c>
      <c r="CP668" s="792" t="s">
        <v>2260</v>
      </c>
      <c r="CQ668" s="793" t="s">
        <v>2260</v>
      </c>
      <c r="CR668" s="793" t="s">
        <v>2260</v>
      </c>
      <c r="CS668" s="793" t="s">
        <v>2260</v>
      </c>
      <c r="CT668" s="793" t="s">
        <v>2260</v>
      </c>
      <c r="CU668" s="1253">
        <v>-4.4900000000000002E-4</v>
      </c>
      <c r="CV668" s="1252" t="s">
        <v>2260</v>
      </c>
      <c r="CW668" s="1252" t="s">
        <v>2260</v>
      </c>
      <c r="CX668" s="1254" t="s">
        <v>2260</v>
      </c>
      <c r="CY668" s="1252">
        <v>4.4900000000000002E-4</v>
      </c>
      <c r="CZ668" s="1252" t="s">
        <v>2260</v>
      </c>
      <c r="DA668" s="1252" t="s">
        <v>2260</v>
      </c>
      <c r="DB668" s="1254" t="s">
        <v>2260</v>
      </c>
      <c r="DC668" s="754"/>
      <c r="DD668" s="782">
        <v>1</v>
      </c>
      <c r="DE668" s="783"/>
    </row>
    <row r="669" spans="1:109" ht="15.75" hidden="1" customHeight="1">
      <c r="A669" s="741" t="s">
        <v>1241</v>
      </c>
      <c r="B669" s="742">
        <v>663</v>
      </c>
      <c r="C669" s="758" t="s">
        <v>1248</v>
      </c>
      <c r="D669" s="742" t="s">
        <v>4274</v>
      </c>
      <c r="E669" s="742" t="s">
        <v>2217</v>
      </c>
      <c r="F669" s="754">
        <v>30</v>
      </c>
      <c r="G669" s="759" t="s">
        <v>788</v>
      </c>
      <c r="H669" s="760" t="s">
        <v>4350</v>
      </c>
      <c r="I669" s="761">
        <v>0</v>
      </c>
      <c r="J669" s="762">
        <v>0</v>
      </c>
      <c r="K669" s="762">
        <v>1</v>
      </c>
      <c r="L669" s="762">
        <v>0</v>
      </c>
      <c r="M669" s="762">
        <v>0</v>
      </c>
      <c r="N669" s="762">
        <v>0</v>
      </c>
      <c r="O669" s="762">
        <v>0</v>
      </c>
      <c r="P669" s="763">
        <v>0</v>
      </c>
      <c r="Q669" s="764">
        <f t="shared" si="10"/>
        <v>1</v>
      </c>
      <c r="R669" s="758" t="s">
        <v>1852</v>
      </c>
      <c r="S669" s="742" t="s">
        <v>1826</v>
      </c>
      <c r="T669" s="765" t="s">
        <v>1827</v>
      </c>
      <c r="U669" s="742" t="s">
        <v>788</v>
      </c>
      <c r="V669" s="742" t="s">
        <v>1857</v>
      </c>
      <c r="W669" s="742" t="s">
        <v>4351</v>
      </c>
      <c r="X669" s="1243">
        <v>2</v>
      </c>
      <c r="Y669" s="790" t="s">
        <v>1838</v>
      </c>
      <c r="Z669" s="759" t="s">
        <v>788</v>
      </c>
      <c r="AA669" s="754"/>
      <c r="AB669" s="754"/>
      <c r="AC669" s="754"/>
      <c r="AD669" s="754"/>
      <c r="AE669" s="754"/>
      <c r="AF669" s="768"/>
      <c r="AG669" s="769"/>
      <c r="AH669" s="769"/>
      <c r="AI669" s="769"/>
      <c r="AJ669" s="769"/>
      <c r="AK669" s="769"/>
      <c r="AL669" s="769"/>
      <c r="AM669" s="769"/>
      <c r="AN669" s="798"/>
      <c r="AO669" s="798"/>
      <c r="AP669" s="798"/>
      <c r="AQ669" s="1690"/>
      <c r="AR669" s="1689"/>
      <c r="AS669" s="1689"/>
      <c r="AT669" s="1689"/>
      <c r="AU669" s="1691"/>
      <c r="AV669" s="797"/>
      <c r="AW669" s="798"/>
      <c r="AX669" s="798"/>
      <c r="AY669" s="798"/>
      <c r="AZ669" s="798"/>
      <c r="BA669" s="798"/>
      <c r="BB669" s="798"/>
      <c r="BC669" s="798"/>
      <c r="BD669" s="798"/>
      <c r="BE669" s="798"/>
      <c r="BF669" s="798"/>
      <c r="BG669" s="798"/>
      <c r="BH669" s="798"/>
      <c r="BI669" s="798"/>
      <c r="BJ669" s="798"/>
      <c r="BK669" s="799"/>
      <c r="BL669" s="1327"/>
      <c r="BM669" s="1328"/>
      <c r="BN669" s="1328"/>
      <c r="BO669" s="1328"/>
      <c r="BP669" s="1389"/>
      <c r="BQ669" s="1660"/>
      <c r="BR669" s="1661"/>
      <c r="BS669" s="1661"/>
      <c r="BT669" s="1661"/>
      <c r="BU669" s="1662"/>
      <c r="BV669" s="1370"/>
      <c r="BW669" s="1324"/>
      <c r="BX669" s="1324"/>
      <c r="BY669" s="1324"/>
      <c r="BZ669" s="1324"/>
      <c r="CA669" s="1369"/>
      <c r="CB669" s="1319"/>
      <c r="CC669" s="1319"/>
      <c r="CD669" s="1319"/>
      <c r="CE669" s="1320"/>
      <c r="CF669" s="1319"/>
      <c r="CG669" s="1319"/>
      <c r="CH669" s="1319"/>
      <c r="CI669" s="1319"/>
      <c r="CJ669" s="1320"/>
      <c r="CK669" s="1370"/>
      <c r="CL669" s="1324"/>
      <c r="CM669" s="1324"/>
      <c r="CN669" s="1324"/>
      <c r="CO669" s="1325"/>
      <c r="CP669" s="1370"/>
      <c r="CQ669" s="1324"/>
      <c r="CR669" s="1324"/>
      <c r="CS669" s="1324"/>
      <c r="CT669" s="1325"/>
      <c r="CU669" s="1467"/>
      <c r="CV669" s="1458"/>
      <c r="CW669" s="1458"/>
      <c r="CX669" s="1663"/>
      <c r="CY669" s="1458"/>
      <c r="CZ669" s="1458"/>
      <c r="DA669" s="1458"/>
      <c r="DB669" s="1663"/>
      <c r="DC669" s="1328"/>
      <c r="DD669" s="1664"/>
      <c r="DE669" s="1669"/>
    </row>
    <row r="670" spans="1:109" ht="15.75" hidden="1" customHeight="1">
      <c r="A670" s="741" t="s">
        <v>1241</v>
      </c>
      <c r="B670" s="742">
        <v>664</v>
      </c>
      <c r="C670" s="758" t="s">
        <v>1234</v>
      </c>
      <c r="D670" s="742" t="s">
        <v>4274</v>
      </c>
      <c r="E670" s="742" t="s">
        <v>2217</v>
      </c>
      <c r="F670" s="754">
        <v>31</v>
      </c>
      <c r="G670" s="759" t="s">
        <v>784</v>
      </c>
      <c r="H670" s="760" t="s">
        <v>4352</v>
      </c>
      <c r="I670" s="761">
        <v>0</v>
      </c>
      <c r="J670" s="762">
        <v>0</v>
      </c>
      <c r="K670" s="762">
        <v>1</v>
      </c>
      <c r="L670" s="762">
        <v>0</v>
      </c>
      <c r="M670" s="762">
        <v>0</v>
      </c>
      <c r="N670" s="762">
        <v>0</v>
      </c>
      <c r="O670" s="762">
        <v>0</v>
      </c>
      <c r="P670" s="763">
        <v>0</v>
      </c>
      <c r="Q670" s="764">
        <f t="shared" si="10"/>
        <v>1</v>
      </c>
      <c r="R670" s="758" t="s">
        <v>1852</v>
      </c>
      <c r="S670" s="742" t="s">
        <v>1826</v>
      </c>
      <c r="T670" s="765" t="s">
        <v>1827</v>
      </c>
      <c r="U670" s="742" t="s">
        <v>2351</v>
      </c>
      <c r="V670" s="742" t="s">
        <v>1857</v>
      </c>
      <c r="W670" s="742" t="s">
        <v>4353</v>
      </c>
      <c r="X670" s="1243">
        <v>2</v>
      </c>
      <c r="Y670" s="790" t="s">
        <v>1838</v>
      </c>
      <c r="Z670" s="759" t="s">
        <v>784</v>
      </c>
      <c r="AA670" s="754"/>
      <c r="AB670" s="754"/>
      <c r="AC670" s="754"/>
      <c r="AD670" s="754"/>
      <c r="AE670" s="754"/>
      <c r="AF670" s="768"/>
      <c r="AG670" s="769"/>
      <c r="AH670" s="769"/>
      <c r="AI670" s="769"/>
      <c r="AJ670" s="769"/>
      <c r="AK670" s="769"/>
      <c r="AL670" s="769"/>
      <c r="AM670" s="769"/>
      <c r="AN670" s="769"/>
      <c r="AO670" s="769"/>
      <c r="AP670" s="769"/>
      <c r="AQ670" s="1370"/>
      <c r="AR670" s="1324"/>
      <c r="AS670" s="1324"/>
      <c r="AT670" s="1324"/>
      <c r="AU670" s="1325"/>
      <c r="AV670" s="777"/>
      <c r="AW670" s="769"/>
      <c r="AX670" s="769"/>
      <c r="AY670" s="769"/>
      <c r="AZ670" s="769"/>
      <c r="BA670" s="769"/>
      <c r="BB670" s="769"/>
      <c r="BC670" s="769"/>
      <c r="BD670" s="769"/>
      <c r="BE670" s="769"/>
      <c r="BF670" s="769"/>
      <c r="BG670" s="769"/>
      <c r="BH670" s="769"/>
      <c r="BI670" s="769"/>
      <c r="BJ670" s="769"/>
      <c r="BK670" s="774"/>
      <c r="BL670" s="1327"/>
      <c r="BM670" s="1328"/>
      <c r="BN670" s="1328"/>
      <c r="BO670" s="1328"/>
      <c r="BP670" s="1389"/>
      <c r="BQ670" s="1370"/>
      <c r="BR670" s="1324"/>
      <c r="BS670" s="1324"/>
      <c r="BT670" s="1324"/>
      <c r="BU670" s="1325"/>
      <c r="BV670" s="1370"/>
      <c r="BW670" s="1324"/>
      <c r="BX670" s="1324"/>
      <c r="BY670" s="1324"/>
      <c r="BZ670" s="1324"/>
      <c r="CA670" s="1369"/>
      <c r="CB670" s="1319"/>
      <c r="CC670" s="1319"/>
      <c r="CD670" s="1319"/>
      <c r="CE670" s="1320"/>
      <c r="CF670" s="1319"/>
      <c r="CG670" s="1319"/>
      <c r="CH670" s="1319"/>
      <c r="CI670" s="1319"/>
      <c r="CJ670" s="1319"/>
      <c r="CK670" s="1370"/>
      <c r="CL670" s="1324"/>
      <c r="CM670" s="1324"/>
      <c r="CN670" s="1324"/>
      <c r="CO670" s="1325"/>
      <c r="CP670" s="1370"/>
      <c r="CQ670" s="1324"/>
      <c r="CR670" s="1324"/>
      <c r="CS670" s="1324"/>
      <c r="CT670" s="1325"/>
      <c r="CU670" s="1467"/>
      <c r="CV670" s="1458"/>
      <c r="CW670" s="1458"/>
      <c r="CX670" s="1663"/>
      <c r="CY670" s="1458"/>
      <c r="CZ670" s="1458"/>
      <c r="DA670" s="1458"/>
      <c r="DB670" s="1663"/>
      <c r="DC670" s="1328"/>
      <c r="DD670" s="1664"/>
      <c r="DE670" s="1669"/>
    </row>
    <row r="671" spans="1:109" ht="15.75" hidden="1" customHeight="1">
      <c r="A671" s="741" t="s">
        <v>1241</v>
      </c>
      <c r="B671" s="742">
        <v>665</v>
      </c>
      <c r="C671" s="758" t="s">
        <v>1237</v>
      </c>
      <c r="D671" s="742" t="s">
        <v>4274</v>
      </c>
      <c r="E671" s="742" t="s">
        <v>2231</v>
      </c>
      <c r="F671" s="754">
        <v>32</v>
      </c>
      <c r="G671" s="759" t="s">
        <v>1085</v>
      </c>
      <c r="H671" s="760" t="s">
        <v>4354</v>
      </c>
      <c r="I671" s="761">
        <v>0</v>
      </c>
      <c r="J671" s="762">
        <v>0.05</v>
      </c>
      <c r="K671" s="762">
        <v>0.95</v>
      </c>
      <c r="L671" s="762">
        <v>0</v>
      </c>
      <c r="M671" s="762">
        <v>0</v>
      </c>
      <c r="N671" s="762">
        <v>0</v>
      </c>
      <c r="O671" s="762">
        <v>0</v>
      </c>
      <c r="P671" s="763">
        <v>0</v>
      </c>
      <c r="Q671" s="764">
        <f t="shared" si="10"/>
        <v>1</v>
      </c>
      <c r="R671" s="758" t="s">
        <v>1846</v>
      </c>
      <c r="S671" s="742" t="s">
        <v>1826</v>
      </c>
      <c r="T671" s="765" t="s">
        <v>1827</v>
      </c>
      <c r="U671" s="742" t="s">
        <v>2714</v>
      </c>
      <c r="V671" s="742" t="s">
        <v>321</v>
      </c>
      <c r="W671" s="742" t="s">
        <v>4355</v>
      </c>
      <c r="X671" s="798">
        <v>2</v>
      </c>
      <c r="Y671" s="790" t="s">
        <v>1828</v>
      </c>
      <c r="Z671" s="759" t="s">
        <v>1085</v>
      </c>
      <c r="AA671" s="754"/>
      <c r="AB671" s="754"/>
      <c r="AC671" s="754"/>
      <c r="AD671" s="754"/>
      <c r="AE671" s="754"/>
      <c r="AF671" s="768"/>
      <c r="AG671" s="769"/>
      <c r="AH671" s="769"/>
      <c r="AI671" s="769"/>
      <c r="AJ671" s="769"/>
      <c r="AK671" s="769"/>
      <c r="AL671" s="769"/>
      <c r="AM671" s="769"/>
      <c r="AN671" s="769"/>
      <c r="AO671" s="769"/>
      <c r="AP671" s="769"/>
      <c r="AQ671" s="1369"/>
      <c r="AR671" s="1319"/>
      <c r="AS671" s="1319"/>
      <c r="AT671" s="1319"/>
      <c r="AU671" s="1320"/>
      <c r="AV671" s="777"/>
      <c r="AW671" s="769"/>
      <c r="AX671" s="769"/>
      <c r="AY671" s="769"/>
      <c r="AZ671" s="769"/>
      <c r="BA671" s="769"/>
      <c r="BB671" s="769"/>
      <c r="BC671" s="769"/>
      <c r="BD671" s="769"/>
      <c r="BE671" s="769"/>
      <c r="BF671" s="769"/>
      <c r="BG671" s="769"/>
      <c r="BH671" s="769"/>
      <c r="BI671" s="769"/>
      <c r="BJ671" s="769"/>
      <c r="BK671" s="774"/>
      <c r="BL671" s="1327"/>
      <c r="BM671" s="1328"/>
      <c r="BN671" s="1328"/>
      <c r="BO671" s="1328"/>
      <c r="BP671" s="1389"/>
      <c r="BQ671" s="1369"/>
      <c r="BR671" s="1319"/>
      <c r="BS671" s="1319"/>
      <c r="BT671" s="1319"/>
      <c r="BU671" s="1320"/>
      <c r="BV671" s="1369"/>
      <c r="BW671" s="1319"/>
      <c r="BX671" s="1319"/>
      <c r="BY671" s="1319"/>
      <c r="BZ671" s="1319"/>
      <c r="CA671" s="1369"/>
      <c r="CB671" s="1319"/>
      <c r="CC671" s="1319"/>
      <c r="CD671" s="1319"/>
      <c r="CE671" s="1320"/>
      <c r="CF671" s="1319"/>
      <c r="CG671" s="1319"/>
      <c r="CH671" s="1319"/>
      <c r="CI671" s="1319"/>
      <c r="CJ671" s="1320"/>
      <c r="CK671" s="1369"/>
      <c r="CL671" s="1319"/>
      <c r="CM671" s="1319"/>
      <c r="CN671" s="1319"/>
      <c r="CO671" s="1320"/>
      <c r="CP671" s="1369"/>
      <c r="CQ671" s="1319"/>
      <c r="CR671" s="1319"/>
      <c r="CS671" s="1319"/>
      <c r="CT671" s="1320"/>
      <c r="CU671" s="1467"/>
      <c r="CV671" s="1458"/>
      <c r="CW671" s="1458"/>
      <c r="CX671" s="1663"/>
      <c r="CY671" s="1458"/>
      <c r="CZ671" s="1458"/>
      <c r="DA671" s="1458"/>
      <c r="DB671" s="1663"/>
      <c r="DC671" s="1328"/>
      <c r="DD671" s="1664"/>
      <c r="DE671" s="1669"/>
    </row>
    <row r="672" spans="1:109" ht="15.75" hidden="1" customHeight="1">
      <c r="A672" s="741" t="s">
        <v>1241</v>
      </c>
      <c r="B672" s="742">
        <v>666</v>
      </c>
      <c r="C672" s="758" t="s">
        <v>1236</v>
      </c>
      <c r="D672" s="742" t="s">
        <v>4274</v>
      </c>
      <c r="E672" s="742" t="s">
        <v>2217</v>
      </c>
      <c r="F672" s="754">
        <v>33</v>
      </c>
      <c r="G672" s="759" t="s">
        <v>795</v>
      </c>
      <c r="H672" s="760" t="s">
        <v>4356</v>
      </c>
      <c r="I672" s="761">
        <v>0</v>
      </c>
      <c r="J672" s="762">
        <v>0</v>
      </c>
      <c r="K672" s="762">
        <v>1</v>
      </c>
      <c r="L672" s="762">
        <v>0</v>
      </c>
      <c r="M672" s="762">
        <v>0</v>
      </c>
      <c r="N672" s="762">
        <v>0</v>
      </c>
      <c r="O672" s="762">
        <v>0</v>
      </c>
      <c r="P672" s="763">
        <v>0</v>
      </c>
      <c r="Q672" s="764">
        <f t="shared" si="10"/>
        <v>1</v>
      </c>
      <c r="R672" s="758" t="s">
        <v>1846</v>
      </c>
      <c r="S672" s="742" t="s">
        <v>1826</v>
      </c>
      <c r="T672" s="765" t="s">
        <v>1827</v>
      </c>
      <c r="U672" s="742" t="s">
        <v>2368</v>
      </c>
      <c r="V672" s="742" t="s">
        <v>1857</v>
      </c>
      <c r="W672" s="742" t="s">
        <v>4357</v>
      </c>
      <c r="X672" s="798">
        <v>2</v>
      </c>
      <c r="Y672" s="790" t="s">
        <v>1838</v>
      </c>
      <c r="Z672" s="759" t="s">
        <v>795</v>
      </c>
      <c r="AA672" s="754"/>
      <c r="AB672" s="754"/>
      <c r="AC672" s="754"/>
      <c r="AD672" s="754"/>
      <c r="AE672" s="754"/>
      <c r="AF672" s="768"/>
      <c r="AG672" s="769"/>
      <c r="AH672" s="769"/>
      <c r="AI672" s="769"/>
      <c r="AJ672" s="769"/>
      <c r="AK672" s="769"/>
      <c r="AL672" s="769"/>
      <c r="AM672" s="769"/>
      <c r="AN672" s="769"/>
      <c r="AO672" s="769"/>
      <c r="AP672" s="769"/>
      <c r="AQ672" s="1369"/>
      <c r="AR672" s="1319"/>
      <c r="AS672" s="1319"/>
      <c r="AT672" s="1319"/>
      <c r="AU672" s="1320"/>
      <c r="AV672" s="777"/>
      <c r="AW672" s="769"/>
      <c r="AX672" s="769"/>
      <c r="AY672" s="769"/>
      <c r="AZ672" s="769"/>
      <c r="BA672" s="769"/>
      <c r="BB672" s="769"/>
      <c r="BC672" s="769"/>
      <c r="BD672" s="769"/>
      <c r="BE672" s="769"/>
      <c r="BF672" s="769"/>
      <c r="BG672" s="769"/>
      <c r="BH672" s="769"/>
      <c r="BI672" s="769"/>
      <c r="BJ672" s="769"/>
      <c r="BK672" s="774"/>
      <c r="BL672" s="1327"/>
      <c r="BM672" s="1328"/>
      <c r="BN672" s="1328"/>
      <c r="BO672" s="1328"/>
      <c r="BP672" s="1389"/>
      <c r="BQ672" s="1369"/>
      <c r="BR672" s="1319"/>
      <c r="BS672" s="1319"/>
      <c r="BT672" s="1319"/>
      <c r="BU672" s="1320"/>
      <c r="BV672" s="1369"/>
      <c r="BW672" s="1319"/>
      <c r="BX672" s="1319"/>
      <c r="BY672" s="1319"/>
      <c r="BZ672" s="1319"/>
      <c r="CA672" s="1369"/>
      <c r="CB672" s="1319"/>
      <c r="CC672" s="1319"/>
      <c r="CD672" s="1319"/>
      <c r="CE672" s="1320"/>
      <c r="CF672" s="1319"/>
      <c r="CG672" s="1319"/>
      <c r="CH672" s="1319"/>
      <c r="CI672" s="1319"/>
      <c r="CJ672" s="1320"/>
      <c r="CK672" s="1369"/>
      <c r="CL672" s="1319"/>
      <c r="CM672" s="1319"/>
      <c r="CN672" s="1319"/>
      <c r="CO672" s="1320"/>
      <c r="CP672" s="1369"/>
      <c r="CQ672" s="1319"/>
      <c r="CR672" s="1319"/>
      <c r="CS672" s="1319"/>
      <c r="CT672" s="1320"/>
      <c r="CU672" s="1467"/>
      <c r="CV672" s="1458"/>
      <c r="CW672" s="1458"/>
      <c r="CX672" s="1663"/>
      <c r="CY672" s="1458"/>
      <c r="CZ672" s="1458"/>
      <c r="DA672" s="1458"/>
      <c r="DB672" s="1663"/>
      <c r="DC672" s="1328"/>
      <c r="DD672" s="1664"/>
      <c r="DE672" s="1669"/>
    </row>
    <row r="673" spans="1:109" ht="15.75" hidden="1" customHeight="1">
      <c r="A673" s="741" t="s">
        <v>1241</v>
      </c>
      <c r="B673" s="742">
        <v>667</v>
      </c>
      <c r="C673" s="758" t="s">
        <v>1240</v>
      </c>
      <c r="D673" s="742" t="s">
        <v>4274</v>
      </c>
      <c r="E673" s="742" t="s">
        <v>2231</v>
      </c>
      <c r="F673" s="754">
        <v>34</v>
      </c>
      <c r="G673" s="759" t="s">
        <v>891</v>
      </c>
      <c r="H673" s="760" t="s">
        <v>4358</v>
      </c>
      <c r="I673" s="761">
        <v>0</v>
      </c>
      <c r="J673" s="762">
        <v>0</v>
      </c>
      <c r="K673" s="762">
        <v>1</v>
      </c>
      <c r="L673" s="762">
        <v>0</v>
      </c>
      <c r="M673" s="762">
        <v>0</v>
      </c>
      <c r="N673" s="762">
        <v>0</v>
      </c>
      <c r="O673" s="762">
        <v>0</v>
      </c>
      <c r="P673" s="763">
        <v>0</v>
      </c>
      <c r="Q673" s="764">
        <f t="shared" si="10"/>
        <v>1</v>
      </c>
      <c r="R673" s="758" t="s">
        <v>1825</v>
      </c>
      <c r="S673" s="742"/>
      <c r="T673" s="765"/>
      <c r="U673" s="742" t="s">
        <v>2234</v>
      </c>
      <c r="V673" s="742" t="s">
        <v>321</v>
      </c>
      <c r="W673" s="742" t="s">
        <v>4359</v>
      </c>
      <c r="X673" s="1277">
        <v>2</v>
      </c>
      <c r="Y673" s="790" t="s">
        <v>1838</v>
      </c>
      <c r="Z673" s="759" t="s">
        <v>891</v>
      </c>
      <c r="AA673" s="754"/>
      <c r="AB673" s="754"/>
      <c r="AC673" s="754"/>
      <c r="AD673" s="754"/>
      <c r="AE673" s="754"/>
      <c r="AF673" s="768"/>
      <c r="AG673" s="769"/>
      <c r="AH673" s="769"/>
      <c r="AI673" s="769"/>
      <c r="AJ673" s="769"/>
      <c r="AK673" s="769"/>
      <c r="AL673" s="769"/>
      <c r="AM673" s="769"/>
      <c r="AN673" s="769"/>
      <c r="AO673" s="769"/>
      <c r="AP673" s="769"/>
      <c r="AQ673" s="1369"/>
      <c r="AR673" s="1319"/>
      <c r="AS673" s="1319"/>
      <c r="AT673" s="1319"/>
      <c r="AU673" s="1320"/>
      <c r="AV673" s="777"/>
      <c r="AW673" s="769"/>
      <c r="AX673" s="769"/>
      <c r="AY673" s="769"/>
      <c r="AZ673" s="769"/>
      <c r="BA673" s="769"/>
      <c r="BB673" s="769"/>
      <c r="BC673" s="769"/>
      <c r="BD673" s="769"/>
      <c r="BE673" s="769"/>
      <c r="BF673" s="769"/>
      <c r="BG673" s="769"/>
      <c r="BH673" s="769"/>
      <c r="BI673" s="769"/>
      <c r="BJ673" s="769"/>
      <c r="BK673" s="774"/>
      <c r="BL673" s="1327"/>
      <c r="BM673" s="1328"/>
      <c r="BN673" s="1328"/>
      <c r="BO673" s="1328"/>
      <c r="BP673" s="1389"/>
      <c r="BQ673" s="1369"/>
      <c r="BR673" s="1319"/>
      <c r="BS673" s="1319"/>
      <c r="BT673" s="1319"/>
      <c r="BU673" s="1320"/>
      <c r="BV673" s="1369"/>
      <c r="BW673" s="1319"/>
      <c r="BX673" s="1319"/>
      <c r="BY673" s="1319"/>
      <c r="BZ673" s="1319"/>
      <c r="CA673" s="1369"/>
      <c r="CB673" s="1319"/>
      <c r="CC673" s="1319"/>
      <c r="CD673" s="1319"/>
      <c r="CE673" s="1320"/>
      <c r="CF673" s="1319"/>
      <c r="CG673" s="1319"/>
      <c r="CH673" s="1319"/>
      <c r="CI673" s="1319"/>
      <c r="CJ673" s="1320"/>
      <c r="CK673" s="1369"/>
      <c r="CL673" s="1319"/>
      <c r="CM673" s="1319"/>
      <c r="CN673" s="1319"/>
      <c r="CO673" s="1320"/>
      <c r="CP673" s="1369"/>
      <c r="CQ673" s="1319"/>
      <c r="CR673" s="1319"/>
      <c r="CS673" s="1319"/>
      <c r="CT673" s="1320"/>
      <c r="CU673" s="1467"/>
      <c r="CV673" s="1458"/>
      <c r="CW673" s="1458"/>
      <c r="CX673" s="1663"/>
      <c r="CY673" s="1458"/>
      <c r="CZ673" s="1458"/>
      <c r="DA673" s="1458"/>
      <c r="DB673" s="1663"/>
      <c r="DC673" s="1328"/>
      <c r="DD673" s="1664"/>
      <c r="DE673" s="1669"/>
    </row>
    <row r="674" spans="1:109" ht="15.75" hidden="1" customHeight="1">
      <c r="A674" s="741" t="s">
        <v>1241</v>
      </c>
      <c r="B674" s="742">
        <v>668</v>
      </c>
      <c r="C674" s="758" t="s">
        <v>1537</v>
      </c>
      <c r="D674" s="742" t="s">
        <v>4274</v>
      </c>
      <c r="E674" s="742" t="s">
        <v>2217</v>
      </c>
      <c r="F674" s="754">
        <v>35</v>
      </c>
      <c r="G674" s="759" t="s">
        <v>2381</v>
      </c>
      <c r="H674" s="760" t="s">
        <v>4360</v>
      </c>
      <c r="I674" s="761">
        <v>0</v>
      </c>
      <c r="J674" s="762">
        <v>0</v>
      </c>
      <c r="K674" s="762">
        <v>1</v>
      </c>
      <c r="L674" s="762">
        <v>0</v>
      </c>
      <c r="M674" s="762">
        <v>0</v>
      </c>
      <c r="N674" s="762">
        <v>0</v>
      </c>
      <c r="O674" s="762">
        <v>0</v>
      </c>
      <c r="P674" s="763">
        <v>0</v>
      </c>
      <c r="Q674" s="764">
        <f t="shared" si="10"/>
        <v>1</v>
      </c>
      <c r="R674" s="758" t="s">
        <v>1852</v>
      </c>
      <c r="S674" s="742" t="s">
        <v>1826</v>
      </c>
      <c r="T674" s="765" t="s">
        <v>1827</v>
      </c>
      <c r="U674" s="742" t="s">
        <v>2351</v>
      </c>
      <c r="V674" s="742" t="s">
        <v>1857</v>
      </c>
      <c r="W674" s="742" t="s">
        <v>4361</v>
      </c>
      <c r="X674" s="798">
        <v>0</v>
      </c>
      <c r="Y674" s="790" t="s">
        <v>1838</v>
      </c>
      <c r="Z674" s="759" t="s">
        <v>2381</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210</v>
      </c>
      <c r="BM674" s="754" t="s">
        <v>210</v>
      </c>
      <c r="BN674" s="754" t="s">
        <v>210</v>
      </c>
      <c r="BO674" s="754" t="s">
        <v>210</v>
      </c>
      <c r="BP674" s="765" t="s">
        <v>210</v>
      </c>
      <c r="BQ674" s="777" t="s">
        <v>2260</v>
      </c>
      <c r="BR674" s="769" t="s">
        <v>2260</v>
      </c>
      <c r="BS674" s="769" t="s">
        <v>2260</v>
      </c>
      <c r="BT674" s="769" t="s">
        <v>2260</v>
      </c>
      <c r="BU674" s="774" t="s">
        <v>2260</v>
      </c>
      <c r="BV674" s="777">
        <v>10782</v>
      </c>
      <c r="BW674" s="769">
        <v>10782</v>
      </c>
      <c r="BX674" s="769">
        <v>10782</v>
      </c>
      <c r="BY674" s="769">
        <v>10782</v>
      </c>
      <c r="BZ674" s="769">
        <v>10782</v>
      </c>
      <c r="CA674" s="777" t="s">
        <v>2260</v>
      </c>
      <c r="CB674" s="769" t="s">
        <v>2260</v>
      </c>
      <c r="CC674" s="769" t="s">
        <v>2260</v>
      </c>
      <c r="CD674" s="769" t="s">
        <v>2260</v>
      </c>
      <c r="CE674" s="774" t="s">
        <v>2260</v>
      </c>
      <c r="CF674" s="769" t="s">
        <v>2260</v>
      </c>
      <c r="CG674" s="769" t="s">
        <v>2260</v>
      </c>
      <c r="CH674" s="769" t="s">
        <v>2260</v>
      </c>
      <c r="CI674" s="769" t="s">
        <v>2260</v>
      </c>
      <c r="CJ674" s="774" t="s">
        <v>2260</v>
      </c>
      <c r="CK674" s="1270">
        <v>3924</v>
      </c>
      <c r="CL674" s="1039">
        <v>3702</v>
      </c>
      <c r="CM674" s="1039">
        <v>3519</v>
      </c>
      <c r="CN674" s="1039">
        <v>3248</v>
      </c>
      <c r="CO674" s="1271">
        <v>2957</v>
      </c>
      <c r="CP674" s="777" t="s">
        <v>2260</v>
      </c>
      <c r="CQ674" s="769" t="s">
        <v>2260</v>
      </c>
      <c r="CR674" s="769" t="s">
        <v>2260</v>
      </c>
      <c r="CS674" s="769" t="s">
        <v>2260</v>
      </c>
      <c r="CT674" s="774" t="s">
        <v>2260</v>
      </c>
      <c r="CU674" s="1253">
        <v>-9.4800000000000006E-3</v>
      </c>
      <c r="CV674" s="1252" t="s">
        <v>2260</v>
      </c>
      <c r="CW674" s="1252" t="s">
        <v>2260</v>
      </c>
      <c r="CX674" s="1254" t="s">
        <v>2260</v>
      </c>
      <c r="CY674" s="1252">
        <v>7.9000000000000008E-3</v>
      </c>
      <c r="CZ674" s="1252" t="s">
        <v>2260</v>
      </c>
      <c r="DA674" s="1252" t="s">
        <v>2260</v>
      </c>
      <c r="DB674" s="1254" t="s">
        <v>2260</v>
      </c>
      <c r="DC674" s="754"/>
      <c r="DD674" s="782">
        <v>1</v>
      </c>
      <c r="DE674" s="783"/>
    </row>
    <row r="675" spans="1:109" ht="15.75" hidden="1" customHeight="1">
      <c r="A675" s="741" t="s">
        <v>1241</v>
      </c>
      <c r="B675" s="742">
        <v>669</v>
      </c>
      <c r="C675" s="758" t="s">
        <v>1547</v>
      </c>
      <c r="D675" s="742" t="s">
        <v>4274</v>
      </c>
      <c r="E675" s="742" t="s">
        <v>2223</v>
      </c>
      <c r="F675" s="754">
        <v>36</v>
      </c>
      <c r="G675" s="759" t="s">
        <v>2085</v>
      </c>
      <c r="H675" s="760" t="s">
        <v>4362</v>
      </c>
      <c r="I675" s="761">
        <v>0</v>
      </c>
      <c r="J675" s="762">
        <v>0</v>
      </c>
      <c r="K675" s="762">
        <v>1</v>
      </c>
      <c r="L675" s="762">
        <v>0</v>
      </c>
      <c r="M675" s="762">
        <v>0</v>
      </c>
      <c r="N675" s="762">
        <v>0</v>
      </c>
      <c r="O675" s="762">
        <v>0</v>
      </c>
      <c r="P675" s="763">
        <v>0</v>
      </c>
      <c r="Q675" s="764">
        <f t="shared" si="10"/>
        <v>1</v>
      </c>
      <c r="R675" s="758" t="s">
        <v>1852</v>
      </c>
      <c r="S675" s="742" t="s">
        <v>1826</v>
      </c>
      <c r="T675" s="765" t="s">
        <v>1827</v>
      </c>
      <c r="U675" s="742" t="s">
        <v>2387</v>
      </c>
      <c r="V675" s="742" t="s">
        <v>1857</v>
      </c>
      <c r="W675" s="742" t="s">
        <v>4363</v>
      </c>
      <c r="X675" s="798">
        <v>0</v>
      </c>
      <c r="Y675" s="790" t="s">
        <v>1828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210</v>
      </c>
      <c r="BM675" s="754" t="s">
        <v>210</v>
      </c>
      <c r="BN675" s="754" t="s">
        <v>210</v>
      </c>
      <c r="BO675" s="754" t="s">
        <v>210</v>
      </c>
      <c r="BP675" s="765" t="s">
        <v>210</v>
      </c>
      <c r="BQ675" s="777" t="s">
        <v>2260</v>
      </c>
      <c r="BR675" s="769" t="s">
        <v>2260</v>
      </c>
      <c r="BS675" s="769" t="s">
        <v>2260</v>
      </c>
      <c r="BT675" s="769" t="s">
        <v>2260</v>
      </c>
      <c r="BU675" s="774" t="s">
        <v>2260</v>
      </c>
      <c r="BV675" s="777">
        <v>10</v>
      </c>
      <c r="BW675" s="769">
        <v>10</v>
      </c>
      <c r="BX675" s="769">
        <v>10</v>
      </c>
      <c r="BY675" s="769">
        <v>10</v>
      </c>
      <c r="BZ675" s="769">
        <v>10</v>
      </c>
      <c r="CA675" s="777" t="s">
        <v>2260</v>
      </c>
      <c r="CB675" s="769" t="s">
        <v>2260</v>
      </c>
      <c r="CC675" s="769" t="s">
        <v>2260</v>
      </c>
      <c r="CD675" s="769" t="s">
        <v>2260</v>
      </c>
      <c r="CE675" s="774" t="s">
        <v>2260</v>
      </c>
      <c r="CF675" s="769" t="s">
        <v>2260</v>
      </c>
      <c r="CG675" s="769" t="s">
        <v>2260</v>
      </c>
      <c r="CH675" s="769" t="s">
        <v>2260</v>
      </c>
      <c r="CI675" s="769" t="s">
        <v>2260</v>
      </c>
      <c r="CJ675" s="774" t="s">
        <v>2260</v>
      </c>
      <c r="CK675" s="777">
        <v>26</v>
      </c>
      <c r="CL675" s="769">
        <v>26</v>
      </c>
      <c r="CM675" s="769">
        <v>26</v>
      </c>
      <c r="CN675" s="769">
        <v>26</v>
      </c>
      <c r="CO675" s="774">
        <v>26</v>
      </c>
      <c r="CP675" s="777" t="s">
        <v>2260</v>
      </c>
      <c r="CQ675" s="769" t="s">
        <v>2260</v>
      </c>
      <c r="CR675" s="769" t="s">
        <v>2260</v>
      </c>
      <c r="CS675" s="769" t="s">
        <v>2260</v>
      </c>
      <c r="CT675" s="774" t="s">
        <v>2260</v>
      </c>
      <c r="CU675" s="1253">
        <v>-1.2350000000000001</v>
      </c>
      <c r="CV675" s="1252" t="s">
        <v>2260</v>
      </c>
      <c r="CW675" s="1252" t="s">
        <v>2260</v>
      </c>
      <c r="CX675" s="1254" t="s">
        <v>2260</v>
      </c>
      <c r="CY675" s="1252">
        <v>0.63600000000000001</v>
      </c>
      <c r="CZ675" s="1252" t="s">
        <v>2260</v>
      </c>
      <c r="DA675" s="1252" t="s">
        <v>2260</v>
      </c>
      <c r="DB675" s="1254" t="s">
        <v>2260</v>
      </c>
      <c r="DC675" s="754"/>
      <c r="DD675" s="782">
        <v>1</v>
      </c>
      <c r="DE675" s="783"/>
    </row>
    <row r="676" spans="1:109" ht="15.75" hidden="1" customHeight="1">
      <c r="A676" s="741" t="s">
        <v>1241</v>
      </c>
      <c r="B676" s="742">
        <v>670</v>
      </c>
      <c r="C676" s="758" t="s">
        <v>1556</v>
      </c>
      <c r="D676" s="742" t="s">
        <v>4274</v>
      </c>
      <c r="E676" s="742" t="s">
        <v>2231</v>
      </c>
      <c r="F676" s="754">
        <v>37</v>
      </c>
      <c r="G676" s="759" t="s">
        <v>3227</v>
      </c>
      <c r="H676" s="760" t="s">
        <v>4364</v>
      </c>
      <c r="I676" s="761">
        <v>0</v>
      </c>
      <c r="J676" s="762">
        <v>0.16</v>
      </c>
      <c r="K676" s="762">
        <v>0.84</v>
      </c>
      <c r="L676" s="762">
        <v>0</v>
      </c>
      <c r="M676" s="762">
        <v>0</v>
      </c>
      <c r="N676" s="762">
        <v>0</v>
      </c>
      <c r="O676" s="762">
        <v>0</v>
      </c>
      <c r="P676" s="763">
        <v>0</v>
      </c>
      <c r="Q676" s="764">
        <f t="shared" si="10"/>
        <v>1</v>
      </c>
      <c r="R676" s="758" t="s">
        <v>1852</v>
      </c>
      <c r="S676" s="742" t="s">
        <v>1826</v>
      </c>
      <c r="T676" s="765" t="s">
        <v>1827</v>
      </c>
      <c r="U676" s="742" t="s">
        <v>2387</v>
      </c>
      <c r="V676" s="742" t="s">
        <v>1857</v>
      </c>
      <c r="W676" s="742" t="s">
        <v>4365</v>
      </c>
      <c r="X676" s="798">
        <v>0</v>
      </c>
      <c r="Y676" s="788" t="s">
        <v>1828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210</v>
      </c>
      <c r="BM676" s="754" t="s">
        <v>210</v>
      </c>
      <c r="BN676" s="754" t="s">
        <v>210</v>
      </c>
      <c r="BO676" s="754" t="s">
        <v>210</v>
      </c>
      <c r="BP676" s="765" t="s">
        <v>210</v>
      </c>
      <c r="BQ676" s="777" t="s">
        <v>2260</v>
      </c>
      <c r="BR676" s="769" t="s">
        <v>2260</v>
      </c>
      <c r="BS676" s="769" t="s">
        <v>2260</v>
      </c>
      <c r="BT676" s="769" t="s">
        <v>2260</v>
      </c>
      <c r="BU676" s="774" t="s">
        <v>2260</v>
      </c>
      <c r="BV676" s="777" t="s">
        <v>2260</v>
      </c>
      <c r="BW676" s="769" t="s">
        <v>2260</v>
      </c>
      <c r="BX676" s="769" t="s">
        <v>2260</v>
      </c>
      <c r="BY676" s="769" t="s">
        <v>2260</v>
      </c>
      <c r="BZ676" s="769" t="s">
        <v>2260</v>
      </c>
      <c r="CA676" s="777" t="s">
        <v>2260</v>
      </c>
      <c r="CB676" s="769" t="s">
        <v>2260</v>
      </c>
      <c r="CC676" s="769" t="s">
        <v>2260</v>
      </c>
      <c r="CD676" s="769" t="s">
        <v>2260</v>
      </c>
      <c r="CE676" s="774" t="s">
        <v>2260</v>
      </c>
      <c r="CF676" s="769" t="s">
        <v>2260</v>
      </c>
      <c r="CG676" s="769" t="s">
        <v>2260</v>
      </c>
      <c r="CH676" s="769" t="s">
        <v>2260</v>
      </c>
      <c r="CI676" s="769" t="s">
        <v>2260</v>
      </c>
      <c r="CJ676" s="774" t="s">
        <v>2260</v>
      </c>
      <c r="CK676" s="777" t="s">
        <v>2260</v>
      </c>
      <c r="CL676" s="769" t="s">
        <v>2260</v>
      </c>
      <c r="CM676" s="769" t="s">
        <v>2260</v>
      </c>
      <c r="CN676" s="769" t="s">
        <v>2260</v>
      </c>
      <c r="CO676" s="774" t="s">
        <v>2260</v>
      </c>
      <c r="CP676" s="777" t="s">
        <v>2260</v>
      </c>
      <c r="CQ676" s="769" t="s">
        <v>2260</v>
      </c>
      <c r="CR676" s="769" t="s">
        <v>2260</v>
      </c>
      <c r="CS676" s="769" t="s">
        <v>2260</v>
      </c>
      <c r="CT676" s="774" t="s">
        <v>2260</v>
      </c>
      <c r="CU676" s="1253">
        <v>-4.8650000000000004E-3</v>
      </c>
      <c r="CV676" s="1252" t="s">
        <v>2260</v>
      </c>
      <c r="CW676" s="1252" t="s">
        <v>2260</v>
      </c>
      <c r="CX676" s="1254" t="s">
        <v>2260</v>
      </c>
      <c r="CY676" s="1252">
        <v>4.8650000000000004E-3</v>
      </c>
      <c r="CZ676" s="1252" t="s">
        <v>2260</v>
      </c>
      <c r="DA676" s="1252" t="s">
        <v>2260</v>
      </c>
      <c r="DB676" s="1254" t="s">
        <v>2260</v>
      </c>
      <c r="DC676" s="754"/>
      <c r="DD676" s="782">
        <v>1</v>
      </c>
      <c r="DE676" s="783"/>
    </row>
    <row r="677" spans="1:109" ht="15.75" hidden="1" customHeight="1">
      <c r="A677" s="741" t="s">
        <v>1241</v>
      </c>
      <c r="B677" s="742">
        <v>671</v>
      </c>
      <c r="C677" s="758" t="s">
        <v>1294</v>
      </c>
      <c r="D677" s="742" t="s">
        <v>4293</v>
      </c>
      <c r="E677" s="742" t="s">
        <v>2231</v>
      </c>
      <c r="F677" s="754">
        <v>38</v>
      </c>
      <c r="G677" s="759" t="s">
        <v>567</v>
      </c>
      <c r="H677" s="760" t="s">
        <v>4366</v>
      </c>
      <c r="I677" s="761">
        <v>1</v>
      </c>
      <c r="J677" s="762">
        <v>0</v>
      </c>
      <c r="K677" s="762">
        <v>0</v>
      </c>
      <c r="L677" s="762">
        <v>0</v>
      </c>
      <c r="M677" s="762">
        <v>0</v>
      </c>
      <c r="N677" s="762">
        <v>0</v>
      </c>
      <c r="O677" s="762">
        <v>0</v>
      </c>
      <c r="P677" s="763">
        <v>0</v>
      </c>
      <c r="Q677" s="764">
        <f t="shared" si="10"/>
        <v>1</v>
      </c>
      <c r="R677" s="758" t="s">
        <v>1825</v>
      </c>
      <c r="S677" s="742"/>
      <c r="T677" s="765"/>
      <c r="U677" s="742" t="s">
        <v>2234</v>
      </c>
      <c r="V677" s="742" t="s">
        <v>321</v>
      </c>
      <c r="W677" s="742" t="s">
        <v>4367</v>
      </c>
      <c r="X677" s="1277">
        <v>1</v>
      </c>
      <c r="Y677" s="788" t="s">
        <v>1838</v>
      </c>
      <c r="Z677" s="759" t="s">
        <v>567</v>
      </c>
      <c r="AA677" s="754"/>
      <c r="AB677" s="754"/>
      <c r="AC677" s="754"/>
      <c r="AD677" s="754"/>
      <c r="AE677" s="754"/>
      <c r="AF677" s="768"/>
      <c r="AG677" s="785"/>
      <c r="AH677" s="785"/>
      <c r="AI677" s="785"/>
      <c r="AJ677" s="785"/>
      <c r="AK677" s="785"/>
      <c r="AL677" s="785"/>
      <c r="AM677" s="785"/>
      <c r="AN677" s="785"/>
      <c r="AO677" s="785"/>
      <c r="AP677" s="785"/>
      <c r="AQ677" s="1460"/>
      <c r="AR677" s="1665"/>
      <c r="AS677" s="1665"/>
      <c r="AT677" s="1665"/>
      <c r="AU677" s="1466"/>
      <c r="AV677" s="786"/>
      <c r="AW677" s="785"/>
      <c r="AX677" s="785"/>
      <c r="AY677" s="785"/>
      <c r="AZ677" s="785"/>
      <c r="BA677" s="785"/>
      <c r="BB677" s="785"/>
      <c r="BC677" s="785"/>
      <c r="BD677" s="785"/>
      <c r="BE677" s="785"/>
      <c r="BF677" s="785"/>
      <c r="BG677" s="785"/>
      <c r="BH677" s="785"/>
      <c r="BI677" s="785"/>
      <c r="BJ677" s="785"/>
      <c r="BK677" s="787"/>
      <c r="BL677" s="1327"/>
      <c r="BM677" s="1328"/>
      <c r="BN677" s="1328"/>
      <c r="BO677" s="1328"/>
      <c r="BP677" s="1389"/>
      <c r="BQ677" s="1369"/>
      <c r="BR677" s="1319"/>
      <c r="BS677" s="1319"/>
      <c r="BT677" s="1319"/>
      <c r="BU677" s="1320"/>
      <c r="BV677" s="1369"/>
      <c r="BW677" s="1319"/>
      <c r="BX677" s="1319"/>
      <c r="BY677" s="1319"/>
      <c r="BZ677" s="1319"/>
      <c r="CA677" s="1369"/>
      <c r="CB677" s="1319"/>
      <c r="CC677" s="1319"/>
      <c r="CD677" s="1319"/>
      <c r="CE677" s="1320"/>
      <c r="CF677" s="1319"/>
      <c r="CG677" s="1319"/>
      <c r="CH677" s="1319"/>
      <c r="CI677" s="1319"/>
      <c r="CJ677" s="1320"/>
      <c r="CK677" s="1369"/>
      <c r="CL677" s="1319"/>
      <c r="CM677" s="1319"/>
      <c r="CN677" s="1319"/>
      <c r="CO677" s="1320"/>
      <c r="CP677" s="1369"/>
      <c r="CQ677" s="1319"/>
      <c r="CR677" s="1319"/>
      <c r="CS677" s="1319"/>
      <c r="CT677" s="1320"/>
      <c r="CU677" s="1467"/>
      <c r="CV677" s="1458"/>
      <c r="CW677" s="1458"/>
      <c r="CX677" s="1663"/>
      <c r="CY677" s="1458"/>
      <c r="CZ677" s="1458"/>
      <c r="DA677" s="1458"/>
      <c r="DB677" s="1663"/>
      <c r="DC677" s="1328"/>
      <c r="DD677" s="1664"/>
      <c r="DE677" s="1669"/>
    </row>
    <row r="678" spans="1:109" ht="15.75" hidden="1" customHeight="1">
      <c r="A678" s="741" t="s">
        <v>1241</v>
      </c>
      <c r="B678" s="742">
        <v>672</v>
      </c>
      <c r="C678" s="758" t="s">
        <v>1565</v>
      </c>
      <c r="D678" s="742" t="s">
        <v>4274</v>
      </c>
      <c r="E678" s="742" t="s">
        <v>2231</v>
      </c>
      <c r="F678" s="754">
        <v>40</v>
      </c>
      <c r="G678" s="759" t="s">
        <v>4368</v>
      </c>
      <c r="H678" s="760" t="s">
        <v>4369</v>
      </c>
      <c r="I678" s="761">
        <v>0</v>
      </c>
      <c r="J678" s="762">
        <v>0</v>
      </c>
      <c r="K678" s="762">
        <v>0</v>
      </c>
      <c r="L678" s="762">
        <v>1</v>
      </c>
      <c r="M678" s="762">
        <v>0</v>
      </c>
      <c r="N678" s="762">
        <v>0</v>
      </c>
      <c r="O678" s="762">
        <v>0</v>
      </c>
      <c r="P678" s="763">
        <v>0</v>
      </c>
      <c r="Q678" s="764">
        <f t="shared" si="10"/>
        <v>1</v>
      </c>
      <c r="R678" s="758" t="s">
        <v>1846</v>
      </c>
      <c r="S678" s="742" t="s">
        <v>1826</v>
      </c>
      <c r="T678" s="765" t="s">
        <v>1827</v>
      </c>
      <c r="U678" s="742" t="s">
        <v>815</v>
      </c>
      <c r="V678" s="742" t="s">
        <v>321</v>
      </c>
      <c r="W678" s="742" t="s">
        <v>4370</v>
      </c>
      <c r="X678" s="798">
        <v>0</v>
      </c>
      <c r="Y678" s="790" t="s">
        <v>1828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210</v>
      </c>
      <c r="BM678" s="754" t="s">
        <v>210</v>
      </c>
      <c r="BN678" s="754" t="s">
        <v>210</v>
      </c>
      <c r="BO678" s="754" t="s">
        <v>210</v>
      </c>
      <c r="BP678" s="765" t="s">
        <v>210</v>
      </c>
      <c r="BQ678" s="777" t="s">
        <v>2260</v>
      </c>
      <c r="BR678" s="769" t="s">
        <v>2260</v>
      </c>
      <c r="BS678" s="769" t="s">
        <v>2260</v>
      </c>
      <c r="BT678" s="769" t="s">
        <v>2260</v>
      </c>
      <c r="BU678" s="774" t="s">
        <v>2260</v>
      </c>
      <c r="BV678" s="777" t="s">
        <v>2260</v>
      </c>
      <c r="BW678" s="769" t="s">
        <v>2260</v>
      </c>
      <c r="BX678" s="769" t="s">
        <v>2260</v>
      </c>
      <c r="BY678" s="769" t="s">
        <v>2260</v>
      </c>
      <c r="BZ678" s="769" t="s">
        <v>2260</v>
      </c>
      <c r="CA678" s="777" t="s">
        <v>2260</v>
      </c>
      <c r="CB678" s="769" t="s">
        <v>2260</v>
      </c>
      <c r="CC678" s="769" t="s">
        <v>2260</v>
      </c>
      <c r="CD678" s="769" t="s">
        <v>2260</v>
      </c>
      <c r="CE678" s="774" t="s">
        <v>2260</v>
      </c>
      <c r="CF678" s="769" t="s">
        <v>2260</v>
      </c>
      <c r="CG678" s="769" t="s">
        <v>2260</v>
      </c>
      <c r="CH678" s="769" t="s">
        <v>2260</v>
      </c>
      <c r="CI678" s="769" t="s">
        <v>2260</v>
      </c>
      <c r="CJ678" s="774" t="s">
        <v>2260</v>
      </c>
      <c r="CK678" s="777" t="s">
        <v>2260</v>
      </c>
      <c r="CL678" s="769" t="s">
        <v>2260</v>
      </c>
      <c r="CM678" s="769" t="s">
        <v>2260</v>
      </c>
      <c r="CN678" s="769" t="s">
        <v>2260</v>
      </c>
      <c r="CO678" s="774" t="s">
        <v>2260</v>
      </c>
      <c r="CP678" s="777" t="s">
        <v>2260</v>
      </c>
      <c r="CQ678" s="769" t="s">
        <v>2260</v>
      </c>
      <c r="CR678" s="769" t="s">
        <v>2260</v>
      </c>
      <c r="CS678" s="769" t="s">
        <v>2260</v>
      </c>
      <c r="CT678" s="774" t="s">
        <v>2260</v>
      </c>
      <c r="CU678" s="1253">
        <v>-0.502</v>
      </c>
      <c r="CV678" s="1252" t="s">
        <v>2260</v>
      </c>
      <c r="CW678" s="1252" t="s">
        <v>2260</v>
      </c>
      <c r="CX678" s="1254" t="s">
        <v>2260</v>
      </c>
      <c r="CY678" s="1252" t="s">
        <v>2260</v>
      </c>
      <c r="CZ678" s="1252" t="s">
        <v>2260</v>
      </c>
      <c r="DA678" s="1252" t="s">
        <v>2260</v>
      </c>
      <c r="DB678" s="1254" t="s">
        <v>2260</v>
      </c>
      <c r="DC678" s="754"/>
      <c r="DD678" s="782">
        <v>1</v>
      </c>
      <c r="DE678" s="783"/>
    </row>
    <row r="679" spans="1:109" ht="15.75" hidden="1" customHeight="1">
      <c r="A679" s="741" t="s">
        <v>1241</v>
      </c>
      <c r="B679" s="742">
        <v>673</v>
      </c>
      <c r="C679" s="758" t="s">
        <v>1729</v>
      </c>
      <c r="D679" s="742" t="s">
        <v>4274</v>
      </c>
      <c r="E679" s="742" t="s">
        <v>2217</v>
      </c>
      <c r="F679" s="754">
        <v>41</v>
      </c>
      <c r="G679" s="759" t="s">
        <v>4371</v>
      </c>
      <c r="H679" s="760" t="s">
        <v>4372</v>
      </c>
      <c r="I679" s="761">
        <v>0</v>
      </c>
      <c r="J679" s="762">
        <v>0</v>
      </c>
      <c r="K679" s="762">
        <v>0</v>
      </c>
      <c r="L679" s="762">
        <v>1</v>
      </c>
      <c r="M679" s="762">
        <v>0</v>
      </c>
      <c r="N679" s="762">
        <v>0</v>
      </c>
      <c r="O679" s="762">
        <v>0</v>
      </c>
      <c r="P679" s="763">
        <v>0</v>
      </c>
      <c r="Q679" s="764">
        <f t="shared" si="10"/>
        <v>1</v>
      </c>
      <c r="R679" s="758" t="s">
        <v>1825</v>
      </c>
      <c r="S679" s="742"/>
      <c r="T679" s="765"/>
      <c r="U679" s="742" t="s">
        <v>2408</v>
      </c>
      <c r="V679" s="742" t="s">
        <v>1857</v>
      </c>
      <c r="W679" s="742" t="s">
        <v>4373</v>
      </c>
      <c r="X679" s="1278">
        <v>0</v>
      </c>
      <c r="Y679" s="790" t="s">
        <v>1828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2260</v>
      </c>
      <c r="BR679" s="769" t="s">
        <v>2260</v>
      </c>
      <c r="BS679" s="769" t="s">
        <v>2260</v>
      </c>
      <c r="BT679" s="769" t="s">
        <v>2260</v>
      </c>
      <c r="BU679" s="774" t="s">
        <v>2260</v>
      </c>
      <c r="BV679" s="777" t="s">
        <v>2260</v>
      </c>
      <c r="BW679" s="769" t="s">
        <v>2260</v>
      </c>
      <c r="BX679" s="769" t="s">
        <v>2260</v>
      </c>
      <c r="BY679" s="769" t="s">
        <v>2260</v>
      </c>
      <c r="BZ679" s="769" t="s">
        <v>2260</v>
      </c>
      <c r="CA679" s="777" t="s">
        <v>2260</v>
      </c>
      <c r="CB679" s="769" t="s">
        <v>2260</v>
      </c>
      <c r="CC679" s="769" t="s">
        <v>2260</v>
      </c>
      <c r="CD679" s="769" t="s">
        <v>2260</v>
      </c>
      <c r="CE679" s="774" t="s">
        <v>2260</v>
      </c>
      <c r="CF679" s="769" t="s">
        <v>2260</v>
      </c>
      <c r="CG679" s="769" t="s">
        <v>2260</v>
      </c>
      <c r="CH679" s="769" t="s">
        <v>2260</v>
      </c>
      <c r="CI679" s="769" t="s">
        <v>2260</v>
      </c>
      <c r="CJ679" s="774" t="s">
        <v>2260</v>
      </c>
      <c r="CK679" s="777" t="s">
        <v>2260</v>
      </c>
      <c r="CL679" s="769" t="s">
        <v>2260</v>
      </c>
      <c r="CM679" s="769" t="s">
        <v>2260</v>
      </c>
      <c r="CN679" s="769" t="s">
        <v>2260</v>
      </c>
      <c r="CO679" s="774" t="s">
        <v>2260</v>
      </c>
      <c r="CP679" s="777" t="s">
        <v>2260</v>
      </c>
      <c r="CQ679" s="769" t="s">
        <v>2260</v>
      </c>
      <c r="CR679" s="769" t="s">
        <v>2260</v>
      </c>
      <c r="CS679" s="769" t="s">
        <v>2260</v>
      </c>
      <c r="CT679" s="774" t="s">
        <v>2260</v>
      </c>
      <c r="CU679" s="1253" t="s">
        <v>2260</v>
      </c>
      <c r="CV679" s="1252" t="s">
        <v>2260</v>
      </c>
      <c r="CW679" s="1252" t="s">
        <v>2260</v>
      </c>
      <c r="CX679" s="1254" t="s">
        <v>2260</v>
      </c>
      <c r="CY679" s="1252" t="s">
        <v>2260</v>
      </c>
      <c r="CZ679" s="1252" t="s">
        <v>2260</v>
      </c>
      <c r="DA679" s="1252" t="s">
        <v>2260</v>
      </c>
      <c r="DB679" s="1254" t="s">
        <v>2260</v>
      </c>
      <c r="DC679" s="754"/>
      <c r="DD679" s="782">
        <v>1</v>
      </c>
      <c r="DE679" s="783"/>
    </row>
    <row r="680" spans="1:109" ht="15.75" hidden="1" customHeight="1">
      <c r="A680" s="741" t="s">
        <v>1241</v>
      </c>
      <c r="B680" s="742">
        <v>674</v>
      </c>
      <c r="C680" s="758" t="s">
        <v>1736</v>
      </c>
      <c r="D680" s="742"/>
      <c r="E680" s="742"/>
      <c r="F680" s="754" t="s">
        <v>2331</v>
      </c>
      <c r="G680" s="759" t="s">
        <v>2332</v>
      </c>
      <c r="H680" s="760"/>
      <c r="I680" s="761"/>
      <c r="J680" s="762"/>
      <c r="K680" s="762"/>
      <c r="L680" s="762"/>
      <c r="M680" s="762"/>
      <c r="N680" s="762"/>
      <c r="O680" s="762"/>
      <c r="P680" s="763"/>
      <c r="Q680" s="764">
        <f t="shared" si="10"/>
        <v>0</v>
      </c>
      <c r="R680" s="758" t="s">
        <v>1825</v>
      </c>
      <c r="S680" s="742"/>
      <c r="T680" s="765"/>
      <c r="U680" s="742"/>
      <c r="V680" s="742" t="s">
        <v>1890</v>
      </c>
      <c r="W680" s="742" t="s">
        <v>2333</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2334</v>
      </c>
      <c r="AR680" s="769" t="s">
        <v>2334</v>
      </c>
      <c r="AS680" s="769" t="s">
        <v>2334</v>
      </c>
      <c r="AT680" s="769" t="s">
        <v>2334</v>
      </c>
      <c r="AU680" s="774" t="s">
        <v>2334</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2260</v>
      </c>
      <c r="BR680" s="769" t="s">
        <v>2260</v>
      </c>
      <c r="BS680" s="769" t="s">
        <v>2260</v>
      </c>
      <c r="BT680" s="769" t="s">
        <v>2260</v>
      </c>
      <c r="BU680" s="774" t="s">
        <v>2260</v>
      </c>
      <c r="BV680" s="777" t="s">
        <v>2260</v>
      </c>
      <c r="BW680" s="769" t="s">
        <v>2260</v>
      </c>
      <c r="BX680" s="769" t="s">
        <v>2260</v>
      </c>
      <c r="BY680" s="769" t="s">
        <v>2260</v>
      </c>
      <c r="BZ680" s="769" t="s">
        <v>2260</v>
      </c>
      <c r="CA680" s="777" t="s">
        <v>2260</v>
      </c>
      <c r="CB680" s="769" t="s">
        <v>2260</v>
      </c>
      <c r="CC680" s="769" t="s">
        <v>2260</v>
      </c>
      <c r="CD680" s="769" t="s">
        <v>2260</v>
      </c>
      <c r="CE680" s="774" t="s">
        <v>2260</v>
      </c>
      <c r="CF680" s="769" t="s">
        <v>2260</v>
      </c>
      <c r="CG680" s="769" t="s">
        <v>2260</v>
      </c>
      <c r="CH680" s="769" t="s">
        <v>2260</v>
      </c>
      <c r="CI680" s="769" t="s">
        <v>2260</v>
      </c>
      <c r="CJ680" s="774" t="s">
        <v>2260</v>
      </c>
      <c r="CK680" s="777" t="s">
        <v>2260</v>
      </c>
      <c r="CL680" s="769" t="s">
        <v>2260</v>
      </c>
      <c r="CM680" s="769" t="s">
        <v>2260</v>
      </c>
      <c r="CN680" s="769" t="s">
        <v>2260</v>
      </c>
      <c r="CO680" s="774" t="s">
        <v>2260</v>
      </c>
      <c r="CP680" s="777" t="s">
        <v>2260</v>
      </c>
      <c r="CQ680" s="769" t="s">
        <v>2260</v>
      </c>
      <c r="CR680" s="769" t="s">
        <v>2260</v>
      </c>
      <c r="CS680" s="769" t="s">
        <v>2260</v>
      </c>
      <c r="CT680" s="774" t="s">
        <v>2260</v>
      </c>
      <c r="CU680" s="1253" t="s">
        <v>2260</v>
      </c>
      <c r="CV680" s="1252" t="s">
        <v>2260</v>
      </c>
      <c r="CW680" s="1252" t="s">
        <v>2260</v>
      </c>
      <c r="CX680" s="1254" t="s">
        <v>2260</v>
      </c>
      <c r="CY680" s="1252" t="s">
        <v>2260</v>
      </c>
      <c r="CZ680" s="1252" t="s">
        <v>2260</v>
      </c>
      <c r="DA680" s="1252" t="s">
        <v>2260</v>
      </c>
      <c r="DB680" s="1254" t="s">
        <v>2260</v>
      </c>
      <c r="DC680" s="754"/>
      <c r="DD680" s="782"/>
      <c r="DE680" s="783"/>
    </row>
    <row r="681" spans="1:109" ht="15.75" hidden="1" customHeight="1" thickBot="1">
      <c r="A681" s="920" t="s">
        <v>1241</v>
      </c>
      <c r="B681" s="921">
        <v>675</v>
      </c>
      <c r="C681" s="922" t="s">
        <v>1295</v>
      </c>
      <c r="D681" s="921" t="s">
        <v>4303</v>
      </c>
      <c r="E681" s="921" t="s">
        <v>2231</v>
      </c>
      <c r="F681" s="923">
        <v>42</v>
      </c>
      <c r="G681" s="924" t="s">
        <v>755</v>
      </c>
      <c r="H681" s="925" t="s">
        <v>4374</v>
      </c>
      <c r="I681" s="926">
        <v>0</v>
      </c>
      <c r="J681" s="927">
        <v>0</v>
      </c>
      <c r="K681" s="927">
        <v>0</v>
      </c>
      <c r="L681" s="927">
        <v>0</v>
      </c>
      <c r="M681" s="927">
        <v>1</v>
      </c>
      <c r="N681" s="927">
        <v>0</v>
      </c>
      <c r="O681" s="927">
        <v>0</v>
      </c>
      <c r="P681" s="928">
        <v>0</v>
      </c>
      <c r="Q681" s="929">
        <f t="shared" si="10"/>
        <v>1</v>
      </c>
      <c r="R681" s="922" t="s">
        <v>1825</v>
      </c>
      <c r="S681" s="921"/>
      <c r="T681" s="930"/>
      <c r="U681" s="921" t="s">
        <v>2827</v>
      </c>
      <c r="V681" s="921" t="s">
        <v>321</v>
      </c>
      <c r="W681" s="921" t="s">
        <v>4375</v>
      </c>
      <c r="X681" s="1241">
        <v>1</v>
      </c>
      <c r="Y681" s="932" t="s">
        <v>1828</v>
      </c>
      <c r="Z681" s="924" t="s">
        <v>755</v>
      </c>
      <c r="AA681" s="923"/>
      <c r="AB681" s="923"/>
      <c r="AC681" s="923"/>
      <c r="AD681" s="923"/>
      <c r="AE681" s="923"/>
      <c r="AF681" s="933"/>
      <c r="AG681" s="931"/>
      <c r="AH681" s="931"/>
      <c r="AI681" s="931"/>
      <c r="AJ681" s="931"/>
      <c r="AK681" s="931"/>
      <c r="AL681" s="931"/>
      <c r="AM681" s="931"/>
      <c r="AN681" s="931"/>
      <c r="AO681" s="931"/>
      <c r="AP681" s="931"/>
      <c r="AQ681" s="1731"/>
      <c r="AR681" s="1732"/>
      <c r="AS681" s="1732"/>
      <c r="AT681" s="1732"/>
      <c r="AU681" s="1733"/>
      <c r="AV681" s="934"/>
      <c r="AW681" s="931"/>
      <c r="AX681" s="931"/>
      <c r="AY681" s="931"/>
      <c r="AZ681" s="931"/>
      <c r="BA681" s="931"/>
      <c r="BB681" s="931"/>
      <c r="BC681" s="931"/>
      <c r="BD681" s="931"/>
      <c r="BE681" s="931"/>
      <c r="BF681" s="931"/>
      <c r="BG681" s="931"/>
      <c r="BH681" s="931"/>
      <c r="BI681" s="931"/>
      <c r="BJ681" s="931"/>
      <c r="BK681" s="935"/>
      <c r="BL681" s="1734"/>
      <c r="BM681" s="1735"/>
      <c r="BN681" s="1735"/>
      <c r="BO681" s="1735"/>
      <c r="BP681" s="1736"/>
      <c r="BQ681" s="1731"/>
      <c r="BR681" s="1732"/>
      <c r="BS681" s="1732"/>
      <c r="BT681" s="1732"/>
      <c r="BU681" s="1733"/>
      <c r="BV681" s="1731"/>
      <c r="BW681" s="1732"/>
      <c r="BX681" s="1732"/>
      <c r="BY681" s="1732"/>
      <c r="BZ681" s="1732"/>
      <c r="CA681" s="1731"/>
      <c r="CB681" s="1732"/>
      <c r="CC681" s="1732"/>
      <c r="CD681" s="1732"/>
      <c r="CE681" s="1733"/>
      <c r="CF681" s="1732"/>
      <c r="CG681" s="1732"/>
      <c r="CH681" s="1732"/>
      <c r="CI681" s="1732"/>
      <c r="CJ681" s="1733"/>
      <c r="CK681" s="1731"/>
      <c r="CL681" s="1732"/>
      <c r="CM681" s="1732"/>
      <c r="CN681" s="1732"/>
      <c r="CO681" s="1733"/>
      <c r="CP681" s="1731"/>
      <c r="CQ681" s="1732"/>
      <c r="CR681" s="1732"/>
      <c r="CS681" s="1732"/>
      <c r="CT681" s="1733"/>
      <c r="CU681" s="1737"/>
      <c r="CV681" s="1738"/>
      <c r="CW681" s="1738"/>
      <c r="CX681" s="1739"/>
      <c r="CY681" s="1737"/>
      <c r="CZ681" s="1738"/>
      <c r="DA681" s="1738"/>
      <c r="DB681" s="1739"/>
      <c r="DC681" s="1735"/>
      <c r="DD681" s="1740"/>
      <c r="DE681" s="1741"/>
    </row>
    <row r="682" spans="1:109" ht="26.1" hidden="1" customHeight="1">
      <c r="A682" s="1219" t="s">
        <v>1241</v>
      </c>
      <c r="B682" s="1220">
        <v>676</v>
      </c>
      <c r="C682" s="1221" t="s">
        <v>1573</v>
      </c>
      <c r="D682" s="1220" t="s">
        <v>4376</v>
      </c>
      <c r="E682" s="1220" t="s">
        <v>4377</v>
      </c>
      <c r="F682" s="1222"/>
      <c r="G682" s="1223" t="s">
        <v>4376</v>
      </c>
      <c r="H682" s="1224" t="s">
        <v>4378</v>
      </c>
      <c r="I682" s="1225"/>
      <c r="J682" s="1226"/>
      <c r="K682" s="1226">
        <v>1</v>
      </c>
      <c r="L682" s="1226"/>
      <c r="M682" s="1226"/>
      <c r="N682" s="1226"/>
      <c r="O682" s="1226"/>
      <c r="P682" s="1227"/>
      <c r="Q682" s="764">
        <f t="shared" si="10"/>
        <v>1</v>
      </c>
      <c r="R682" s="1221" t="s">
        <v>1846</v>
      </c>
      <c r="S682" s="1468" t="s">
        <v>1826</v>
      </c>
      <c r="T682" s="1229" t="s">
        <v>1837</v>
      </c>
      <c r="U682" s="1220" t="s">
        <v>2351</v>
      </c>
      <c r="V682" s="1220" t="s">
        <v>165</v>
      </c>
      <c r="W682" s="1220"/>
      <c r="X682" s="1469">
        <v>3</v>
      </c>
      <c r="Y682" s="1231" t="s">
        <v>1828</v>
      </c>
      <c r="Z682" s="1223"/>
      <c r="AA682" s="1222"/>
      <c r="AB682" s="1222"/>
      <c r="AC682" s="1222"/>
      <c r="AD682" s="1222"/>
      <c r="AE682" s="1222"/>
      <c r="AF682" s="1232"/>
      <c r="AG682" s="1230"/>
      <c r="AH682" s="1230"/>
      <c r="AI682" s="1230"/>
      <c r="AJ682" s="1230"/>
      <c r="AK682" s="1230"/>
      <c r="AL682" s="1230"/>
      <c r="AM682" s="1230"/>
      <c r="AN682" s="1230"/>
      <c r="AO682" s="1230"/>
      <c r="AP682" s="1230"/>
      <c r="AQ682" s="1233" t="s">
        <v>2260</v>
      </c>
      <c r="AR682" s="1230" t="s">
        <v>2260</v>
      </c>
      <c r="AS682" s="1230" t="s">
        <v>2260</v>
      </c>
      <c r="AT682" s="1230" t="s">
        <v>2260</v>
      </c>
      <c r="AU682" s="1459" t="s">
        <v>4379</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210</v>
      </c>
      <c r="BQ682" s="1233" t="s">
        <v>2260</v>
      </c>
      <c r="BR682" s="1230" t="s">
        <v>2260</v>
      </c>
      <c r="BS682" s="1230" t="s">
        <v>2260</v>
      </c>
      <c r="BT682" s="1230" t="s">
        <v>2260</v>
      </c>
      <c r="BU682" s="1234" t="s">
        <v>2260</v>
      </c>
      <c r="BV682" s="1233" t="s">
        <v>2260</v>
      </c>
      <c r="BW682" s="1230" t="s">
        <v>2260</v>
      </c>
      <c r="BX682" s="1230" t="s">
        <v>2260</v>
      </c>
      <c r="BY682" s="1230" t="s">
        <v>2260</v>
      </c>
      <c r="BZ682" s="1230" t="s">
        <v>2260</v>
      </c>
      <c r="CA682" s="1233" t="s">
        <v>2260</v>
      </c>
      <c r="CB682" s="1230" t="s">
        <v>2260</v>
      </c>
      <c r="CC682" s="1230" t="s">
        <v>2260</v>
      </c>
      <c r="CD682" s="1230" t="s">
        <v>2260</v>
      </c>
      <c r="CE682" s="1234" t="s">
        <v>2260</v>
      </c>
      <c r="CF682" s="1230" t="s">
        <v>2260</v>
      </c>
      <c r="CG682" s="1230" t="s">
        <v>2260</v>
      </c>
      <c r="CH682" s="1230" t="s">
        <v>2260</v>
      </c>
      <c r="CI682" s="1230" t="s">
        <v>2260</v>
      </c>
      <c r="CJ682" s="1234" t="s">
        <v>2260</v>
      </c>
      <c r="CK682" s="1233" t="s">
        <v>2260</v>
      </c>
      <c r="CL682" s="1230" t="s">
        <v>2260</v>
      </c>
      <c r="CM682" s="1230" t="s">
        <v>2260</v>
      </c>
      <c r="CN682" s="1230" t="s">
        <v>2260</v>
      </c>
      <c r="CO682" s="1234" t="s">
        <v>2260</v>
      </c>
      <c r="CP682" s="1233" t="s">
        <v>2260</v>
      </c>
      <c r="CQ682" s="1230" t="s">
        <v>2260</v>
      </c>
      <c r="CR682" s="1230" t="s">
        <v>2260</v>
      </c>
      <c r="CS682" s="1230" t="s">
        <v>2260</v>
      </c>
      <c r="CT682" s="1234" t="s">
        <v>2260</v>
      </c>
      <c r="CU682" s="1261" t="s">
        <v>2260</v>
      </c>
      <c r="CV682" s="1262" t="s">
        <v>2260</v>
      </c>
      <c r="CW682" s="1262" t="s">
        <v>2260</v>
      </c>
      <c r="CX682" s="1263" t="s">
        <v>2260</v>
      </c>
      <c r="CY682" s="1262" t="s">
        <v>2260</v>
      </c>
      <c r="CZ682" s="1262" t="s">
        <v>2260</v>
      </c>
      <c r="DA682" s="1262" t="s">
        <v>2260</v>
      </c>
      <c r="DB682" s="1263" t="s">
        <v>2260</v>
      </c>
      <c r="DC682" s="1222"/>
      <c r="DD682" s="1238">
        <v>1</v>
      </c>
      <c r="DE682" s="1239"/>
    </row>
    <row r="683" spans="1:109" ht="15.75" customHeight="1">
      <c r="A683" s="1219" t="s">
        <v>1102</v>
      </c>
      <c r="B683" s="1220">
        <v>677</v>
      </c>
      <c r="C683" s="1221" t="s">
        <v>1538</v>
      </c>
      <c r="D683" s="1220" t="s">
        <v>4380</v>
      </c>
      <c r="E683" s="1220" t="s">
        <v>4377</v>
      </c>
      <c r="F683" s="1229"/>
      <c r="G683" s="1223" t="s">
        <v>4380</v>
      </c>
      <c r="H683" s="1220" t="s">
        <v>4380</v>
      </c>
      <c r="I683" s="1225"/>
      <c r="J683" s="1226"/>
      <c r="K683" s="1226"/>
      <c r="L683" s="1226">
        <v>1</v>
      </c>
      <c r="M683" s="1226"/>
      <c r="N683" s="1226"/>
      <c r="O683" s="1226"/>
      <c r="P683" s="1227"/>
      <c r="Q683" s="764">
        <f t="shared" si="10"/>
        <v>1</v>
      </c>
      <c r="R683" s="1221" t="s">
        <v>1846</v>
      </c>
      <c r="S683" s="1220" t="s">
        <v>1836</v>
      </c>
      <c r="T683" s="1229" t="s">
        <v>1837</v>
      </c>
      <c r="U683" s="1220" t="s">
        <v>815</v>
      </c>
      <c r="V683" s="1220" t="s">
        <v>321</v>
      </c>
      <c r="W683" s="1220" t="s">
        <v>4381</v>
      </c>
      <c r="X683" s="1242">
        <v>1</v>
      </c>
      <c r="Y683" s="1231" t="s">
        <v>1828</v>
      </c>
      <c r="Z683" s="1223"/>
      <c r="AA683" s="1222"/>
      <c r="AB683" s="1222"/>
      <c r="AC683" s="1222"/>
      <c r="AD683" s="1222"/>
      <c r="AE683" s="1222"/>
      <c r="AF683" s="1232"/>
      <c r="AG683" s="1230"/>
      <c r="AH683" s="1230"/>
      <c r="AI683" s="1230"/>
      <c r="AJ683" s="1230"/>
      <c r="AK683" s="1230"/>
      <c r="AL683" s="1230"/>
      <c r="AM683" s="1230"/>
      <c r="AN683" s="1230"/>
      <c r="AO683" s="1230"/>
      <c r="AP683" s="1230"/>
      <c r="AQ683" s="1233" t="s">
        <v>2260</v>
      </c>
      <c r="AR683" s="1230" t="s">
        <v>2260</v>
      </c>
      <c r="AS683" s="1230" t="s">
        <v>2260</v>
      </c>
      <c r="AT683" s="1230" t="s">
        <v>2260</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210</v>
      </c>
      <c r="BQ683" s="1233" t="s">
        <v>2260</v>
      </c>
      <c r="BR683" s="1230" t="s">
        <v>2260</v>
      </c>
      <c r="BS683" s="1230" t="s">
        <v>2260</v>
      </c>
      <c r="BT683" s="1230" t="s">
        <v>2260</v>
      </c>
      <c r="BU683" s="1234" t="s">
        <v>2260</v>
      </c>
      <c r="BV683" s="1233" t="s">
        <v>2260</v>
      </c>
      <c r="BW683" s="1230" t="s">
        <v>2260</v>
      </c>
      <c r="BX683" s="1230" t="s">
        <v>2260</v>
      </c>
      <c r="BY683" s="1230" t="s">
        <v>2260</v>
      </c>
      <c r="BZ683" s="1230" t="s">
        <v>2260</v>
      </c>
      <c r="CA683" s="1233" t="s">
        <v>2260</v>
      </c>
      <c r="CB683" s="1230" t="s">
        <v>2260</v>
      </c>
      <c r="CC683" s="1230" t="s">
        <v>2260</v>
      </c>
      <c r="CD683" s="1230" t="s">
        <v>2260</v>
      </c>
      <c r="CE683" s="1234" t="s">
        <v>2260</v>
      </c>
      <c r="CF683" s="1230" t="s">
        <v>2260</v>
      </c>
      <c r="CG683" s="1230" t="s">
        <v>2260</v>
      </c>
      <c r="CH683" s="1230" t="s">
        <v>2260</v>
      </c>
      <c r="CI683" s="1230" t="s">
        <v>2260</v>
      </c>
      <c r="CJ683" s="1234" t="s">
        <v>2260</v>
      </c>
      <c r="CK683" s="1233" t="s">
        <v>2260</v>
      </c>
      <c r="CL683" s="1230" t="s">
        <v>2260</v>
      </c>
      <c r="CM683" s="1230" t="s">
        <v>2260</v>
      </c>
      <c r="CN683" s="1230" t="s">
        <v>2260</v>
      </c>
      <c r="CO683" s="1234" t="s">
        <v>2260</v>
      </c>
      <c r="CP683" s="1233" t="s">
        <v>2260</v>
      </c>
      <c r="CQ683" s="1230" t="s">
        <v>2260</v>
      </c>
      <c r="CR683" s="1230" t="s">
        <v>2260</v>
      </c>
      <c r="CS683" s="1230" t="s">
        <v>2260</v>
      </c>
      <c r="CT683" s="1234" t="s">
        <v>2260</v>
      </c>
      <c r="CU683" s="1874">
        <v>-4.7699999999999999E-2</v>
      </c>
      <c r="CV683" s="1262" t="s">
        <v>2260</v>
      </c>
      <c r="CW683" s="1262" t="s">
        <v>2260</v>
      </c>
      <c r="CX683" s="1263" t="s">
        <v>2260</v>
      </c>
      <c r="CY683" s="1262" t="s">
        <v>2260</v>
      </c>
      <c r="CZ683" s="1262" t="s">
        <v>2260</v>
      </c>
      <c r="DA683" s="1262" t="s">
        <v>2260</v>
      </c>
      <c r="DB683" s="1263" t="s">
        <v>2260</v>
      </c>
      <c r="DC683" s="1222"/>
      <c r="DD683" s="1238">
        <v>1</v>
      </c>
      <c r="DE683" s="1239"/>
    </row>
    <row r="684" spans="1:109" ht="15.75" hidden="1" customHeight="1">
      <c r="A684" s="1837" t="s">
        <v>1157</v>
      </c>
      <c r="B684" s="1838">
        <v>678</v>
      </c>
      <c r="C684" s="1839" t="s">
        <v>1575</v>
      </c>
      <c r="D684" s="1838" t="s">
        <v>4382</v>
      </c>
      <c r="E684" s="1838" t="s">
        <v>4383</v>
      </c>
      <c r="F684" s="1840"/>
      <c r="G684" s="1841" t="s">
        <v>4384</v>
      </c>
      <c r="H684" s="1842" t="s">
        <v>4385</v>
      </c>
      <c r="I684" s="1843">
        <v>0.1</v>
      </c>
      <c r="J684" s="1844"/>
      <c r="K684" s="1844">
        <v>0.9</v>
      </c>
      <c r="L684" s="1844"/>
      <c r="M684" s="1844"/>
      <c r="N684" s="1844"/>
      <c r="O684" s="1844"/>
      <c r="P684" s="1845"/>
      <c r="Q684" s="1846">
        <f t="shared" si="10"/>
        <v>1</v>
      </c>
      <c r="R684" s="1839" t="s">
        <v>1852</v>
      </c>
      <c r="S684" s="1838" t="s">
        <v>1826</v>
      </c>
      <c r="T684" s="1840" t="s">
        <v>1837</v>
      </c>
      <c r="U684" s="1838" t="s">
        <v>2387</v>
      </c>
      <c r="V684" s="1838" t="s">
        <v>1857</v>
      </c>
      <c r="W684" s="1838" t="s">
        <v>3423</v>
      </c>
      <c r="X684" s="1847">
        <v>0</v>
      </c>
      <c r="Y684" s="1848" t="s">
        <v>1828</v>
      </c>
      <c r="Z684" s="1841"/>
      <c r="AA684" s="1849"/>
      <c r="AB684" s="1849"/>
      <c r="AC684" s="1849"/>
      <c r="AD684" s="1849"/>
      <c r="AE684" s="1849"/>
      <c r="AF684" s="1850"/>
      <c r="AG684" s="1847"/>
      <c r="AH684" s="1847"/>
      <c r="AI684" s="1847"/>
      <c r="AJ684" s="1847"/>
      <c r="AK684" s="1847"/>
      <c r="AL684" s="1847"/>
      <c r="AM684" s="1847"/>
      <c r="AN684" s="1847"/>
      <c r="AO684" s="1847"/>
      <c r="AP684" s="1847"/>
      <c r="AQ684" s="1851"/>
      <c r="AR684" s="1847"/>
      <c r="AS684" s="1847"/>
      <c r="AT684" s="1847"/>
      <c r="AU684" s="1852">
        <v>7</v>
      </c>
      <c r="AV684" s="1851"/>
      <c r="AW684" s="1847"/>
      <c r="AX684" s="1847"/>
      <c r="AY684" s="1847"/>
      <c r="AZ684" s="1847"/>
      <c r="BA684" s="1847"/>
      <c r="BB684" s="1847"/>
      <c r="BC684" s="1847"/>
      <c r="BD684" s="1847"/>
      <c r="BE684" s="1847"/>
      <c r="BF684" s="1847"/>
      <c r="BG684" s="1847"/>
      <c r="BH684" s="1847"/>
      <c r="BI684" s="1847"/>
      <c r="BJ684" s="1847"/>
      <c r="BK684" s="1852"/>
      <c r="BL684" s="1839"/>
      <c r="BM684" s="1849"/>
      <c r="BN684" s="1849"/>
      <c r="BO684" s="1849"/>
      <c r="BP684" s="1840" t="s">
        <v>210</v>
      </c>
      <c r="BQ684" s="1851"/>
      <c r="BR684" s="1847"/>
      <c r="BS684" s="1847"/>
      <c r="BT684" s="1847"/>
      <c r="BU684" s="1852"/>
      <c r="BV684" s="1851"/>
      <c r="BW684" s="1847"/>
      <c r="BX684" s="1847"/>
      <c r="BY684" s="1847"/>
      <c r="BZ684" s="1847"/>
      <c r="CA684" s="1851"/>
      <c r="CB684" s="1847"/>
      <c r="CC684" s="1847"/>
      <c r="CD684" s="1847"/>
      <c r="CE684" s="1852"/>
      <c r="CF684" s="1847"/>
      <c r="CG684" s="1847"/>
      <c r="CH684" s="1847"/>
      <c r="CI684" s="1847"/>
      <c r="CJ684" s="1852"/>
      <c r="CK684" s="1851"/>
      <c r="CL684" s="1847"/>
      <c r="CM684" s="1847"/>
      <c r="CN684" s="1847"/>
      <c r="CO684" s="1852"/>
      <c r="CP684" s="1851"/>
      <c r="CQ684" s="1847"/>
      <c r="CR684" s="1847"/>
      <c r="CS684" s="1847"/>
      <c r="CT684" s="1852"/>
      <c r="CU684" s="1853">
        <v>-0.81499999999999995</v>
      </c>
      <c r="CV684" s="1854"/>
      <c r="CW684" s="1854"/>
      <c r="CX684" s="1855"/>
      <c r="CY684" s="1854">
        <v>0.81499999999999995</v>
      </c>
      <c r="CZ684" s="1854"/>
      <c r="DA684" s="1854"/>
      <c r="DB684" s="1855"/>
      <c r="DC684" s="1849"/>
      <c r="DD684" s="1856">
        <v>1</v>
      </c>
      <c r="DE684" s="1857"/>
    </row>
    <row r="685" spans="1:109" ht="15.75" hidden="1" customHeight="1">
      <c r="A685" s="1837" t="s">
        <v>1199</v>
      </c>
      <c r="B685" s="1838">
        <v>679</v>
      </c>
      <c r="C685" s="1839" t="s">
        <v>1490</v>
      </c>
      <c r="D685" s="1838" t="s">
        <v>4386</v>
      </c>
      <c r="E685" s="1838" t="s">
        <v>4387</v>
      </c>
      <c r="F685" s="1849"/>
      <c r="G685" s="1841" t="s">
        <v>4388</v>
      </c>
      <c r="H685" s="1842" t="s">
        <v>4389</v>
      </c>
      <c r="I685" s="1843"/>
      <c r="J685" s="1844">
        <v>1</v>
      </c>
      <c r="K685" s="1844"/>
      <c r="L685" s="1844"/>
      <c r="M685" s="1844"/>
      <c r="N685" s="1844"/>
      <c r="O685" s="1844"/>
      <c r="P685" s="1845"/>
      <c r="Q685" s="1846">
        <f t="shared" si="10"/>
        <v>1</v>
      </c>
      <c r="R685" s="1839" t="s">
        <v>1846</v>
      </c>
      <c r="S685" s="1838" t="s">
        <v>1826</v>
      </c>
      <c r="T685" s="1840" t="s">
        <v>1827</v>
      </c>
      <c r="U685" s="1838" t="s">
        <v>4390</v>
      </c>
      <c r="V685" s="1838" t="s">
        <v>1860</v>
      </c>
      <c r="W685" s="1838" t="s">
        <v>4391</v>
      </c>
      <c r="X685" s="1847">
        <v>1</v>
      </c>
      <c r="Y685" s="1848" t="s">
        <v>1828</v>
      </c>
      <c r="Z685" s="1841"/>
      <c r="AA685" s="1849"/>
      <c r="AB685" s="1849"/>
      <c r="AC685" s="1849"/>
      <c r="AD685" s="1849"/>
      <c r="AE685" s="1849"/>
      <c r="AF685" s="1850"/>
      <c r="AG685" s="1847"/>
      <c r="AH685" s="1847"/>
      <c r="AI685" s="1847"/>
      <c r="AJ685" s="1847"/>
      <c r="AK685" s="1847"/>
      <c r="AL685" s="1847"/>
      <c r="AM685" s="1847"/>
      <c r="AN685" s="1847"/>
      <c r="AO685" s="1847"/>
      <c r="AP685" s="1847"/>
      <c r="AQ685" s="1851"/>
      <c r="AR685" s="1847"/>
      <c r="AS685" s="1847"/>
      <c r="AT685" s="1847">
        <v>4.0999999999999996</v>
      </c>
      <c r="AU685" s="2346">
        <v>12.62</v>
      </c>
      <c r="AV685" s="1851"/>
      <c r="AW685" s="1847"/>
      <c r="AX685" s="1847"/>
      <c r="AY685" s="1847"/>
      <c r="AZ685" s="1847"/>
      <c r="BA685" s="1847"/>
      <c r="BB685" s="1847"/>
      <c r="BC685" s="1847"/>
      <c r="BD685" s="1847"/>
      <c r="BE685" s="1847"/>
      <c r="BF685" s="1847"/>
      <c r="BG685" s="1847"/>
      <c r="BH685" s="1847"/>
      <c r="BI685" s="1847"/>
      <c r="BJ685" s="1847"/>
      <c r="BK685" s="1852"/>
      <c r="BL685" s="1839"/>
      <c r="BM685" s="1849"/>
      <c r="BN685" s="1849"/>
      <c r="BO685" s="1849"/>
      <c r="BP685" s="1840" t="s">
        <v>210</v>
      </c>
      <c r="BQ685" s="1851"/>
      <c r="BR685" s="1847"/>
      <c r="BS685" s="1847"/>
      <c r="BT685" s="1847"/>
      <c r="BU685" s="1852"/>
      <c r="BV685" s="1851"/>
      <c r="BW685" s="1847"/>
      <c r="BX685" s="1847"/>
      <c r="BY685" s="1847"/>
      <c r="BZ685" s="1847"/>
      <c r="CA685" s="1851"/>
      <c r="CB685" s="1847"/>
      <c r="CC685" s="1847"/>
      <c r="CD685" s="1847"/>
      <c r="CE685" s="1852"/>
      <c r="CF685" s="1847"/>
      <c r="CG685" s="1847"/>
      <c r="CH685" s="1847"/>
      <c r="CI685" s="1847"/>
      <c r="CJ685" s="1852"/>
      <c r="CK685" s="1851"/>
      <c r="CL685" s="1847"/>
      <c r="CM685" s="1847"/>
      <c r="CN685" s="1847"/>
      <c r="CO685" s="1852"/>
      <c r="CP685" s="1851"/>
      <c r="CQ685" s="1847"/>
      <c r="CR685" s="1847"/>
      <c r="CS685" s="1847"/>
      <c r="CT685" s="1852"/>
      <c r="CU685" s="2342">
        <v>-0.39063300000000001</v>
      </c>
      <c r="CV685" s="1854"/>
      <c r="CW685" s="1854"/>
      <c r="CX685" s="1237"/>
      <c r="CY685" s="1236"/>
      <c r="CZ685" s="1236"/>
      <c r="DA685" s="1236"/>
      <c r="DB685" s="1237"/>
      <c r="DC685" s="1222"/>
      <c r="DD685" s="1238">
        <v>1</v>
      </c>
      <c r="DE685" s="1239"/>
    </row>
    <row r="686" spans="1:109" ht="26.25" hidden="1" customHeight="1">
      <c r="A686" s="1837" t="s">
        <v>1199</v>
      </c>
      <c r="B686" s="1838">
        <v>680</v>
      </c>
      <c r="C686" s="1839" t="s">
        <v>1741</v>
      </c>
      <c r="D686" s="1838" t="s">
        <v>4392</v>
      </c>
      <c r="E686" s="1838" t="s">
        <v>4387</v>
      </c>
      <c r="F686" s="1849"/>
      <c r="G686" s="1841" t="s">
        <v>4393</v>
      </c>
      <c r="H686" s="1842" t="s">
        <v>4394</v>
      </c>
      <c r="I686" s="1843"/>
      <c r="J686" s="1844"/>
      <c r="K686" s="1844"/>
      <c r="L686" s="1844"/>
      <c r="M686" s="1844"/>
      <c r="N686" s="1844"/>
      <c r="O686" s="1844"/>
      <c r="P686" s="1845"/>
      <c r="Q686" s="1846">
        <f t="shared" si="10"/>
        <v>0</v>
      </c>
      <c r="R686" s="1839" t="s">
        <v>1825</v>
      </c>
      <c r="S686" s="1838"/>
      <c r="T686" s="1840"/>
      <c r="U686" s="1838" t="s">
        <v>4390</v>
      </c>
      <c r="V686" s="1838" t="s">
        <v>1890</v>
      </c>
      <c r="W686" s="1838" t="s">
        <v>4395</v>
      </c>
      <c r="X686" s="1847">
        <v>0</v>
      </c>
      <c r="Y686" s="1848" t="s">
        <v>1828</v>
      </c>
      <c r="Z686" s="1841"/>
      <c r="AA686" s="1849"/>
      <c r="AB686" s="1849"/>
      <c r="AC686" s="1849"/>
      <c r="AD686" s="1849"/>
      <c r="AE686" s="1849"/>
      <c r="AF686" s="1850"/>
      <c r="AG686" s="1847"/>
      <c r="AH686" s="1847"/>
      <c r="AI686" s="1847"/>
      <c r="AJ686" s="1847"/>
      <c r="AK686" s="1847"/>
      <c r="AL686" s="1847"/>
      <c r="AM686" s="1847"/>
      <c r="AN686" s="1847"/>
      <c r="AO686" s="1847"/>
      <c r="AP686" s="1847"/>
      <c r="AQ686" s="1851"/>
      <c r="AR686" s="1847"/>
      <c r="AS686" s="1847"/>
      <c r="AT686" s="1847"/>
      <c r="AU686" s="1852" t="s">
        <v>4396</v>
      </c>
      <c r="AV686" s="1851"/>
      <c r="AW686" s="1847"/>
      <c r="AX686" s="1847"/>
      <c r="AY686" s="1847"/>
      <c r="AZ686" s="1847"/>
      <c r="BA686" s="1847"/>
      <c r="BB686" s="1847"/>
      <c r="BC686" s="1847"/>
      <c r="BD686" s="1847"/>
      <c r="BE686" s="1847"/>
      <c r="BF686" s="1847"/>
      <c r="BG686" s="1847"/>
      <c r="BH686" s="1847"/>
      <c r="BI686" s="1847"/>
      <c r="BJ686" s="1847"/>
      <c r="BK686" s="1852"/>
      <c r="BL686" s="1839"/>
      <c r="BM686" s="1849"/>
      <c r="BN686" s="1849"/>
      <c r="BO686" s="1849"/>
      <c r="BP686" s="1840"/>
      <c r="BQ686" s="1851"/>
      <c r="BR686" s="1847"/>
      <c r="BS686" s="1847"/>
      <c r="BT686" s="1847"/>
      <c r="BU686" s="1852"/>
      <c r="BV686" s="1851"/>
      <c r="BW686" s="1847"/>
      <c r="BX686" s="1847"/>
      <c r="BY686" s="1847"/>
      <c r="BZ686" s="1847"/>
      <c r="CA686" s="1851"/>
      <c r="CB686" s="1847"/>
      <c r="CC686" s="1847"/>
      <c r="CD686" s="1847"/>
      <c r="CE686" s="1852"/>
      <c r="CF686" s="1847"/>
      <c r="CG686" s="1847"/>
      <c r="CH686" s="1847"/>
      <c r="CI686" s="1847"/>
      <c r="CJ686" s="1852"/>
      <c r="CK686" s="1851"/>
      <c r="CL686" s="1847"/>
      <c r="CM686" s="1847"/>
      <c r="CN686" s="1847"/>
      <c r="CO686" s="1852"/>
      <c r="CP686" s="1851"/>
      <c r="CQ686" s="1847"/>
      <c r="CR686" s="1847"/>
      <c r="CS686" s="1847"/>
      <c r="CT686" s="1852"/>
      <c r="CU686" s="1853"/>
      <c r="CV686" s="1854"/>
      <c r="CW686" s="1854"/>
      <c r="CX686" s="1237"/>
      <c r="CY686" s="1236"/>
      <c r="CZ686" s="1236"/>
      <c r="DA686" s="1236"/>
      <c r="DB686" s="1237"/>
      <c r="DC686" s="1222"/>
      <c r="DD686" s="1238">
        <v>1</v>
      </c>
      <c r="DE686" s="1239"/>
    </row>
    <row r="687" spans="1:109" ht="26.25" hidden="1" customHeight="1">
      <c r="A687" s="1837" t="s">
        <v>1199</v>
      </c>
      <c r="B687" s="1838">
        <v>681</v>
      </c>
      <c r="C687" s="1839" t="s">
        <v>1745</v>
      </c>
      <c r="D687" s="1838" t="s">
        <v>4397</v>
      </c>
      <c r="E687" s="1838" t="s">
        <v>4387</v>
      </c>
      <c r="F687" s="1849"/>
      <c r="G687" s="1841" t="s">
        <v>4398</v>
      </c>
      <c r="H687" s="1842" t="s">
        <v>4399</v>
      </c>
      <c r="I687" s="1843"/>
      <c r="J687" s="1844"/>
      <c r="K687" s="1844"/>
      <c r="L687" s="1844"/>
      <c r="M687" s="1844"/>
      <c r="N687" s="1844"/>
      <c r="O687" s="1844"/>
      <c r="P687" s="1845"/>
      <c r="Q687" s="1846">
        <f t="shared" si="10"/>
        <v>0</v>
      </c>
      <c r="R687" s="1839" t="s">
        <v>1825</v>
      </c>
      <c r="S687" s="1838"/>
      <c r="T687" s="1840"/>
      <c r="U687" s="1838" t="s">
        <v>4390</v>
      </c>
      <c r="V687" s="1838" t="s">
        <v>1890</v>
      </c>
      <c r="W687" s="1838" t="s">
        <v>4395</v>
      </c>
      <c r="X687" s="1847">
        <v>0</v>
      </c>
      <c r="Y687" s="1848" t="s">
        <v>1828</v>
      </c>
      <c r="Z687" s="1841"/>
      <c r="AA687" s="1849"/>
      <c r="AB687" s="1849"/>
      <c r="AC687" s="1849"/>
      <c r="AD687" s="1849"/>
      <c r="AE687" s="1849"/>
      <c r="AF687" s="1850"/>
      <c r="AG687" s="1847"/>
      <c r="AH687" s="1847"/>
      <c r="AI687" s="1847"/>
      <c r="AJ687" s="1847"/>
      <c r="AK687" s="1847"/>
      <c r="AL687" s="1847"/>
      <c r="AM687" s="1847"/>
      <c r="AN687" s="1847"/>
      <c r="AO687" s="1847"/>
      <c r="AP687" s="1847"/>
      <c r="AQ687" s="1851"/>
      <c r="AR687" s="1847"/>
      <c r="AS687" s="1847"/>
      <c r="AT687" s="1847" t="s">
        <v>4400</v>
      </c>
      <c r="AU687" s="1852" t="s">
        <v>4401</v>
      </c>
      <c r="AV687" s="1851"/>
      <c r="AW687" s="1847"/>
      <c r="AX687" s="1847"/>
      <c r="AY687" s="1847"/>
      <c r="AZ687" s="1847"/>
      <c r="BA687" s="1847"/>
      <c r="BB687" s="1847"/>
      <c r="BC687" s="1847"/>
      <c r="BD687" s="1847"/>
      <c r="BE687" s="1847"/>
      <c r="BF687" s="1847"/>
      <c r="BG687" s="1847"/>
      <c r="BH687" s="1847"/>
      <c r="BI687" s="1847"/>
      <c r="BJ687" s="1847"/>
      <c r="BK687" s="1852"/>
      <c r="BL687" s="1839"/>
      <c r="BM687" s="1849"/>
      <c r="BN687" s="1849"/>
      <c r="BO687" s="1849"/>
      <c r="BP687" s="1840"/>
      <c r="BQ687" s="1851"/>
      <c r="BR687" s="1847"/>
      <c r="BS687" s="1847"/>
      <c r="BT687" s="1847"/>
      <c r="BU687" s="1852"/>
      <c r="BV687" s="1851"/>
      <c r="BW687" s="1847"/>
      <c r="BX687" s="1847"/>
      <c r="BY687" s="1847"/>
      <c r="BZ687" s="1847"/>
      <c r="CA687" s="1851"/>
      <c r="CB687" s="1847"/>
      <c r="CC687" s="1847"/>
      <c r="CD687" s="1847"/>
      <c r="CE687" s="1852"/>
      <c r="CF687" s="1847"/>
      <c r="CG687" s="1847"/>
      <c r="CH687" s="1847"/>
      <c r="CI687" s="1847"/>
      <c r="CJ687" s="1852"/>
      <c r="CK687" s="1851"/>
      <c r="CL687" s="1847"/>
      <c r="CM687" s="1847"/>
      <c r="CN687" s="1847"/>
      <c r="CO687" s="1852"/>
      <c r="CP687" s="1851"/>
      <c r="CQ687" s="1847"/>
      <c r="CR687" s="1847"/>
      <c r="CS687" s="1847"/>
      <c r="CT687" s="1852"/>
      <c r="CU687" s="1853"/>
      <c r="CV687" s="1854"/>
      <c r="CW687" s="1854"/>
      <c r="CX687" s="1237"/>
      <c r="CY687" s="1236"/>
      <c r="CZ687" s="1236"/>
      <c r="DA687" s="1236"/>
      <c r="DB687" s="1237"/>
      <c r="DC687" s="1222"/>
      <c r="DD687" s="1238">
        <v>1</v>
      </c>
      <c r="DE687" s="1239"/>
    </row>
    <row r="688" spans="1:109" ht="15.75" hidden="1" customHeight="1">
      <c r="A688" s="1219"/>
      <c r="B688" s="1220"/>
      <c r="C688" s="1221"/>
      <c r="D688" s="1220"/>
      <c r="E688" s="1220"/>
      <c r="F688" s="1222"/>
      <c r="G688" s="1223"/>
      <c r="H688" s="1224"/>
      <c r="I688" s="1225"/>
      <c r="J688" s="1226"/>
      <c r="K688" s="1226"/>
      <c r="L688" s="1226"/>
      <c r="M688" s="1226"/>
      <c r="N688" s="1226"/>
      <c r="O688" s="1226"/>
      <c r="P688" s="1227"/>
      <c r="Q688" s="764">
        <f t="shared" si="10"/>
        <v>0</v>
      </c>
      <c r="R688" s="1221"/>
      <c r="S688" s="1220"/>
      <c r="T688" s="1229"/>
      <c r="U688" s="1220"/>
      <c r="V688" s="1220"/>
      <c r="W688" s="1220"/>
      <c r="X688" s="1230"/>
      <c r="Y688" s="1231"/>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c r="CP688" s="1233"/>
      <c r="CQ688" s="1230"/>
      <c r="CR688" s="1230"/>
      <c r="CS688" s="1230"/>
      <c r="CT688" s="1234"/>
      <c r="CU688" s="1235"/>
      <c r="CV688" s="1236"/>
      <c r="CW688" s="1236"/>
      <c r="CX688" s="1237"/>
      <c r="CY688" s="1236"/>
      <c r="CZ688" s="1236"/>
      <c r="DA688" s="1236"/>
      <c r="DB688" s="1237"/>
      <c r="DC688" s="1222"/>
      <c r="DD688" s="1238">
        <v>1</v>
      </c>
      <c r="DE688" s="1239"/>
    </row>
    <row r="689" spans="1:109" ht="15.75" hidden="1"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hidden="1"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hidden="1"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hidden="1"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hidden="1"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hidden="1"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hidden="1"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hidden="1"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hidden="1"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hidden="1"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hidden="1"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hidden="1"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hidden="1"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hidden="1"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idden="1">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idden="1">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hidden="1">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hidden="1">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hidden="1">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hidden="1">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hidden="1">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hidden="1">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hidden="1">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idden="1">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idden="1">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idden="1">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idden="1">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idden="1">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idden="1">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idden="1">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idden="1">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idden="1">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idden="1">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idden="1">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idden="1">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idden="1">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idden="1">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idden="1">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idden="1">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idden="1">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idden="1">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idden="1">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idden="1">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idden="1">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idden="1">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idden="1">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idden="1">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idden="1">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idden="1">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idden="1">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idden="1">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idden="1">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idden="1">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idden="1">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idden="1">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idden="1">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idden="1">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idden="1">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idden="1">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idden="1">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idden="1">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idden="1">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idden="1">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idden="1">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idden="1">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idden="1">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idden="1">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idden="1">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idden="1">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idden="1">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idden="1">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idden="1">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idden="1">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idden="1">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idden="1">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idden="1">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idden="1">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idden="1">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idden="1">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idden="1">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idden="1">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idden="1">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idden="1">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idden="1">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idden="1">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idden="1">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idden="1">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idden="1">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idden="1">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idden="1">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utoFilter="0"/>
  <autoFilter ref="A6:DE778" xr:uid="{00000000-0009-0000-0000-00001F000000}">
    <filterColumn colId="0">
      <filters>
        <filter val="ANH"/>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4" priority="37">
      <formula>$R682="NFI"</formula>
    </cfRule>
  </conditionalFormatting>
  <conditionalFormatting sqref="A240:W277">
    <cfRule type="expression" dxfId="183" priority="6">
      <formula>$R240="NFI"</formula>
    </cfRule>
  </conditionalFormatting>
  <conditionalFormatting sqref="A439:W490">
    <cfRule type="expression" dxfId="182"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181" priority="58">
      <formula>$R7="NFI"</formula>
    </cfRule>
  </conditionalFormatting>
  <conditionalFormatting sqref="I7:Q778">
    <cfRule type="cellIs" dxfId="180" priority="36" operator="equal">
      <formula>0</formula>
    </cfRule>
  </conditionalFormatting>
  <conditionalFormatting sqref="X35:X106">
    <cfRule type="expression" dxfId="179" priority="20">
      <formula>$R35="NFI"</formula>
    </cfRule>
  </conditionalFormatting>
  <conditionalFormatting sqref="X138:X188">
    <cfRule type="expression" dxfId="178" priority="19">
      <formula>$R138="NFI"</formula>
    </cfRule>
  </conditionalFormatting>
  <conditionalFormatting sqref="X639:X682">
    <cfRule type="expression" dxfId="177" priority="17">
      <formula>$R639="NFI"</formula>
    </cfRule>
  </conditionalFormatting>
  <conditionalFormatting sqref="Y81:DE149">
    <cfRule type="expression" dxfId="176" priority="1">
      <formula>$R81="NFI"</formula>
    </cfRule>
  </conditionalFormatting>
  <conditionalFormatting sqref="Y639:DE662">
    <cfRule type="expression" dxfId="175" priority="48">
      <formula>$R639="NFI"</formula>
    </cfRule>
  </conditionalFormatting>
  <conditionalFormatting sqref="Y664:DE682 R682:W682 R683:DE777 A778:DE778">
    <cfRule type="expression" dxfId="174" priority="45">
      <formula>$R664="NFI"</formula>
    </cfRule>
  </conditionalFormatting>
  <conditionalFormatting sqref="CA663">
    <cfRule type="expression" dxfId="173" priority="51">
      <formula>$AJ663="NFI"</formula>
    </cfRule>
    <cfRule type="expression" dxfId="172" priority="52">
      <formula>CA663=0</formula>
    </cfRule>
  </conditionalFormatting>
  <conditionalFormatting sqref="CA80:CE80">
    <cfRule type="expression" dxfId="171" priority="53">
      <formula>$AJ80="NFI"</formula>
    </cfRule>
    <cfRule type="expression" dxfId="170" priority="54">
      <formula>CA80=0</formula>
    </cfRule>
  </conditionalFormatting>
  <conditionalFormatting sqref="CA150:CE150">
    <cfRule type="expression" dxfId="169" priority="49">
      <formula>$AJ150="NFI"</formula>
    </cfRule>
    <cfRule type="expression" dxfId="168" priority="50">
      <formula>CA150=0</formula>
    </cfRule>
  </conditionalFormatting>
  <conditionalFormatting sqref="CK79:CO79">
    <cfRule type="expression" dxfId="167" priority="22">
      <formula>$AJ79="NFI"</formula>
    </cfRule>
    <cfRule type="expression" dxfId="166" priority="23">
      <formula>CK79=0</formula>
    </cfRule>
  </conditionalFormatting>
  <conditionalFormatting sqref="CK538:CO538">
    <cfRule type="expression" dxfId="165" priority="24">
      <formula>$AJ538="NFI"</formula>
    </cfRule>
    <cfRule type="expression" dxfId="164"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bottomRight"/>
      <selection pane="bottomLeft"/>
      <selection pane="top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45" thickBot="1">
      <c r="A1" s="2301" t="s">
        <v>4402</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42" t="s">
        <v>4403</v>
      </c>
      <c r="B3" s="2442"/>
      <c r="C3" s="2442"/>
      <c r="D3" s="2442"/>
      <c r="E3" s="2442"/>
      <c r="F3" s="2442"/>
      <c r="G3" s="2442"/>
      <c r="H3" s="2442"/>
      <c r="I3" s="2442"/>
      <c r="J3" s="2442"/>
      <c r="K3" s="2442"/>
      <c r="L3" s="2442"/>
      <c r="M3" s="2442"/>
      <c r="N3" s="2442"/>
      <c r="O3" s="2442"/>
      <c r="P3" s="2442"/>
      <c r="Q3" s="2442"/>
      <c r="R3" s="2442"/>
      <c r="S3" s="2442"/>
      <c r="T3" s="47"/>
      <c r="U3" s="2443" t="s">
        <v>4404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44"/>
      <c r="CT3" s="2445"/>
      <c r="CU3" s="2445"/>
      <c r="CV3" s="2445"/>
      <c r="CW3" s="2445"/>
      <c r="CX3" s="2445"/>
      <c r="CY3" s="2445"/>
      <c r="CZ3" s="2445"/>
      <c r="DA3" s="2445"/>
      <c r="DB3" s="2445"/>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42"/>
      <c r="B4" s="2442"/>
      <c r="C4" s="2442"/>
      <c r="D4" s="2442"/>
      <c r="E4" s="2442"/>
      <c r="F4" s="2442"/>
      <c r="G4" s="2442"/>
      <c r="H4" s="2442"/>
      <c r="I4" s="2442"/>
      <c r="J4" s="2442"/>
      <c r="K4" s="2442"/>
      <c r="L4" s="2442"/>
      <c r="M4" s="2442"/>
      <c r="N4" s="2442"/>
      <c r="O4" s="2442"/>
      <c r="P4" s="2442"/>
      <c r="Q4" s="2442"/>
      <c r="R4" s="2442"/>
      <c r="S4" s="2442"/>
      <c r="T4" s="47"/>
      <c r="U4" s="2443"/>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45"/>
      <c r="CT4" s="2445"/>
      <c r="CU4" s="2445"/>
      <c r="CV4" s="2445"/>
      <c r="CW4" s="2445"/>
      <c r="CX4" s="2445"/>
      <c r="CY4" s="2445"/>
      <c r="CZ4" s="2445"/>
      <c r="DA4" s="2445"/>
      <c r="DB4" s="2445"/>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36" t="s">
        <v>4405</v>
      </c>
      <c r="B6" s="937"/>
      <c r="C6" s="938"/>
      <c r="D6" s="939"/>
      <c r="E6" s="939"/>
      <c r="F6" s="939"/>
      <c r="G6" s="939"/>
      <c r="H6" s="939"/>
      <c r="I6" s="939"/>
      <c r="J6" s="939"/>
      <c r="K6" s="939"/>
      <c r="L6" s="939"/>
      <c r="M6" s="939"/>
      <c r="N6" s="939"/>
      <c r="O6" s="939"/>
      <c r="P6" s="939"/>
      <c r="Q6" s="939"/>
      <c r="R6" s="939"/>
      <c r="S6" s="939"/>
      <c r="T6" s="940"/>
      <c r="U6" s="2367">
        <v>19</v>
      </c>
      <c r="V6" s="941">
        <v>20</v>
      </c>
      <c r="W6" s="942">
        <v>21</v>
      </c>
      <c r="X6" s="2368">
        <v>22</v>
      </c>
      <c r="Y6" s="943">
        <v>23</v>
      </c>
      <c r="Z6" s="942">
        <v>24</v>
      </c>
      <c r="AA6" s="2446">
        <v>25</v>
      </c>
      <c r="AB6" s="2447"/>
      <c r="AC6" s="2447"/>
      <c r="AD6" s="2447"/>
      <c r="AE6" s="2447"/>
      <c r="AF6" s="2447"/>
      <c r="AG6" s="2447"/>
      <c r="AH6" s="2447"/>
      <c r="AI6" s="2369">
        <v>33</v>
      </c>
      <c r="AJ6" s="2368">
        <v>34</v>
      </c>
      <c r="AK6" s="942">
        <v>35</v>
      </c>
      <c r="AL6" s="2369">
        <v>36</v>
      </c>
      <c r="AM6" s="942">
        <v>37</v>
      </c>
      <c r="AN6" s="942">
        <v>38</v>
      </c>
      <c r="AO6" s="942">
        <v>39</v>
      </c>
      <c r="AP6" s="944">
        <v>40</v>
      </c>
      <c r="AQ6" s="945">
        <v>41</v>
      </c>
      <c r="AR6" s="946">
        <v>42</v>
      </c>
      <c r="AS6" s="2368">
        <v>43</v>
      </c>
      <c r="AT6" s="2368">
        <v>44</v>
      </c>
      <c r="AU6" s="2368">
        <v>45</v>
      </c>
      <c r="AV6" s="2368">
        <v>46</v>
      </c>
      <c r="AW6" s="2368">
        <v>47</v>
      </c>
      <c r="AX6" s="947">
        <v>48</v>
      </c>
      <c r="AY6" s="2448">
        <v>49</v>
      </c>
      <c r="AZ6" s="2449">
        <v>52</v>
      </c>
      <c r="BA6" s="2449">
        <v>53</v>
      </c>
      <c r="BB6" s="2449">
        <v>54</v>
      </c>
      <c r="BC6" s="2449">
        <v>55</v>
      </c>
      <c r="BD6" s="2449">
        <v>56</v>
      </c>
      <c r="BE6" s="2449">
        <v>57</v>
      </c>
      <c r="BF6" s="2449">
        <v>58</v>
      </c>
      <c r="BG6" s="2449">
        <v>59</v>
      </c>
      <c r="BH6" s="2450">
        <v>60</v>
      </c>
      <c r="BI6" s="2448">
        <v>59</v>
      </c>
      <c r="BJ6" s="2449">
        <v>62</v>
      </c>
      <c r="BK6" s="2449">
        <v>63</v>
      </c>
      <c r="BL6" s="2449">
        <v>64</v>
      </c>
      <c r="BM6" s="2450">
        <v>65</v>
      </c>
      <c r="BN6" s="2448">
        <v>64</v>
      </c>
      <c r="BO6" s="2449">
        <v>67</v>
      </c>
      <c r="BP6" s="2449">
        <v>68</v>
      </c>
      <c r="BQ6" s="2449">
        <v>69</v>
      </c>
      <c r="BR6" s="2449">
        <v>70</v>
      </c>
      <c r="BS6" s="2449">
        <v>71</v>
      </c>
      <c r="BT6" s="2449">
        <v>72</v>
      </c>
      <c r="BU6" s="2449">
        <v>73</v>
      </c>
      <c r="BV6" s="2449">
        <v>74</v>
      </c>
      <c r="BW6" s="2449">
        <v>75</v>
      </c>
      <c r="BX6" s="2449">
        <v>76</v>
      </c>
      <c r="BY6" s="2449">
        <v>77</v>
      </c>
      <c r="BZ6" s="2449">
        <v>78</v>
      </c>
      <c r="CA6" s="2449">
        <v>79</v>
      </c>
      <c r="CB6" s="2449">
        <v>80</v>
      </c>
      <c r="CC6" s="2450">
        <v>81</v>
      </c>
      <c r="CD6" s="2448">
        <v>80</v>
      </c>
      <c r="CE6" s="2449">
        <v>83</v>
      </c>
      <c r="CF6" s="2449">
        <v>84</v>
      </c>
      <c r="CG6" s="2449">
        <v>85</v>
      </c>
      <c r="CH6" s="2450">
        <v>86</v>
      </c>
      <c r="CI6" s="2448">
        <v>85</v>
      </c>
      <c r="CJ6" s="2449">
        <v>88</v>
      </c>
      <c r="CK6" s="2449">
        <v>89</v>
      </c>
      <c r="CL6" s="2449">
        <v>90</v>
      </c>
      <c r="CM6" s="2450">
        <v>91</v>
      </c>
      <c r="CN6" s="2448">
        <v>90</v>
      </c>
      <c r="CO6" s="2449">
        <v>93</v>
      </c>
      <c r="CP6" s="2449">
        <v>94</v>
      </c>
      <c r="CQ6" s="2449">
        <v>95</v>
      </c>
      <c r="CR6" s="2449">
        <v>96</v>
      </c>
      <c r="CS6" s="2448">
        <v>95</v>
      </c>
      <c r="CT6" s="2449">
        <v>98</v>
      </c>
      <c r="CU6" s="2449">
        <v>99</v>
      </c>
      <c r="CV6" s="2449">
        <v>100</v>
      </c>
      <c r="CW6" s="2449">
        <v>101</v>
      </c>
      <c r="CX6" s="2448">
        <v>100</v>
      </c>
      <c r="CY6" s="2449">
        <v>103</v>
      </c>
      <c r="CZ6" s="2449">
        <v>104</v>
      </c>
      <c r="DA6" s="2449">
        <v>105</v>
      </c>
      <c r="DB6" s="2449">
        <v>106</v>
      </c>
      <c r="DC6" s="2449">
        <v>105</v>
      </c>
      <c r="DD6" s="2449">
        <v>108</v>
      </c>
      <c r="DE6" s="2449">
        <v>109</v>
      </c>
      <c r="DF6" s="2449">
        <v>110</v>
      </c>
      <c r="DG6" s="2450">
        <v>111</v>
      </c>
      <c r="DH6" s="2448">
        <v>110</v>
      </c>
      <c r="DI6" s="2449">
        <v>113</v>
      </c>
      <c r="DJ6" s="2449">
        <v>114</v>
      </c>
      <c r="DK6" s="2449">
        <v>115</v>
      </c>
      <c r="DL6" s="2450">
        <v>116</v>
      </c>
      <c r="DM6" s="2448">
        <v>115</v>
      </c>
      <c r="DN6" s="2449"/>
      <c r="DO6" s="2449"/>
      <c r="DP6" s="948">
        <v>118</v>
      </c>
      <c r="DQ6" s="2448">
        <v>119</v>
      </c>
      <c r="DR6" s="2449"/>
      <c r="DS6" s="2449"/>
      <c r="DT6" s="948">
        <v>122</v>
      </c>
      <c r="DU6" s="2368">
        <v>123</v>
      </c>
      <c r="DV6" s="948">
        <v>124</v>
      </c>
      <c r="DW6" s="2367">
        <v>125</v>
      </c>
    </row>
    <row r="7" spans="1:127" s="53" customFormat="1" ht="15">
      <c r="A7" s="949"/>
      <c r="B7" s="950"/>
      <c r="C7" s="938"/>
      <c r="D7" s="939"/>
      <c r="E7" s="939"/>
      <c r="F7" s="939"/>
      <c r="G7" s="939"/>
      <c r="H7" s="939"/>
      <c r="I7" s="939"/>
      <c r="J7" s="939"/>
      <c r="K7" s="939"/>
      <c r="L7" s="939"/>
      <c r="M7" s="939"/>
      <c r="N7" s="939"/>
      <c r="O7" s="939"/>
      <c r="P7" s="939"/>
      <c r="Q7" s="939"/>
      <c r="R7" s="939"/>
      <c r="S7" s="939"/>
      <c r="T7" s="940"/>
      <c r="U7" s="2363" t="s">
        <v>1948</v>
      </c>
      <c r="V7" s="688" t="s">
        <v>210</v>
      </c>
      <c r="W7" s="689" t="s">
        <v>210</v>
      </c>
      <c r="X7" s="2364" t="s">
        <v>210</v>
      </c>
      <c r="Y7" s="691" t="s">
        <v>210</v>
      </c>
      <c r="Z7" s="689" t="s">
        <v>210</v>
      </c>
      <c r="AA7" s="2427"/>
      <c r="AB7" s="2451"/>
      <c r="AC7" s="2451"/>
      <c r="AD7" s="2451"/>
      <c r="AE7" s="2451"/>
      <c r="AF7" s="2451"/>
      <c r="AG7" s="2451"/>
      <c r="AH7" s="2451"/>
      <c r="AI7" s="2365"/>
      <c r="AJ7" s="2364" t="s">
        <v>210</v>
      </c>
      <c r="AK7" s="689" t="s">
        <v>210</v>
      </c>
      <c r="AL7" s="2365" t="s">
        <v>210</v>
      </c>
      <c r="AM7" s="689" t="s">
        <v>210</v>
      </c>
      <c r="AN7" s="689" t="s">
        <v>210</v>
      </c>
      <c r="AO7" s="689" t="s">
        <v>210</v>
      </c>
      <c r="AP7" s="692" t="s">
        <v>210</v>
      </c>
      <c r="AQ7" s="693" t="s">
        <v>210</v>
      </c>
      <c r="AR7" s="690" t="s">
        <v>210</v>
      </c>
      <c r="AS7" s="2364" t="s">
        <v>210</v>
      </c>
      <c r="AT7" s="2364" t="s">
        <v>210</v>
      </c>
      <c r="AU7" s="2364" t="s">
        <v>210</v>
      </c>
      <c r="AV7" s="2364" t="s">
        <v>210</v>
      </c>
      <c r="AW7" s="2364" t="s">
        <v>210</v>
      </c>
      <c r="AX7" s="687" t="s">
        <v>173</v>
      </c>
      <c r="AY7" s="2424" t="s">
        <v>173</v>
      </c>
      <c r="AZ7" s="2425"/>
      <c r="BA7" s="2425"/>
      <c r="BB7" s="2425"/>
      <c r="BC7" s="2425"/>
      <c r="BD7" s="2425"/>
      <c r="BE7" s="2425"/>
      <c r="BF7" s="2425"/>
      <c r="BG7" s="2425"/>
      <c r="BH7" s="2426"/>
      <c r="BI7" s="2424" t="s">
        <v>173</v>
      </c>
      <c r="BJ7" s="2425"/>
      <c r="BK7" s="2425"/>
      <c r="BL7" s="2425"/>
      <c r="BM7" s="2426"/>
      <c r="BN7" s="2424" t="s">
        <v>173</v>
      </c>
      <c r="BO7" s="2425"/>
      <c r="BP7" s="2425"/>
      <c r="BQ7" s="2425"/>
      <c r="BR7" s="2425"/>
      <c r="BS7" s="2425"/>
      <c r="BT7" s="2425"/>
      <c r="BU7" s="2425"/>
      <c r="BV7" s="2425"/>
      <c r="BW7" s="2425"/>
      <c r="BX7" s="2425"/>
      <c r="BY7" s="2425"/>
      <c r="BZ7" s="2425"/>
      <c r="CA7" s="2425"/>
      <c r="CB7" s="2425"/>
      <c r="CC7" s="2426"/>
      <c r="CD7" s="2424" t="s">
        <v>173</v>
      </c>
      <c r="CE7" s="2425"/>
      <c r="CF7" s="2425"/>
      <c r="CG7" s="2425"/>
      <c r="CH7" s="2426"/>
      <c r="CI7" s="2424" t="s">
        <v>173</v>
      </c>
      <c r="CJ7" s="2425"/>
      <c r="CK7" s="2425"/>
      <c r="CL7" s="2425"/>
      <c r="CM7" s="2426"/>
      <c r="CN7" s="2424" t="s">
        <v>173</v>
      </c>
      <c r="CO7" s="2425"/>
      <c r="CP7" s="2425"/>
      <c r="CQ7" s="2425"/>
      <c r="CR7" s="2425"/>
      <c r="CS7" s="2424" t="s">
        <v>173</v>
      </c>
      <c r="CT7" s="2425"/>
      <c r="CU7" s="2425"/>
      <c r="CV7" s="2425"/>
      <c r="CW7" s="2425"/>
      <c r="CX7" s="2424" t="s">
        <v>173</v>
      </c>
      <c r="CY7" s="2425"/>
      <c r="CZ7" s="2425"/>
      <c r="DA7" s="2425"/>
      <c r="DB7" s="2425"/>
      <c r="DC7" s="2425" t="s">
        <v>173</v>
      </c>
      <c r="DD7" s="2425"/>
      <c r="DE7" s="2425"/>
      <c r="DF7" s="2425"/>
      <c r="DG7" s="2426"/>
      <c r="DH7" s="2424" t="s">
        <v>173</v>
      </c>
      <c r="DI7" s="2425"/>
      <c r="DJ7" s="2425"/>
      <c r="DK7" s="2425"/>
      <c r="DL7" s="2426"/>
      <c r="DM7" s="694" t="s">
        <v>173</v>
      </c>
      <c r="DN7" s="695" t="s">
        <v>173</v>
      </c>
      <c r="DO7" s="696" t="s">
        <v>173</v>
      </c>
      <c r="DP7" s="697" t="s">
        <v>173</v>
      </c>
      <c r="DQ7" s="694" t="s">
        <v>173</v>
      </c>
      <c r="DR7" s="695" t="s">
        <v>173</v>
      </c>
      <c r="DS7" s="696" t="s">
        <v>173</v>
      </c>
      <c r="DT7" s="697" t="s">
        <v>173</v>
      </c>
      <c r="DU7" s="2364" t="s">
        <v>173</v>
      </c>
      <c r="DV7" s="698" t="s">
        <v>173</v>
      </c>
      <c r="DW7" s="2363" t="s">
        <v>173</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32" t="s">
        <v>4406</v>
      </c>
      <c r="AB8" s="2433"/>
      <c r="AC8" s="2433"/>
      <c r="AD8" s="2433"/>
      <c r="AE8" s="2433"/>
      <c r="AF8" s="2433"/>
      <c r="AG8" s="2433"/>
      <c r="AH8" s="2433"/>
      <c r="AI8" s="2455"/>
      <c r="AJ8" s="703"/>
      <c r="AK8" s="702"/>
      <c r="AL8" s="707"/>
      <c r="AM8" s="708"/>
      <c r="AN8" s="708"/>
      <c r="AO8" s="709"/>
      <c r="AP8" s="710"/>
      <c r="AQ8" s="2365"/>
      <c r="AR8" s="704"/>
      <c r="AS8" s="2366"/>
      <c r="AT8" s="711"/>
      <c r="AU8" s="711"/>
      <c r="AV8" s="711"/>
      <c r="AW8" s="711"/>
      <c r="AX8" s="712"/>
      <c r="AY8" s="2432" t="s">
        <v>2152</v>
      </c>
      <c r="AZ8" s="2433"/>
      <c r="BA8" s="2433"/>
      <c r="BB8" s="2433"/>
      <c r="BC8" s="2433"/>
      <c r="BD8" s="2433"/>
      <c r="BE8" s="2433"/>
      <c r="BF8" s="2433"/>
      <c r="BG8" s="2433"/>
      <c r="BH8" s="2435"/>
      <c r="BI8" s="2432" t="s">
        <v>2153</v>
      </c>
      <c r="BJ8" s="2433"/>
      <c r="BK8" s="2433"/>
      <c r="BL8" s="2433"/>
      <c r="BM8" s="2435"/>
      <c r="BN8" s="2432" t="s">
        <v>2154</v>
      </c>
      <c r="BO8" s="2433"/>
      <c r="BP8" s="2433"/>
      <c r="BQ8" s="2433"/>
      <c r="BR8" s="2433"/>
      <c r="BS8" s="2433"/>
      <c r="BT8" s="2433"/>
      <c r="BU8" s="2433"/>
      <c r="BV8" s="2433"/>
      <c r="BW8" s="2433"/>
      <c r="BX8" s="2433"/>
      <c r="BY8" s="2433"/>
      <c r="BZ8" s="2433"/>
      <c r="CA8" s="2433"/>
      <c r="CB8" s="2433"/>
      <c r="CC8" s="2435"/>
      <c r="CD8" s="2436" t="s">
        <v>1816</v>
      </c>
      <c r="CE8" s="2437"/>
      <c r="CF8" s="2437"/>
      <c r="CG8" s="2437"/>
      <c r="CH8" s="2438"/>
      <c r="CI8" s="2439" t="s">
        <v>2155</v>
      </c>
      <c r="CJ8" s="2440"/>
      <c r="CK8" s="2440"/>
      <c r="CL8" s="2440"/>
      <c r="CM8" s="2441"/>
      <c r="CN8" s="2439" t="s">
        <v>2156</v>
      </c>
      <c r="CO8" s="2440"/>
      <c r="CP8" s="2440"/>
      <c r="CQ8" s="2440"/>
      <c r="CR8" s="2440"/>
      <c r="CS8" s="2439" t="s">
        <v>2157</v>
      </c>
      <c r="CT8" s="2440"/>
      <c r="CU8" s="2440"/>
      <c r="CV8" s="2440"/>
      <c r="CW8" s="2440"/>
      <c r="CX8" s="2439" t="s">
        <v>2158</v>
      </c>
      <c r="CY8" s="2440"/>
      <c r="CZ8" s="2440"/>
      <c r="DA8" s="2440"/>
      <c r="DB8" s="2440"/>
      <c r="DC8" s="2452" t="s">
        <v>2159</v>
      </c>
      <c r="DD8" s="2440"/>
      <c r="DE8" s="2440"/>
      <c r="DF8" s="2440"/>
      <c r="DG8" s="2441"/>
      <c r="DH8" s="2439" t="s">
        <v>2160</v>
      </c>
      <c r="DI8" s="2440"/>
      <c r="DJ8" s="2440"/>
      <c r="DK8" s="2440"/>
      <c r="DL8" s="2441"/>
      <c r="DM8" s="2429" t="s">
        <v>4407</v>
      </c>
      <c r="DN8" s="2453"/>
      <c r="DO8" s="2453"/>
      <c r="DP8" s="2453"/>
      <c r="DQ8" s="2429" t="s">
        <v>2162</v>
      </c>
      <c r="DR8" s="2453"/>
      <c r="DS8" s="2453"/>
      <c r="DT8" s="2454"/>
      <c r="DU8" s="711"/>
      <c r="DV8" s="713"/>
      <c r="DW8" s="957"/>
    </row>
    <row r="9" spans="1:127" s="55" customFormat="1" ht="51.75" thickBot="1">
      <c r="A9" s="958" t="s">
        <v>4408</v>
      </c>
      <c r="B9" s="959" t="s">
        <v>4409</v>
      </c>
      <c r="C9" s="960"/>
      <c r="D9" s="961"/>
      <c r="E9" s="961"/>
      <c r="F9" s="961"/>
      <c r="G9" s="961"/>
      <c r="H9" s="961"/>
      <c r="I9" s="961"/>
      <c r="J9" s="961"/>
      <c r="K9" s="961"/>
      <c r="L9" s="961"/>
      <c r="M9" s="961"/>
      <c r="N9" s="962"/>
      <c r="O9" s="962"/>
      <c r="P9" s="962"/>
      <c r="Q9" s="962"/>
      <c r="R9" s="962"/>
      <c r="S9" s="962"/>
      <c r="T9" s="963"/>
      <c r="U9" s="964" t="s">
        <v>2077</v>
      </c>
      <c r="V9" s="965" t="s">
        <v>2165</v>
      </c>
      <c r="W9" s="966" t="s">
        <v>2166</v>
      </c>
      <c r="X9" s="967" t="s">
        <v>2167</v>
      </c>
      <c r="Y9" s="963" t="s">
        <v>2076</v>
      </c>
      <c r="Z9" s="966" t="s">
        <v>2168</v>
      </c>
      <c r="AA9" s="968" t="s">
        <v>806</v>
      </c>
      <c r="AB9" s="734" t="s">
        <v>809</v>
      </c>
      <c r="AC9" s="734" t="s">
        <v>812</v>
      </c>
      <c r="AD9" s="734" t="s">
        <v>815</v>
      </c>
      <c r="AE9" s="734" t="s">
        <v>818</v>
      </c>
      <c r="AF9" s="734" t="s">
        <v>821</v>
      </c>
      <c r="AG9" s="734" t="s">
        <v>2169</v>
      </c>
      <c r="AH9" s="734" t="s">
        <v>824</v>
      </c>
      <c r="AI9" s="735" t="s">
        <v>1299</v>
      </c>
      <c r="AJ9" s="969" t="s">
        <v>1802</v>
      </c>
      <c r="AK9" s="969" t="s">
        <v>1803</v>
      </c>
      <c r="AL9" s="970" t="s">
        <v>1804</v>
      </c>
      <c r="AM9" s="966" t="s">
        <v>2170</v>
      </c>
      <c r="AN9" s="966" t="s">
        <v>2171</v>
      </c>
      <c r="AO9" s="966" t="s">
        <v>2172</v>
      </c>
      <c r="AP9" s="971" t="s">
        <v>156</v>
      </c>
      <c r="AQ9" s="972" t="s">
        <v>2045</v>
      </c>
      <c r="AR9" s="973" t="s">
        <v>4410</v>
      </c>
      <c r="AS9" s="974" t="s">
        <v>2174</v>
      </c>
      <c r="AT9" s="974" t="s">
        <v>2175</v>
      </c>
      <c r="AU9" s="974" t="s">
        <v>2176</v>
      </c>
      <c r="AV9" s="974" t="s">
        <v>2177</v>
      </c>
      <c r="AW9" s="974" t="s">
        <v>2178</v>
      </c>
      <c r="AX9" s="975" t="s">
        <v>2179</v>
      </c>
      <c r="AY9" s="976" t="s">
        <v>2180</v>
      </c>
      <c r="AZ9" s="971" t="s">
        <v>2181</v>
      </c>
      <c r="BA9" s="971" t="s">
        <v>2182</v>
      </c>
      <c r="BB9" s="971" t="s">
        <v>2183</v>
      </c>
      <c r="BC9" s="971" t="s">
        <v>2184</v>
      </c>
      <c r="BD9" s="971" t="s">
        <v>2185</v>
      </c>
      <c r="BE9" s="971" t="s">
        <v>2186</v>
      </c>
      <c r="BF9" s="971" t="s">
        <v>1939</v>
      </c>
      <c r="BG9" s="971" t="s">
        <v>4411</v>
      </c>
      <c r="BH9" s="977" t="s">
        <v>4412</v>
      </c>
      <c r="BI9" s="976" t="s">
        <v>1830</v>
      </c>
      <c r="BJ9" s="971" t="s">
        <v>1840</v>
      </c>
      <c r="BK9" s="971" t="s">
        <v>1847</v>
      </c>
      <c r="BL9" s="971" t="s">
        <v>1853</v>
      </c>
      <c r="BM9" s="977" t="s">
        <v>129</v>
      </c>
      <c r="BN9" s="978" t="s">
        <v>2189</v>
      </c>
      <c r="BO9" s="971" t="s">
        <v>2190</v>
      </c>
      <c r="BP9" s="971" t="s">
        <v>2191</v>
      </c>
      <c r="BQ9" s="971" t="s">
        <v>2192</v>
      </c>
      <c r="BR9" s="971" t="s">
        <v>2193</v>
      </c>
      <c r="BS9" s="971" t="s">
        <v>2194</v>
      </c>
      <c r="BT9" s="971" t="s">
        <v>2195</v>
      </c>
      <c r="BU9" s="971" t="s">
        <v>2196</v>
      </c>
      <c r="BV9" s="971" t="s">
        <v>2197</v>
      </c>
      <c r="BW9" s="971" t="s">
        <v>2198</v>
      </c>
      <c r="BX9" s="971" t="s">
        <v>2199</v>
      </c>
      <c r="BY9" s="971" t="s">
        <v>2200</v>
      </c>
      <c r="BZ9" s="971" t="s">
        <v>2201</v>
      </c>
      <c r="CA9" s="971" t="s">
        <v>2202</v>
      </c>
      <c r="CB9" s="971" t="s">
        <v>2203</v>
      </c>
      <c r="CC9" s="977" t="s">
        <v>4413</v>
      </c>
      <c r="CD9" s="976" t="s">
        <v>1830</v>
      </c>
      <c r="CE9" s="971" t="s">
        <v>1840</v>
      </c>
      <c r="CF9" s="971" t="s">
        <v>1847</v>
      </c>
      <c r="CG9" s="971" t="s">
        <v>1853</v>
      </c>
      <c r="CH9" s="977" t="s">
        <v>129</v>
      </c>
      <c r="CI9" s="976" t="s">
        <v>1830</v>
      </c>
      <c r="CJ9" s="971" t="s">
        <v>1840</v>
      </c>
      <c r="CK9" s="971" t="s">
        <v>1847</v>
      </c>
      <c r="CL9" s="971" t="s">
        <v>1853</v>
      </c>
      <c r="CM9" s="977" t="s">
        <v>129</v>
      </c>
      <c r="CN9" s="976" t="s">
        <v>1830</v>
      </c>
      <c r="CO9" s="971" t="s">
        <v>1840</v>
      </c>
      <c r="CP9" s="971" t="s">
        <v>1847</v>
      </c>
      <c r="CQ9" s="971" t="s">
        <v>1853</v>
      </c>
      <c r="CR9" s="971" t="s">
        <v>129</v>
      </c>
      <c r="CS9" s="979" t="s">
        <v>1830</v>
      </c>
      <c r="CT9" s="980" t="s">
        <v>1840</v>
      </c>
      <c r="CU9" s="980" t="s">
        <v>1847</v>
      </c>
      <c r="CV9" s="980" t="s">
        <v>1853</v>
      </c>
      <c r="CW9" s="980" t="s">
        <v>129</v>
      </c>
      <c r="CX9" s="976" t="s">
        <v>1830</v>
      </c>
      <c r="CY9" s="971" t="s">
        <v>1840</v>
      </c>
      <c r="CZ9" s="971" t="s">
        <v>1847</v>
      </c>
      <c r="DA9" s="971" t="s">
        <v>1853</v>
      </c>
      <c r="DB9" s="971" t="s">
        <v>129</v>
      </c>
      <c r="DC9" s="971" t="s">
        <v>1830</v>
      </c>
      <c r="DD9" s="971" t="s">
        <v>1840</v>
      </c>
      <c r="DE9" s="971" t="s">
        <v>1847</v>
      </c>
      <c r="DF9" s="971" t="s">
        <v>1853</v>
      </c>
      <c r="DG9" s="977" t="s">
        <v>129</v>
      </c>
      <c r="DH9" s="976" t="s">
        <v>1830</v>
      </c>
      <c r="DI9" s="971" t="s">
        <v>1840</v>
      </c>
      <c r="DJ9" s="971" t="s">
        <v>1847</v>
      </c>
      <c r="DK9" s="971" t="s">
        <v>1853</v>
      </c>
      <c r="DL9" s="977" t="s">
        <v>129</v>
      </c>
      <c r="DM9" s="1390" t="s">
        <v>2205</v>
      </c>
      <c r="DN9" s="1391" t="s">
        <v>2206</v>
      </c>
      <c r="DO9" s="1392" t="s">
        <v>2207</v>
      </c>
      <c r="DP9" s="981" t="s">
        <v>2208</v>
      </c>
      <c r="DQ9" s="1390" t="s">
        <v>2209</v>
      </c>
      <c r="DR9" s="1391" t="s">
        <v>2210</v>
      </c>
      <c r="DS9" s="1392" t="s">
        <v>2211</v>
      </c>
      <c r="DT9" s="981" t="s">
        <v>2212</v>
      </c>
      <c r="DU9" s="974" t="s">
        <v>2213</v>
      </c>
      <c r="DV9" s="982" t="s">
        <v>2214</v>
      </c>
      <c r="DW9" s="983" t="s">
        <v>2215</v>
      </c>
    </row>
    <row r="10" spans="1:127" ht="15.75" customHeight="1">
      <c r="A10" s="984" t="s">
        <v>1251</v>
      </c>
      <c r="B10" s="985">
        <v>1</v>
      </c>
      <c r="C10" s="986"/>
      <c r="D10" s="986"/>
      <c r="E10" s="986"/>
      <c r="F10" s="986"/>
      <c r="G10" s="986"/>
      <c r="H10" s="986"/>
      <c r="I10" s="986"/>
      <c r="J10" s="986"/>
      <c r="K10" s="986"/>
      <c r="L10" s="986"/>
      <c r="M10" s="985"/>
      <c r="N10" s="987"/>
      <c r="O10" s="987"/>
      <c r="P10" s="987"/>
      <c r="Q10" s="987"/>
      <c r="R10" s="987"/>
      <c r="S10" s="987"/>
      <c r="T10" s="988"/>
      <c r="U10" s="989" t="s">
        <v>1090</v>
      </c>
      <c r="V10" s="990" t="s">
        <v>2216</v>
      </c>
      <c r="W10" s="990" t="s">
        <v>2217</v>
      </c>
      <c r="X10" s="991" t="s">
        <v>2218</v>
      </c>
      <c r="Y10" s="992" t="s">
        <v>179</v>
      </c>
      <c r="Z10" s="993" t="s">
        <v>2219</v>
      </c>
      <c r="AA10" s="994" t="s">
        <v>2260</v>
      </c>
      <c r="AB10" s="995">
        <v>1</v>
      </c>
      <c r="AC10" s="995" t="s">
        <v>2260</v>
      </c>
      <c r="AD10" s="995" t="s">
        <v>2260</v>
      </c>
      <c r="AE10" s="995" t="s">
        <v>2260</v>
      </c>
      <c r="AF10" s="995" t="s">
        <v>2260</v>
      </c>
      <c r="AG10" s="995" t="s">
        <v>2260</v>
      </c>
      <c r="AH10" s="995" t="s">
        <v>2260</v>
      </c>
      <c r="AI10" s="996">
        <f t="shared" ref="AI10:AI73" si="0">SUM(AA10:AH10)</f>
        <v>1</v>
      </c>
      <c r="AJ10" s="997" t="s">
        <v>1852</v>
      </c>
      <c r="AK10" s="997" t="s">
        <v>1826</v>
      </c>
      <c r="AL10" s="997" t="s">
        <v>1827</v>
      </c>
      <c r="AM10" s="998" t="s">
        <v>2220</v>
      </c>
      <c r="AN10" s="986" t="s">
        <v>4414</v>
      </c>
      <c r="AO10" s="986" t="s">
        <v>4415</v>
      </c>
      <c r="AP10" s="1274">
        <v>0</v>
      </c>
      <c r="AQ10" s="999" t="s">
        <v>1838</v>
      </c>
      <c r="AR10" s="1000" t="s">
        <v>179</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210</v>
      </c>
      <c r="CE10" s="1013" t="s">
        <v>210</v>
      </c>
      <c r="CF10" s="1013" t="s">
        <v>210</v>
      </c>
      <c r="CG10" s="1013" t="s">
        <v>210</v>
      </c>
      <c r="CH10" s="1014" t="s">
        <v>210</v>
      </c>
      <c r="CI10" s="1004" t="s">
        <v>2260</v>
      </c>
      <c r="CJ10" s="1005" t="s">
        <v>2260</v>
      </c>
      <c r="CK10" s="1005" t="s">
        <v>2260</v>
      </c>
      <c r="CL10" s="1005" t="s">
        <v>2260</v>
      </c>
      <c r="CM10" s="1015" t="s">
        <v>2260</v>
      </c>
      <c r="CN10" s="1016">
        <v>1.5798611111111114E-2</v>
      </c>
      <c r="CO10" s="1006">
        <v>1.5798611111111114E-2</v>
      </c>
      <c r="CP10" s="1006">
        <v>1.5798611111111114E-2</v>
      </c>
      <c r="CQ10" s="1006">
        <v>1.5798611111111114E-2</v>
      </c>
      <c r="CR10" s="1017">
        <v>1.5798611111111114E-2</v>
      </c>
      <c r="CS10" s="1004" t="s">
        <v>2260</v>
      </c>
      <c r="CT10" s="1005" t="s">
        <v>2260</v>
      </c>
      <c r="CU10" s="1005" t="s">
        <v>2260</v>
      </c>
      <c r="CV10" s="1005" t="s">
        <v>2260</v>
      </c>
      <c r="CW10" s="1015" t="s">
        <v>2260</v>
      </c>
      <c r="CX10" s="1004" t="s">
        <v>2260</v>
      </c>
      <c r="CY10" s="1005" t="s">
        <v>2260</v>
      </c>
      <c r="CZ10" s="1005" t="s">
        <v>2260</v>
      </c>
      <c r="DA10" s="1005" t="s">
        <v>2260</v>
      </c>
      <c r="DB10" s="1015" t="s">
        <v>2260</v>
      </c>
      <c r="DC10" s="1007">
        <v>2.4305555555555556E-3</v>
      </c>
      <c r="DD10" s="1007">
        <v>2.3263888888888891E-3</v>
      </c>
      <c r="DE10" s="1007">
        <v>2.2106481481481491E-3</v>
      </c>
      <c r="DF10" s="1007">
        <v>2.1064814814814817E-3</v>
      </c>
      <c r="DG10" s="1011">
        <v>2.0138888888888888E-3</v>
      </c>
      <c r="DH10" s="1004" t="s">
        <v>2260</v>
      </c>
      <c r="DI10" s="1005" t="s">
        <v>2260</v>
      </c>
      <c r="DJ10" s="1005" t="s">
        <v>2260</v>
      </c>
      <c r="DK10" s="1005" t="s">
        <v>2260</v>
      </c>
      <c r="DL10" s="1015" t="s">
        <v>2260</v>
      </c>
      <c r="DM10" s="1018">
        <v>-0.52500000000000002</v>
      </c>
      <c r="DN10" s="1019" t="s">
        <v>2260</v>
      </c>
      <c r="DO10" s="1019" t="s">
        <v>2260</v>
      </c>
      <c r="DP10" s="1020" t="s">
        <v>2260</v>
      </c>
      <c r="DQ10" s="1019">
        <v>0.52500000000000002</v>
      </c>
      <c r="DR10" s="1019" t="s">
        <v>2260</v>
      </c>
      <c r="DS10" s="1019" t="s">
        <v>2260</v>
      </c>
      <c r="DT10" s="1020" t="s">
        <v>2260</v>
      </c>
      <c r="DU10" s="1012" t="s">
        <v>173</v>
      </c>
      <c r="DV10" s="1021">
        <v>1</v>
      </c>
      <c r="DW10" s="1022" t="s">
        <v>2260</v>
      </c>
    </row>
    <row r="11" spans="1:127" s="382" customFormat="1" ht="15.75" customHeight="1">
      <c r="A11" s="1023" t="s">
        <v>1251</v>
      </c>
      <c r="B11" s="1024">
        <v>2</v>
      </c>
      <c r="C11" s="987"/>
      <c r="D11" s="987"/>
      <c r="E11" s="987"/>
      <c r="F11" s="1025"/>
      <c r="G11" s="987"/>
      <c r="H11" s="987"/>
      <c r="I11" s="987"/>
      <c r="J11" s="987"/>
      <c r="K11" s="987"/>
      <c r="L11" s="987"/>
      <c r="M11" s="1026"/>
      <c r="N11" s="987"/>
      <c r="O11" s="987"/>
      <c r="P11" s="987"/>
      <c r="Q11" s="987"/>
      <c r="R11" s="987"/>
      <c r="S11" s="987"/>
      <c r="T11" s="1027"/>
      <c r="U11" s="1028" t="s">
        <v>1091</v>
      </c>
      <c r="V11" s="1029" t="s">
        <v>2222</v>
      </c>
      <c r="W11" s="1029" t="s">
        <v>2223</v>
      </c>
      <c r="X11" s="1030" t="s">
        <v>2224</v>
      </c>
      <c r="Y11" s="1031" t="s">
        <v>705</v>
      </c>
      <c r="Z11" s="1032" t="s">
        <v>2225</v>
      </c>
      <c r="AA11" s="1033" t="s">
        <v>2260</v>
      </c>
      <c r="AB11" s="1034">
        <v>1</v>
      </c>
      <c r="AC11" s="1034" t="s">
        <v>2260</v>
      </c>
      <c r="AD11" s="1034" t="s">
        <v>2260</v>
      </c>
      <c r="AE11" s="1034" t="s">
        <v>2260</v>
      </c>
      <c r="AF11" s="1034" t="s">
        <v>2260</v>
      </c>
      <c r="AG11" s="1034" t="s">
        <v>2260</v>
      </c>
      <c r="AH11" s="1034" t="s">
        <v>2260</v>
      </c>
      <c r="AI11" s="1035">
        <f t="shared" si="0"/>
        <v>1</v>
      </c>
      <c r="AJ11" s="1036" t="s">
        <v>1852</v>
      </c>
      <c r="AK11" s="1036" t="s">
        <v>1826</v>
      </c>
      <c r="AL11" s="1036" t="s">
        <v>1827</v>
      </c>
      <c r="AM11" s="1037" t="s">
        <v>705</v>
      </c>
      <c r="AN11" s="1031" t="s">
        <v>321</v>
      </c>
      <c r="AO11" s="1031" t="s">
        <v>4416</v>
      </c>
      <c r="AP11" s="1275">
        <v>1</v>
      </c>
      <c r="AQ11" s="1039" t="s">
        <v>1828</v>
      </c>
      <c r="AR11" s="1040" t="s">
        <v>705</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287"/>
      <c r="BT11" s="1046"/>
      <c r="BU11" s="1046"/>
      <c r="BV11" s="1046"/>
      <c r="BW11" s="1288"/>
      <c r="BX11" s="1287"/>
      <c r="BY11" s="1046"/>
      <c r="BZ11" s="1046"/>
      <c r="CA11" s="1046"/>
      <c r="CB11" s="1288"/>
      <c r="CC11" s="1289"/>
      <c r="CD11" s="1290" t="s">
        <v>210</v>
      </c>
      <c r="CE11" s="1291" t="s">
        <v>210</v>
      </c>
      <c r="CF11" s="1291" t="s">
        <v>210</v>
      </c>
      <c r="CG11" s="1291" t="s">
        <v>210</v>
      </c>
      <c r="CH11" s="1292" t="s">
        <v>210</v>
      </c>
      <c r="CI11" s="1293" t="s">
        <v>2260</v>
      </c>
      <c r="CJ11" s="1046" t="s">
        <v>2260</v>
      </c>
      <c r="CK11" s="1046" t="s">
        <v>2260</v>
      </c>
      <c r="CL11" s="1046" t="s">
        <v>2260</v>
      </c>
      <c r="CM11" s="1289" t="s">
        <v>2260</v>
      </c>
      <c r="CN11" s="1047">
        <v>-5</v>
      </c>
      <c r="CO11" s="1046">
        <v>-5</v>
      </c>
      <c r="CP11" s="1046">
        <v>-5</v>
      </c>
      <c r="CQ11" s="1046">
        <v>-5</v>
      </c>
      <c r="CR11" s="1289">
        <v>-5</v>
      </c>
      <c r="CS11" s="1293" t="s">
        <v>2260</v>
      </c>
      <c r="CT11" s="1046" t="s">
        <v>2260</v>
      </c>
      <c r="CU11" s="1046" t="s">
        <v>2260</v>
      </c>
      <c r="CV11" s="1046" t="s">
        <v>2260</v>
      </c>
      <c r="CW11" s="1289" t="s">
        <v>2260</v>
      </c>
      <c r="CX11" s="1293" t="s">
        <v>2260</v>
      </c>
      <c r="CY11" s="1046" t="s">
        <v>2260</v>
      </c>
      <c r="CZ11" s="1046" t="s">
        <v>2260</v>
      </c>
      <c r="DA11" s="1046" t="s">
        <v>2260</v>
      </c>
      <c r="DB11" s="1289" t="s">
        <v>2260</v>
      </c>
      <c r="DC11" s="1294">
        <v>5.8</v>
      </c>
      <c r="DD11" s="1046">
        <v>13.8</v>
      </c>
      <c r="DE11" s="1046">
        <v>16.5</v>
      </c>
      <c r="DF11" s="1046">
        <v>19.399999999999999</v>
      </c>
      <c r="DG11" s="1289">
        <v>22.2</v>
      </c>
      <c r="DH11" s="1047" t="s">
        <v>2260</v>
      </c>
      <c r="DI11" s="1046" t="s">
        <v>2260</v>
      </c>
      <c r="DJ11" s="1046" t="s">
        <v>2260</v>
      </c>
      <c r="DK11" s="1046" t="s">
        <v>2260</v>
      </c>
      <c r="DL11" s="1289" t="s">
        <v>2260</v>
      </c>
      <c r="DM11" s="1060">
        <v>-0.16</v>
      </c>
      <c r="DN11" s="1061" t="s">
        <v>2260</v>
      </c>
      <c r="DO11" s="1061" t="s">
        <v>2260</v>
      </c>
      <c r="DP11" s="1062" t="s">
        <v>2260</v>
      </c>
      <c r="DQ11" s="1061">
        <v>0.13300000000000001</v>
      </c>
      <c r="DR11" s="1061" t="s">
        <v>2260</v>
      </c>
      <c r="DS11" s="1061" t="s">
        <v>2260</v>
      </c>
      <c r="DT11" s="1062" t="s">
        <v>2260</v>
      </c>
      <c r="DU11" s="1054" t="s">
        <v>173</v>
      </c>
      <c r="DV11" s="1063">
        <v>1</v>
      </c>
      <c r="DW11" s="1064" t="s">
        <v>2260</v>
      </c>
    </row>
    <row r="12" spans="1:127" s="382" customFormat="1" ht="15.75" customHeight="1">
      <c r="A12" s="1023" t="s">
        <v>1251</v>
      </c>
      <c r="B12" s="1024">
        <v>3</v>
      </c>
      <c r="C12" s="987"/>
      <c r="D12" s="987"/>
      <c r="E12" s="987"/>
      <c r="F12" s="987"/>
      <c r="G12" s="987"/>
      <c r="H12" s="987"/>
      <c r="I12" s="987"/>
      <c r="J12" s="987"/>
      <c r="K12" s="987"/>
      <c r="L12" s="987"/>
      <c r="M12" s="1026"/>
      <c r="N12" s="987"/>
      <c r="O12" s="987"/>
      <c r="P12" s="987"/>
      <c r="Q12" s="987"/>
      <c r="R12" s="987"/>
      <c r="S12" s="987"/>
      <c r="T12" s="1027"/>
      <c r="U12" s="1028" t="s">
        <v>1092</v>
      </c>
      <c r="V12" s="1029" t="s">
        <v>2222</v>
      </c>
      <c r="W12" s="1029" t="s">
        <v>2223</v>
      </c>
      <c r="X12" s="1030" t="s">
        <v>2227</v>
      </c>
      <c r="Y12" s="1031" t="s">
        <v>1084</v>
      </c>
      <c r="Z12" s="1032" t="s">
        <v>2228</v>
      </c>
      <c r="AA12" s="1033">
        <v>0.3</v>
      </c>
      <c r="AB12" s="1034">
        <v>0.7</v>
      </c>
      <c r="AC12" s="1034" t="s">
        <v>2260</v>
      </c>
      <c r="AD12" s="1034" t="s">
        <v>2260</v>
      </c>
      <c r="AE12" s="1034" t="s">
        <v>2260</v>
      </c>
      <c r="AF12" s="1034" t="s">
        <v>2260</v>
      </c>
      <c r="AG12" s="1034" t="s">
        <v>2260</v>
      </c>
      <c r="AH12" s="1034" t="s">
        <v>2260</v>
      </c>
      <c r="AI12" s="1035">
        <f t="shared" si="0"/>
        <v>1</v>
      </c>
      <c r="AJ12" s="1036" t="s">
        <v>1852</v>
      </c>
      <c r="AK12" s="1036" t="s">
        <v>1826</v>
      </c>
      <c r="AL12" s="1389" t="s">
        <v>1837</v>
      </c>
      <c r="AM12" s="1037" t="s">
        <v>2229</v>
      </c>
      <c r="AN12" s="1031" t="s">
        <v>2397</v>
      </c>
      <c r="AO12" s="1031" t="s">
        <v>4416</v>
      </c>
      <c r="AP12" s="1275">
        <v>1</v>
      </c>
      <c r="AQ12" s="1039" t="s">
        <v>1828</v>
      </c>
      <c r="AR12" s="1040" t="s">
        <v>1084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287"/>
      <c r="BT12" s="1046"/>
      <c r="BU12" s="1046"/>
      <c r="BV12" s="1046"/>
      <c r="BW12" s="1288"/>
      <c r="BX12" s="1287"/>
      <c r="BY12" s="1046"/>
      <c r="BZ12" s="1046"/>
      <c r="CA12" s="1046"/>
      <c r="CB12" s="1288"/>
      <c r="CC12" s="1289"/>
      <c r="CD12" s="1290" t="s">
        <v>210</v>
      </c>
      <c r="CE12" s="1291" t="s">
        <v>210</v>
      </c>
      <c r="CF12" s="1291" t="s">
        <v>210</v>
      </c>
      <c r="CG12" s="1291" t="s">
        <v>210</v>
      </c>
      <c r="CH12" s="1292" t="s">
        <v>210</v>
      </c>
      <c r="CI12" s="1047" t="s">
        <v>2260</v>
      </c>
      <c r="CJ12" s="1046" t="s">
        <v>2260</v>
      </c>
      <c r="CK12" s="1046" t="s">
        <v>2260</v>
      </c>
      <c r="CL12" s="1046" t="s">
        <v>2260</v>
      </c>
      <c r="CM12" s="1289" t="s">
        <v>2260</v>
      </c>
      <c r="CN12" s="1047">
        <v>-8.1</v>
      </c>
      <c r="CO12" s="1046">
        <v>-8.1</v>
      </c>
      <c r="CP12" s="1046">
        <v>-8.1</v>
      </c>
      <c r="CQ12" s="1046">
        <v>-8.1</v>
      </c>
      <c r="CR12" s="1289">
        <v>-8.1</v>
      </c>
      <c r="CS12" s="1047" t="s">
        <v>2260</v>
      </c>
      <c r="CT12" s="1046" t="s">
        <v>2260</v>
      </c>
      <c r="CU12" s="1046" t="s">
        <v>2260</v>
      </c>
      <c r="CV12" s="1046" t="s">
        <v>2260</v>
      </c>
      <c r="CW12" s="1289" t="s">
        <v>2260</v>
      </c>
      <c r="CX12" s="1047" t="s">
        <v>2260</v>
      </c>
      <c r="CY12" s="1046" t="s">
        <v>2260</v>
      </c>
      <c r="CZ12" s="1046" t="s">
        <v>2260</v>
      </c>
      <c r="DA12" s="1046" t="s">
        <v>2260</v>
      </c>
      <c r="DB12" s="1289" t="s">
        <v>2260</v>
      </c>
      <c r="DC12" s="1294">
        <v>3.7</v>
      </c>
      <c r="DD12" s="1046">
        <v>6.9</v>
      </c>
      <c r="DE12" s="1046">
        <v>9.3000000000000007</v>
      </c>
      <c r="DF12" s="1046">
        <v>12</v>
      </c>
      <c r="DG12" s="1289">
        <v>14.5</v>
      </c>
      <c r="DH12" s="1047" t="s">
        <v>2260</v>
      </c>
      <c r="DI12" s="1046" t="s">
        <v>2260</v>
      </c>
      <c r="DJ12" s="1046" t="s">
        <v>2260</v>
      </c>
      <c r="DK12" s="1046" t="s">
        <v>2260</v>
      </c>
      <c r="DL12" s="1289" t="s">
        <v>2260</v>
      </c>
      <c r="DM12" s="1065">
        <v>-0.28899999999999998</v>
      </c>
      <c r="DN12" s="1061" t="s">
        <v>2260</v>
      </c>
      <c r="DO12" s="1061" t="s">
        <v>2260</v>
      </c>
      <c r="DP12" s="1062" t="s">
        <v>2260</v>
      </c>
      <c r="DQ12" s="1061">
        <v>0.27300000000000002</v>
      </c>
      <c r="DR12" s="1061" t="s">
        <v>2260</v>
      </c>
      <c r="DS12" s="1061" t="s">
        <v>2260</v>
      </c>
      <c r="DT12" s="1062" t="s">
        <v>2260</v>
      </c>
      <c r="DU12" s="1054" t="s">
        <v>173</v>
      </c>
      <c r="DV12" s="1063">
        <v>1</v>
      </c>
      <c r="DW12" s="1064" t="s">
        <v>2260</v>
      </c>
    </row>
    <row r="13" spans="1:127" s="382" customFormat="1" ht="15.75" customHeight="1">
      <c r="A13" s="1066" t="s">
        <v>1251</v>
      </c>
      <c r="B13" s="1026">
        <v>4</v>
      </c>
      <c r="C13" s="987"/>
      <c r="D13" s="987"/>
      <c r="E13" s="987"/>
      <c r="F13" s="987"/>
      <c r="G13" s="987"/>
      <c r="H13" s="987"/>
      <c r="I13" s="987"/>
      <c r="J13" s="987"/>
      <c r="K13" s="987"/>
      <c r="L13" s="987"/>
      <c r="M13" s="1026"/>
      <c r="N13" s="987"/>
      <c r="O13" s="987"/>
      <c r="P13" s="987"/>
      <c r="Q13" s="987"/>
      <c r="R13" s="987"/>
      <c r="S13" s="987"/>
      <c r="T13" s="988"/>
      <c r="U13" s="1067" t="s">
        <v>1099</v>
      </c>
      <c r="V13" s="1068" t="s">
        <v>2216</v>
      </c>
      <c r="W13" s="1068" t="s">
        <v>2231</v>
      </c>
      <c r="X13" s="1069" t="s">
        <v>2232</v>
      </c>
      <c r="Y13" s="1070" t="s">
        <v>567</v>
      </c>
      <c r="Z13" s="1071" t="s">
        <v>2233</v>
      </c>
      <c r="AA13" s="1072" t="s">
        <v>2260</v>
      </c>
      <c r="AB13" s="1073">
        <v>1</v>
      </c>
      <c r="AC13" s="1073" t="s">
        <v>2260</v>
      </c>
      <c r="AD13" s="1073" t="s">
        <v>2260</v>
      </c>
      <c r="AE13" s="1073" t="s">
        <v>2260</v>
      </c>
      <c r="AF13" s="1073" t="s">
        <v>2260</v>
      </c>
      <c r="AG13" s="1073" t="s">
        <v>2260</v>
      </c>
      <c r="AH13" s="1073" t="s">
        <v>2260</v>
      </c>
      <c r="AI13" s="1074">
        <f t="shared" si="0"/>
        <v>1</v>
      </c>
      <c r="AJ13" s="1075" t="s">
        <v>1825</v>
      </c>
      <c r="AK13" s="1075" t="s">
        <v>2260</v>
      </c>
      <c r="AL13" s="1075" t="s">
        <v>2260</v>
      </c>
      <c r="AM13" s="1076" t="s">
        <v>2234</v>
      </c>
      <c r="AN13" s="987" t="s">
        <v>321</v>
      </c>
      <c r="AO13" s="987" t="s">
        <v>4417</v>
      </c>
      <c r="AP13" s="1276">
        <v>1</v>
      </c>
      <c r="AQ13" s="1077" t="s">
        <v>1838</v>
      </c>
      <c r="AR13" s="1078" t="s">
        <v>567</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295"/>
      <c r="BT13" s="1082"/>
      <c r="BU13" s="1082"/>
      <c r="BV13" s="1082"/>
      <c r="BW13" s="1296"/>
      <c r="BX13" s="1295"/>
      <c r="BY13" s="1082"/>
      <c r="BZ13" s="1082"/>
      <c r="CA13" s="1082"/>
      <c r="CB13" s="1296"/>
      <c r="CC13" s="1297"/>
      <c r="CD13" s="1298" t="s">
        <v>2260</v>
      </c>
      <c r="CE13" s="1299" t="s">
        <v>2260</v>
      </c>
      <c r="CF13" s="1299" t="s">
        <v>2260</v>
      </c>
      <c r="CG13" s="1299" t="s">
        <v>2260</v>
      </c>
      <c r="CH13" s="1300" t="s">
        <v>2260</v>
      </c>
      <c r="CI13" s="1083" t="s">
        <v>2260</v>
      </c>
      <c r="CJ13" s="1082" t="s">
        <v>2260</v>
      </c>
      <c r="CK13" s="1082" t="s">
        <v>2260</v>
      </c>
      <c r="CL13" s="1082" t="s">
        <v>2260</v>
      </c>
      <c r="CM13" s="1297" t="s">
        <v>2260</v>
      </c>
      <c r="CN13" s="1083" t="s">
        <v>2260</v>
      </c>
      <c r="CO13" s="1082" t="s">
        <v>2260</v>
      </c>
      <c r="CP13" s="1082" t="s">
        <v>2260</v>
      </c>
      <c r="CQ13" s="1082" t="s">
        <v>2260</v>
      </c>
      <c r="CR13" s="1297" t="s">
        <v>2260</v>
      </c>
      <c r="CS13" s="1083" t="s">
        <v>2260</v>
      </c>
      <c r="CT13" s="1082" t="s">
        <v>2260</v>
      </c>
      <c r="CU13" s="1082" t="s">
        <v>2260</v>
      </c>
      <c r="CV13" s="1082" t="s">
        <v>2260</v>
      </c>
      <c r="CW13" s="1297" t="s">
        <v>2260</v>
      </c>
      <c r="CX13" s="1083" t="s">
        <v>2260</v>
      </c>
      <c r="CY13" s="1082" t="s">
        <v>2260</v>
      </c>
      <c r="CZ13" s="1082" t="s">
        <v>2260</v>
      </c>
      <c r="DA13" s="1082" t="s">
        <v>2260</v>
      </c>
      <c r="DB13" s="1297" t="s">
        <v>2260</v>
      </c>
      <c r="DC13" s="1082" t="s">
        <v>2260</v>
      </c>
      <c r="DD13" s="1082" t="s">
        <v>2260</v>
      </c>
      <c r="DE13" s="1082" t="s">
        <v>2260</v>
      </c>
      <c r="DF13" s="1082" t="s">
        <v>2260</v>
      </c>
      <c r="DG13" s="1297" t="s">
        <v>2260</v>
      </c>
      <c r="DH13" s="1083" t="s">
        <v>2260</v>
      </c>
      <c r="DI13" s="1082" t="s">
        <v>2260</v>
      </c>
      <c r="DJ13" s="1082" t="s">
        <v>2260</v>
      </c>
      <c r="DK13" s="1082" t="s">
        <v>2260</v>
      </c>
      <c r="DL13" s="1297" t="s">
        <v>2260</v>
      </c>
      <c r="DM13" s="1090" t="s">
        <v>2260</v>
      </c>
      <c r="DN13" s="1091" t="s">
        <v>2260</v>
      </c>
      <c r="DO13" s="1091" t="s">
        <v>2260</v>
      </c>
      <c r="DP13" s="1092" t="s">
        <v>2260</v>
      </c>
      <c r="DQ13" s="1091" t="s">
        <v>2260</v>
      </c>
      <c r="DR13" s="1091" t="s">
        <v>2260</v>
      </c>
      <c r="DS13" s="1091" t="s">
        <v>2260</v>
      </c>
      <c r="DT13" s="1092" t="s">
        <v>2260</v>
      </c>
      <c r="DU13" s="1088" t="s">
        <v>2260</v>
      </c>
      <c r="DV13" s="1093">
        <v>1</v>
      </c>
      <c r="DW13" s="1094" t="s">
        <v>2260</v>
      </c>
    </row>
    <row r="14" spans="1:127" s="382" customFormat="1" ht="15.75" customHeight="1">
      <c r="A14" s="1066" t="s">
        <v>1251</v>
      </c>
      <c r="B14" s="1026">
        <v>5</v>
      </c>
      <c r="C14" s="987"/>
      <c r="D14" s="987"/>
      <c r="E14" s="987"/>
      <c r="F14" s="987"/>
      <c r="G14" s="987"/>
      <c r="H14" s="987"/>
      <c r="I14" s="987"/>
      <c r="J14" s="987"/>
      <c r="K14" s="987"/>
      <c r="L14" s="987"/>
      <c r="M14" s="1026"/>
      <c r="N14" s="987"/>
      <c r="O14" s="987"/>
      <c r="P14" s="987"/>
      <c r="Q14" s="987"/>
      <c r="R14" s="987"/>
      <c r="S14" s="987"/>
      <c r="T14" s="988"/>
      <c r="U14" s="1067" t="s">
        <v>1094</v>
      </c>
      <c r="V14" s="1068" t="s">
        <v>2216</v>
      </c>
      <c r="W14" s="1068" t="s">
        <v>2231</v>
      </c>
      <c r="X14" s="1069" t="s">
        <v>2236</v>
      </c>
      <c r="Y14" s="1070" t="s">
        <v>209</v>
      </c>
      <c r="Z14" s="1071" t="s">
        <v>2237</v>
      </c>
      <c r="AA14" s="1072" t="s">
        <v>2260</v>
      </c>
      <c r="AB14" s="1073">
        <v>1</v>
      </c>
      <c r="AC14" s="1073" t="s">
        <v>2260</v>
      </c>
      <c r="AD14" s="1073" t="s">
        <v>2260</v>
      </c>
      <c r="AE14" s="1073" t="s">
        <v>2260</v>
      </c>
      <c r="AF14" s="1073" t="s">
        <v>2260</v>
      </c>
      <c r="AG14" s="1073" t="s">
        <v>2260</v>
      </c>
      <c r="AH14" s="1073" t="s">
        <v>2260</v>
      </c>
      <c r="AI14" s="1074">
        <f t="shared" si="0"/>
        <v>1</v>
      </c>
      <c r="AJ14" s="1075" t="s">
        <v>1846</v>
      </c>
      <c r="AK14" s="1075" t="s">
        <v>1826</v>
      </c>
      <c r="AL14" s="1075" t="s">
        <v>1827</v>
      </c>
      <c r="AM14" s="1076" t="s">
        <v>2238</v>
      </c>
      <c r="AN14" s="987" t="s">
        <v>321</v>
      </c>
      <c r="AO14" s="987" t="s">
        <v>4418</v>
      </c>
      <c r="AP14" s="1276">
        <v>2</v>
      </c>
      <c r="AQ14" s="1077" t="s">
        <v>1838</v>
      </c>
      <c r="AR14" s="1078" t="s">
        <v>209</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210</v>
      </c>
      <c r="CE14" s="1088" t="s">
        <v>210</v>
      </c>
      <c r="CF14" s="1088" t="s">
        <v>210</v>
      </c>
      <c r="CG14" s="1088" t="s">
        <v>210</v>
      </c>
      <c r="CH14" s="1089" t="s">
        <v>210</v>
      </c>
      <c r="CI14" s="1044" t="s">
        <v>2260</v>
      </c>
      <c r="CJ14" s="1045" t="s">
        <v>2260</v>
      </c>
      <c r="CK14" s="1045" t="s">
        <v>2260</v>
      </c>
      <c r="CL14" s="1045" t="s">
        <v>2260</v>
      </c>
      <c r="CM14" s="1086" t="s">
        <v>2260</v>
      </c>
      <c r="CN14" s="1044">
        <v>4.68</v>
      </c>
      <c r="CO14" s="1045">
        <v>4.68</v>
      </c>
      <c r="CP14" s="1045">
        <v>4.68</v>
      </c>
      <c r="CQ14" s="1045">
        <v>4.68</v>
      </c>
      <c r="CR14" s="1086">
        <v>4.68</v>
      </c>
      <c r="CS14" s="1044" t="s">
        <v>2260</v>
      </c>
      <c r="CT14" s="1045" t="s">
        <v>2260</v>
      </c>
      <c r="CU14" s="1045" t="s">
        <v>2260</v>
      </c>
      <c r="CV14" s="1045" t="s">
        <v>2260</v>
      </c>
      <c r="CW14" s="1086" t="s">
        <v>2260</v>
      </c>
      <c r="CX14" s="1044" t="s">
        <v>2260</v>
      </c>
      <c r="CY14" s="1045" t="s">
        <v>2260</v>
      </c>
      <c r="CZ14" s="1045" t="s">
        <v>2260</v>
      </c>
      <c r="DA14" s="1045" t="s">
        <v>2260</v>
      </c>
      <c r="DB14" s="1086" t="s">
        <v>2260</v>
      </c>
      <c r="DC14" s="1045" t="s">
        <v>2260</v>
      </c>
      <c r="DD14" s="1045" t="s">
        <v>2260</v>
      </c>
      <c r="DE14" s="1045" t="s">
        <v>2260</v>
      </c>
      <c r="DF14" s="1045" t="s">
        <v>2260</v>
      </c>
      <c r="DG14" s="1086" t="s">
        <v>2260</v>
      </c>
      <c r="DH14" s="1044" t="s">
        <v>2260</v>
      </c>
      <c r="DI14" s="1045" t="s">
        <v>2260</v>
      </c>
      <c r="DJ14" s="1045" t="s">
        <v>2260</v>
      </c>
      <c r="DK14" s="1045" t="s">
        <v>2260</v>
      </c>
      <c r="DL14" s="1086" t="s">
        <v>2260</v>
      </c>
      <c r="DM14" s="1090">
        <v>-1.3080000000000001</v>
      </c>
      <c r="DN14" s="1091" t="s">
        <v>2260</v>
      </c>
      <c r="DO14" s="1091" t="s">
        <v>2260</v>
      </c>
      <c r="DP14" s="1092" t="s">
        <v>2260</v>
      </c>
      <c r="DQ14" s="1091" t="s">
        <v>2260</v>
      </c>
      <c r="DR14" s="1091" t="s">
        <v>2260</v>
      </c>
      <c r="DS14" s="1091" t="s">
        <v>2260</v>
      </c>
      <c r="DT14" s="1092" t="s">
        <v>2260</v>
      </c>
      <c r="DU14" s="1088" t="s">
        <v>173</v>
      </c>
      <c r="DV14" s="1093">
        <v>1</v>
      </c>
      <c r="DW14" s="1094" t="s">
        <v>2260</v>
      </c>
    </row>
    <row r="15" spans="1:127" s="382" customFormat="1" ht="15.75" customHeight="1">
      <c r="A15" s="1066" t="s">
        <v>1251</v>
      </c>
      <c r="B15" s="1026">
        <v>6</v>
      </c>
      <c r="C15" s="987"/>
      <c r="D15" s="987"/>
      <c r="E15" s="987"/>
      <c r="F15" s="987"/>
      <c r="G15" s="987"/>
      <c r="H15" s="987"/>
      <c r="I15" s="987"/>
      <c r="J15" s="987"/>
      <c r="K15" s="987"/>
      <c r="L15" s="987"/>
      <c r="M15" s="1026"/>
      <c r="N15" s="987"/>
      <c r="O15" s="987"/>
      <c r="P15" s="987"/>
      <c r="Q15" s="987"/>
      <c r="R15" s="987"/>
      <c r="S15" s="987"/>
      <c r="T15" s="988"/>
      <c r="U15" s="1067" t="s">
        <v>1093</v>
      </c>
      <c r="V15" s="1068" t="s">
        <v>2216</v>
      </c>
      <c r="W15" s="1068" t="s">
        <v>2223</v>
      </c>
      <c r="X15" s="1069" t="s">
        <v>2240</v>
      </c>
      <c r="Y15" s="1070" t="s">
        <v>203</v>
      </c>
      <c r="Z15" s="1071" t="s">
        <v>2241</v>
      </c>
      <c r="AA15" s="1072" t="s">
        <v>2260</v>
      </c>
      <c r="AB15" s="1073">
        <v>1</v>
      </c>
      <c r="AC15" s="1073" t="s">
        <v>2260</v>
      </c>
      <c r="AD15" s="1073" t="s">
        <v>2260</v>
      </c>
      <c r="AE15" s="1073" t="s">
        <v>2260</v>
      </c>
      <c r="AF15" s="1073" t="s">
        <v>2260</v>
      </c>
      <c r="AG15" s="1073" t="s">
        <v>2260</v>
      </c>
      <c r="AH15" s="1073" t="s">
        <v>2260</v>
      </c>
      <c r="AI15" s="1074">
        <f t="shared" si="0"/>
        <v>1</v>
      </c>
      <c r="AJ15" s="1075" t="s">
        <v>1846</v>
      </c>
      <c r="AK15" s="1075" t="s">
        <v>1826</v>
      </c>
      <c r="AL15" s="1075" t="s">
        <v>1827</v>
      </c>
      <c r="AM15" s="1076" t="s">
        <v>2242</v>
      </c>
      <c r="AN15" s="987" t="s">
        <v>2439</v>
      </c>
      <c r="AO15" s="987" t="s">
        <v>4419</v>
      </c>
      <c r="AP15" s="1276">
        <v>1</v>
      </c>
      <c r="AQ15" s="1077" t="s">
        <v>1838</v>
      </c>
      <c r="AR15" s="1078" t="s">
        <v>203</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210</v>
      </c>
      <c r="CE15" s="1088" t="s">
        <v>210</v>
      </c>
      <c r="CF15" s="1088" t="s">
        <v>210</v>
      </c>
      <c r="CG15" s="1088" t="s">
        <v>210</v>
      </c>
      <c r="CH15" s="1089" t="s">
        <v>210</v>
      </c>
      <c r="CI15" s="1044" t="s">
        <v>2260</v>
      </c>
      <c r="CJ15" s="1045" t="s">
        <v>2260</v>
      </c>
      <c r="CK15" s="1045" t="s">
        <v>2260</v>
      </c>
      <c r="CL15" s="1045" t="s">
        <v>2260</v>
      </c>
      <c r="CM15" s="1086" t="s">
        <v>2260</v>
      </c>
      <c r="CN15" s="1044" t="s">
        <v>2260</v>
      </c>
      <c r="CO15" s="1045" t="s">
        <v>2260</v>
      </c>
      <c r="CP15" s="1045" t="s">
        <v>2260</v>
      </c>
      <c r="CQ15" s="1045" t="s">
        <v>2260</v>
      </c>
      <c r="CR15" s="1086" t="s">
        <v>2260</v>
      </c>
      <c r="CS15" s="1044" t="s">
        <v>2260</v>
      </c>
      <c r="CT15" s="1045" t="s">
        <v>2260</v>
      </c>
      <c r="CU15" s="1045" t="s">
        <v>2260</v>
      </c>
      <c r="CV15" s="1045" t="s">
        <v>2260</v>
      </c>
      <c r="CW15" s="1086" t="s">
        <v>2260</v>
      </c>
      <c r="CX15" s="1044" t="s">
        <v>2260</v>
      </c>
      <c r="CY15" s="1045" t="s">
        <v>2260</v>
      </c>
      <c r="CZ15" s="1045" t="s">
        <v>2260</v>
      </c>
      <c r="DA15" s="1045" t="s">
        <v>2260</v>
      </c>
      <c r="DB15" s="1086" t="s">
        <v>2260</v>
      </c>
      <c r="DC15" s="1045" t="s">
        <v>2260</v>
      </c>
      <c r="DD15" s="1045" t="s">
        <v>2260</v>
      </c>
      <c r="DE15" s="1045" t="s">
        <v>2260</v>
      </c>
      <c r="DF15" s="1045" t="s">
        <v>2260</v>
      </c>
      <c r="DG15" s="1086" t="s">
        <v>2260</v>
      </c>
      <c r="DH15" s="1044" t="s">
        <v>2260</v>
      </c>
      <c r="DI15" s="1045" t="s">
        <v>2260</v>
      </c>
      <c r="DJ15" s="1045" t="s">
        <v>2260</v>
      </c>
      <c r="DK15" s="1045" t="s">
        <v>2260</v>
      </c>
      <c r="DL15" s="1086" t="s">
        <v>2260</v>
      </c>
      <c r="DM15" s="1090">
        <v>-0.113</v>
      </c>
      <c r="DN15" s="1091" t="s">
        <v>2260</v>
      </c>
      <c r="DO15" s="1091" t="s">
        <v>2260</v>
      </c>
      <c r="DP15" s="1092" t="s">
        <v>2260</v>
      </c>
      <c r="DQ15" s="1091">
        <v>0</v>
      </c>
      <c r="DR15" s="1091" t="s">
        <v>2260</v>
      </c>
      <c r="DS15" s="1091" t="s">
        <v>2260</v>
      </c>
      <c r="DT15" s="1092" t="s">
        <v>2260</v>
      </c>
      <c r="DU15" s="1088" t="s">
        <v>173</v>
      </c>
      <c r="DV15" s="1093">
        <v>1</v>
      </c>
      <c r="DW15" s="1094" t="s">
        <v>2260</v>
      </c>
    </row>
    <row r="16" spans="1:127" s="382" customFormat="1" ht="15.75" customHeight="1">
      <c r="A16" s="1066" t="s">
        <v>1251</v>
      </c>
      <c r="B16" s="1026">
        <v>7</v>
      </c>
      <c r="C16" s="987"/>
      <c r="D16" s="987"/>
      <c r="E16" s="987"/>
      <c r="F16" s="987"/>
      <c r="G16" s="987"/>
      <c r="H16" s="987"/>
      <c r="I16" s="987"/>
      <c r="J16" s="987"/>
      <c r="K16" s="987"/>
      <c r="L16" s="987"/>
      <c r="M16" s="1026"/>
      <c r="N16" s="987"/>
      <c r="O16" s="987"/>
      <c r="P16" s="987"/>
      <c r="Q16" s="987"/>
      <c r="R16" s="987"/>
      <c r="S16" s="987"/>
      <c r="T16" s="988"/>
      <c r="U16" s="1067" t="s">
        <v>1089</v>
      </c>
      <c r="V16" s="1068" t="s">
        <v>2244</v>
      </c>
      <c r="W16" s="1068" t="s">
        <v>2217</v>
      </c>
      <c r="X16" s="1069" t="s">
        <v>2245</v>
      </c>
      <c r="Y16" s="1070" t="s">
        <v>172</v>
      </c>
      <c r="Z16" s="1071" t="s">
        <v>2246</v>
      </c>
      <c r="AA16" s="1072" t="s">
        <v>2260</v>
      </c>
      <c r="AB16" s="1073">
        <v>1</v>
      </c>
      <c r="AC16" s="1073" t="s">
        <v>2260</v>
      </c>
      <c r="AD16" s="1073" t="s">
        <v>2260</v>
      </c>
      <c r="AE16" s="1073" t="s">
        <v>2260</v>
      </c>
      <c r="AF16" s="1073" t="s">
        <v>2260</v>
      </c>
      <c r="AG16" s="1073" t="s">
        <v>2260</v>
      </c>
      <c r="AH16" s="1073" t="s">
        <v>2260</v>
      </c>
      <c r="AI16" s="1074">
        <f t="shared" si="0"/>
        <v>1</v>
      </c>
      <c r="AJ16" s="1075" t="s">
        <v>1846</v>
      </c>
      <c r="AK16" s="1075" t="s">
        <v>1826</v>
      </c>
      <c r="AL16" s="1075" t="s">
        <v>1827</v>
      </c>
      <c r="AM16" s="1076" t="s">
        <v>2247</v>
      </c>
      <c r="AN16" s="987" t="s">
        <v>2439</v>
      </c>
      <c r="AO16" s="987" t="s">
        <v>4420</v>
      </c>
      <c r="AP16" s="1276">
        <v>2</v>
      </c>
      <c r="AQ16" s="1045" t="s">
        <v>1838</v>
      </c>
      <c r="AR16" s="1078" t="s">
        <v>172</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210</v>
      </c>
      <c r="CE16" s="1088" t="s">
        <v>210</v>
      </c>
      <c r="CF16" s="1088" t="s">
        <v>210</v>
      </c>
      <c r="CG16" s="1088" t="s">
        <v>210</v>
      </c>
      <c r="CH16" s="1089" t="s">
        <v>210</v>
      </c>
      <c r="CI16" s="1044" t="s">
        <v>2260</v>
      </c>
      <c r="CJ16" s="1045" t="s">
        <v>2260</v>
      </c>
      <c r="CK16" s="1045" t="s">
        <v>2260</v>
      </c>
      <c r="CL16" s="1045" t="s">
        <v>2260</v>
      </c>
      <c r="CM16" s="1086" t="s">
        <v>2260</v>
      </c>
      <c r="CN16" s="1044">
        <v>9.5</v>
      </c>
      <c r="CO16" s="1045">
        <v>9.5</v>
      </c>
      <c r="CP16" s="1045">
        <v>9.5</v>
      </c>
      <c r="CQ16" s="1045">
        <v>9.5</v>
      </c>
      <c r="CR16" s="1086">
        <v>9.5</v>
      </c>
      <c r="CS16" s="1044">
        <v>2</v>
      </c>
      <c r="CT16" s="1045">
        <v>2</v>
      </c>
      <c r="CU16" s="1045">
        <v>2</v>
      </c>
      <c r="CV16" s="1045">
        <v>2</v>
      </c>
      <c r="CW16" s="1086">
        <v>2</v>
      </c>
      <c r="CX16" s="1044" t="s">
        <v>2260</v>
      </c>
      <c r="CY16" s="1045" t="s">
        <v>2260</v>
      </c>
      <c r="CZ16" s="1045" t="s">
        <v>2260</v>
      </c>
      <c r="DA16" s="1045" t="s">
        <v>2260</v>
      </c>
      <c r="DB16" s="1086" t="s">
        <v>2260</v>
      </c>
      <c r="DC16" s="1045" t="s">
        <v>2260</v>
      </c>
      <c r="DD16" s="1045" t="s">
        <v>2260</v>
      </c>
      <c r="DE16" s="1045" t="s">
        <v>2260</v>
      </c>
      <c r="DF16" s="1045" t="s">
        <v>2260</v>
      </c>
      <c r="DG16" s="1086" t="s">
        <v>2260</v>
      </c>
      <c r="DH16" s="1044" t="s">
        <v>2260</v>
      </c>
      <c r="DI16" s="1045" t="s">
        <v>2260</v>
      </c>
      <c r="DJ16" s="1045" t="s">
        <v>2260</v>
      </c>
      <c r="DK16" s="1045" t="s">
        <v>2260</v>
      </c>
      <c r="DL16" s="1086" t="s">
        <v>2260</v>
      </c>
      <c r="DM16" s="1090">
        <v>-0.84899999999999998</v>
      </c>
      <c r="DN16" s="1091" t="s">
        <v>2260</v>
      </c>
      <c r="DO16" s="1091" t="s">
        <v>2260</v>
      </c>
      <c r="DP16" s="1092" t="s">
        <v>2260</v>
      </c>
      <c r="DQ16" s="1091">
        <v>0</v>
      </c>
      <c r="DR16" s="1091" t="s">
        <v>2260</v>
      </c>
      <c r="DS16" s="1091" t="s">
        <v>2260</v>
      </c>
      <c r="DT16" s="1092" t="s">
        <v>2260</v>
      </c>
      <c r="DU16" s="1088" t="s">
        <v>2260</v>
      </c>
      <c r="DV16" s="1093">
        <v>1</v>
      </c>
      <c r="DW16" s="1094" t="s">
        <v>2260</v>
      </c>
    </row>
    <row r="17" spans="1:127" s="382" customFormat="1" ht="15.75" customHeight="1">
      <c r="A17" s="1066" t="s">
        <v>1251</v>
      </c>
      <c r="B17" s="1026">
        <v>8</v>
      </c>
      <c r="C17" s="987"/>
      <c r="D17" s="987"/>
      <c r="E17" s="987"/>
      <c r="F17" s="987"/>
      <c r="G17" s="987"/>
      <c r="H17" s="987"/>
      <c r="I17" s="987"/>
      <c r="J17" s="987"/>
      <c r="K17" s="987"/>
      <c r="L17" s="987"/>
      <c r="M17" s="1026"/>
      <c r="N17" s="987"/>
      <c r="O17" s="987"/>
      <c r="P17" s="987"/>
      <c r="Q17" s="987"/>
      <c r="R17" s="987"/>
      <c r="S17" s="987"/>
      <c r="T17" s="988"/>
      <c r="U17" s="1067" t="s">
        <v>1759</v>
      </c>
      <c r="V17" s="1068" t="s">
        <v>2249</v>
      </c>
      <c r="W17" s="1068" t="s">
        <v>2231</v>
      </c>
      <c r="X17" s="1069" t="s">
        <v>2250</v>
      </c>
      <c r="Y17" s="1070" t="s">
        <v>2251</v>
      </c>
      <c r="Z17" s="1071" t="s">
        <v>2252</v>
      </c>
      <c r="AA17" s="1072" t="s">
        <v>2260</v>
      </c>
      <c r="AB17" s="1073" t="s">
        <v>2260</v>
      </c>
      <c r="AC17" s="1073" t="s">
        <v>2260</v>
      </c>
      <c r="AD17" s="1073" t="s">
        <v>2260</v>
      </c>
      <c r="AE17" s="1073">
        <v>1</v>
      </c>
      <c r="AF17" s="1073" t="s">
        <v>2260</v>
      </c>
      <c r="AG17" s="1073" t="s">
        <v>2260</v>
      </c>
      <c r="AH17" s="1073" t="s">
        <v>2260</v>
      </c>
      <c r="AI17" s="1074">
        <f t="shared" si="0"/>
        <v>1</v>
      </c>
      <c r="AJ17" s="1075" t="s">
        <v>1852</v>
      </c>
      <c r="AK17" s="1075" t="s">
        <v>1826</v>
      </c>
      <c r="AL17" s="1075" t="s">
        <v>1827</v>
      </c>
      <c r="AM17" s="1076" t="s">
        <v>1888</v>
      </c>
      <c r="AN17" s="987" t="s">
        <v>1897</v>
      </c>
      <c r="AO17" s="987" t="s">
        <v>2248</v>
      </c>
      <c r="AP17" s="1243">
        <v>2</v>
      </c>
      <c r="AQ17" s="1045" t="s">
        <v>1828</v>
      </c>
      <c r="AR17" s="1078" t="s">
        <v>2251</v>
      </c>
      <c r="AS17" s="1079"/>
      <c r="AT17" s="1069"/>
      <c r="AU17" s="1069"/>
      <c r="AV17" s="1069"/>
      <c r="AW17" s="1080"/>
      <c r="AX17" s="1081"/>
      <c r="AY17" s="1044"/>
      <c r="AZ17" s="1045"/>
      <c r="BA17" s="1045"/>
      <c r="BB17" s="1045"/>
      <c r="BC17" s="1045"/>
      <c r="BD17" s="1045"/>
      <c r="BE17" s="1045"/>
      <c r="BF17" s="1045"/>
      <c r="BG17" s="1045"/>
      <c r="BH17" s="1045"/>
      <c r="BI17" s="1044" t="s">
        <v>1876</v>
      </c>
      <c r="BJ17" s="1045" t="s">
        <v>1876</v>
      </c>
      <c r="BK17" s="1045" t="s">
        <v>1876</v>
      </c>
      <c r="BL17" s="1045" t="s">
        <v>1876</v>
      </c>
      <c r="BM17" s="1045" t="s">
        <v>1876</v>
      </c>
      <c r="BN17" s="1044"/>
      <c r="BO17" s="1045"/>
      <c r="BP17" s="1045"/>
      <c r="BQ17" s="1045"/>
      <c r="BR17" s="1045"/>
      <c r="BS17" s="1084"/>
      <c r="BT17" s="1045"/>
      <c r="BU17" s="1045"/>
      <c r="BV17" s="1045"/>
      <c r="BW17" s="1085"/>
      <c r="BX17" s="1084"/>
      <c r="BY17" s="1045"/>
      <c r="BZ17" s="1045"/>
      <c r="CA17" s="1045"/>
      <c r="CB17" s="1085"/>
      <c r="CC17" s="1086"/>
      <c r="CD17" s="1087" t="s">
        <v>210</v>
      </c>
      <c r="CE17" s="1088" t="s">
        <v>210</v>
      </c>
      <c r="CF17" s="1088" t="s">
        <v>210</v>
      </c>
      <c r="CG17" s="1088" t="s">
        <v>210</v>
      </c>
      <c r="CH17" s="1089" t="s">
        <v>210</v>
      </c>
      <c r="CI17" s="1044" t="s">
        <v>2260</v>
      </c>
      <c r="CJ17" s="1045" t="s">
        <v>2260</v>
      </c>
      <c r="CK17" s="1045" t="s">
        <v>2260</v>
      </c>
      <c r="CL17" s="1045" t="s">
        <v>2260</v>
      </c>
      <c r="CM17" s="1086" t="s">
        <v>2260</v>
      </c>
      <c r="CN17" s="1044" t="s">
        <v>2260</v>
      </c>
      <c r="CO17" s="1045" t="s">
        <v>2260</v>
      </c>
      <c r="CP17" s="1045" t="s">
        <v>2260</v>
      </c>
      <c r="CQ17" s="1045" t="s">
        <v>2260</v>
      </c>
      <c r="CR17" s="1086" t="s">
        <v>2260</v>
      </c>
      <c r="CS17" s="1044" t="s">
        <v>2260</v>
      </c>
      <c r="CT17" s="1045" t="s">
        <v>2260</v>
      </c>
      <c r="CU17" s="1045" t="s">
        <v>2260</v>
      </c>
      <c r="CV17" s="1045" t="s">
        <v>2260</v>
      </c>
      <c r="CW17" s="1086" t="s">
        <v>2260</v>
      </c>
      <c r="CX17" s="1044" t="s">
        <v>2260</v>
      </c>
      <c r="CY17" s="1045" t="s">
        <v>2260</v>
      </c>
      <c r="CZ17" s="1045" t="s">
        <v>2260</v>
      </c>
      <c r="DA17" s="1045" t="s">
        <v>2260</v>
      </c>
      <c r="DB17" s="1086" t="s">
        <v>2260</v>
      </c>
      <c r="DC17" s="1045" t="s">
        <v>2260</v>
      </c>
      <c r="DD17" s="1045" t="s">
        <v>2260</v>
      </c>
      <c r="DE17" s="1045" t="s">
        <v>2260</v>
      </c>
      <c r="DF17" s="1045" t="s">
        <v>2260</v>
      </c>
      <c r="DG17" s="1086" t="s">
        <v>2260</v>
      </c>
      <c r="DH17" s="1044" t="s">
        <v>2260</v>
      </c>
      <c r="DI17" s="1045" t="s">
        <v>2260</v>
      </c>
      <c r="DJ17" s="1045" t="s">
        <v>2260</v>
      </c>
      <c r="DK17" s="1045" t="s">
        <v>2260</v>
      </c>
      <c r="DL17" s="1086" t="s">
        <v>2260</v>
      </c>
      <c r="DM17" s="1090" t="s">
        <v>2260</v>
      </c>
      <c r="DN17" s="1091" t="s">
        <v>2260</v>
      </c>
      <c r="DO17" s="1091" t="s">
        <v>2260</v>
      </c>
      <c r="DP17" s="1092" t="s">
        <v>2260</v>
      </c>
      <c r="DQ17" s="1091" t="s">
        <v>2260</v>
      </c>
      <c r="DR17" s="1091" t="s">
        <v>2260</v>
      </c>
      <c r="DS17" s="1091" t="s">
        <v>2260</v>
      </c>
      <c r="DT17" s="1092" t="s">
        <v>2260</v>
      </c>
      <c r="DU17" s="1088" t="s">
        <v>2260</v>
      </c>
      <c r="DV17" s="1093">
        <v>1</v>
      </c>
      <c r="DW17" s="1094" t="s">
        <v>2260</v>
      </c>
    </row>
    <row r="18" spans="1:127" s="382" customFormat="1" ht="15.75" customHeight="1">
      <c r="A18" s="1066" t="s">
        <v>1251</v>
      </c>
      <c r="B18" s="1026">
        <v>9</v>
      </c>
      <c r="C18" s="987"/>
      <c r="D18" s="987"/>
      <c r="E18" s="987"/>
      <c r="F18" s="987"/>
      <c r="G18" s="987"/>
      <c r="H18" s="987"/>
      <c r="I18" s="987"/>
      <c r="J18" s="987"/>
      <c r="K18" s="987"/>
      <c r="L18" s="987"/>
      <c r="M18" s="1026"/>
      <c r="N18" s="987"/>
      <c r="O18" s="987"/>
      <c r="P18" s="987"/>
      <c r="Q18" s="987"/>
      <c r="R18" s="987"/>
      <c r="S18" s="987"/>
      <c r="T18" s="988"/>
      <c r="U18" s="1067" t="s">
        <v>1776</v>
      </c>
      <c r="V18" s="1068" t="s">
        <v>2249</v>
      </c>
      <c r="W18" s="1068" t="s">
        <v>2231</v>
      </c>
      <c r="X18" s="1069" t="s">
        <v>2253</v>
      </c>
      <c r="Y18" s="1070" t="s">
        <v>2254</v>
      </c>
      <c r="Z18" s="1071" t="s">
        <v>2255</v>
      </c>
      <c r="AA18" s="1072" t="s">
        <v>2260</v>
      </c>
      <c r="AB18" s="1073">
        <v>1</v>
      </c>
      <c r="AC18" s="1073" t="s">
        <v>2260</v>
      </c>
      <c r="AD18" s="1073" t="s">
        <v>2260</v>
      </c>
      <c r="AE18" s="1073" t="s">
        <v>2260</v>
      </c>
      <c r="AF18" s="1073" t="s">
        <v>2260</v>
      </c>
      <c r="AG18" s="1073" t="s">
        <v>2260</v>
      </c>
      <c r="AH18" s="1073" t="s">
        <v>2260</v>
      </c>
      <c r="AI18" s="1074">
        <f t="shared" si="0"/>
        <v>1</v>
      </c>
      <c r="AJ18" s="1075" t="s">
        <v>1852</v>
      </c>
      <c r="AK18" s="1075" t="s">
        <v>1826</v>
      </c>
      <c r="AL18" s="1075" t="s">
        <v>1827</v>
      </c>
      <c r="AM18" s="1076" t="s">
        <v>1891</v>
      </c>
      <c r="AN18" s="987" t="s">
        <v>1897</v>
      </c>
      <c r="AO18" s="987" t="s">
        <v>2248</v>
      </c>
      <c r="AP18" s="1243">
        <v>2</v>
      </c>
      <c r="AQ18" s="1045" t="s">
        <v>1828</v>
      </c>
      <c r="AR18" s="1078" t="s">
        <v>2254</v>
      </c>
      <c r="AS18" s="1079"/>
      <c r="AT18" s="1069"/>
      <c r="AU18" s="1069"/>
      <c r="AV18" s="1069"/>
      <c r="AW18" s="1080"/>
      <c r="AX18" s="1081"/>
      <c r="AY18" s="1044"/>
      <c r="AZ18" s="1045"/>
      <c r="BA18" s="1045"/>
      <c r="BB18" s="1045"/>
      <c r="BC18" s="1045"/>
      <c r="BD18" s="1045"/>
      <c r="BE18" s="1045"/>
      <c r="BF18" s="1045"/>
      <c r="BG18" s="1045"/>
      <c r="BH18" s="1045"/>
      <c r="BI18" s="1044" t="s">
        <v>1876</v>
      </c>
      <c r="BJ18" s="1045" t="s">
        <v>1876</v>
      </c>
      <c r="BK18" s="1045" t="s">
        <v>1876</v>
      </c>
      <c r="BL18" s="1045" t="s">
        <v>1876</v>
      </c>
      <c r="BM18" s="1045" t="s">
        <v>1876</v>
      </c>
      <c r="BN18" s="1044"/>
      <c r="BO18" s="1045"/>
      <c r="BP18" s="1045"/>
      <c r="BQ18" s="1045"/>
      <c r="BR18" s="1045"/>
      <c r="BS18" s="1084"/>
      <c r="BT18" s="1045"/>
      <c r="BU18" s="1045"/>
      <c r="BV18" s="1045"/>
      <c r="BW18" s="1085"/>
      <c r="BX18" s="1084"/>
      <c r="BY18" s="1045"/>
      <c r="BZ18" s="1045"/>
      <c r="CA18" s="1045"/>
      <c r="CB18" s="1085"/>
      <c r="CC18" s="1086"/>
      <c r="CD18" s="1087" t="s">
        <v>210</v>
      </c>
      <c r="CE18" s="1088" t="s">
        <v>210</v>
      </c>
      <c r="CF18" s="1088" t="s">
        <v>210</v>
      </c>
      <c r="CG18" s="1088" t="s">
        <v>210</v>
      </c>
      <c r="CH18" s="1089" t="s">
        <v>210</v>
      </c>
      <c r="CI18" s="1044" t="s">
        <v>2260</v>
      </c>
      <c r="CJ18" s="1045" t="s">
        <v>2260</v>
      </c>
      <c r="CK18" s="1045" t="s">
        <v>2260</v>
      </c>
      <c r="CL18" s="1045" t="s">
        <v>2260</v>
      </c>
      <c r="CM18" s="1086" t="s">
        <v>2260</v>
      </c>
      <c r="CN18" s="1044" t="s">
        <v>2260</v>
      </c>
      <c r="CO18" s="1045" t="s">
        <v>2260</v>
      </c>
      <c r="CP18" s="1045" t="s">
        <v>2260</v>
      </c>
      <c r="CQ18" s="1045" t="s">
        <v>2260</v>
      </c>
      <c r="CR18" s="1086" t="s">
        <v>2260</v>
      </c>
      <c r="CS18" s="1044" t="s">
        <v>2260</v>
      </c>
      <c r="CT18" s="1045" t="s">
        <v>2260</v>
      </c>
      <c r="CU18" s="1045" t="s">
        <v>2260</v>
      </c>
      <c r="CV18" s="1045" t="s">
        <v>2260</v>
      </c>
      <c r="CW18" s="1086" t="s">
        <v>2260</v>
      </c>
      <c r="CX18" s="1044" t="s">
        <v>2260</v>
      </c>
      <c r="CY18" s="1045" t="s">
        <v>2260</v>
      </c>
      <c r="CZ18" s="1045" t="s">
        <v>2260</v>
      </c>
      <c r="DA18" s="1045" t="s">
        <v>2260</v>
      </c>
      <c r="DB18" s="1086" t="s">
        <v>2260</v>
      </c>
      <c r="DC18" s="1045" t="s">
        <v>2260</v>
      </c>
      <c r="DD18" s="1045" t="s">
        <v>2260</v>
      </c>
      <c r="DE18" s="1045" t="s">
        <v>2260</v>
      </c>
      <c r="DF18" s="1045" t="s">
        <v>2260</v>
      </c>
      <c r="DG18" s="1086" t="s">
        <v>2260</v>
      </c>
      <c r="DH18" s="1044" t="s">
        <v>2260</v>
      </c>
      <c r="DI18" s="1045" t="s">
        <v>2260</v>
      </c>
      <c r="DJ18" s="1045" t="s">
        <v>2260</v>
      </c>
      <c r="DK18" s="1045" t="s">
        <v>2260</v>
      </c>
      <c r="DL18" s="1086" t="s">
        <v>2260</v>
      </c>
      <c r="DM18" s="1090" t="s">
        <v>2260</v>
      </c>
      <c r="DN18" s="1091" t="s">
        <v>2260</v>
      </c>
      <c r="DO18" s="1091" t="s">
        <v>2260</v>
      </c>
      <c r="DP18" s="1092" t="s">
        <v>2260</v>
      </c>
      <c r="DQ18" s="1091" t="s">
        <v>2260</v>
      </c>
      <c r="DR18" s="1091" t="s">
        <v>2260</v>
      </c>
      <c r="DS18" s="1091" t="s">
        <v>2260</v>
      </c>
      <c r="DT18" s="1092" t="s">
        <v>2260</v>
      </c>
      <c r="DU18" s="1088" t="s">
        <v>2260</v>
      </c>
      <c r="DV18" s="1093">
        <v>1</v>
      </c>
      <c r="DW18" s="1094" t="s">
        <v>2260</v>
      </c>
    </row>
    <row r="19" spans="1:127" s="382" customFormat="1" ht="15.75" customHeight="1">
      <c r="A19" s="1066" t="s">
        <v>1251</v>
      </c>
      <c r="B19" s="1026">
        <v>10</v>
      </c>
      <c r="C19" s="987"/>
      <c r="D19" s="987"/>
      <c r="E19" s="987"/>
      <c r="F19" s="987"/>
      <c r="G19" s="987"/>
      <c r="H19" s="987"/>
      <c r="I19" s="987"/>
      <c r="J19" s="987"/>
      <c r="K19" s="987"/>
      <c r="L19" s="987"/>
      <c r="M19" s="1026"/>
      <c r="N19" s="987"/>
      <c r="O19" s="987"/>
      <c r="P19" s="987"/>
      <c r="Q19" s="987"/>
      <c r="R19" s="987"/>
      <c r="S19" s="987"/>
      <c r="T19" s="988"/>
      <c r="U19" s="1067" t="s">
        <v>1587</v>
      </c>
      <c r="V19" s="1068" t="s">
        <v>2216</v>
      </c>
      <c r="W19" s="1068" t="s">
        <v>2231</v>
      </c>
      <c r="X19" s="1069" t="s">
        <v>2256</v>
      </c>
      <c r="Y19" s="1070" t="s">
        <v>2257</v>
      </c>
      <c r="Z19" s="1071" t="s">
        <v>2258</v>
      </c>
      <c r="AA19" s="1072" t="s">
        <v>2260</v>
      </c>
      <c r="AB19" s="1073">
        <v>1</v>
      </c>
      <c r="AC19" s="1073" t="s">
        <v>2260</v>
      </c>
      <c r="AD19" s="1073" t="s">
        <v>2260</v>
      </c>
      <c r="AE19" s="1073" t="s">
        <v>2260</v>
      </c>
      <c r="AF19" s="1073" t="s">
        <v>2260</v>
      </c>
      <c r="AG19" s="1073" t="s">
        <v>2260</v>
      </c>
      <c r="AH19" s="1073" t="s">
        <v>2260</v>
      </c>
      <c r="AI19" s="1074">
        <f t="shared" si="0"/>
        <v>1</v>
      </c>
      <c r="AJ19" s="1075" t="s">
        <v>1825</v>
      </c>
      <c r="AK19" s="1075" t="s">
        <v>2260</v>
      </c>
      <c r="AL19" s="1075" t="s">
        <v>2260</v>
      </c>
      <c r="AM19" s="1076" t="s">
        <v>2234</v>
      </c>
      <c r="AN19" s="987" t="s">
        <v>1857</v>
      </c>
      <c r="AO19" s="987" t="s">
        <v>2259</v>
      </c>
      <c r="AP19" s="1243">
        <v>0</v>
      </c>
      <c r="AQ19" s="1045" t="s">
        <v>1838</v>
      </c>
      <c r="AR19" s="1078" t="s">
        <v>2260</v>
      </c>
      <c r="AS19" s="1079"/>
      <c r="AT19" s="1069"/>
      <c r="AU19" s="1069"/>
      <c r="AV19" s="1069"/>
      <c r="AW19" s="1080"/>
      <c r="AX19" s="1081"/>
      <c r="AY19" s="1044"/>
      <c r="AZ19" s="1045"/>
      <c r="BA19" s="1045"/>
      <c r="BB19" s="1045"/>
      <c r="BC19" s="1045"/>
      <c r="BD19" s="1045"/>
      <c r="BE19" s="1045"/>
      <c r="BF19" s="1045"/>
      <c r="BG19" s="1045"/>
      <c r="BH19" s="1045"/>
      <c r="BI19" s="1670"/>
      <c r="BJ19" s="1671"/>
      <c r="BK19" s="1671"/>
      <c r="BL19" s="1671"/>
      <c r="BM19" s="1671"/>
      <c r="BN19" s="1097"/>
      <c r="BO19" s="1098"/>
      <c r="BP19" s="1098"/>
      <c r="BQ19" s="1098"/>
      <c r="BR19" s="1098"/>
      <c r="BS19" s="1099"/>
      <c r="BT19" s="1098"/>
      <c r="BU19" s="1098"/>
      <c r="BV19" s="1098"/>
      <c r="BW19" s="1100"/>
      <c r="BX19" s="1099"/>
      <c r="BY19" s="1098"/>
      <c r="BZ19" s="1098"/>
      <c r="CA19" s="1098"/>
      <c r="CB19" s="1100"/>
      <c r="CC19" s="1101"/>
      <c r="CD19" s="1327"/>
      <c r="CE19" s="1328"/>
      <c r="CF19" s="1328"/>
      <c r="CG19" s="1328"/>
      <c r="CH19" s="1389"/>
      <c r="CI19" s="1369"/>
      <c r="CJ19" s="1319"/>
      <c r="CK19" s="1319"/>
      <c r="CL19" s="1319"/>
      <c r="CM19" s="1320"/>
      <c r="CN19" s="1670"/>
      <c r="CO19" s="1671"/>
      <c r="CP19" s="1671"/>
      <c r="CQ19" s="1671"/>
      <c r="CR19" s="1688"/>
      <c r="CS19" s="1369"/>
      <c r="CT19" s="1319"/>
      <c r="CU19" s="1319"/>
      <c r="CV19" s="1319"/>
      <c r="CW19" s="1320"/>
      <c r="CX19" s="1369"/>
      <c r="CY19" s="1319"/>
      <c r="CZ19" s="1319"/>
      <c r="DA19" s="1319"/>
      <c r="DB19" s="1320"/>
      <c r="DC19" s="1319"/>
      <c r="DD19" s="1319"/>
      <c r="DE19" s="1319"/>
      <c r="DF19" s="1319"/>
      <c r="DG19" s="1320"/>
      <c r="DH19" s="1369"/>
      <c r="DI19" s="1319"/>
      <c r="DJ19" s="1319"/>
      <c r="DK19" s="1319"/>
      <c r="DL19" s="1320"/>
      <c r="DM19" s="1743"/>
      <c r="DN19" s="1744"/>
      <c r="DO19" s="1744"/>
      <c r="DP19" s="1745"/>
      <c r="DQ19" s="1744"/>
      <c r="DR19" s="1744"/>
      <c r="DS19" s="1744"/>
      <c r="DT19" s="1745"/>
      <c r="DU19" s="1328"/>
      <c r="DV19" s="1664"/>
      <c r="DW19" s="1746"/>
    </row>
    <row r="20" spans="1:127" s="382" customFormat="1" ht="15.75" customHeight="1">
      <c r="A20" s="1066" t="s">
        <v>1251</v>
      </c>
      <c r="B20" s="1026">
        <v>11</v>
      </c>
      <c r="C20" s="987"/>
      <c r="D20" s="987"/>
      <c r="E20" s="987"/>
      <c r="F20" s="987"/>
      <c r="G20" s="987"/>
      <c r="H20" s="987"/>
      <c r="I20" s="987"/>
      <c r="J20" s="987"/>
      <c r="K20" s="987"/>
      <c r="L20" s="987"/>
      <c r="M20" s="1026"/>
      <c r="N20" s="987"/>
      <c r="O20" s="987"/>
      <c r="P20" s="987"/>
      <c r="Q20" s="987"/>
      <c r="R20" s="987"/>
      <c r="S20" s="987"/>
      <c r="T20" s="988"/>
      <c r="U20" s="1067" t="s">
        <v>1604</v>
      </c>
      <c r="V20" s="1068" t="s">
        <v>2249</v>
      </c>
      <c r="W20" s="1068" t="s">
        <v>2231</v>
      </c>
      <c r="X20" s="1069" t="s">
        <v>2261</v>
      </c>
      <c r="Y20" s="1070" t="s">
        <v>2262</v>
      </c>
      <c r="Z20" s="1071" t="s">
        <v>2263</v>
      </c>
      <c r="AA20" s="1072" t="s">
        <v>2260</v>
      </c>
      <c r="AB20" s="1073" t="s">
        <v>2260</v>
      </c>
      <c r="AC20" s="1073" t="s">
        <v>2260</v>
      </c>
      <c r="AD20" s="1073" t="s">
        <v>2260</v>
      </c>
      <c r="AE20" s="1073">
        <v>1</v>
      </c>
      <c r="AF20" s="1073" t="s">
        <v>2260</v>
      </c>
      <c r="AG20" s="1073" t="s">
        <v>2260</v>
      </c>
      <c r="AH20" s="1073" t="s">
        <v>2260</v>
      </c>
      <c r="AI20" s="1074">
        <f t="shared" si="0"/>
        <v>1</v>
      </c>
      <c r="AJ20" s="1075" t="s">
        <v>1825</v>
      </c>
      <c r="AK20" s="1075" t="s">
        <v>2260</v>
      </c>
      <c r="AL20" s="1075" t="s">
        <v>2260</v>
      </c>
      <c r="AM20" s="1076" t="s">
        <v>2264</v>
      </c>
      <c r="AN20" s="987" t="s">
        <v>321</v>
      </c>
      <c r="AO20" s="987" t="s">
        <v>2265</v>
      </c>
      <c r="AP20" s="1243">
        <v>0</v>
      </c>
      <c r="AQ20" s="1077" t="s">
        <v>1828</v>
      </c>
      <c r="AR20" s="1078" t="s">
        <v>2260</v>
      </c>
      <c r="AS20" s="1079"/>
      <c r="AT20" s="1069"/>
      <c r="AU20" s="1069"/>
      <c r="AV20" s="1069"/>
      <c r="AW20" s="1080"/>
      <c r="AX20" s="1081"/>
      <c r="AY20" s="1044"/>
      <c r="AZ20" s="1045"/>
      <c r="BA20" s="1045"/>
      <c r="BB20" s="1045"/>
      <c r="BC20" s="1045"/>
      <c r="BD20" s="1045"/>
      <c r="BE20" s="1045"/>
      <c r="BF20" s="1045"/>
      <c r="BG20" s="1045"/>
      <c r="BH20" s="1045"/>
      <c r="BI20" s="1369"/>
      <c r="BJ20" s="1319"/>
      <c r="BK20" s="1319"/>
      <c r="BL20" s="1319"/>
      <c r="BM20" s="1319"/>
      <c r="BN20" s="1044"/>
      <c r="BO20" s="1045"/>
      <c r="BP20" s="1045"/>
      <c r="BQ20" s="1045"/>
      <c r="BR20" s="1045"/>
      <c r="BS20" s="1084"/>
      <c r="BT20" s="1045"/>
      <c r="BU20" s="1045"/>
      <c r="BV20" s="1045"/>
      <c r="BW20" s="1085"/>
      <c r="BX20" s="1084"/>
      <c r="BY20" s="1045"/>
      <c r="BZ20" s="1045"/>
      <c r="CA20" s="1045"/>
      <c r="CB20" s="1085"/>
      <c r="CC20" s="1086"/>
      <c r="CD20" s="1327"/>
      <c r="CE20" s="1328"/>
      <c r="CF20" s="1328"/>
      <c r="CG20" s="1328"/>
      <c r="CH20" s="1389"/>
      <c r="CI20" s="1369"/>
      <c r="CJ20" s="1319"/>
      <c r="CK20" s="1319"/>
      <c r="CL20" s="1319"/>
      <c r="CM20" s="1320"/>
      <c r="CN20" s="1369"/>
      <c r="CO20" s="1319"/>
      <c r="CP20" s="1319"/>
      <c r="CQ20" s="1319"/>
      <c r="CR20" s="1320"/>
      <c r="CS20" s="1369"/>
      <c r="CT20" s="1319"/>
      <c r="CU20" s="1319"/>
      <c r="CV20" s="1319"/>
      <c r="CW20" s="1320"/>
      <c r="CX20" s="1369"/>
      <c r="CY20" s="1319"/>
      <c r="CZ20" s="1319"/>
      <c r="DA20" s="1319"/>
      <c r="DB20" s="1320"/>
      <c r="DC20" s="1319"/>
      <c r="DD20" s="1319"/>
      <c r="DE20" s="1319"/>
      <c r="DF20" s="1319"/>
      <c r="DG20" s="1320"/>
      <c r="DH20" s="1369"/>
      <c r="DI20" s="1319"/>
      <c r="DJ20" s="1319"/>
      <c r="DK20" s="1319"/>
      <c r="DL20" s="1320"/>
      <c r="DM20" s="1743"/>
      <c r="DN20" s="1744"/>
      <c r="DO20" s="1744"/>
      <c r="DP20" s="1745"/>
      <c r="DQ20" s="1744"/>
      <c r="DR20" s="1744"/>
      <c r="DS20" s="1744"/>
      <c r="DT20" s="1745"/>
      <c r="DU20" s="1328"/>
      <c r="DV20" s="1664"/>
      <c r="DW20" s="1746"/>
    </row>
    <row r="21" spans="1:127" s="382" customFormat="1" ht="15.75" customHeight="1">
      <c r="A21" s="1066" t="s">
        <v>1251</v>
      </c>
      <c r="B21" s="1026">
        <v>12</v>
      </c>
      <c r="C21" s="987"/>
      <c r="D21" s="987"/>
      <c r="E21" s="987"/>
      <c r="F21" s="987"/>
      <c r="G21" s="987"/>
      <c r="H21" s="987"/>
      <c r="I21" s="987"/>
      <c r="J21" s="987"/>
      <c r="K21" s="987"/>
      <c r="L21" s="987"/>
      <c r="M21" s="1026"/>
      <c r="N21" s="987"/>
      <c r="O21" s="987"/>
      <c r="P21" s="987"/>
      <c r="Q21" s="987"/>
      <c r="R21" s="987"/>
      <c r="S21" s="987"/>
      <c r="T21" s="988"/>
      <c r="U21" s="1067" t="s">
        <v>1621</v>
      </c>
      <c r="V21" s="1068" t="s">
        <v>2249</v>
      </c>
      <c r="W21" s="1068" t="s">
        <v>2231</v>
      </c>
      <c r="X21" s="1069" t="s">
        <v>2266</v>
      </c>
      <c r="Y21" s="1070" t="s">
        <v>2267</v>
      </c>
      <c r="Z21" s="1071" t="s">
        <v>2268</v>
      </c>
      <c r="AA21" s="1072" t="s">
        <v>2260</v>
      </c>
      <c r="AB21" s="1073" t="s">
        <v>2260</v>
      </c>
      <c r="AC21" s="1073" t="s">
        <v>2260</v>
      </c>
      <c r="AD21" s="1073" t="s">
        <v>2260</v>
      </c>
      <c r="AE21" s="1073">
        <v>1</v>
      </c>
      <c r="AF21" s="1073" t="s">
        <v>2260</v>
      </c>
      <c r="AG21" s="1073" t="s">
        <v>2260</v>
      </c>
      <c r="AH21" s="1073" t="s">
        <v>2260</v>
      </c>
      <c r="AI21" s="1074">
        <f t="shared" si="0"/>
        <v>1</v>
      </c>
      <c r="AJ21" s="1075" t="s">
        <v>1825</v>
      </c>
      <c r="AK21" s="1075" t="s">
        <v>2260</v>
      </c>
      <c r="AL21" s="1075" t="s">
        <v>2260</v>
      </c>
      <c r="AM21" s="1076" t="s">
        <v>2264</v>
      </c>
      <c r="AN21" s="987" t="s">
        <v>321</v>
      </c>
      <c r="AO21" s="987" t="s">
        <v>2265</v>
      </c>
      <c r="AP21" s="1243">
        <v>0</v>
      </c>
      <c r="AQ21" s="1045" t="s">
        <v>1828</v>
      </c>
      <c r="AR21" s="1078" t="s">
        <v>2260</v>
      </c>
      <c r="AS21" s="1079"/>
      <c r="AT21" s="1069"/>
      <c r="AU21" s="1069"/>
      <c r="AV21" s="1069"/>
      <c r="AW21" s="1080"/>
      <c r="AX21" s="1081"/>
      <c r="AY21" s="1044"/>
      <c r="AZ21" s="1045"/>
      <c r="BA21" s="1045"/>
      <c r="BB21" s="1045"/>
      <c r="BC21" s="1045"/>
      <c r="BD21" s="1045"/>
      <c r="BE21" s="1045"/>
      <c r="BF21" s="1045"/>
      <c r="BG21" s="1045"/>
      <c r="BH21" s="1045"/>
      <c r="BI21" s="1369"/>
      <c r="BJ21" s="1319"/>
      <c r="BK21" s="1319"/>
      <c r="BL21" s="1319"/>
      <c r="BM21" s="1319"/>
      <c r="BN21" s="1044"/>
      <c r="BO21" s="1045"/>
      <c r="BP21" s="1045"/>
      <c r="BQ21" s="1045"/>
      <c r="BR21" s="1045"/>
      <c r="BS21" s="1084"/>
      <c r="BT21" s="1045"/>
      <c r="BU21" s="1045"/>
      <c r="BV21" s="1045"/>
      <c r="BW21" s="1085"/>
      <c r="BX21" s="1084"/>
      <c r="BY21" s="1045"/>
      <c r="BZ21" s="1045"/>
      <c r="CA21" s="1045"/>
      <c r="CB21" s="1085"/>
      <c r="CC21" s="1086"/>
      <c r="CD21" s="1327"/>
      <c r="CE21" s="1328"/>
      <c r="CF21" s="1328"/>
      <c r="CG21" s="1328"/>
      <c r="CH21" s="1389"/>
      <c r="CI21" s="1369"/>
      <c r="CJ21" s="1319"/>
      <c r="CK21" s="1319"/>
      <c r="CL21" s="1319"/>
      <c r="CM21" s="1320"/>
      <c r="CN21" s="1369"/>
      <c r="CO21" s="1319"/>
      <c r="CP21" s="1319"/>
      <c r="CQ21" s="1319"/>
      <c r="CR21" s="1320"/>
      <c r="CS21" s="1369"/>
      <c r="CT21" s="1319"/>
      <c r="CU21" s="1319"/>
      <c r="CV21" s="1319"/>
      <c r="CW21" s="1320"/>
      <c r="CX21" s="1369"/>
      <c r="CY21" s="1319"/>
      <c r="CZ21" s="1319"/>
      <c r="DA21" s="1319"/>
      <c r="DB21" s="1320"/>
      <c r="DC21" s="1319"/>
      <c r="DD21" s="1319"/>
      <c r="DE21" s="1319"/>
      <c r="DF21" s="1319"/>
      <c r="DG21" s="1320"/>
      <c r="DH21" s="1369"/>
      <c r="DI21" s="1319"/>
      <c r="DJ21" s="1319"/>
      <c r="DK21" s="1319"/>
      <c r="DL21" s="1320"/>
      <c r="DM21" s="1743"/>
      <c r="DN21" s="1744"/>
      <c r="DO21" s="1744"/>
      <c r="DP21" s="1745"/>
      <c r="DQ21" s="1744"/>
      <c r="DR21" s="1744"/>
      <c r="DS21" s="1744"/>
      <c r="DT21" s="1745"/>
      <c r="DU21" s="1328"/>
      <c r="DV21" s="1664"/>
      <c r="DW21" s="1746"/>
    </row>
    <row r="22" spans="1:127" s="382" customFormat="1" ht="15.75" customHeight="1">
      <c r="A22" s="1066" t="s">
        <v>1251</v>
      </c>
      <c r="B22" s="1026">
        <v>13</v>
      </c>
      <c r="C22" s="987"/>
      <c r="D22" s="987"/>
      <c r="E22" s="987"/>
      <c r="F22" s="987"/>
      <c r="G22" s="987"/>
      <c r="H22" s="987"/>
      <c r="I22" s="987"/>
      <c r="J22" s="987"/>
      <c r="K22" s="987"/>
      <c r="L22" s="987"/>
      <c r="M22" s="1026"/>
      <c r="N22" s="987"/>
      <c r="O22" s="987"/>
      <c r="P22" s="987"/>
      <c r="Q22" s="987"/>
      <c r="R22" s="987"/>
      <c r="S22" s="987"/>
      <c r="T22" s="988"/>
      <c r="U22" s="1067" t="s">
        <v>1304</v>
      </c>
      <c r="V22" s="1068" t="s">
        <v>2222</v>
      </c>
      <c r="W22" s="1068" t="s">
        <v>2231</v>
      </c>
      <c r="X22" s="1069" t="s">
        <v>2269</v>
      </c>
      <c r="Y22" s="1070" t="s">
        <v>2270</v>
      </c>
      <c r="Z22" s="1071" t="s">
        <v>2271</v>
      </c>
      <c r="AA22" s="1072">
        <v>1</v>
      </c>
      <c r="AB22" s="1073" t="s">
        <v>2260</v>
      </c>
      <c r="AC22" s="1073" t="s">
        <v>2260</v>
      </c>
      <c r="AD22" s="1073" t="s">
        <v>2260</v>
      </c>
      <c r="AE22" s="1073" t="s">
        <v>2260</v>
      </c>
      <c r="AF22" s="1073" t="s">
        <v>2260</v>
      </c>
      <c r="AG22" s="1073" t="s">
        <v>2260</v>
      </c>
      <c r="AH22" s="1073" t="s">
        <v>2260</v>
      </c>
      <c r="AI22" s="1074">
        <f t="shared" si="0"/>
        <v>1</v>
      </c>
      <c r="AJ22" s="1075" t="s">
        <v>1835</v>
      </c>
      <c r="AK22" s="1075" t="s">
        <v>1826</v>
      </c>
      <c r="AL22" s="1075" t="s">
        <v>1827</v>
      </c>
      <c r="AM22" s="1076" t="s">
        <v>2229</v>
      </c>
      <c r="AN22" s="987" t="s">
        <v>1857</v>
      </c>
      <c r="AO22" s="987" t="s">
        <v>2272</v>
      </c>
      <c r="AP22" s="1243">
        <v>0</v>
      </c>
      <c r="AQ22" s="1077" t="s">
        <v>1828</v>
      </c>
      <c r="AR22" s="1078" t="s">
        <v>2260</v>
      </c>
      <c r="AS22" s="1079"/>
      <c r="AT22" s="1069"/>
      <c r="AU22" s="1069"/>
      <c r="AV22" s="1069"/>
      <c r="AW22" s="1080"/>
      <c r="AX22" s="1081"/>
      <c r="AY22" s="1044"/>
      <c r="AZ22" s="1045"/>
      <c r="BA22" s="1045"/>
      <c r="BB22" s="1045"/>
      <c r="BC22" s="1045"/>
      <c r="BD22" s="1045"/>
      <c r="BE22" s="1045"/>
      <c r="BF22" s="1045"/>
      <c r="BG22" s="1045"/>
      <c r="BH22" s="1045"/>
      <c r="BI22" s="1369"/>
      <c r="BJ22" s="1319"/>
      <c r="BK22" s="1319"/>
      <c r="BL22" s="1319"/>
      <c r="BM22" s="1319"/>
      <c r="BN22" s="1044"/>
      <c r="BO22" s="1045"/>
      <c r="BP22" s="1045"/>
      <c r="BQ22" s="1045"/>
      <c r="BR22" s="1045"/>
      <c r="BS22" s="1084"/>
      <c r="BT22" s="1045"/>
      <c r="BU22" s="1045"/>
      <c r="BV22" s="1045"/>
      <c r="BW22" s="1085"/>
      <c r="BX22" s="1084"/>
      <c r="BY22" s="1045"/>
      <c r="BZ22" s="1045"/>
      <c r="CA22" s="1045"/>
      <c r="CB22" s="1085"/>
      <c r="CC22" s="1086"/>
      <c r="CD22" s="1327"/>
      <c r="CE22" s="1328"/>
      <c r="CF22" s="1328"/>
      <c r="CG22" s="1328"/>
      <c r="CH22" s="1389"/>
      <c r="CI22" s="1369"/>
      <c r="CJ22" s="1319"/>
      <c r="CK22" s="1319"/>
      <c r="CL22" s="1319"/>
      <c r="CM22" s="1320"/>
      <c r="CN22" s="1369"/>
      <c r="CO22" s="1319"/>
      <c r="CP22" s="1319"/>
      <c r="CQ22" s="1319"/>
      <c r="CR22" s="1320"/>
      <c r="CS22" s="1369"/>
      <c r="CT22" s="1319"/>
      <c r="CU22" s="1319"/>
      <c r="CV22" s="1319"/>
      <c r="CW22" s="1320"/>
      <c r="CX22" s="1369"/>
      <c r="CY22" s="1319"/>
      <c r="CZ22" s="1319"/>
      <c r="DA22" s="1319"/>
      <c r="DB22" s="1320"/>
      <c r="DC22" s="1319"/>
      <c r="DD22" s="1319"/>
      <c r="DE22" s="1319"/>
      <c r="DF22" s="1319"/>
      <c r="DG22" s="1320"/>
      <c r="DH22" s="1369"/>
      <c r="DI22" s="1319"/>
      <c r="DJ22" s="1319"/>
      <c r="DK22" s="1319"/>
      <c r="DL22" s="1320"/>
      <c r="DM22" s="1743"/>
      <c r="DN22" s="1744"/>
      <c r="DO22" s="1744"/>
      <c r="DP22" s="1745"/>
      <c r="DQ22" s="1744"/>
      <c r="DR22" s="1744"/>
      <c r="DS22" s="1744"/>
      <c r="DT22" s="1745"/>
      <c r="DU22" s="1328"/>
      <c r="DV22" s="1664"/>
      <c r="DW22" s="1746"/>
    </row>
    <row r="23" spans="1:127" s="382" customFormat="1" ht="15.75" customHeight="1">
      <c r="A23" s="1066" t="s">
        <v>1251</v>
      </c>
      <c r="B23" s="1026">
        <v>14</v>
      </c>
      <c r="C23" s="987"/>
      <c r="D23" s="987"/>
      <c r="E23" s="987"/>
      <c r="F23" s="987"/>
      <c r="G23" s="987"/>
      <c r="H23" s="987"/>
      <c r="I23" s="987"/>
      <c r="J23" s="987"/>
      <c r="K23" s="987"/>
      <c r="L23" s="987"/>
      <c r="M23" s="1026"/>
      <c r="N23" s="987"/>
      <c r="O23" s="987"/>
      <c r="P23" s="987"/>
      <c r="Q23" s="987"/>
      <c r="R23" s="987"/>
      <c r="S23" s="987"/>
      <c r="T23" s="988"/>
      <c r="U23" s="1067" t="s">
        <v>1321</v>
      </c>
      <c r="V23" s="1068" t="s">
        <v>2249</v>
      </c>
      <c r="W23" s="1068" t="s">
        <v>2231</v>
      </c>
      <c r="X23" s="1069" t="s">
        <v>2273</v>
      </c>
      <c r="Y23" s="1070" t="s">
        <v>2274</v>
      </c>
      <c r="Z23" s="1071" t="s">
        <v>2274</v>
      </c>
      <c r="AA23" s="1072" t="s">
        <v>2260</v>
      </c>
      <c r="AB23" s="1073" t="s">
        <v>2260</v>
      </c>
      <c r="AC23" s="1073" t="s">
        <v>2260</v>
      </c>
      <c r="AD23" s="1073" t="s">
        <v>2260</v>
      </c>
      <c r="AE23" s="1073">
        <v>1</v>
      </c>
      <c r="AF23" s="1073" t="s">
        <v>2260</v>
      </c>
      <c r="AG23" s="1073" t="s">
        <v>2260</v>
      </c>
      <c r="AH23" s="1073" t="s">
        <v>2260</v>
      </c>
      <c r="AI23" s="1074">
        <f t="shared" si="0"/>
        <v>1</v>
      </c>
      <c r="AJ23" s="1075" t="s">
        <v>1852</v>
      </c>
      <c r="AK23" s="1075" t="s">
        <v>1826</v>
      </c>
      <c r="AL23" s="1075" t="s">
        <v>1827</v>
      </c>
      <c r="AM23" s="1076" t="s">
        <v>2275</v>
      </c>
      <c r="AN23" s="987" t="s">
        <v>321</v>
      </c>
      <c r="AO23" s="987" t="s">
        <v>2276</v>
      </c>
      <c r="AP23" s="1243">
        <v>2</v>
      </c>
      <c r="AQ23" s="1045" t="s">
        <v>1838</v>
      </c>
      <c r="AR23" s="1078" t="s">
        <v>2260</v>
      </c>
      <c r="AS23" s="1079"/>
      <c r="AT23" s="1069"/>
      <c r="AU23" s="1069"/>
      <c r="AV23" s="1069"/>
      <c r="AW23" s="1080"/>
      <c r="AX23" s="1081"/>
      <c r="AY23" s="1044"/>
      <c r="AZ23" s="1045"/>
      <c r="BA23" s="1045"/>
      <c r="BB23" s="1045"/>
      <c r="BC23" s="1045"/>
      <c r="BD23" s="1045"/>
      <c r="BE23" s="1045"/>
      <c r="BF23" s="1045"/>
      <c r="BG23" s="1045"/>
      <c r="BH23" s="1045"/>
      <c r="BI23" s="1369"/>
      <c r="BJ23" s="1319"/>
      <c r="BK23" s="1319"/>
      <c r="BL23" s="1319"/>
      <c r="BM23" s="1319"/>
      <c r="BN23" s="1044"/>
      <c r="BO23" s="1045"/>
      <c r="BP23" s="1045"/>
      <c r="BQ23" s="1045"/>
      <c r="BR23" s="1045"/>
      <c r="BS23" s="1084"/>
      <c r="BT23" s="1045"/>
      <c r="BU23" s="1045"/>
      <c r="BV23" s="1045"/>
      <c r="BW23" s="1085"/>
      <c r="BX23" s="1084"/>
      <c r="BY23" s="1045"/>
      <c r="BZ23" s="1045"/>
      <c r="CA23" s="1045"/>
      <c r="CB23" s="1085"/>
      <c r="CC23" s="1086"/>
      <c r="CD23" s="1327"/>
      <c r="CE23" s="1328"/>
      <c r="CF23" s="1328"/>
      <c r="CG23" s="1328"/>
      <c r="CH23" s="1389"/>
      <c r="CI23" s="1369"/>
      <c r="CJ23" s="1319"/>
      <c r="CK23" s="1319"/>
      <c r="CL23" s="1319"/>
      <c r="CM23" s="1320"/>
      <c r="CN23" s="1369"/>
      <c r="CO23" s="1319"/>
      <c r="CP23" s="1319"/>
      <c r="CQ23" s="1319"/>
      <c r="CR23" s="1320"/>
      <c r="CS23" s="1369"/>
      <c r="CT23" s="1319"/>
      <c r="CU23" s="1319"/>
      <c r="CV23" s="1319"/>
      <c r="CW23" s="1320"/>
      <c r="CX23" s="1369"/>
      <c r="CY23" s="1319"/>
      <c r="CZ23" s="1319"/>
      <c r="DA23" s="1319"/>
      <c r="DB23" s="1320"/>
      <c r="DC23" s="1319"/>
      <c r="DD23" s="1319"/>
      <c r="DE23" s="1319"/>
      <c r="DF23" s="1319"/>
      <c r="DG23" s="1320"/>
      <c r="DH23" s="1369"/>
      <c r="DI23" s="1319"/>
      <c r="DJ23" s="1319"/>
      <c r="DK23" s="1319"/>
      <c r="DL23" s="1320"/>
      <c r="DM23" s="1743"/>
      <c r="DN23" s="1744"/>
      <c r="DO23" s="1744"/>
      <c r="DP23" s="1745"/>
      <c r="DQ23" s="1744"/>
      <c r="DR23" s="1744"/>
      <c r="DS23" s="1744"/>
      <c r="DT23" s="1745"/>
      <c r="DU23" s="1328"/>
      <c r="DV23" s="1664"/>
      <c r="DW23" s="1746"/>
    </row>
    <row r="24" spans="1:127" s="382" customFormat="1" ht="15.75" customHeight="1">
      <c r="A24" s="1066" t="s">
        <v>1251</v>
      </c>
      <c r="B24" s="1026">
        <v>15</v>
      </c>
      <c r="C24" s="987"/>
      <c r="D24" s="987"/>
      <c r="E24" s="987"/>
      <c r="F24" s="987"/>
      <c r="G24" s="987"/>
      <c r="H24" s="987"/>
      <c r="I24" s="987"/>
      <c r="J24" s="987"/>
      <c r="K24" s="987"/>
      <c r="L24" s="987"/>
      <c r="M24" s="1026"/>
      <c r="N24" s="987"/>
      <c r="O24" s="987"/>
      <c r="P24" s="987"/>
      <c r="Q24" s="987"/>
      <c r="R24" s="987"/>
      <c r="S24" s="987"/>
      <c r="T24" s="988"/>
      <c r="U24" s="1067" t="s">
        <v>1338</v>
      </c>
      <c r="V24" s="1068" t="s">
        <v>2222</v>
      </c>
      <c r="W24" s="1068" t="s">
        <v>2231</v>
      </c>
      <c r="X24" s="1069" t="s">
        <v>2277</v>
      </c>
      <c r="Y24" s="1070" t="s">
        <v>2278</v>
      </c>
      <c r="Z24" s="1071" t="s">
        <v>2279</v>
      </c>
      <c r="AA24" s="1072">
        <v>1</v>
      </c>
      <c r="AB24" s="1073" t="s">
        <v>2260</v>
      </c>
      <c r="AC24" s="1073"/>
      <c r="AD24" s="1073" t="s">
        <v>2260</v>
      </c>
      <c r="AE24" s="1073" t="s">
        <v>2260</v>
      </c>
      <c r="AF24" s="1073" t="s">
        <v>2260</v>
      </c>
      <c r="AG24" s="1073" t="s">
        <v>2260</v>
      </c>
      <c r="AH24" s="1073" t="s">
        <v>2260</v>
      </c>
      <c r="AI24" s="1074">
        <f t="shared" si="0"/>
        <v>1</v>
      </c>
      <c r="AJ24" s="1075" t="s">
        <v>1852</v>
      </c>
      <c r="AK24" s="1075" t="s">
        <v>1826</v>
      </c>
      <c r="AL24" s="1075" t="s">
        <v>1827</v>
      </c>
      <c r="AM24" s="1076" t="s">
        <v>2280</v>
      </c>
      <c r="AN24" s="987" t="s">
        <v>1857</v>
      </c>
      <c r="AO24" s="987" t="s">
        <v>2281</v>
      </c>
      <c r="AP24" s="1243">
        <v>0</v>
      </c>
      <c r="AQ24" s="1077" t="s">
        <v>1828</v>
      </c>
      <c r="AR24" s="1078" t="s">
        <v>2260</v>
      </c>
      <c r="AS24" s="1079"/>
      <c r="AT24" s="1069"/>
      <c r="AU24" s="1069"/>
      <c r="AV24" s="1069"/>
      <c r="AW24" s="1080"/>
      <c r="AX24" s="1081"/>
      <c r="AY24" s="1044"/>
      <c r="AZ24" s="1045"/>
      <c r="BA24" s="1045"/>
      <c r="BB24" s="1045"/>
      <c r="BC24" s="1045"/>
      <c r="BD24" s="1045"/>
      <c r="BE24" s="1045"/>
      <c r="BF24" s="1045"/>
      <c r="BG24" s="1045"/>
      <c r="BH24" s="1045"/>
      <c r="BI24" s="1369"/>
      <c r="BJ24" s="1319"/>
      <c r="BK24" s="1319"/>
      <c r="BL24" s="1319"/>
      <c r="BM24" s="1319"/>
      <c r="BN24" s="1044"/>
      <c r="BO24" s="1045"/>
      <c r="BP24" s="1045"/>
      <c r="BQ24" s="1045"/>
      <c r="BR24" s="1045"/>
      <c r="BS24" s="1084"/>
      <c r="BT24" s="1045"/>
      <c r="BU24" s="1045"/>
      <c r="BV24" s="1045"/>
      <c r="BW24" s="1085"/>
      <c r="BX24" s="1084"/>
      <c r="BY24" s="1045"/>
      <c r="BZ24" s="1045"/>
      <c r="CA24" s="1045"/>
      <c r="CB24" s="1085"/>
      <c r="CC24" s="1086"/>
      <c r="CD24" s="1327"/>
      <c r="CE24" s="1328"/>
      <c r="CF24" s="1328"/>
      <c r="CG24" s="1328"/>
      <c r="CH24" s="1389"/>
      <c r="CI24" s="1369"/>
      <c r="CJ24" s="1319"/>
      <c r="CK24" s="1319"/>
      <c r="CL24" s="1319"/>
      <c r="CM24" s="1320"/>
      <c r="CN24" s="1369"/>
      <c r="CO24" s="1319"/>
      <c r="CP24" s="1319"/>
      <c r="CQ24" s="1319"/>
      <c r="CR24" s="1320"/>
      <c r="CS24" s="1369"/>
      <c r="CT24" s="1319"/>
      <c r="CU24" s="1319"/>
      <c r="CV24" s="1319"/>
      <c r="CW24" s="1320"/>
      <c r="CX24" s="1369"/>
      <c r="CY24" s="1319"/>
      <c r="CZ24" s="1319"/>
      <c r="DA24" s="1319"/>
      <c r="DB24" s="1320"/>
      <c r="DC24" s="1319"/>
      <c r="DD24" s="1319"/>
      <c r="DE24" s="1319"/>
      <c r="DF24" s="1319"/>
      <c r="DG24" s="1320"/>
      <c r="DH24" s="1369"/>
      <c r="DI24" s="1319"/>
      <c r="DJ24" s="1319"/>
      <c r="DK24" s="1319"/>
      <c r="DL24" s="1320"/>
      <c r="DM24" s="1743"/>
      <c r="DN24" s="1744"/>
      <c r="DO24" s="1744"/>
      <c r="DP24" s="1745"/>
      <c r="DQ24" s="1744"/>
      <c r="DR24" s="1744"/>
      <c r="DS24" s="1744"/>
      <c r="DT24" s="1745"/>
      <c r="DU24" s="1328"/>
      <c r="DV24" s="1664"/>
      <c r="DW24" s="1746"/>
    </row>
    <row r="25" spans="1:127" s="382" customFormat="1" ht="15.75" customHeight="1">
      <c r="A25" s="1066" t="s">
        <v>1251</v>
      </c>
      <c r="B25" s="1026">
        <v>16</v>
      </c>
      <c r="C25" s="987"/>
      <c r="D25" s="987"/>
      <c r="E25" s="1102"/>
      <c r="F25" s="987"/>
      <c r="G25" s="987"/>
      <c r="H25" s="987"/>
      <c r="I25" s="987"/>
      <c r="J25" s="987"/>
      <c r="K25" s="987"/>
      <c r="L25" s="987"/>
      <c r="M25" s="1026"/>
      <c r="N25" s="987"/>
      <c r="O25" s="987"/>
      <c r="P25" s="987"/>
      <c r="Q25" s="987"/>
      <c r="R25" s="987"/>
      <c r="S25" s="987"/>
      <c r="T25" s="988"/>
      <c r="U25" s="1067" t="s">
        <v>1355</v>
      </c>
      <c r="V25" s="1068" t="s">
        <v>2222</v>
      </c>
      <c r="W25" s="1068" t="s">
        <v>2223</v>
      </c>
      <c r="X25" s="1069" t="s">
        <v>2283</v>
      </c>
      <c r="Y25" s="1070" t="s">
        <v>2284</v>
      </c>
      <c r="Z25" s="1071" t="s">
        <v>2285</v>
      </c>
      <c r="AA25" s="1072">
        <v>1</v>
      </c>
      <c r="AB25" s="1073" t="s">
        <v>2260</v>
      </c>
      <c r="AC25" s="1073" t="s">
        <v>2260</v>
      </c>
      <c r="AD25" s="1073" t="s">
        <v>2260</v>
      </c>
      <c r="AE25" s="1073" t="s">
        <v>2260</v>
      </c>
      <c r="AF25" s="1073" t="s">
        <v>2260</v>
      </c>
      <c r="AG25" s="1073" t="s">
        <v>2260</v>
      </c>
      <c r="AH25" s="1073" t="s">
        <v>2260</v>
      </c>
      <c r="AI25" s="1074">
        <f t="shared" si="0"/>
        <v>1</v>
      </c>
      <c r="AJ25" s="1075" t="s">
        <v>1846</v>
      </c>
      <c r="AK25" s="1075" t="s">
        <v>1826</v>
      </c>
      <c r="AL25" s="1075" t="s">
        <v>1827</v>
      </c>
      <c r="AM25" s="1076" t="s">
        <v>2229</v>
      </c>
      <c r="AN25" s="987" t="s">
        <v>1857</v>
      </c>
      <c r="AO25" s="987" t="s">
        <v>2286</v>
      </c>
      <c r="AP25" s="1243">
        <v>2</v>
      </c>
      <c r="AQ25" s="1077" t="s">
        <v>1828</v>
      </c>
      <c r="AR25" s="1078" t="s">
        <v>2260</v>
      </c>
      <c r="AS25" s="1079"/>
      <c r="AT25" s="1069"/>
      <c r="AU25" s="1069"/>
      <c r="AV25" s="1069"/>
      <c r="AW25" s="1080"/>
      <c r="AX25" s="1081"/>
      <c r="AY25" s="1044"/>
      <c r="AZ25" s="1045"/>
      <c r="BA25" s="1045"/>
      <c r="BB25" s="1045"/>
      <c r="BC25" s="1045"/>
      <c r="BD25" s="1045"/>
      <c r="BE25" s="1045"/>
      <c r="BF25" s="1045"/>
      <c r="BG25" s="1045"/>
      <c r="BH25" s="1045"/>
      <c r="BI25" s="1369"/>
      <c r="BJ25" s="1319"/>
      <c r="BK25" s="1319"/>
      <c r="BL25" s="1319"/>
      <c r="BM25" s="1319"/>
      <c r="BN25" s="1044"/>
      <c r="BO25" s="1045"/>
      <c r="BP25" s="1045"/>
      <c r="BQ25" s="1045"/>
      <c r="BR25" s="1045"/>
      <c r="BS25" s="1084"/>
      <c r="BT25" s="1045"/>
      <c r="BU25" s="1045"/>
      <c r="BV25" s="1045"/>
      <c r="BW25" s="1085"/>
      <c r="BX25" s="1084"/>
      <c r="BY25" s="1045"/>
      <c r="BZ25" s="1045"/>
      <c r="CA25" s="1045"/>
      <c r="CB25" s="1085"/>
      <c r="CC25" s="1086"/>
      <c r="CD25" s="1327"/>
      <c r="CE25" s="1328"/>
      <c r="CF25" s="1328"/>
      <c r="CG25" s="1328"/>
      <c r="CH25" s="1389"/>
      <c r="CI25" s="1369"/>
      <c r="CJ25" s="1319"/>
      <c r="CK25" s="1319"/>
      <c r="CL25" s="1319"/>
      <c r="CM25" s="1320"/>
      <c r="CN25" s="1369"/>
      <c r="CO25" s="1319"/>
      <c r="CP25" s="1319"/>
      <c r="CQ25" s="1319"/>
      <c r="CR25" s="1320"/>
      <c r="CS25" s="1369"/>
      <c r="CT25" s="1319"/>
      <c r="CU25" s="1319"/>
      <c r="CV25" s="1319"/>
      <c r="CW25" s="1320"/>
      <c r="CX25" s="1369"/>
      <c r="CY25" s="1319"/>
      <c r="CZ25" s="1319"/>
      <c r="DA25" s="1319"/>
      <c r="DB25" s="1320"/>
      <c r="DC25" s="1319"/>
      <c r="DD25" s="1319"/>
      <c r="DE25" s="1319"/>
      <c r="DF25" s="1319"/>
      <c r="DG25" s="1320"/>
      <c r="DH25" s="1369"/>
      <c r="DI25" s="1319"/>
      <c r="DJ25" s="1319"/>
      <c r="DK25" s="1319"/>
      <c r="DL25" s="1320"/>
      <c r="DM25" s="1743"/>
      <c r="DN25" s="1744"/>
      <c r="DO25" s="1744"/>
      <c r="DP25" s="1745"/>
      <c r="DQ25" s="1744"/>
      <c r="DR25" s="1744"/>
      <c r="DS25" s="1744"/>
      <c r="DT25" s="1745"/>
      <c r="DU25" s="1328"/>
      <c r="DV25" s="1664"/>
      <c r="DW25" s="1746"/>
    </row>
    <row r="26" spans="1:127" s="382" customFormat="1" ht="15.75" customHeight="1">
      <c r="A26" s="1066" t="s">
        <v>1251</v>
      </c>
      <c r="B26" s="1026">
        <v>17</v>
      </c>
      <c r="C26" s="987"/>
      <c r="D26" s="987"/>
      <c r="E26" s="987"/>
      <c r="F26" s="987"/>
      <c r="G26" s="987"/>
      <c r="H26" s="987"/>
      <c r="I26" s="987"/>
      <c r="J26" s="987"/>
      <c r="K26" s="987"/>
      <c r="L26" s="987"/>
      <c r="M26" s="1026"/>
      <c r="N26" s="987"/>
      <c r="O26" s="987"/>
      <c r="P26" s="987"/>
      <c r="Q26" s="987"/>
      <c r="R26" s="987"/>
      <c r="S26" s="987"/>
      <c r="T26" s="988"/>
      <c r="U26" s="1067" t="s">
        <v>1372</v>
      </c>
      <c r="V26" s="1068" t="s">
        <v>2222</v>
      </c>
      <c r="W26" s="1068" t="s">
        <v>2223</v>
      </c>
      <c r="X26" s="1069" t="s">
        <v>2287</v>
      </c>
      <c r="Y26" s="1070" t="s">
        <v>2288</v>
      </c>
      <c r="Z26" s="1071" t="s">
        <v>2289</v>
      </c>
      <c r="AA26" s="1072">
        <v>1</v>
      </c>
      <c r="AB26" s="1073" t="s">
        <v>2260</v>
      </c>
      <c r="AC26" s="1073" t="s">
        <v>2260</v>
      </c>
      <c r="AD26" s="1073" t="s">
        <v>2260</v>
      </c>
      <c r="AE26" s="1073" t="s">
        <v>2260</v>
      </c>
      <c r="AF26" s="1073" t="s">
        <v>2260</v>
      </c>
      <c r="AG26" s="1073" t="s">
        <v>2260</v>
      </c>
      <c r="AH26" s="1073" t="s">
        <v>2260</v>
      </c>
      <c r="AI26" s="1074">
        <f t="shared" si="0"/>
        <v>1</v>
      </c>
      <c r="AJ26" s="1075" t="s">
        <v>1852</v>
      </c>
      <c r="AK26" s="1075" t="s">
        <v>1826</v>
      </c>
      <c r="AL26" s="1075" t="s">
        <v>1827</v>
      </c>
      <c r="AM26" s="1076" t="s">
        <v>2290</v>
      </c>
      <c r="AN26" s="987" t="s">
        <v>1857</v>
      </c>
      <c r="AO26" s="987" t="s">
        <v>2291</v>
      </c>
      <c r="AP26" s="1243">
        <v>0</v>
      </c>
      <c r="AQ26" s="1077" t="s">
        <v>1838</v>
      </c>
      <c r="AR26" s="1078" t="s">
        <v>2260</v>
      </c>
      <c r="AS26" s="1079"/>
      <c r="AT26" s="1069"/>
      <c r="AU26" s="1069"/>
      <c r="AV26" s="1069"/>
      <c r="AW26" s="1080"/>
      <c r="AX26" s="1081"/>
      <c r="AY26" s="1044"/>
      <c r="AZ26" s="1045"/>
      <c r="BA26" s="1045"/>
      <c r="BB26" s="1045"/>
      <c r="BC26" s="1045"/>
      <c r="BD26" s="1045"/>
      <c r="BE26" s="1045"/>
      <c r="BF26" s="1045"/>
      <c r="BG26" s="1045"/>
      <c r="BH26" s="1045"/>
      <c r="BI26" s="1369"/>
      <c r="BJ26" s="1319"/>
      <c r="BK26" s="1319"/>
      <c r="BL26" s="1319"/>
      <c r="BM26" s="1319"/>
      <c r="BN26" s="1044"/>
      <c r="BO26" s="1045"/>
      <c r="BP26" s="1045"/>
      <c r="BQ26" s="1045"/>
      <c r="BR26" s="1045"/>
      <c r="BS26" s="1084"/>
      <c r="BT26" s="1045"/>
      <c r="BU26" s="1045"/>
      <c r="BV26" s="1045"/>
      <c r="BW26" s="1085"/>
      <c r="BX26" s="1084"/>
      <c r="BY26" s="1045"/>
      <c r="BZ26" s="1045"/>
      <c r="CA26" s="1045"/>
      <c r="CB26" s="1085"/>
      <c r="CC26" s="1086"/>
      <c r="CD26" s="1327"/>
      <c r="CE26" s="1328"/>
      <c r="CF26" s="1328"/>
      <c r="CG26" s="1328"/>
      <c r="CH26" s="1389"/>
      <c r="CI26" s="1369"/>
      <c r="CJ26" s="1319"/>
      <c r="CK26" s="1319"/>
      <c r="CL26" s="1319"/>
      <c r="CM26" s="1320"/>
      <c r="CN26" s="1369"/>
      <c r="CO26" s="1319"/>
      <c r="CP26" s="1319"/>
      <c r="CQ26" s="1319"/>
      <c r="CR26" s="1320"/>
      <c r="CS26" s="1369"/>
      <c r="CT26" s="1319"/>
      <c r="CU26" s="1319"/>
      <c r="CV26" s="1319"/>
      <c r="CW26" s="1320"/>
      <c r="CX26" s="1369"/>
      <c r="CY26" s="1319"/>
      <c r="CZ26" s="1319"/>
      <c r="DA26" s="1319"/>
      <c r="DB26" s="1320"/>
      <c r="DC26" s="1319"/>
      <c r="DD26" s="1319"/>
      <c r="DE26" s="1319"/>
      <c r="DF26" s="1319"/>
      <c r="DG26" s="1320"/>
      <c r="DH26" s="1369"/>
      <c r="DI26" s="1319"/>
      <c r="DJ26" s="1319"/>
      <c r="DK26" s="1319"/>
      <c r="DL26" s="1320"/>
      <c r="DM26" s="1743"/>
      <c r="DN26" s="1744"/>
      <c r="DO26" s="1744"/>
      <c r="DP26" s="1745"/>
      <c r="DQ26" s="1744"/>
      <c r="DR26" s="1744"/>
      <c r="DS26" s="1744"/>
      <c r="DT26" s="1745"/>
      <c r="DU26" s="1328"/>
      <c r="DV26" s="1664"/>
      <c r="DW26" s="1746"/>
    </row>
    <row r="27" spans="1:127" s="382" customFormat="1" ht="15.75" customHeight="1">
      <c r="A27" s="1066" t="s">
        <v>1251</v>
      </c>
      <c r="B27" s="1026">
        <v>18</v>
      </c>
      <c r="C27" s="987"/>
      <c r="D27" s="987"/>
      <c r="E27" s="987"/>
      <c r="F27" s="987"/>
      <c r="G27" s="987"/>
      <c r="H27" s="987"/>
      <c r="I27" s="987"/>
      <c r="J27" s="987"/>
      <c r="K27" s="987"/>
      <c r="L27" s="987"/>
      <c r="M27" s="1026"/>
      <c r="N27" s="987"/>
      <c r="O27" s="987"/>
      <c r="P27" s="987"/>
      <c r="Q27" s="987"/>
      <c r="R27" s="987"/>
      <c r="S27" s="987"/>
      <c r="T27" s="988"/>
      <c r="U27" s="1067" t="s">
        <v>1389</v>
      </c>
      <c r="V27" s="1068" t="s">
        <v>2216</v>
      </c>
      <c r="W27" s="1068" t="s">
        <v>2231</v>
      </c>
      <c r="X27" s="1069" t="s">
        <v>2292</v>
      </c>
      <c r="Y27" s="1070" t="s">
        <v>2293</v>
      </c>
      <c r="Z27" s="1071" t="s">
        <v>2294</v>
      </c>
      <c r="AA27" s="1072" t="s">
        <v>2260</v>
      </c>
      <c r="AB27" s="1073">
        <v>1</v>
      </c>
      <c r="AC27" s="1073" t="s">
        <v>2260</v>
      </c>
      <c r="AD27" s="1073" t="s">
        <v>2260</v>
      </c>
      <c r="AE27" s="1073" t="s">
        <v>2260</v>
      </c>
      <c r="AF27" s="1073" t="s">
        <v>2260</v>
      </c>
      <c r="AG27" s="1073" t="s">
        <v>2260</v>
      </c>
      <c r="AH27" s="1073" t="s">
        <v>2260</v>
      </c>
      <c r="AI27" s="1074">
        <f t="shared" si="0"/>
        <v>1</v>
      </c>
      <c r="AJ27" s="1075" t="s">
        <v>1846</v>
      </c>
      <c r="AK27" s="1075" t="s">
        <v>1826</v>
      </c>
      <c r="AL27" s="1075" t="s">
        <v>1827</v>
      </c>
      <c r="AM27" s="1076" t="s">
        <v>2295</v>
      </c>
      <c r="AN27" s="987" t="s">
        <v>2439</v>
      </c>
      <c r="AO27" s="987" t="s">
        <v>4421</v>
      </c>
      <c r="AP27" s="1243">
        <v>3</v>
      </c>
      <c r="AQ27" s="1077" t="s">
        <v>1838</v>
      </c>
      <c r="AR27" s="1078"/>
      <c r="AS27" s="1079"/>
      <c r="AT27" s="1069"/>
      <c r="AU27" s="1069"/>
      <c r="AV27" s="1069"/>
      <c r="AW27" s="1080"/>
      <c r="AX27" s="1081"/>
      <c r="AY27" s="1044"/>
      <c r="AZ27" s="1045"/>
      <c r="BA27" s="1045"/>
      <c r="BB27" s="1045"/>
      <c r="BC27" s="1045"/>
      <c r="BD27" s="1045"/>
      <c r="BE27" s="1045"/>
      <c r="BF27" s="1045"/>
      <c r="BG27" s="1045"/>
      <c r="BH27" s="1045"/>
      <c r="BI27" s="1369"/>
      <c r="BJ27" s="1319"/>
      <c r="BK27" s="1319"/>
      <c r="BL27" s="1319"/>
      <c r="BM27" s="1319"/>
      <c r="BN27" s="1044"/>
      <c r="BO27" s="1045"/>
      <c r="BP27" s="1045"/>
      <c r="BQ27" s="1045"/>
      <c r="BR27" s="1045"/>
      <c r="BS27" s="1084"/>
      <c r="BT27" s="1045"/>
      <c r="BU27" s="1045"/>
      <c r="BV27" s="1045"/>
      <c r="BW27" s="1085"/>
      <c r="BX27" s="1084"/>
      <c r="BY27" s="1045"/>
      <c r="BZ27" s="1045"/>
      <c r="CA27" s="1045"/>
      <c r="CB27" s="1085"/>
      <c r="CC27" s="1086"/>
      <c r="CD27" s="1327"/>
      <c r="CE27" s="1328"/>
      <c r="CF27" s="1328"/>
      <c r="CG27" s="1328"/>
      <c r="CH27" s="1389"/>
      <c r="CI27" s="1369"/>
      <c r="CJ27" s="1319"/>
      <c r="CK27" s="1319"/>
      <c r="CL27" s="1319"/>
      <c r="CM27" s="1320"/>
      <c r="CN27" s="1369"/>
      <c r="CO27" s="1319"/>
      <c r="CP27" s="1319"/>
      <c r="CQ27" s="1319"/>
      <c r="CR27" s="1320"/>
      <c r="CS27" s="1369"/>
      <c r="CT27" s="1319"/>
      <c r="CU27" s="1319"/>
      <c r="CV27" s="1319"/>
      <c r="CW27" s="1320"/>
      <c r="CX27" s="1369"/>
      <c r="CY27" s="1319"/>
      <c r="CZ27" s="1319"/>
      <c r="DA27" s="1319"/>
      <c r="DB27" s="1320"/>
      <c r="DC27" s="1319"/>
      <c r="DD27" s="1319"/>
      <c r="DE27" s="1319"/>
      <c r="DF27" s="1319"/>
      <c r="DG27" s="1320"/>
      <c r="DH27" s="1369"/>
      <c r="DI27" s="1319"/>
      <c r="DJ27" s="1319"/>
      <c r="DK27" s="1319"/>
      <c r="DL27" s="1320"/>
      <c r="DM27" s="1743"/>
      <c r="DN27" s="1744"/>
      <c r="DO27" s="1744"/>
      <c r="DP27" s="1745"/>
      <c r="DQ27" s="1744"/>
      <c r="DR27" s="1744"/>
      <c r="DS27" s="1744"/>
      <c r="DT27" s="1745"/>
      <c r="DU27" s="1328"/>
      <c r="DV27" s="1664"/>
      <c r="DW27" s="1746"/>
    </row>
    <row r="28" spans="1:127" s="382" customFormat="1" ht="15.75" customHeight="1">
      <c r="A28" s="1066" t="s">
        <v>1251</v>
      </c>
      <c r="B28" s="1026">
        <v>19</v>
      </c>
      <c r="C28" s="987"/>
      <c r="D28" s="987"/>
      <c r="E28" s="987"/>
      <c r="F28" s="987"/>
      <c r="G28" s="987"/>
      <c r="H28" s="987"/>
      <c r="I28" s="987"/>
      <c r="J28" s="987"/>
      <c r="K28" s="987"/>
      <c r="L28" s="987"/>
      <c r="M28" s="1026"/>
      <c r="N28" s="987"/>
      <c r="O28" s="987"/>
      <c r="P28" s="987"/>
      <c r="Q28" s="987"/>
      <c r="R28" s="987"/>
      <c r="S28" s="987"/>
      <c r="T28" s="988"/>
      <c r="U28" s="1067" t="s">
        <v>1406</v>
      </c>
      <c r="V28" s="1068" t="s">
        <v>2249</v>
      </c>
      <c r="W28" s="1068" t="s">
        <v>2231</v>
      </c>
      <c r="X28" s="1069" t="s">
        <v>2298</v>
      </c>
      <c r="Y28" s="1070" t="s">
        <v>2299</v>
      </c>
      <c r="Z28" s="1071" t="s">
        <v>2299</v>
      </c>
      <c r="AA28" s="1072" t="s">
        <v>2260</v>
      </c>
      <c r="AB28" s="1073" t="s">
        <v>2260</v>
      </c>
      <c r="AC28" s="1073" t="s">
        <v>2260</v>
      </c>
      <c r="AD28" s="1073" t="s">
        <v>2260</v>
      </c>
      <c r="AE28" s="1073">
        <v>1</v>
      </c>
      <c r="AF28" s="1073" t="s">
        <v>2260</v>
      </c>
      <c r="AG28" s="1073" t="s">
        <v>2260</v>
      </c>
      <c r="AH28" s="1073" t="s">
        <v>2260</v>
      </c>
      <c r="AI28" s="1074">
        <f t="shared" si="0"/>
        <v>1</v>
      </c>
      <c r="AJ28" s="1075" t="s">
        <v>1846</v>
      </c>
      <c r="AK28" s="1075" t="s">
        <v>1826</v>
      </c>
      <c r="AL28" s="1075" t="s">
        <v>1827</v>
      </c>
      <c r="AM28" s="1076" t="s">
        <v>2275</v>
      </c>
      <c r="AN28" s="987" t="s">
        <v>1857</v>
      </c>
      <c r="AO28" s="987" t="s">
        <v>2300</v>
      </c>
      <c r="AP28" s="1243">
        <v>0</v>
      </c>
      <c r="AQ28" s="1045" t="s">
        <v>1828</v>
      </c>
      <c r="AR28" s="1078" t="s">
        <v>2260</v>
      </c>
      <c r="AS28" s="1079"/>
      <c r="AT28" s="1069"/>
      <c r="AU28" s="1069"/>
      <c r="AV28" s="1069"/>
      <c r="AW28" s="1080"/>
      <c r="AX28" s="1081"/>
      <c r="AY28" s="1044"/>
      <c r="AZ28" s="1045"/>
      <c r="BA28" s="1045"/>
      <c r="BB28" s="1045"/>
      <c r="BC28" s="1045"/>
      <c r="BD28" s="1045"/>
      <c r="BE28" s="1045"/>
      <c r="BF28" s="1045"/>
      <c r="BG28" s="1045"/>
      <c r="BH28" s="1045"/>
      <c r="BI28" s="1369"/>
      <c r="BJ28" s="1319"/>
      <c r="BK28" s="1319"/>
      <c r="BL28" s="1319"/>
      <c r="BM28" s="1319"/>
      <c r="BN28" s="1044"/>
      <c r="BO28" s="1045"/>
      <c r="BP28" s="1045"/>
      <c r="BQ28" s="1045"/>
      <c r="BR28" s="1045"/>
      <c r="BS28" s="1084"/>
      <c r="BT28" s="1045"/>
      <c r="BU28" s="1045"/>
      <c r="BV28" s="1045"/>
      <c r="BW28" s="1085"/>
      <c r="BX28" s="1084"/>
      <c r="BY28" s="1045"/>
      <c r="BZ28" s="1045"/>
      <c r="CA28" s="1045"/>
      <c r="CB28" s="1085"/>
      <c r="CC28" s="1086"/>
      <c r="CD28" s="1327"/>
      <c r="CE28" s="1328"/>
      <c r="CF28" s="1328"/>
      <c r="CG28" s="1328"/>
      <c r="CH28" s="1389"/>
      <c r="CI28" s="1369"/>
      <c r="CJ28" s="1319"/>
      <c r="CK28" s="1319"/>
      <c r="CL28" s="1319"/>
      <c r="CM28" s="1320"/>
      <c r="CN28" s="1369"/>
      <c r="CO28" s="1319"/>
      <c r="CP28" s="1319"/>
      <c r="CQ28" s="1319"/>
      <c r="CR28" s="1320"/>
      <c r="CS28" s="1369"/>
      <c r="CT28" s="1319"/>
      <c r="CU28" s="1319"/>
      <c r="CV28" s="1319"/>
      <c r="CW28" s="1320"/>
      <c r="CX28" s="1369"/>
      <c r="CY28" s="1319"/>
      <c r="CZ28" s="1319"/>
      <c r="DA28" s="1319"/>
      <c r="DB28" s="1320"/>
      <c r="DC28" s="1319"/>
      <c r="DD28" s="1319"/>
      <c r="DE28" s="1319"/>
      <c r="DF28" s="1319"/>
      <c r="DG28" s="1320"/>
      <c r="DH28" s="1369"/>
      <c r="DI28" s="1319"/>
      <c r="DJ28" s="1319"/>
      <c r="DK28" s="1319"/>
      <c r="DL28" s="1320"/>
      <c r="DM28" s="1743"/>
      <c r="DN28" s="1744"/>
      <c r="DO28" s="1744"/>
      <c r="DP28" s="1745"/>
      <c r="DQ28" s="1744"/>
      <c r="DR28" s="1744"/>
      <c r="DS28" s="1744"/>
      <c r="DT28" s="1745"/>
      <c r="DU28" s="1328"/>
      <c r="DV28" s="1664"/>
      <c r="DW28" s="1746"/>
    </row>
    <row r="29" spans="1:127" s="382" customFormat="1" ht="15.75" customHeight="1">
      <c r="A29" s="1066" t="s">
        <v>1251</v>
      </c>
      <c r="B29" s="1026">
        <v>20</v>
      </c>
      <c r="C29" s="987"/>
      <c r="D29" s="987"/>
      <c r="E29" s="987"/>
      <c r="F29" s="987"/>
      <c r="G29" s="987"/>
      <c r="H29" s="987"/>
      <c r="I29" s="987"/>
      <c r="J29" s="987"/>
      <c r="K29" s="987"/>
      <c r="L29" s="987"/>
      <c r="M29" s="1026"/>
      <c r="N29" s="987"/>
      <c r="O29" s="987"/>
      <c r="P29" s="987"/>
      <c r="Q29" s="987"/>
      <c r="R29" s="987"/>
      <c r="S29" s="987"/>
      <c r="T29" s="988"/>
      <c r="U29" s="1067" t="s">
        <v>1423</v>
      </c>
      <c r="V29" s="1068" t="s">
        <v>2216</v>
      </c>
      <c r="W29" s="1068" t="s">
        <v>2223</v>
      </c>
      <c r="X29" s="1069" t="s">
        <v>2301</v>
      </c>
      <c r="Y29" s="1070" t="s">
        <v>2302</v>
      </c>
      <c r="Z29" s="1071" t="s">
        <v>2303</v>
      </c>
      <c r="AA29" s="1072" t="s">
        <v>2260</v>
      </c>
      <c r="AB29" s="1073">
        <v>1</v>
      </c>
      <c r="AC29" s="1073" t="s">
        <v>2260</v>
      </c>
      <c r="AD29" s="1073" t="s">
        <v>2260</v>
      </c>
      <c r="AE29" s="1073" t="s">
        <v>2260</v>
      </c>
      <c r="AF29" s="1073" t="s">
        <v>2260</v>
      </c>
      <c r="AG29" s="1073" t="s">
        <v>2260</v>
      </c>
      <c r="AH29" s="1073" t="s">
        <v>2260</v>
      </c>
      <c r="AI29" s="1074">
        <f t="shared" si="0"/>
        <v>1</v>
      </c>
      <c r="AJ29" s="1075" t="s">
        <v>1852</v>
      </c>
      <c r="AK29" s="1075" t="s">
        <v>1826</v>
      </c>
      <c r="AL29" s="1075" t="s">
        <v>1827</v>
      </c>
      <c r="AM29" s="1076" t="s">
        <v>2234</v>
      </c>
      <c r="AN29" s="987" t="s">
        <v>1857</v>
      </c>
      <c r="AO29" s="987" t="s">
        <v>2304</v>
      </c>
      <c r="AP29" s="1243">
        <v>0</v>
      </c>
      <c r="AQ29" s="1045" t="s">
        <v>1838</v>
      </c>
      <c r="AR29" s="1078" t="s">
        <v>2260</v>
      </c>
      <c r="AS29" s="1079"/>
      <c r="AT29" s="1069"/>
      <c r="AU29" s="1069"/>
      <c r="AV29" s="1069"/>
      <c r="AW29" s="1080"/>
      <c r="AX29" s="1081"/>
      <c r="AY29" s="1044"/>
      <c r="AZ29" s="1045"/>
      <c r="BA29" s="1045"/>
      <c r="BB29" s="1045"/>
      <c r="BC29" s="1045"/>
      <c r="BD29" s="1045"/>
      <c r="BE29" s="1045"/>
      <c r="BF29" s="1045"/>
      <c r="BG29" s="1045"/>
      <c r="BH29" s="1045"/>
      <c r="BI29" s="1369"/>
      <c r="BJ29" s="1319"/>
      <c r="BK29" s="1319"/>
      <c r="BL29" s="1319"/>
      <c r="BM29" s="1319"/>
      <c r="BN29" s="1044"/>
      <c r="BO29" s="1045"/>
      <c r="BP29" s="1045"/>
      <c r="BQ29" s="1045"/>
      <c r="BR29" s="1045"/>
      <c r="BS29" s="1084"/>
      <c r="BT29" s="1045"/>
      <c r="BU29" s="1045"/>
      <c r="BV29" s="1045"/>
      <c r="BW29" s="1085"/>
      <c r="BX29" s="1084"/>
      <c r="BY29" s="1045"/>
      <c r="BZ29" s="1045"/>
      <c r="CA29" s="1045"/>
      <c r="CB29" s="1085"/>
      <c r="CC29" s="1086"/>
      <c r="CD29" s="1327"/>
      <c r="CE29" s="1328"/>
      <c r="CF29" s="1328"/>
      <c r="CG29" s="1328"/>
      <c r="CH29" s="1389"/>
      <c r="CI29" s="1369"/>
      <c r="CJ29" s="1319"/>
      <c r="CK29" s="1319"/>
      <c r="CL29" s="1319"/>
      <c r="CM29" s="1320"/>
      <c r="CN29" s="1369"/>
      <c r="CO29" s="1319"/>
      <c r="CP29" s="1319"/>
      <c r="CQ29" s="1319"/>
      <c r="CR29" s="1320"/>
      <c r="CS29" s="1369"/>
      <c r="CT29" s="1319"/>
      <c r="CU29" s="1319"/>
      <c r="CV29" s="1319"/>
      <c r="CW29" s="1320"/>
      <c r="CX29" s="1369"/>
      <c r="CY29" s="1319"/>
      <c r="CZ29" s="1319"/>
      <c r="DA29" s="1319"/>
      <c r="DB29" s="1320"/>
      <c r="DC29" s="1319"/>
      <c r="DD29" s="1319"/>
      <c r="DE29" s="1319"/>
      <c r="DF29" s="1319"/>
      <c r="DG29" s="1320"/>
      <c r="DH29" s="1369"/>
      <c r="DI29" s="1319"/>
      <c r="DJ29" s="1319"/>
      <c r="DK29" s="1319"/>
      <c r="DL29" s="1320"/>
      <c r="DM29" s="1743"/>
      <c r="DN29" s="1744"/>
      <c r="DO29" s="1744"/>
      <c r="DP29" s="1745"/>
      <c r="DQ29" s="1744"/>
      <c r="DR29" s="1744"/>
      <c r="DS29" s="1744"/>
      <c r="DT29" s="1745"/>
      <c r="DU29" s="1328"/>
      <c r="DV29" s="1664"/>
      <c r="DW29" s="1746"/>
    </row>
    <row r="30" spans="1:127" s="382" customFormat="1" ht="15.75" customHeight="1">
      <c r="A30" s="1066" t="s">
        <v>1251</v>
      </c>
      <c r="B30" s="1026">
        <v>21</v>
      </c>
      <c r="C30" s="987"/>
      <c r="D30" s="987"/>
      <c r="E30" s="987"/>
      <c r="F30" s="987"/>
      <c r="G30" s="987"/>
      <c r="H30" s="987"/>
      <c r="I30" s="987"/>
      <c r="J30" s="987"/>
      <c r="K30" s="987"/>
      <c r="L30" s="987"/>
      <c r="M30" s="1026"/>
      <c r="N30" s="987"/>
      <c r="O30" s="987"/>
      <c r="P30" s="987"/>
      <c r="Q30" s="987"/>
      <c r="R30" s="987"/>
      <c r="S30" s="987"/>
      <c r="T30" s="988"/>
      <c r="U30" s="1067" t="s">
        <v>1439</v>
      </c>
      <c r="V30" s="1068" t="s">
        <v>2244</v>
      </c>
      <c r="W30" s="1068" t="s">
        <v>2223</v>
      </c>
      <c r="X30" s="1069" t="s">
        <v>2305</v>
      </c>
      <c r="Y30" s="1070" t="s">
        <v>4422</v>
      </c>
      <c r="Z30" s="1071" t="s">
        <v>2307</v>
      </c>
      <c r="AA30" s="1072" t="s">
        <v>2260</v>
      </c>
      <c r="AB30" s="1073">
        <v>1</v>
      </c>
      <c r="AC30" s="1073" t="s">
        <v>2260</v>
      </c>
      <c r="AD30" s="1073" t="s">
        <v>2260</v>
      </c>
      <c r="AE30" s="1073" t="s">
        <v>2260</v>
      </c>
      <c r="AF30" s="1073" t="s">
        <v>2260</v>
      </c>
      <c r="AG30" s="1073" t="s">
        <v>2260</v>
      </c>
      <c r="AH30" s="1073" t="s">
        <v>2260</v>
      </c>
      <c r="AI30" s="1074">
        <f t="shared" si="0"/>
        <v>1</v>
      </c>
      <c r="AJ30" s="1075" t="s">
        <v>1846</v>
      </c>
      <c r="AK30" s="1075" t="s">
        <v>1826</v>
      </c>
      <c r="AL30" s="1075" t="s">
        <v>1827</v>
      </c>
      <c r="AM30" s="1076" t="s">
        <v>2176</v>
      </c>
      <c r="AN30" s="987" t="s">
        <v>439</v>
      </c>
      <c r="AO30" s="987" t="s">
        <v>4423</v>
      </c>
      <c r="AP30" s="1276">
        <v>2</v>
      </c>
      <c r="AQ30" s="1045" t="s">
        <v>1838</v>
      </c>
      <c r="AR30" s="1078"/>
      <c r="AS30" s="1079"/>
      <c r="AT30" s="1069"/>
      <c r="AU30" s="1069"/>
      <c r="AV30" s="1069"/>
      <c r="AW30" s="1080"/>
      <c r="AX30" s="1081"/>
      <c r="AY30" s="1044"/>
      <c r="AZ30" s="1045"/>
      <c r="BA30" s="1045"/>
      <c r="BB30" s="1045"/>
      <c r="BC30" s="1045"/>
      <c r="BD30" s="1045"/>
      <c r="BE30" s="1045"/>
      <c r="BF30" s="1045"/>
      <c r="BG30" s="1045"/>
      <c r="BH30" s="1045"/>
      <c r="BI30" s="1369"/>
      <c r="BJ30" s="1319"/>
      <c r="BK30" s="1319"/>
      <c r="BL30" s="1319"/>
      <c r="BM30" s="1319"/>
      <c r="BN30" s="1044"/>
      <c r="BO30" s="1045"/>
      <c r="BP30" s="1045"/>
      <c r="BQ30" s="1045"/>
      <c r="BR30" s="1045"/>
      <c r="BS30" s="1084"/>
      <c r="BT30" s="1045"/>
      <c r="BU30" s="1045"/>
      <c r="BV30" s="1045"/>
      <c r="BW30" s="1085"/>
      <c r="BX30" s="1084"/>
      <c r="BY30" s="1045"/>
      <c r="BZ30" s="1045"/>
      <c r="CA30" s="1045"/>
      <c r="CB30" s="1085"/>
      <c r="CC30" s="1086"/>
      <c r="CD30" s="1327"/>
      <c r="CE30" s="1328"/>
      <c r="CF30" s="1328"/>
      <c r="CG30" s="1328"/>
      <c r="CH30" s="1389"/>
      <c r="CI30" s="1369"/>
      <c r="CJ30" s="1319"/>
      <c r="CK30" s="1319"/>
      <c r="CL30" s="1319"/>
      <c r="CM30" s="1320"/>
      <c r="CN30" s="1369"/>
      <c r="CO30" s="1319"/>
      <c r="CP30" s="1319"/>
      <c r="CQ30" s="1319"/>
      <c r="CR30" s="1320"/>
      <c r="CS30" s="1369"/>
      <c r="CT30" s="1319"/>
      <c r="CU30" s="1319"/>
      <c r="CV30" s="1319"/>
      <c r="CW30" s="1320"/>
      <c r="CX30" s="1369"/>
      <c r="CY30" s="1319"/>
      <c r="CZ30" s="1319"/>
      <c r="DA30" s="1319"/>
      <c r="DB30" s="1320"/>
      <c r="DC30" s="1319"/>
      <c r="DD30" s="1319"/>
      <c r="DE30" s="1319"/>
      <c r="DF30" s="1319"/>
      <c r="DG30" s="1320"/>
      <c r="DH30" s="1369"/>
      <c r="DI30" s="1319"/>
      <c r="DJ30" s="1319"/>
      <c r="DK30" s="1319"/>
      <c r="DL30" s="1320"/>
      <c r="DM30" s="1743"/>
      <c r="DN30" s="1744"/>
      <c r="DO30" s="1744"/>
      <c r="DP30" s="1745"/>
      <c r="DQ30" s="1744"/>
      <c r="DR30" s="1744"/>
      <c r="DS30" s="1744"/>
      <c r="DT30" s="1745"/>
      <c r="DU30" s="1328"/>
      <c r="DV30" s="1664"/>
      <c r="DW30" s="1746"/>
    </row>
    <row r="31" spans="1:127" s="382" customFormat="1" ht="15.75" customHeight="1">
      <c r="A31" s="1066" t="s">
        <v>1251</v>
      </c>
      <c r="B31" s="1026">
        <v>22</v>
      </c>
      <c r="C31" s="987"/>
      <c r="D31" s="987"/>
      <c r="E31" s="987"/>
      <c r="F31" s="987"/>
      <c r="G31" s="987"/>
      <c r="H31" s="987"/>
      <c r="I31" s="987"/>
      <c r="J31" s="987"/>
      <c r="K31" s="987"/>
      <c r="L31" s="987"/>
      <c r="M31" s="1026"/>
      <c r="N31" s="987"/>
      <c r="O31" s="987"/>
      <c r="P31" s="987"/>
      <c r="Q31" s="987"/>
      <c r="R31" s="987"/>
      <c r="S31" s="987"/>
      <c r="T31" s="988"/>
      <c r="U31" s="1067" t="s">
        <v>1100</v>
      </c>
      <c r="V31" s="1068" t="s">
        <v>2249</v>
      </c>
      <c r="W31" s="1068" t="s">
        <v>2231</v>
      </c>
      <c r="X31" s="1069" t="s">
        <v>2310</v>
      </c>
      <c r="Y31" s="1070" t="s">
        <v>755</v>
      </c>
      <c r="Z31" s="1071" t="s">
        <v>2311</v>
      </c>
      <c r="AA31" s="1072" t="s">
        <v>2260</v>
      </c>
      <c r="AB31" s="1073" t="s">
        <v>2260</v>
      </c>
      <c r="AC31" s="1073" t="s">
        <v>2260</v>
      </c>
      <c r="AD31" s="1073" t="s">
        <v>2260</v>
      </c>
      <c r="AE31" s="1073">
        <v>1</v>
      </c>
      <c r="AF31" s="1073" t="s">
        <v>2260</v>
      </c>
      <c r="AG31" s="1073" t="s">
        <v>2260</v>
      </c>
      <c r="AH31" s="1073" t="s">
        <v>2260</v>
      </c>
      <c r="AI31" s="1074">
        <f t="shared" si="0"/>
        <v>1</v>
      </c>
      <c r="AJ31" s="1075" t="s">
        <v>1825</v>
      </c>
      <c r="AK31" s="1075" t="s">
        <v>2260</v>
      </c>
      <c r="AL31" s="1075" t="s">
        <v>2260</v>
      </c>
      <c r="AM31" s="1076" t="s">
        <v>2264</v>
      </c>
      <c r="AN31" s="987" t="s">
        <v>321</v>
      </c>
      <c r="AO31" s="987" t="s">
        <v>4424</v>
      </c>
      <c r="AP31" s="1276">
        <v>1</v>
      </c>
      <c r="AQ31" s="1045" t="s">
        <v>1828</v>
      </c>
      <c r="AR31" s="1078" t="s">
        <v>755</v>
      </c>
      <c r="AS31" s="1079"/>
      <c r="AT31" s="1069"/>
      <c r="AU31" s="1069"/>
      <c r="AV31" s="1069"/>
      <c r="AW31" s="1080"/>
      <c r="AX31" s="1081"/>
      <c r="AY31" s="1044"/>
      <c r="AZ31" s="1045"/>
      <c r="BA31" s="1045"/>
      <c r="BB31" s="1045"/>
      <c r="BC31" s="1045"/>
      <c r="BD31" s="1045"/>
      <c r="BE31" s="1045"/>
      <c r="BF31" s="1045"/>
      <c r="BG31" s="1045"/>
      <c r="BH31" s="1045"/>
      <c r="BI31" s="1044" t="s">
        <v>4425</v>
      </c>
      <c r="BJ31" s="1045" t="s">
        <v>4426</v>
      </c>
      <c r="BK31" s="1045" t="s">
        <v>4427</v>
      </c>
      <c r="BL31" s="1045" t="s">
        <v>4428</v>
      </c>
      <c r="BM31" s="1045" t="s">
        <v>4429</v>
      </c>
      <c r="BN31" s="1044"/>
      <c r="BO31" s="1045"/>
      <c r="BP31" s="1045"/>
      <c r="BQ31" s="1045"/>
      <c r="BR31" s="1045"/>
      <c r="BS31" s="1084"/>
      <c r="BT31" s="1045"/>
      <c r="BU31" s="1045"/>
      <c r="BV31" s="1045"/>
      <c r="BW31" s="1085"/>
      <c r="BX31" s="1084"/>
      <c r="BY31" s="1045"/>
      <c r="BZ31" s="1045"/>
      <c r="CA31" s="1045"/>
      <c r="CB31" s="1085"/>
      <c r="CC31" s="1086"/>
      <c r="CD31" s="1087" t="s">
        <v>2260</v>
      </c>
      <c r="CE31" s="1088" t="s">
        <v>2260</v>
      </c>
      <c r="CF31" s="1088" t="s">
        <v>2260</v>
      </c>
      <c r="CG31" s="1088" t="s">
        <v>2260</v>
      </c>
      <c r="CH31" s="1089" t="s">
        <v>2260</v>
      </c>
      <c r="CI31" s="1044" t="s">
        <v>2260</v>
      </c>
      <c r="CJ31" s="1045" t="s">
        <v>2260</v>
      </c>
      <c r="CK31" s="1045" t="s">
        <v>2260</v>
      </c>
      <c r="CL31" s="1045" t="s">
        <v>2260</v>
      </c>
      <c r="CM31" s="1086" t="s">
        <v>2260</v>
      </c>
      <c r="CN31" s="1044" t="s">
        <v>2260</v>
      </c>
      <c r="CO31" s="1045" t="s">
        <v>2260</v>
      </c>
      <c r="CP31" s="1045" t="s">
        <v>2260</v>
      </c>
      <c r="CQ31" s="1045" t="s">
        <v>2260</v>
      </c>
      <c r="CR31" s="1086" t="s">
        <v>2260</v>
      </c>
      <c r="CS31" s="1044" t="s">
        <v>2260</v>
      </c>
      <c r="CT31" s="1045" t="s">
        <v>2260</v>
      </c>
      <c r="CU31" s="1045" t="s">
        <v>2260</v>
      </c>
      <c r="CV31" s="1045" t="s">
        <v>2260</v>
      </c>
      <c r="CW31" s="1086" t="s">
        <v>2260</v>
      </c>
      <c r="CX31" s="1044" t="s">
        <v>2260</v>
      </c>
      <c r="CY31" s="1045" t="s">
        <v>2260</v>
      </c>
      <c r="CZ31" s="1045" t="s">
        <v>2260</v>
      </c>
      <c r="DA31" s="1045" t="s">
        <v>2260</v>
      </c>
      <c r="DB31" s="1086" t="s">
        <v>2260</v>
      </c>
      <c r="DC31" s="1045" t="s">
        <v>2260</v>
      </c>
      <c r="DD31" s="1045" t="s">
        <v>2260</v>
      </c>
      <c r="DE31" s="1045" t="s">
        <v>2260</v>
      </c>
      <c r="DF31" s="1045" t="s">
        <v>2260</v>
      </c>
      <c r="DG31" s="1086" t="s">
        <v>2260</v>
      </c>
      <c r="DH31" s="1044" t="s">
        <v>2260</v>
      </c>
      <c r="DI31" s="1045" t="s">
        <v>2260</v>
      </c>
      <c r="DJ31" s="1045" t="s">
        <v>2260</v>
      </c>
      <c r="DK31" s="1045" t="s">
        <v>2260</v>
      </c>
      <c r="DL31" s="1086" t="s">
        <v>2260</v>
      </c>
      <c r="DM31" s="1090" t="s">
        <v>2260</v>
      </c>
      <c r="DN31" s="1091" t="s">
        <v>2260</v>
      </c>
      <c r="DO31" s="1091" t="s">
        <v>2260</v>
      </c>
      <c r="DP31" s="1092" t="s">
        <v>2260</v>
      </c>
      <c r="DQ31" s="1091" t="s">
        <v>2260</v>
      </c>
      <c r="DR31" s="1091" t="s">
        <v>2260</v>
      </c>
      <c r="DS31" s="1091" t="s">
        <v>2260</v>
      </c>
      <c r="DT31" s="1092" t="s">
        <v>2260</v>
      </c>
      <c r="DU31" s="1088" t="s">
        <v>2260</v>
      </c>
      <c r="DV31" s="1093">
        <v>1</v>
      </c>
      <c r="DW31" s="1094" t="s">
        <v>2260</v>
      </c>
    </row>
    <row r="32" spans="1:127" s="382" customFormat="1" ht="15.75" customHeight="1">
      <c r="A32" s="1066" t="s">
        <v>1251</v>
      </c>
      <c r="B32" s="1026">
        <v>23</v>
      </c>
      <c r="C32" s="987"/>
      <c r="D32" s="987"/>
      <c r="E32" s="987"/>
      <c r="F32" s="987"/>
      <c r="G32" s="987"/>
      <c r="H32" s="987"/>
      <c r="I32" s="987"/>
      <c r="J32" s="987"/>
      <c r="K32" s="987"/>
      <c r="L32" s="987"/>
      <c r="M32" s="1026"/>
      <c r="N32" s="987"/>
      <c r="O32" s="987"/>
      <c r="P32" s="987"/>
      <c r="Q32" s="987"/>
      <c r="R32" s="987"/>
      <c r="S32" s="987"/>
      <c r="T32" s="988"/>
      <c r="U32" s="1067" t="s">
        <v>1638</v>
      </c>
      <c r="V32" s="1068" t="s">
        <v>2249</v>
      </c>
      <c r="W32" s="1068" t="s">
        <v>2231</v>
      </c>
      <c r="X32" s="1069" t="s">
        <v>2313</v>
      </c>
      <c r="Y32" s="1070" t="s">
        <v>2314</v>
      </c>
      <c r="Z32" s="1071" t="s">
        <v>2315</v>
      </c>
      <c r="AA32" s="1072" t="s">
        <v>2260</v>
      </c>
      <c r="AB32" s="1073" t="s">
        <v>2260</v>
      </c>
      <c r="AC32" s="1073" t="s">
        <v>2260</v>
      </c>
      <c r="AD32" s="1073" t="s">
        <v>2260</v>
      </c>
      <c r="AE32" s="1073">
        <v>1</v>
      </c>
      <c r="AF32" s="1073" t="s">
        <v>2260</v>
      </c>
      <c r="AG32" s="1073" t="s">
        <v>2260</v>
      </c>
      <c r="AH32" s="1073" t="s">
        <v>2260</v>
      </c>
      <c r="AI32" s="1074">
        <f t="shared" si="0"/>
        <v>1</v>
      </c>
      <c r="AJ32" s="1075" t="s">
        <v>1825</v>
      </c>
      <c r="AK32" s="1075" t="s">
        <v>2260</v>
      </c>
      <c r="AL32" s="1075" t="s">
        <v>2260</v>
      </c>
      <c r="AM32" s="1076" t="s">
        <v>2234</v>
      </c>
      <c r="AN32" s="987" t="s">
        <v>1890</v>
      </c>
      <c r="AO32" s="987" t="s">
        <v>2316</v>
      </c>
      <c r="AP32" s="1243">
        <v>0</v>
      </c>
      <c r="AQ32" s="1045" t="s">
        <v>1890</v>
      </c>
      <c r="AR32" s="1078" t="s">
        <v>2260</v>
      </c>
      <c r="AS32" s="1079"/>
      <c r="AT32" s="1069"/>
      <c r="AU32" s="1069"/>
      <c r="AV32" s="1069"/>
      <c r="AW32" s="1080"/>
      <c r="AX32" s="1081"/>
      <c r="AY32" s="1044"/>
      <c r="AZ32" s="1045"/>
      <c r="BA32" s="1045"/>
      <c r="BB32" s="1045"/>
      <c r="BC32" s="1045"/>
      <c r="BD32" s="1045"/>
      <c r="BE32" s="1045"/>
      <c r="BF32" s="1045"/>
      <c r="BG32" s="1045"/>
      <c r="BH32" s="1045"/>
      <c r="BI32" s="1369"/>
      <c r="BJ32" s="1319"/>
      <c r="BK32" s="1319"/>
      <c r="BL32" s="1319"/>
      <c r="BM32" s="1319"/>
      <c r="BN32" s="1044"/>
      <c r="BO32" s="1045"/>
      <c r="BP32" s="1045"/>
      <c r="BQ32" s="1045"/>
      <c r="BR32" s="1045"/>
      <c r="BS32" s="1084"/>
      <c r="BT32" s="1045"/>
      <c r="BU32" s="1045"/>
      <c r="BV32" s="1045"/>
      <c r="BW32" s="1085"/>
      <c r="BX32" s="1084"/>
      <c r="BY32" s="1045"/>
      <c r="BZ32" s="1045"/>
      <c r="CA32" s="1045"/>
      <c r="CB32" s="1085"/>
      <c r="CC32" s="1086"/>
      <c r="CD32" s="1327"/>
      <c r="CE32" s="1328"/>
      <c r="CF32" s="1328"/>
      <c r="CG32" s="1328"/>
      <c r="CH32" s="1389"/>
      <c r="CI32" s="1369"/>
      <c r="CJ32" s="1319"/>
      <c r="CK32" s="1319"/>
      <c r="CL32" s="1319"/>
      <c r="CM32" s="1320"/>
      <c r="CN32" s="1369"/>
      <c r="CO32" s="1319"/>
      <c r="CP32" s="1319"/>
      <c r="CQ32" s="1319"/>
      <c r="CR32" s="1320"/>
      <c r="CS32" s="1369"/>
      <c r="CT32" s="1319"/>
      <c r="CU32" s="1319"/>
      <c r="CV32" s="1319"/>
      <c r="CW32" s="1320"/>
      <c r="CX32" s="1369"/>
      <c r="CY32" s="1319"/>
      <c r="CZ32" s="1319"/>
      <c r="DA32" s="1319"/>
      <c r="DB32" s="1320"/>
      <c r="DC32" s="1319"/>
      <c r="DD32" s="1319"/>
      <c r="DE32" s="1319"/>
      <c r="DF32" s="1319"/>
      <c r="DG32" s="1320"/>
      <c r="DH32" s="1369"/>
      <c r="DI32" s="1319"/>
      <c r="DJ32" s="1319"/>
      <c r="DK32" s="1319"/>
      <c r="DL32" s="1320"/>
      <c r="DM32" s="1743"/>
      <c r="DN32" s="1744"/>
      <c r="DO32" s="1744"/>
      <c r="DP32" s="1745"/>
      <c r="DQ32" s="1744"/>
      <c r="DR32" s="1744"/>
      <c r="DS32" s="1744"/>
      <c r="DT32" s="1745"/>
      <c r="DU32" s="1328"/>
      <c r="DV32" s="1664"/>
      <c r="DW32" s="1746"/>
    </row>
    <row r="33" spans="1:127" s="382" customFormat="1" ht="15.75" customHeight="1">
      <c r="A33" s="1066" t="s">
        <v>1251</v>
      </c>
      <c r="B33" s="1026">
        <v>24</v>
      </c>
      <c r="C33" s="987"/>
      <c r="D33" s="987"/>
      <c r="E33" s="987"/>
      <c r="F33" s="987"/>
      <c r="G33" s="987"/>
      <c r="H33" s="987"/>
      <c r="I33" s="987"/>
      <c r="J33" s="987"/>
      <c r="K33" s="987"/>
      <c r="L33" s="987"/>
      <c r="M33" s="1026"/>
      <c r="N33" s="987"/>
      <c r="O33" s="987"/>
      <c r="P33" s="987"/>
      <c r="Q33" s="987"/>
      <c r="R33" s="987"/>
      <c r="S33" s="987"/>
      <c r="T33" s="988"/>
      <c r="U33" s="1067" t="s">
        <v>1654</v>
      </c>
      <c r="V33" s="1068" t="s">
        <v>2216</v>
      </c>
      <c r="W33" s="1068" t="s">
        <v>2231</v>
      </c>
      <c r="X33" s="1069" t="s">
        <v>2317</v>
      </c>
      <c r="Y33" s="1070" t="s">
        <v>2318</v>
      </c>
      <c r="Z33" s="1071" t="s">
        <v>2319</v>
      </c>
      <c r="AA33" s="1072" t="s">
        <v>2260</v>
      </c>
      <c r="AB33" s="1073">
        <v>0.5</v>
      </c>
      <c r="AC33" s="1073" t="s">
        <v>2260</v>
      </c>
      <c r="AD33" s="1073" t="s">
        <v>2260</v>
      </c>
      <c r="AE33" s="1073">
        <v>0.5</v>
      </c>
      <c r="AF33" s="1073" t="s">
        <v>2260</v>
      </c>
      <c r="AG33" s="1073" t="s">
        <v>2260</v>
      </c>
      <c r="AH33" s="1073" t="s">
        <v>2260</v>
      </c>
      <c r="AI33" s="1074">
        <f t="shared" si="0"/>
        <v>1</v>
      </c>
      <c r="AJ33" s="1075" t="s">
        <v>1825</v>
      </c>
      <c r="AK33" s="1075" t="s">
        <v>2260</v>
      </c>
      <c r="AL33" s="1075" t="s">
        <v>2260</v>
      </c>
      <c r="AM33" s="1076" t="s">
        <v>2234</v>
      </c>
      <c r="AN33" s="987" t="s">
        <v>1857</v>
      </c>
      <c r="AO33" s="987" t="s">
        <v>2320</v>
      </c>
      <c r="AP33" s="1243">
        <v>0</v>
      </c>
      <c r="AQ33" s="1045" t="s">
        <v>1838</v>
      </c>
      <c r="AR33" s="1078" t="s">
        <v>2260</v>
      </c>
      <c r="AS33" s="1079"/>
      <c r="AT33" s="1069"/>
      <c r="AU33" s="1069"/>
      <c r="AV33" s="1069"/>
      <c r="AW33" s="1080"/>
      <c r="AX33" s="1081"/>
      <c r="AY33" s="1044"/>
      <c r="AZ33" s="1045"/>
      <c r="BA33" s="1045"/>
      <c r="BB33" s="1045"/>
      <c r="BC33" s="1045"/>
      <c r="BD33" s="1045"/>
      <c r="BE33" s="1045"/>
      <c r="BF33" s="1045"/>
      <c r="BG33" s="1045"/>
      <c r="BH33" s="1045"/>
      <c r="BI33" s="1369"/>
      <c r="BJ33" s="1319"/>
      <c r="BK33" s="1319"/>
      <c r="BL33" s="1319"/>
      <c r="BM33" s="1319"/>
      <c r="BN33" s="1044"/>
      <c r="BO33" s="1045"/>
      <c r="BP33" s="1045"/>
      <c r="BQ33" s="1045"/>
      <c r="BR33" s="1045"/>
      <c r="BS33" s="1084"/>
      <c r="BT33" s="1045"/>
      <c r="BU33" s="1045"/>
      <c r="BV33" s="1045"/>
      <c r="BW33" s="1085"/>
      <c r="BX33" s="1084"/>
      <c r="BY33" s="1045"/>
      <c r="BZ33" s="1045"/>
      <c r="CA33" s="1045"/>
      <c r="CB33" s="1085"/>
      <c r="CC33" s="1086"/>
      <c r="CD33" s="1327"/>
      <c r="CE33" s="1328"/>
      <c r="CF33" s="1328"/>
      <c r="CG33" s="1328"/>
      <c r="CH33" s="1389"/>
      <c r="CI33" s="1369"/>
      <c r="CJ33" s="1319"/>
      <c r="CK33" s="1319"/>
      <c r="CL33" s="1319"/>
      <c r="CM33" s="1320"/>
      <c r="CN33" s="1369"/>
      <c r="CO33" s="1319"/>
      <c r="CP33" s="1319"/>
      <c r="CQ33" s="1319"/>
      <c r="CR33" s="1320"/>
      <c r="CS33" s="1369"/>
      <c r="CT33" s="1319"/>
      <c r="CU33" s="1319"/>
      <c r="CV33" s="1319"/>
      <c r="CW33" s="1320"/>
      <c r="CX33" s="1369"/>
      <c r="CY33" s="1319"/>
      <c r="CZ33" s="1319"/>
      <c r="DA33" s="1319"/>
      <c r="DB33" s="1320"/>
      <c r="DC33" s="1319"/>
      <c r="DD33" s="1319"/>
      <c r="DE33" s="1319"/>
      <c r="DF33" s="1319"/>
      <c r="DG33" s="1320"/>
      <c r="DH33" s="1369"/>
      <c r="DI33" s="1319"/>
      <c r="DJ33" s="1319"/>
      <c r="DK33" s="1319"/>
      <c r="DL33" s="1320"/>
      <c r="DM33" s="1743"/>
      <c r="DN33" s="1744"/>
      <c r="DO33" s="1744"/>
      <c r="DP33" s="1745"/>
      <c r="DQ33" s="1744"/>
      <c r="DR33" s="1744"/>
      <c r="DS33" s="1744"/>
      <c r="DT33" s="1745"/>
      <c r="DU33" s="1328"/>
      <c r="DV33" s="1664"/>
      <c r="DW33" s="1746"/>
    </row>
    <row r="34" spans="1:127" s="382" customFormat="1" ht="15.75" customHeight="1">
      <c r="A34" s="1066" t="s">
        <v>1251</v>
      </c>
      <c r="B34" s="1026">
        <v>25</v>
      </c>
      <c r="C34" s="987"/>
      <c r="D34" s="987"/>
      <c r="E34" s="987"/>
      <c r="F34" s="987"/>
      <c r="G34" s="987"/>
      <c r="H34" s="987"/>
      <c r="I34" s="987"/>
      <c r="J34" s="987"/>
      <c r="K34" s="987"/>
      <c r="L34" s="987"/>
      <c r="M34" s="1026"/>
      <c r="N34" s="987"/>
      <c r="O34" s="987"/>
      <c r="P34" s="987"/>
      <c r="Q34" s="987"/>
      <c r="R34" s="987"/>
      <c r="S34" s="987"/>
      <c r="T34" s="988"/>
      <c r="U34" s="1067" t="s">
        <v>1669</v>
      </c>
      <c r="V34" s="1068" t="s">
        <v>2249</v>
      </c>
      <c r="W34" s="1068" t="s">
        <v>2231</v>
      </c>
      <c r="X34" s="1069" t="s">
        <v>2321</v>
      </c>
      <c r="Y34" s="1070" t="s">
        <v>2322</v>
      </c>
      <c r="Z34" s="1071" t="s">
        <v>2323</v>
      </c>
      <c r="AA34" s="1072" t="s">
        <v>2260</v>
      </c>
      <c r="AB34" s="1073" t="s">
        <v>2260</v>
      </c>
      <c r="AC34" s="1073" t="s">
        <v>2260</v>
      </c>
      <c r="AD34" s="1073" t="s">
        <v>2260</v>
      </c>
      <c r="AE34" s="1073">
        <v>1</v>
      </c>
      <c r="AF34" s="1073" t="s">
        <v>2260</v>
      </c>
      <c r="AG34" s="1073" t="s">
        <v>2260</v>
      </c>
      <c r="AH34" s="1073" t="s">
        <v>2260</v>
      </c>
      <c r="AI34" s="1074">
        <f t="shared" si="0"/>
        <v>1</v>
      </c>
      <c r="AJ34" s="1075" t="s">
        <v>1825</v>
      </c>
      <c r="AK34" s="1075" t="s">
        <v>2260</v>
      </c>
      <c r="AL34" s="1075" t="s">
        <v>2260</v>
      </c>
      <c r="AM34" s="1076" t="s">
        <v>2264</v>
      </c>
      <c r="AN34" s="987" t="s">
        <v>321</v>
      </c>
      <c r="AO34" s="987" t="s">
        <v>2265</v>
      </c>
      <c r="AP34" s="1243">
        <v>0</v>
      </c>
      <c r="AQ34" s="1045" t="s">
        <v>1828</v>
      </c>
      <c r="AR34" s="1078" t="s">
        <v>2260</v>
      </c>
      <c r="AS34" s="1079"/>
      <c r="AT34" s="1069"/>
      <c r="AU34" s="1069"/>
      <c r="AV34" s="1069"/>
      <c r="AW34" s="1080"/>
      <c r="AX34" s="1081"/>
      <c r="AY34" s="1044"/>
      <c r="AZ34" s="1045"/>
      <c r="BA34" s="1045"/>
      <c r="BB34" s="1045"/>
      <c r="BC34" s="1045"/>
      <c r="BD34" s="1045"/>
      <c r="BE34" s="1045"/>
      <c r="BF34" s="1045"/>
      <c r="BG34" s="1045"/>
      <c r="BH34" s="1045"/>
      <c r="BI34" s="1369"/>
      <c r="BJ34" s="1319"/>
      <c r="BK34" s="1319"/>
      <c r="BL34" s="1319"/>
      <c r="BM34" s="1319"/>
      <c r="BN34" s="1044"/>
      <c r="BO34" s="1045"/>
      <c r="BP34" s="1045"/>
      <c r="BQ34" s="1045"/>
      <c r="BR34" s="1045"/>
      <c r="BS34" s="1084"/>
      <c r="BT34" s="1045"/>
      <c r="BU34" s="1045"/>
      <c r="BV34" s="1045"/>
      <c r="BW34" s="1085"/>
      <c r="BX34" s="1084"/>
      <c r="BY34" s="1045"/>
      <c r="BZ34" s="1045"/>
      <c r="CA34" s="1045"/>
      <c r="CB34" s="1085"/>
      <c r="CC34" s="1086"/>
      <c r="CD34" s="1327"/>
      <c r="CE34" s="1328"/>
      <c r="CF34" s="1328"/>
      <c r="CG34" s="1328"/>
      <c r="CH34" s="1389"/>
      <c r="CI34" s="1369"/>
      <c r="CJ34" s="1319"/>
      <c r="CK34" s="1319"/>
      <c r="CL34" s="1319"/>
      <c r="CM34" s="1320"/>
      <c r="CN34" s="1369"/>
      <c r="CO34" s="1319"/>
      <c r="CP34" s="1319"/>
      <c r="CQ34" s="1319"/>
      <c r="CR34" s="1320"/>
      <c r="CS34" s="1369"/>
      <c r="CT34" s="1319"/>
      <c r="CU34" s="1319"/>
      <c r="CV34" s="1319"/>
      <c r="CW34" s="1320"/>
      <c r="CX34" s="1369"/>
      <c r="CY34" s="1319"/>
      <c r="CZ34" s="1319"/>
      <c r="DA34" s="1319"/>
      <c r="DB34" s="1320"/>
      <c r="DC34" s="1319"/>
      <c r="DD34" s="1319"/>
      <c r="DE34" s="1319"/>
      <c r="DF34" s="1319"/>
      <c r="DG34" s="1320"/>
      <c r="DH34" s="1369"/>
      <c r="DI34" s="1319"/>
      <c r="DJ34" s="1319"/>
      <c r="DK34" s="1319"/>
      <c r="DL34" s="1320"/>
      <c r="DM34" s="1743"/>
      <c r="DN34" s="1744"/>
      <c r="DO34" s="1744"/>
      <c r="DP34" s="1745"/>
      <c r="DQ34" s="1744"/>
      <c r="DR34" s="1744"/>
      <c r="DS34" s="1744"/>
      <c r="DT34" s="1745"/>
      <c r="DU34" s="1328"/>
      <c r="DV34" s="1664"/>
      <c r="DW34" s="1746"/>
    </row>
    <row r="35" spans="1:127" s="382" customFormat="1" ht="15.75" customHeight="1">
      <c r="A35" s="1066" t="s">
        <v>1251</v>
      </c>
      <c r="B35" s="1026">
        <v>26</v>
      </c>
      <c r="C35" s="987"/>
      <c r="D35" s="987"/>
      <c r="E35" s="987"/>
      <c r="F35" s="987"/>
      <c r="G35" s="987"/>
      <c r="H35" s="987"/>
      <c r="I35" s="987"/>
      <c r="J35" s="987"/>
      <c r="K35" s="987"/>
      <c r="L35" s="987"/>
      <c r="M35" s="1026"/>
      <c r="N35" s="987"/>
      <c r="O35" s="987"/>
      <c r="P35" s="987"/>
      <c r="Q35" s="987"/>
      <c r="R35" s="987"/>
      <c r="S35" s="987"/>
      <c r="T35" s="988"/>
      <c r="U35" s="1067" t="s">
        <v>1683</v>
      </c>
      <c r="V35" s="1068" t="s">
        <v>2249</v>
      </c>
      <c r="W35" s="1068" t="s">
        <v>2231</v>
      </c>
      <c r="X35" s="1069" t="s">
        <v>2324</v>
      </c>
      <c r="Y35" s="1070" t="s">
        <v>2325</v>
      </c>
      <c r="Z35" s="1071" t="s">
        <v>2326</v>
      </c>
      <c r="AA35" s="1072" t="s">
        <v>2260</v>
      </c>
      <c r="AB35" s="1073" t="s">
        <v>2260</v>
      </c>
      <c r="AC35" s="1073" t="s">
        <v>2260</v>
      </c>
      <c r="AD35" s="1073" t="s">
        <v>2260</v>
      </c>
      <c r="AE35" s="1073">
        <v>1</v>
      </c>
      <c r="AF35" s="1073" t="s">
        <v>2260</v>
      </c>
      <c r="AG35" s="1073" t="s">
        <v>2260</v>
      </c>
      <c r="AH35" s="1073" t="s">
        <v>2260</v>
      </c>
      <c r="AI35" s="1074">
        <f t="shared" si="0"/>
        <v>1</v>
      </c>
      <c r="AJ35" s="1075" t="s">
        <v>1825</v>
      </c>
      <c r="AK35" s="1075" t="s">
        <v>2260</v>
      </c>
      <c r="AL35" s="1075" t="s">
        <v>2260</v>
      </c>
      <c r="AM35" s="1076" t="s">
        <v>2264</v>
      </c>
      <c r="AN35" s="987" t="s">
        <v>321</v>
      </c>
      <c r="AO35" s="987" t="s">
        <v>2265</v>
      </c>
      <c r="AP35" s="1243">
        <v>0</v>
      </c>
      <c r="AQ35" s="1045" t="s">
        <v>1828</v>
      </c>
      <c r="AR35" s="1078" t="s">
        <v>2260</v>
      </c>
      <c r="AS35" s="1079"/>
      <c r="AT35" s="1069"/>
      <c r="AU35" s="1069"/>
      <c r="AV35" s="1069"/>
      <c r="AW35" s="1080"/>
      <c r="AX35" s="1081"/>
      <c r="AY35" s="1044"/>
      <c r="AZ35" s="1045"/>
      <c r="BA35" s="1045"/>
      <c r="BB35" s="1045"/>
      <c r="BC35" s="1045"/>
      <c r="BD35" s="1045"/>
      <c r="BE35" s="1045"/>
      <c r="BF35" s="1045"/>
      <c r="BG35" s="1045"/>
      <c r="BH35" s="1045"/>
      <c r="BI35" s="1369"/>
      <c r="BJ35" s="1319"/>
      <c r="BK35" s="1319"/>
      <c r="BL35" s="1319"/>
      <c r="BM35" s="1319"/>
      <c r="BN35" s="1044"/>
      <c r="BO35" s="1045"/>
      <c r="BP35" s="1045"/>
      <c r="BQ35" s="1045"/>
      <c r="BR35" s="1045"/>
      <c r="BS35" s="1084"/>
      <c r="BT35" s="1045"/>
      <c r="BU35" s="1045"/>
      <c r="BV35" s="1045"/>
      <c r="BW35" s="1085"/>
      <c r="BX35" s="1084"/>
      <c r="BY35" s="1045"/>
      <c r="BZ35" s="1045"/>
      <c r="CA35" s="1045"/>
      <c r="CB35" s="1085"/>
      <c r="CC35" s="1086"/>
      <c r="CD35" s="1327"/>
      <c r="CE35" s="1328"/>
      <c r="CF35" s="1328"/>
      <c r="CG35" s="1328"/>
      <c r="CH35" s="1389"/>
      <c r="CI35" s="1369"/>
      <c r="CJ35" s="1319"/>
      <c r="CK35" s="1319"/>
      <c r="CL35" s="1319"/>
      <c r="CM35" s="1320"/>
      <c r="CN35" s="1369"/>
      <c r="CO35" s="1319"/>
      <c r="CP35" s="1319"/>
      <c r="CQ35" s="1319"/>
      <c r="CR35" s="1320"/>
      <c r="CS35" s="1369"/>
      <c r="CT35" s="1319"/>
      <c r="CU35" s="1319"/>
      <c r="CV35" s="1319"/>
      <c r="CW35" s="1320"/>
      <c r="CX35" s="1369"/>
      <c r="CY35" s="1319"/>
      <c r="CZ35" s="1319"/>
      <c r="DA35" s="1319"/>
      <c r="DB35" s="1320"/>
      <c r="DC35" s="1319"/>
      <c r="DD35" s="1319"/>
      <c r="DE35" s="1319"/>
      <c r="DF35" s="1319"/>
      <c r="DG35" s="1320"/>
      <c r="DH35" s="1369"/>
      <c r="DI35" s="1319"/>
      <c r="DJ35" s="1319"/>
      <c r="DK35" s="1319"/>
      <c r="DL35" s="1320"/>
      <c r="DM35" s="1743"/>
      <c r="DN35" s="1744"/>
      <c r="DO35" s="1744"/>
      <c r="DP35" s="1745"/>
      <c r="DQ35" s="1744"/>
      <c r="DR35" s="1744"/>
      <c r="DS35" s="1744"/>
      <c r="DT35" s="1745"/>
      <c r="DU35" s="1328"/>
      <c r="DV35" s="1664"/>
      <c r="DW35" s="1746"/>
    </row>
    <row r="36" spans="1:127" s="382" customFormat="1" ht="15.75" customHeight="1">
      <c r="A36" s="1066" t="s">
        <v>1251</v>
      </c>
      <c r="B36" s="1026">
        <v>27</v>
      </c>
      <c r="C36" s="987"/>
      <c r="D36" s="987"/>
      <c r="E36" s="987"/>
      <c r="F36" s="987"/>
      <c r="G36" s="987"/>
      <c r="H36" s="987"/>
      <c r="I36" s="987"/>
      <c r="J36" s="987"/>
      <c r="K36" s="987"/>
      <c r="L36" s="987"/>
      <c r="M36" s="1026"/>
      <c r="N36" s="987"/>
      <c r="O36" s="987"/>
      <c r="P36" s="987"/>
      <c r="Q36" s="987"/>
      <c r="R36" s="987"/>
      <c r="S36" s="987"/>
      <c r="T36" s="988"/>
      <c r="U36" s="1067" t="s">
        <v>1695</v>
      </c>
      <c r="V36" s="1068" t="s">
        <v>2249</v>
      </c>
      <c r="W36" s="1068" t="s">
        <v>2217</v>
      </c>
      <c r="X36" s="1069" t="s">
        <v>2327</v>
      </c>
      <c r="Y36" s="1070" t="s">
        <v>2328</v>
      </c>
      <c r="Z36" s="1071" t="s">
        <v>2328</v>
      </c>
      <c r="AA36" s="1072" t="s">
        <v>2260</v>
      </c>
      <c r="AB36" s="1073" t="s">
        <v>2260</v>
      </c>
      <c r="AC36" s="1073" t="s">
        <v>2260</v>
      </c>
      <c r="AD36" s="1073" t="s">
        <v>2260</v>
      </c>
      <c r="AE36" s="1073">
        <v>1</v>
      </c>
      <c r="AF36" s="1073" t="s">
        <v>2260</v>
      </c>
      <c r="AG36" s="1073" t="s">
        <v>2260</v>
      </c>
      <c r="AH36" s="1073" t="s">
        <v>2260</v>
      </c>
      <c r="AI36" s="1074">
        <f t="shared" si="0"/>
        <v>1</v>
      </c>
      <c r="AJ36" s="1075" t="s">
        <v>1825</v>
      </c>
      <c r="AK36" s="1075" t="s">
        <v>2260</v>
      </c>
      <c r="AL36" s="1075" t="s">
        <v>2260</v>
      </c>
      <c r="AM36" s="1076" t="s">
        <v>2329</v>
      </c>
      <c r="AN36" s="987" t="s">
        <v>439</v>
      </c>
      <c r="AO36" s="987" t="s">
        <v>2330</v>
      </c>
      <c r="AP36" s="1243">
        <v>2</v>
      </c>
      <c r="AQ36" s="1045" t="s">
        <v>439</v>
      </c>
      <c r="AR36" s="1078" t="s">
        <v>2260</v>
      </c>
      <c r="AS36" s="1079"/>
      <c r="AT36" s="1069"/>
      <c r="AU36" s="1069"/>
      <c r="AV36" s="1069"/>
      <c r="AW36" s="1080"/>
      <c r="AX36" s="1081"/>
      <c r="AY36" s="1044"/>
      <c r="AZ36" s="1045"/>
      <c r="BA36" s="1045"/>
      <c r="BB36" s="1045"/>
      <c r="BC36" s="1045"/>
      <c r="BD36" s="1045"/>
      <c r="BE36" s="1045"/>
      <c r="BF36" s="1045"/>
      <c r="BG36" s="1045"/>
      <c r="BH36" s="1045"/>
      <c r="BI36" s="1369"/>
      <c r="BJ36" s="1319"/>
      <c r="BK36" s="1319"/>
      <c r="BL36" s="1319"/>
      <c r="BM36" s="1319"/>
      <c r="BN36" s="1044"/>
      <c r="BO36" s="1045"/>
      <c r="BP36" s="1045"/>
      <c r="BQ36" s="1045"/>
      <c r="BR36" s="1045"/>
      <c r="BS36" s="1084"/>
      <c r="BT36" s="1045"/>
      <c r="BU36" s="1045"/>
      <c r="BV36" s="1045"/>
      <c r="BW36" s="1085"/>
      <c r="BX36" s="1084"/>
      <c r="BY36" s="1045"/>
      <c r="BZ36" s="1045"/>
      <c r="CA36" s="1045"/>
      <c r="CB36" s="1085"/>
      <c r="CC36" s="1086"/>
      <c r="CD36" s="1327"/>
      <c r="CE36" s="1328"/>
      <c r="CF36" s="1328"/>
      <c r="CG36" s="1328"/>
      <c r="CH36" s="1389"/>
      <c r="CI36" s="1369"/>
      <c r="CJ36" s="1319"/>
      <c r="CK36" s="1319"/>
      <c r="CL36" s="1319"/>
      <c r="CM36" s="1320"/>
      <c r="CN36" s="1369"/>
      <c r="CO36" s="1319"/>
      <c r="CP36" s="1319"/>
      <c r="CQ36" s="1319"/>
      <c r="CR36" s="1320"/>
      <c r="CS36" s="1369"/>
      <c r="CT36" s="1319"/>
      <c r="CU36" s="1319"/>
      <c r="CV36" s="1319"/>
      <c r="CW36" s="1320"/>
      <c r="CX36" s="1369"/>
      <c r="CY36" s="1319"/>
      <c r="CZ36" s="1319"/>
      <c r="DA36" s="1319"/>
      <c r="DB36" s="1320"/>
      <c r="DC36" s="1319"/>
      <c r="DD36" s="1319"/>
      <c r="DE36" s="1319"/>
      <c r="DF36" s="1319"/>
      <c r="DG36" s="1320"/>
      <c r="DH36" s="1369"/>
      <c r="DI36" s="1319"/>
      <c r="DJ36" s="1319"/>
      <c r="DK36" s="1319"/>
      <c r="DL36" s="1320"/>
      <c r="DM36" s="1743"/>
      <c r="DN36" s="1744"/>
      <c r="DO36" s="1744"/>
      <c r="DP36" s="1745"/>
      <c r="DQ36" s="1744"/>
      <c r="DR36" s="1744"/>
      <c r="DS36" s="1744"/>
      <c r="DT36" s="1745"/>
      <c r="DU36" s="1328"/>
      <c r="DV36" s="1664"/>
      <c r="DW36" s="1746"/>
    </row>
    <row r="37" spans="1:127" s="382" customFormat="1" ht="15.75" customHeight="1">
      <c r="A37" s="1066" t="s">
        <v>1251</v>
      </c>
      <c r="B37" s="1026">
        <v>28</v>
      </c>
      <c r="C37" s="987"/>
      <c r="D37" s="987"/>
      <c r="E37" s="987"/>
      <c r="F37" s="987"/>
      <c r="G37" s="987"/>
      <c r="H37" s="987"/>
      <c r="I37" s="987"/>
      <c r="J37" s="987"/>
      <c r="K37" s="987"/>
      <c r="L37" s="987"/>
      <c r="M37" s="1026"/>
      <c r="N37" s="987"/>
      <c r="O37" s="987"/>
      <c r="P37" s="987"/>
      <c r="Q37" s="987"/>
      <c r="R37" s="987"/>
      <c r="S37" s="987"/>
      <c r="T37" s="988"/>
      <c r="U37" s="1067" t="s">
        <v>1705</v>
      </c>
      <c r="V37" s="1068" t="s">
        <v>2260</v>
      </c>
      <c r="W37" s="1068" t="s">
        <v>2260</v>
      </c>
      <c r="X37" s="1069" t="s">
        <v>2331</v>
      </c>
      <c r="Y37" s="1070" t="s">
        <v>2332</v>
      </c>
      <c r="Z37" s="1071" t="s">
        <v>2260</v>
      </c>
      <c r="AA37" s="1072" t="s">
        <v>2260</v>
      </c>
      <c r="AB37" s="1073" t="s">
        <v>2260</v>
      </c>
      <c r="AC37" s="1073" t="s">
        <v>2260</v>
      </c>
      <c r="AD37" s="1073" t="s">
        <v>2260</v>
      </c>
      <c r="AE37" s="1073" t="s">
        <v>2260</v>
      </c>
      <c r="AF37" s="1073" t="s">
        <v>2260</v>
      </c>
      <c r="AG37" s="1073" t="s">
        <v>2260</v>
      </c>
      <c r="AH37" s="1073" t="s">
        <v>2260</v>
      </c>
      <c r="AI37" s="1074">
        <f t="shared" si="0"/>
        <v>0</v>
      </c>
      <c r="AJ37" s="1075" t="s">
        <v>1825</v>
      </c>
      <c r="AK37" s="1075" t="s">
        <v>2260</v>
      </c>
      <c r="AL37" s="1075" t="s">
        <v>2260</v>
      </c>
      <c r="AM37" s="1076" t="s">
        <v>2260</v>
      </c>
      <c r="AN37" s="987" t="s">
        <v>1890</v>
      </c>
      <c r="AO37" s="987" t="s">
        <v>2333</v>
      </c>
      <c r="AP37" s="1244">
        <v>0</v>
      </c>
      <c r="AQ37" s="1045" t="s">
        <v>2260</v>
      </c>
      <c r="AR37" s="1078" t="s">
        <v>2260</v>
      </c>
      <c r="AS37" s="1079"/>
      <c r="AT37" s="1069"/>
      <c r="AU37" s="1069"/>
      <c r="AV37" s="1069"/>
      <c r="AW37" s="1080"/>
      <c r="AX37" s="1081"/>
      <c r="AY37" s="1044"/>
      <c r="AZ37" s="1045"/>
      <c r="BA37" s="1045"/>
      <c r="BB37" s="1045"/>
      <c r="BC37" s="1045"/>
      <c r="BD37" s="1045"/>
      <c r="BE37" s="1045"/>
      <c r="BF37" s="1045"/>
      <c r="BG37" s="1045"/>
      <c r="BH37" s="1045"/>
      <c r="BI37" s="1369"/>
      <c r="BJ37" s="1319"/>
      <c r="BK37" s="1319"/>
      <c r="BL37" s="1319"/>
      <c r="BM37" s="1319"/>
      <c r="BN37" s="1044"/>
      <c r="BO37" s="1045"/>
      <c r="BP37" s="1045"/>
      <c r="BQ37" s="1045"/>
      <c r="BR37" s="1045"/>
      <c r="BS37" s="1084"/>
      <c r="BT37" s="1045"/>
      <c r="BU37" s="1045"/>
      <c r="BV37" s="1045"/>
      <c r="BW37" s="1085"/>
      <c r="BX37" s="1084"/>
      <c r="BY37" s="1045"/>
      <c r="BZ37" s="1045"/>
      <c r="CA37" s="1045"/>
      <c r="CB37" s="1085"/>
      <c r="CC37" s="1086"/>
      <c r="CD37" s="1327"/>
      <c r="CE37" s="1328"/>
      <c r="CF37" s="1328"/>
      <c r="CG37" s="1328"/>
      <c r="CH37" s="1389"/>
      <c r="CI37" s="1369"/>
      <c r="CJ37" s="1319"/>
      <c r="CK37" s="1319"/>
      <c r="CL37" s="1319"/>
      <c r="CM37" s="1320"/>
      <c r="CN37" s="1369"/>
      <c r="CO37" s="1319"/>
      <c r="CP37" s="1319"/>
      <c r="CQ37" s="1319"/>
      <c r="CR37" s="1320"/>
      <c r="CS37" s="1369"/>
      <c r="CT37" s="1319"/>
      <c r="CU37" s="1319"/>
      <c r="CV37" s="1319"/>
      <c r="CW37" s="1320"/>
      <c r="CX37" s="1369"/>
      <c r="CY37" s="1319"/>
      <c r="CZ37" s="1319"/>
      <c r="DA37" s="1319"/>
      <c r="DB37" s="1320"/>
      <c r="DC37" s="1319"/>
      <c r="DD37" s="1319"/>
      <c r="DE37" s="1319"/>
      <c r="DF37" s="1319"/>
      <c r="DG37" s="1320"/>
      <c r="DH37" s="1369"/>
      <c r="DI37" s="1319"/>
      <c r="DJ37" s="1319"/>
      <c r="DK37" s="1319"/>
      <c r="DL37" s="1320"/>
      <c r="DM37" s="1743"/>
      <c r="DN37" s="1744"/>
      <c r="DO37" s="1744"/>
      <c r="DP37" s="1745"/>
      <c r="DQ37" s="1744"/>
      <c r="DR37" s="1744"/>
      <c r="DS37" s="1744"/>
      <c r="DT37" s="1745"/>
      <c r="DU37" s="1328"/>
      <c r="DV37" s="1664"/>
      <c r="DW37" s="1746"/>
    </row>
    <row r="38" spans="1:127" s="382" customFormat="1" ht="15.75" customHeight="1">
      <c r="A38" s="1066" t="s">
        <v>1102</v>
      </c>
      <c r="B38" s="1026">
        <v>29</v>
      </c>
      <c r="C38" s="987"/>
      <c r="D38" s="987"/>
      <c r="E38" s="987"/>
      <c r="F38" s="987"/>
      <c r="G38" s="987"/>
      <c r="H38" s="987"/>
      <c r="I38" s="987"/>
      <c r="J38" s="987"/>
      <c r="K38" s="987"/>
      <c r="L38" s="987"/>
      <c r="M38" s="1026"/>
      <c r="N38" s="987"/>
      <c r="O38" s="987"/>
      <c r="P38" s="987"/>
      <c r="Q38" s="987"/>
      <c r="R38" s="987"/>
      <c r="S38" s="987"/>
      <c r="T38" s="988"/>
      <c r="U38" s="1067" t="s">
        <v>1760</v>
      </c>
      <c r="V38" s="1068" t="s">
        <v>2335</v>
      </c>
      <c r="W38" s="1068" t="s">
        <v>2231</v>
      </c>
      <c r="X38" s="1069">
        <v>1</v>
      </c>
      <c r="Y38" s="1070" t="s">
        <v>2251</v>
      </c>
      <c r="Z38" s="1071" t="s">
        <v>2336</v>
      </c>
      <c r="AA38" s="1072" t="s">
        <v>2260</v>
      </c>
      <c r="AB38" s="1073" t="s">
        <v>2260</v>
      </c>
      <c r="AC38" s="1073" t="s">
        <v>2260</v>
      </c>
      <c r="AD38" s="1073" t="s">
        <v>2260</v>
      </c>
      <c r="AE38" s="1073">
        <v>1</v>
      </c>
      <c r="AF38" s="1073" t="s">
        <v>2260</v>
      </c>
      <c r="AG38" s="1073" t="s">
        <v>2260</v>
      </c>
      <c r="AH38" s="1073" t="s">
        <v>2260</v>
      </c>
      <c r="AI38" s="1074">
        <f t="shared" si="0"/>
        <v>1</v>
      </c>
      <c r="AJ38" s="1075" t="s">
        <v>1852</v>
      </c>
      <c r="AK38" s="1075" t="s">
        <v>1826</v>
      </c>
      <c r="AL38" s="1075" t="s">
        <v>1827</v>
      </c>
      <c r="AM38" s="1076" t="s">
        <v>1888</v>
      </c>
      <c r="AN38" s="987" t="s">
        <v>1897</v>
      </c>
      <c r="AO38" s="987" t="s">
        <v>2337</v>
      </c>
      <c r="AP38" s="1039">
        <v>2</v>
      </c>
      <c r="AQ38" s="1077" t="s">
        <v>1828</v>
      </c>
      <c r="AR38" s="1078" t="s">
        <v>2251</v>
      </c>
      <c r="AS38" s="1079"/>
      <c r="AT38" s="1069"/>
      <c r="AU38" s="1069"/>
      <c r="AV38" s="1069"/>
      <c r="AW38" s="1080"/>
      <c r="AX38" s="1081"/>
      <c r="AY38" s="1044"/>
      <c r="AZ38" s="1045"/>
      <c r="BA38" s="1045"/>
      <c r="BB38" s="1045"/>
      <c r="BC38" s="1045"/>
      <c r="BD38" s="1045"/>
      <c r="BE38" s="1045"/>
      <c r="BF38" s="1045"/>
      <c r="BG38" s="1045"/>
      <c r="BH38" s="1045"/>
      <c r="BI38" s="1044" t="s">
        <v>2260</v>
      </c>
      <c r="BJ38" s="1045" t="s">
        <v>2260</v>
      </c>
      <c r="BK38" s="1045" t="s">
        <v>2260</v>
      </c>
      <c r="BL38" s="1045" t="s">
        <v>2260</v>
      </c>
      <c r="BM38" s="1045" t="s">
        <v>2260</v>
      </c>
      <c r="BN38" s="1044"/>
      <c r="BO38" s="1045"/>
      <c r="BP38" s="1045"/>
      <c r="BQ38" s="1045"/>
      <c r="BR38" s="1045"/>
      <c r="BS38" s="1084"/>
      <c r="BT38" s="1045"/>
      <c r="BU38" s="1045"/>
      <c r="BV38" s="1045"/>
      <c r="BW38" s="1085"/>
      <c r="BX38" s="1084"/>
      <c r="BY38" s="1045"/>
      <c r="BZ38" s="1045"/>
      <c r="CA38" s="1045"/>
      <c r="CB38" s="1085"/>
      <c r="CC38" s="1086"/>
      <c r="CD38" s="1087" t="s">
        <v>210</v>
      </c>
      <c r="CE38" s="1088" t="s">
        <v>210</v>
      </c>
      <c r="CF38" s="1088" t="s">
        <v>210</v>
      </c>
      <c r="CG38" s="1088" t="s">
        <v>210</v>
      </c>
      <c r="CH38" s="1089" t="s">
        <v>210</v>
      </c>
      <c r="CI38" s="1044" t="s">
        <v>2260</v>
      </c>
      <c r="CJ38" s="1045" t="s">
        <v>2260</v>
      </c>
      <c r="CK38" s="1045" t="s">
        <v>2260</v>
      </c>
      <c r="CL38" s="1045" t="s">
        <v>2260</v>
      </c>
      <c r="CM38" s="1086" t="s">
        <v>2260</v>
      </c>
      <c r="CN38" s="1044" t="s">
        <v>2260</v>
      </c>
      <c r="CO38" s="1045" t="s">
        <v>2260</v>
      </c>
      <c r="CP38" s="1045" t="s">
        <v>2260</v>
      </c>
      <c r="CQ38" s="1045" t="s">
        <v>2260</v>
      </c>
      <c r="CR38" s="1086" t="s">
        <v>2260</v>
      </c>
      <c r="CS38" s="1044" t="s">
        <v>2260</v>
      </c>
      <c r="CT38" s="1045" t="s">
        <v>2260</v>
      </c>
      <c r="CU38" s="1045" t="s">
        <v>2260</v>
      </c>
      <c r="CV38" s="1045" t="s">
        <v>2260</v>
      </c>
      <c r="CW38" s="1086" t="s">
        <v>2260</v>
      </c>
      <c r="CX38" s="1044" t="s">
        <v>2260</v>
      </c>
      <c r="CY38" s="1045" t="s">
        <v>2260</v>
      </c>
      <c r="CZ38" s="1045" t="s">
        <v>2260</v>
      </c>
      <c r="DA38" s="1045" t="s">
        <v>2260</v>
      </c>
      <c r="DB38" s="1086" t="s">
        <v>2260</v>
      </c>
      <c r="DC38" s="1045" t="s">
        <v>2260</v>
      </c>
      <c r="DD38" s="1045" t="s">
        <v>2260</v>
      </c>
      <c r="DE38" s="1045" t="s">
        <v>2260</v>
      </c>
      <c r="DF38" s="1045" t="s">
        <v>2260</v>
      </c>
      <c r="DG38" s="1086" t="s">
        <v>2260</v>
      </c>
      <c r="DH38" s="1044" t="s">
        <v>2260</v>
      </c>
      <c r="DI38" s="1045" t="s">
        <v>2260</v>
      </c>
      <c r="DJ38" s="1045" t="s">
        <v>2260</v>
      </c>
      <c r="DK38" s="1045" t="s">
        <v>2260</v>
      </c>
      <c r="DL38" s="1086" t="s">
        <v>2260</v>
      </c>
      <c r="DM38" s="1090" t="s">
        <v>2260</v>
      </c>
      <c r="DN38" s="1091" t="s">
        <v>2260</v>
      </c>
      <c r="DO38" s="1091" t="s">
        <v>2260</v>
      </c>
      <c r="DP38" s="1092" t="s">
        <v>2260</v>
      </c>
      <c r="DQ38" s="1091" t="s">
        <v>2260</v>
      </c>
      <c r="DR38" s="1091" t="s">
        <v>2260</v>
      </c>
      <c r="DS38" s="1091" t="s">
        <v>2260</v>
      </c>
      <c r="DT38" s="1092" t="s">
        <v>2260</v>
      </c>
      <c r="DU38" s="1088" t="s">
        <v>173</v>
      </c>
      <c r="DV38" s="1093">
        <v>1</v>
      </c>
      <c r="DW38" s="1094" t="s">
        <v>2260</v>
      </c>
    </row>
    <row r="39" spans="1:127" s="382" customFormat="1" ht="15.75" customHeight="1">
      <c r="A39" s="1066" t="s">
        <v>1102</v>
      </c>
      <c r="B39" s="1026">
        <v>30</v>
      </c>
      <c r="C39" s="987"/>
      <c r="D39" s="987"/>
      <c r="E39" s="987"/>
      <c r="F39" s="987"/>
      <c r="G39" s="987"/>
      <c r="H39" s="987"/>
      <c r="I39" s="987"/>
      <c r="J39" s="987"/>
      <c r="K39" s="987"/>
      <c r="L39" s="987"/>
      <c r="M39" s="1026"/>
      <c r="N39" s="987"/>
      <c r="O39" s="987"/>
      <c r="P39" s="987"/>
      <c r="Q39" s="987"/>
      <c r="R39" s="987"/>
      <c r="S39" s="987"/>
      <c r="T39" s="988"/>
      <c r="U39" s="1067" t="s">
        <v>1777</v>
      </c>
      <c r="V39" s="1068" t="s">
        <v>2335</v>
      </c>
      <c r="W39" s="1068" t="s">
        <v>2231</v>
      </c>
      <c r="X39" s="1069">
        <v>2</v>
      </c>
      <c r="Y39" s="1070" t="s">
        <v>2254</v>
      </c>
      <c r="Z39" s="1071" t="s">
        <v>2338</v>
      </c>
      <c r="AA39" s="1072" t="s">
        <v>2260</v>
      </c>
      <c r="AB39" s="1073">
        <v>0.56000000000000005</v>
      </c>
      <c r="AC39" s="1073">
        <v>0.44</v>
      </c>
      <c r="AD39" s="1073" t="s">
        <v>2260</v>
      </c>
      <c r="AE39" s="1073" t="s">
        <v>2260</v>
      </c>
      <c r="AF39" s="1073" t="s">
        <v>2260</v>
      </c>
      <c r="AG39" s="1073" t="s">
        <v>2260</v>
      </c>
      <c r="AH39" s="1073" t="s">
        <v>2260</v>
      </c>
      <c r="AI39" s="1074">
        <f t="shared" si="0"/>
        <v>1</v>
      </c>
      <c r="AJ39" s="1075" t="s">
        <v>1852</v>
      </c>
      <c r="AK39" s="1075" t="s">
        <v>1826</v>
      </c>
      <c r="AL39" s="1075" t="s">
        <v>1827</v>
      </c>
      <c r="AM39" s="1076" t="s">
        <v>1891</v>
      </c>
      <c r="AN39" s="987" t="s">
        <v>1897</v>
      </c>
      <c r="AO39" s="987" t="s">
        <v>470</v>
      </c>
      <c r="AP39" s="1039">
        <v>2</v>
      </c>
      <c r="AQ39" s="1077" t="s">
        <v>1828</v>
      </c>
      <c r="AR39" s="1078" t="s">
        <v>2254</v>
      </c>
      <c r="AS39" s="1079"/>
      <c r="AT39" s="1069"/>
      <c r="AU39" s="1069"/>
      <c r="AV39" s="1069"/>
      <c r="AW39" s="1080"/>
      <c r="AX39" s="1081"/>
      <c r="AY39" s="1044"/>
      <c r="AZ39" s="1045"/>
      <c r="BA39" s="1045"/>
      <c r="BB39" s="1045"/>
      <c r="BC39" s="1045"/>
      <c r="BD39" s="1045"/>
      <c r="BE39" s="1045"/>
      <c r="BF39" s="1045"/>
      <c r="BG39" s="1045"/>
      <c r="BH39" s="1045"/>
      <c r="BI39" s="1044" t="s">
        <v>2260</v>
      </c>
      <c r="BJ39" s="1045" t="s">
        <v>2260</v>
      </c>
      <c r="BK39" s="1045" t="s">
        <v>2260</v>
      </c>
      <c r="BL39" s="1045" t="s">
        <v>2260</v>
      </c>
      <c r="BM39" s="1045" t="s">
        <v>2260</v>
      </c>
      <c r="BN39" s="1044"/>
      <c r="BO39" s="1045"/>
      <c r="BP39" s="1045"/>
      <c r="BQ39" s="1045"/>
      <c r="BR39" s="1045"/>
      <c r="BS39" s="1084"/>
      <c r="BT39" s="1045"/>
      <c r="BU39" s="1045"/>
      <c r="BV39" s="1045"/>
      <c r="BW39" s="1085"/>
      <c r="BX39" s="1084"/>
      <c r="BY39" s="1045"/>
      <c r="BZ39" s="1045"/>
      <c r="CA39" s="1045"/>
      <c r="CB39" s="1085"/>
      <c r="CC39" s="1086"/>
      <c r="CD39" s="1087" t="s">
        <v>210</v>
      </c>
      <c r="CE39" s="1088" t="s">
        <v>210</v>
      </c>
      <c r="CF39" s="1088" t="s">
        <v>210</v>
      </c>
      <c r="CG39" s="1088" t="s">
        <v>210</v>
      </c>
      <c r="CH39" s="1089" t="s">
        <v>210</v>
      </c>
      <c r="CI39" s="1103" t="s">
        <v>2260</v>
      </c>
      <c r="CJ39" s="1045" t="s">
        <v>2260</v>
      </c>
      <c r="CK39" s="1045" t="s">
        <v>2260</v>
      </c>
      <c r="CL39" s="1045" t="s">
        <v>2260</v>
      </c>
      <c r="CM39" s="1086" t="s">
        <v>2260</v>
      </c>
      <c r="CN39" s="1103" t="s">
        <v>2260</v>
      </c>
      <c r="CO39" s="1045" t="s">
        <v>2260</v>
      </c>
      <c r="CP39" s="1045" t="s">
        <v>2260</v>
      </c>
      <c r="CQ39" s="1045" t="s">
        <v>2260</v>
      </c>
      <c r="CR39" s="1086" t="s">
        <v>2260</v>
      </c>
      <c r="CS39" s="1103" t="s">
        <v>2260</v>
      </c>
      <c r="CT39" s="1045" t="s">
        <v>2260</v>
      </c>
      <c r="CU39" s="1045" t="s">
        <v>2260</v>
      </c>
      <c r="CV39" s="1045" t="s">
        <v>2260</v>
      </c>
      <c r="CW39" s="1086" t="s">
        <v>2260</v>
      </c>
      <c r="CX39" s="1103" t="s">
        <v>2260</v>
      </c>
      <c r="CY39" s="1045" t="s">
        <v>2260</v>
      </c>
      <c r="CZ39" s="1045" t="s">
        <v>2260</v>
      </c>
      <c r="DA39" s="1045" t="s">
        <v>2260</v>
      </c>
      <c r="DB39" s="1086" t="s">
        <v>2260</v>
      </c>
      <c r="DC39" s="1045" t="s">
        <v>2260</v>
      </c>
      <c r="DD39" s="1045" t="s">
        <v>2260</v>
      </c>
      <c r="DE39" s="1045" t="s">
        <v>2260</v>
      </c>
      <c r="DF39" s="1045" t="s">
        <v>2260</v>
      </c>
      <c r="DG39" s="1086" t="s">
        <v>2260</v>
      </c>
      <c r="DH39" s="1044" t="s">
        <v>2260</v>
      </c>
      <c r="DI39" s="1045" t="s">
        <v>2260</v>
      </c>
      <c r="DJ39" s="1045" t="s">
        <v>2260</v>
      </c>
      <c r="DK39" s="1045" t="s">
        <v>2260</v>
      </c>
      <c r="DL39" s="1086" t="s">
        <v>2260</v>
      </c>
      <c r="DM39" s="1090" t="s">
        <v>2260</v>
      </c>
      <c r="DN39" s="1091" t="s">
        <v>2260</v>
      </c>
      <c r="DO39" s="1091" t="s">
        <v>2260</v>
      </c>
      <c r="DP39" s="1092" t="s">
        <v>2260</v>
      </c>
      <c r="DQ39" s="1091" t="s">
        <v>2260</v>
      </c>
      <c r="DR39" s="1091" t="s">
        <v>2260</v>
      </c>
      <c r="DS39" s="1091" t="s">
        <v>2260</v>
      </c>
      <c r="DT39" s="1092" t="s">
        <v>2260</v>
      </c>
      <c r="DU39" s="1088" t="s">
        <v>173</v>
      </c>
      <c r="DV39" s="1093">
        <v>1</v>
      </c>
      <c r="DW39" s="1094" t="s">
        <v>2260</v>
      </c>
    </row>
    <row r="40" spans="1:127" s="382" customFormat="1" ht="15.75" customHeight="1">
      <c r="A40" s="1066" t="s">
        <v>1102</v>
      </c>
      <c r="B40" s="1026">
        <v>31</v>
      </c>
      <c r="C40" s="987"/>
      <c r="D40" s="987"/>
      <c r="E40" s="987"/>
      <c r="F40" s="987"/>
      <c r="G40" s="987"/>
      <c r="H40" s="987"/>
      <c r="I40" s="987"/>
      <c r="J40" s="987"/>
      <c r="K40" s="987"/>
      <c r="L40" s="987"/>
      <c r="M40" s="1026"/>
      <c r="N40" s="987"/>
      <c r="O40" s="987"/>
      <c r="P40" s="987"/>
      <c r="Q40" s="987"/>
      <c r="R40" s="987"/>
      <c r="S40" s="987"/>
      <c r="T40" s="988"/>
      <c r="U40" s="1067" t="s">
        <v>1103</v>
      </c>
      <c r="V40" s="1068" t="s">
        <v>2339</v>
      </c>
      <c r="W40" s="1068" t="s">
        <v>2231</v>
      </c>
      <c r="X40" s="1069">
        <v>3</v>
      </c>
      <c r="Y40" s="1070" t="s">
        <v>172</v>
      </c>
      <c r="Z40" s="1071" t="s">
        <v>2340</v>
      </c>
      <c r="AA40" s="1072" t="s">
        <v>2260</v>
      </c>
      <c r="AB40" s="1073">
        <v>1</v>
      </c>
      <c r="AC40" s="1073" t="s">
        <v>2260</v>
      </c>
      <c r="AD40" s="1073" t="s">
        <v>2260</v>
      </c>
      <c r="AE40" s="1073" t="s">
        <v>2260</v>
      </c>
      <c r="AF40" s="1073" t="s">
        <v>2260</v>
      </c>
      <c r="AG40" s="1073" t="s">
        <v>2260</v>
      </c>
      <c r="AH40" s="1073" t="s">
        <v>2260</v>
      </c>
      <c r="AI40" s="1074">
        <f t="shared" si="0"/>
        <v>1</v>
      </c>
      <c r="AJ40" s="1075" t="s">
        <v>1846</v>
      </c>
      <c r="AK40" s="1075" t="s">
        <v>1826</v>
      </c>
      <c r="AL40" s="1075" t="s">
        <v>1827</v>
      </c>
      <c r="AM40" s="1076" t="s">
        <v>2247</v>
      </c>
      <c r="AN40" s="987" t="s">
        <v>2439</v>
      </c>
      <c r="AO40" s="987" t="s">
        <v>4420</v>
      </c>
      <c r="AP40" s="2041">
        <v>2</v>
      </c>
      <c r="AQ40" s="1077" t="s">
        <v>1838</v>
      </c>
      <c r="AR40" s="1078" t="s">
        <v>172</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210</v>
      </c>
      <c r="CE40" s="1088" t="s">
        <v>210</v>
      </c>
      <c r="CF40" s="1088" t="s">
        <v>210</v>
      </c>
      <c r="CG40" s="1088" t="s">
        <v>210</v>
      </c>
      <c r="CH40" s="1089" t="s">
        <v>210</v>
      </c>
      <c r="CI40" s="1044" t="s">
        <v>2260</v>
      </c>
      <c r="CJ40" s="1045" t="s">
        <v>2260</v>
      </c>
      <c r="CK40" s="1045" t="s">
        <v>2260</v>
      </c>
      <c r="CL40" s="1045" t="s">
        <v>2260</v>
      </c>
      <c r="CM40" s="1086" t="s">
        <v>2260</v>
      </c>
      <c r="CN40" s="1044">
        <v>9.5</v>
      </c>
      <c r="CO40" s="1045">
        <v>9.5</v>
      </c>
      <c r="CP40" s="1045">
        <v>9.5</v>
      </c>
      <c r="CQ40" s="1045">
        <v>9.5</v>
      </c>
      <c r="CR40" s="1086">
        <v>9.5</v>
      </c>
      <c r="CS40" s="1044">
        <v>2</v>
      </c>
      <c r="CT40" s="1045">
        <v>2</v>
      </c>
      <c r="CU40" s="1179">
        <v>1.5</v>
      </c>
      <c r="CV40" s="1179">
        <v>1.5</v>
      </c>
      <c r="CW40" s="1180">
        <v>1.5</v>
      </c>
      <c r="CX40" s="1044" t="s">
        <v>2260</v>
      </c>
      <c r="CY40" s="1045" t="s">
        <v>2260</v>
      </c>
      <c r="CZ40" s="1045" t="s">
        <v>2260</v>
      </c>
      <c r="DA40" s="1045" t="s">
        <v>2260</v>
      </c>
      <c r="DB40" s="1086" t="s">
        <v>2260</v>
      </c>
      <c r="DC40" s="1045" t="s">
        <v>2260</v>
      </c>
      <c r="DD40" s="1045" t="s">
        <v>2260</v>
      </c>
      <c r="DE40" s="1045" t="s">
        <v>2260</v>
      </c>
      <c r="DF40" s="1045" t="s">
        <v>2260</v>
      </c>
      <c r="DG40" s="1086" t="s">
        <v>2260</v>
      </c>
      <c r="DH40" s="1044" t="s">
        <v>2260</v>
      </c>
      <c r="DI40" s="1045" t="s">
        <v>2260</v>
      </c>
      <c r="DJ40" s="1045" t="s">
        <v>2260</v>
      </c>
      <c r="DK40" s="1045" t="s">
        <v>2260</v>
      </c>
      <c r="DL40" s="1086" t="s">
        <v>2260</v>
      </c>
      <c r="DM40" s="1090">
        <v>-0.78800000000000003</v>
      </c>
      <c r="DN40" s="1091" t="s">
        <v>2260</v>
      </c>
      <c r="DO40" s="1091" t="s">
        <v>2260</v>
      </c>
      <c r="DP40" s="1092" t="s">
        <v>2260</v>
      </c>
      <c r="DQ40" s="1091">
        <v>0</v>
      </c>
      <c r="DR40" s="1091" t="s">
        <v>2260</v>
      </c>
      <c r="DS40" s="1091" t="s">
        <v>2260</v>
      </c>
      <c r="DT40" s="1092" t="s">
        <v>2260</v>
      </c>
      <c r="DU40" s="1088" t="s">
        <v>2260</v>
      </c>
      <c r="DV40" s="1093">
        <v>1</v>
      </c>
      <c r="DW40" s="1094" t="s">
        <v>2260</v>
      </c>
    </row>
    <row r="41" spans="1:127" s="382" customFormat="1" ht="15.75" customHeight="1">
      <c r="A41" s="1023" t="s">
        <v>1102</v>
      </c>
      <c r="B41" s="1024">
        <v>32</v>
      </c>
      <c r="C41" s="987"/>
      <c r="D41" s="987"/>
      <c r="E41" s="987"/>
      <c r="F41" s="987"/>
      <c r="G41" s="987"/>
      <c r="H41" s="987"/>
      <c r="I41" s="987"/>
      <c r="J41" s="987"/>
      <c r="K41" s="987"/>
      <c r="L41" s="987"/>
      <c r="M41" s="1026"/>
      <c r="N41" s="987"/>
      <c r="O41" s="987"/>
      <c r="P41" s="987"/>
      <c r="Q41" s="987"/>
      <c r="R41" s="987"/>
      <c r="S41" s="987"/>
      <c r="T41" s="1027"/>
      <c r="U41" s="1028" t="s">
        <v>1104</v>
      </c>
      <c r="V41" s="1029" t="s">
        <v>2335</v>
      </c>
      <c r="W41" s="1029" t="s">
        <v>2223</v>
      </c>
      <c r="X41" s="1030">
        <v>4</v>
      </c>
      <c r="Y41" s="1031" t="s">
        <v>179</v>
      </c>
      <c r="Z41" s="1032" t="s">
        <v>2342</v>
      </c>
      <c r="AA41" s="1033" t="s">
        <v>2260</v>
      </c>
      <c r="AB41" s="1034">
        <v>1</v>
      </c>
      <c r="AC41" s="1034" t="s">
        <v>2260</v>
      </c>
      <c r="AD41" s="1034" t="s">
        <v>2260</v>
      </c>
      <c r="AE41" s="1034" t="s">
        <v>2260</v>
      </c>
      <c r="AF41" s="1034" t="s">
        <v>2260</v>
      </c>
      <c r="AG41" s="1034" t="s">
        <v>2260</v>
      </c>
      <c r="AH41" s="1034" t="s">
        <v>2260</v>
      </c>
      <c r="AI41" s="1035">
        <f t="shared" si="0"/>
        <v>1</v>
      </c>
      <c r="AJ41" s="1036" t="s">
        <v>1852</v>
      </c>
      <c r="AK41" s="1036" t="s">
        <v>1826</v>
      </c>
      <c r="AL41" s="1036" t="s">
        <v>1827</v>
      </c>
      <c r="AM41" s="1037" t="s">
        <v>2220</v>
      </c>
      <c r="AN41" s="1031" t="s">
        <v>4414</v>
      </c>
      <c r="AO41" s="1031" t="s">
        <v>4415</v>
      </c>
      <c r="AP41" s="802">
        <v>0</v>
      </c>
      <c r="AQ41" s="1038" t="s">
        <v>1838</v>
      </c>
      <c r="AR41" s="1040" t="s">
        <v>179</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210</v>
      </c>
      <c r="CE41" s="1054" t="s">
        <v>210</v>
      </c>
      <c r="CF41" s="1054" t="s">
        <v>210</v>
      </c>
      <c r="CG41" s="1054" t="s">
        <v>210</v>
      </c>
      <c r="CH41" s="1055" t="s">
        <v>210</v>
      </c>
      <c r="CI41" s="1105" t="s">
        <v>2260</v>
      </c>
      <c r="CJ41" s="1104" t="s">
        <v>2260</v>
      </c>
      <c r="CK41" s="1104" t="s">
        <v>2260</v>
      </c>
      <c r="CL41" s="1104" t="s">
        <v>2260</v>
      </c>
      <c r="CM41" s="1108" t="s">
        <v>2260</v>
      </c>
      <c r="CN41" s="1105">
        <v>1.5798611111111114E-2</v>
      </c>
      <c r="CO41" s="1104">
        <v>1.5798611111111114E-2</v>
      </c>
      <c r="CP41" s="1104">
        <v>1.5798611111111114E-2</v>
      </c>
      <c r="CQ41" s="1104">
        <v>1.5798611111111114E-2</v>
      </c>
      <c r="CR41" s="1108">
        <v>1.5798611111111114E-2</v>
      </c>
      <c r="CS41" s="1310"/>
      <c r="CT41" s="1311"/>
      <c r="CU41" s="1311"/>
      <c r="CV41" s="1311"/>
      <c r="CW41" s="1312"/>
      <c r="CX41" s="1310"/>
      <c r="CY41" s="1311"/>
      <c r="CZ41" s="1311"/>
      <c r="DA41" s="1311"/>
      <c r="DB41" s="1312"/>
      <c r="DC41" s="1322">
        <v>3.9004629629629632E-3</v>
      </c>
      <c r="DD41" s="1322">
        <v>3.3912037037037036E-3</v>
      </c>
      <c r="DE41" s="1322">
        <v>2.8356481481481479E-3</v>
      </c>
      <c r="DF41" s="1322">
        <v>2.2800925925925927E-3</v>
      </c>
      <c r="DG41" s="1323">
        <v>1.689814814814815E-3</v>
      </c>
      <c r="DH41" s="1105" t="s">
        <v>2260</v>
      </c>
      <c r="DI41" s="1104" t="s">
        <v>2260</v>
      </c>
      <c r="DJ41" s="1104" t="s">
        <v>2260</v>
      </c>
      <c r="DK41" s="1104" t="s">
        <v>2260</v>
      </c>
      <c r="DL41" s="1108" t="s">
        <v>2260</v>
      </c>
      <c r="DM41" s="1060">
        <v>-1.1459999999999999</v>
      </c>
      <c r="DN41" s="1061" t="s">
        <v>2260</v>
      </c>
      <c r="DO41" s="1061" t="s">
        <v>2260</v>
      </c>
      <c r="DP41" s="1062" t="s">
        <v>2260</v>
      </c>
      <c r="DQ41" s="1061">
        <v>1.1459999999999999</v>
      </c>
      <c r="DR41" s="1061" t="s">
        <v>2260</v>
      </c>
      <c r="DS41" s="1061" t="s">
        <v>2260</v>
      </c>
      <c r="DT41" s="1062" t="s">
        <v>2260</v>
      </c>
      <c r="DU41" s="1054" t="s">
        <v>2260</v>
      </c>
      <c r="DV41" s="1063">
        <v>1</v>
      </c>
      <c r="DW41" s="1064" t="s">
        <v>2260</v>
      </c>
    </row>
    <row r="42" spans="1:127" s="382" customFormat="1" ht="15.75" customHeight="1">
      <c r="A42" s="1023" t="s">
        <v>1102</v>
      </c>
      <c r="B42" s="1024">
        <v>33</v>
      </c>
      <c r="C42" s="987"/>
      <c r="D42" s="987"/>
      <c r="E42" s="987"/>
      <c r="F42" s="987"/>
      <c r="G42" s="987"/>
      <c r="H42" s="987"/>
      <c r="I42" s="987"/>
      <c r="J42" s="987"/>
      <c r="K42" s="987"/>
      <c r="L42" s="987"/>
      <c r="M42" s="1026"/>
      <c r="N42" s="987"/>
      <c r="O42" s="987"/>
      <c r="P42" s="987"/>
      <c r="Q42" s="987"/>
      <c r="R42" s="987"/>
      <c r="S42" s="987"/>
      <c r="T42" s="1027"/>
      <c r="U42" s="1028" t="s">
        <v>1105</v>
      </c>
      <c r="V42" s="1029" t="s">
        <v>2344</v>
      </c>
      <c r="W42" s="1029" t="s">
        <v>2217</v>
      </c>
      <c r="X42" s="1030">
        <v>5</v>
      </c>
      <c r="Y42" s="1031" t="s">
        <v>705</v>
      </c>
      <c r="Z42" s="1032" t="s">
        <v>2345</v>
      </c>
      <c r="AA42" s="1033" t="s">
        <v>2260</v>
      </c>
      <c r="AB42" s="1034">
        <v>1</v>
      </c>
      <c r="AC42" s="1034" t="s">
        <v>2260</v>
      </c>
      <c r="AD42" s="1034" t="s">
        <v>2260</v>
      </c>
      <c r="AE42" s="1034" t="s">
        <v>2260</v>
      </c>
      <c r="AF42" s="1034" t="s">
        <v>2260</v>
      </c>
      <c r="AG42" s="1034" t="s">
        <v>2260</v>
      </c>
      <c r="AH42" s="1034" t="s">
        <v>2260</v>
      </c>
      <c r="AI42" s="1035">
        <f t="shared" si="0"/>
        <v>1</v>
      </c>
      <c r="AJ42" s="1036" t="s">
        <v>1852</v>
      </c>
      <c r="AK42" s="1036" t="s">
        <v>1826</v>
      </c>
      <c r="AL42" s="1036" t="s">
        <v>1827</v>
      </c>
      <c r="AM42" s="1037" t="s">
        <v>705</v>
      </c>
      <c r="AN42" s="1031" t="s">
        <v>321</v>
      </c>
      <c r="AO42" s="1031" t="s">
        <v>4416</v>
      </c>
      <c r="AP42" s="1038">
        <v>1</v>
      </c>
      <c r="AQ42" s="1039" t="s">
        <v>1828</v>
      </c>
      <c r="AR42" s="1040" t="s">
        <v>705</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210</v>
      </c>
      <c r="CE42" s="1054" t="s">
        <v>210</v>
      </c>
      <c r="CF42" s="1054" t="s">
        <v>210</v>
      </c>
      <c r="CG42" s="1054" t="s">
        <v>210</v>
      </c>
      <c r="CH42" s="1055" t="s">
        <v>210</v>
      </c>
      <c r="CI42" s="1370">
        <v>-109.5</v>
      </c>
      <c r="CJ42" s="1324">
        <v>-109.5</v>
      </c>
      <c r="CK42" s="1324">
        <v>-109.5</v>
      </c>
      <c r="CL42" s="1324">
        <v>-109.5</v>
      </c>
      <c r="CM42" s="1325">
        <v>-109.5</v>
      </c>
      <c r="CN42" s="1370">
        <v>0</v>
      </c>
      <c r="CO42" s="1324">
        <v>0</v>
      </c>
      <c r="CP42" s="1324">
        <v>0</v>
      </c>
      <c r="CQ42" s="1324">
        <v>0</v>
      </c>
      <c r="CR42" s="1325">
        <v>0</v>
      </c>
      <c r="CS42" s="1048" t="s">
        <v>2260</v>
      </c>
      <c r="CT42" s="1049" t="s">
        <v>2260</v>
      </c>
      <c r="CU42" s="1049" t="s">
        <v>2260</v>
      </c>
      <c r="CV42" s="1049" t="s">
        <v>2260</v>
      </c>
      <c r="CW42" s="1052" t="s">
        <v>2260</v>
      </c>
      <c r="CX42" s="1048" t="s">
        <v>2260</v>
      </c>
      <c r="CY42" s="1049" t="s">
        <v>2260</v>
      </c>
      <c r="CZ42" s="1049" t="s">
        <v>2260</v>
      </c>
      <c r="DA42" s="1049" t="s">
        <v>2260</v>
      </c>
      <c r="DB42" s="1052" t="s">
        <v>2260</v>
      </c>
      <c r="DC42" s="1321" t="s">
        <v>4430</v>
      </c>
      <c r="DD42" s="1322" t="s">
        <v>4430</v>
      </c>
      <c r="DE42" s="1322" t="s">
        <v>4430</v>
      </c>
      <c r="DF42" s="1322" t="s">
        <v>4430</v>
      </c>
      <c r="DG42" s="1323" t="s">
        <v>4430</v>
      </c>
      <c r="DH42" s="1181" t="s">
        <v>2260</v>
      </c>
      <c r="DI42" s="1179" t="s">
        <v>2260</v>
      </c>
      <c r="DJ42" s="1179" t="s">
        <v>2260</v>
      </c>
      <c r="DK42" s="1179" t="s">
        <v>2260</v>
      </c>
      <c r="DL42" s="1180" t="s">
        <v>2260</v>
      </c>
      <c r="DM42" s="1060">
        <v>-0.36499999999999999</v>
      </c>
      <c r="DN42" s="1189">
        <v>-0.7</v>
      </c>
      <c r="DO42" s="1061" t="s">
        <v>2260</v>
      </c>
      <c r="DP42" s="1188" t="s">
        <v>2260</v>
      </c>
      <c r="DQ42" s="1061">
        <v>0.219</v>
      </c>
      <c r="DR42" s="1061" t="s">
        <v>2260</v>
      </c>
      <c r="DS42" s="1061" t="s">
        <v>2260</v>
      </c>
      <c r="DT42" s="1188" t="s">
        <v>2260</v>
      </c>
      <c r="DU42" s="1054" t="s">
        <v>2260</v>
      </c>
      <c r="DV42" s="1063">
        <v>1</v>
      </c>
      <c r="DW42" s="1064" t="s">
        <v>2260</v>
      </c>
    </row>
    <row r="43" spans="1:127" s="382" customFormat="1" ht="15.75" customHeight="1">
      <c r="A43" s="1023" t="s">
        <v>1102</v>
      </c>
      <c r="B43" s="1024">
        <v>34</v>
      </c>
      <c r="C43" s="987"/>
      <c r="D43" s="987"/>
      <c r="E43" s="987"/>
      <c r="F43" s="987"/>
      <c r="G43" s="987"/>
      <c r="H43" s="987"/>
      <c r="I43" s="987"/>
      <c r="J43" s="987"/>
      <c r="K43" s="987"/>
      <c r="L43" s="987"/>
      <c r="M43" s="1026"/>
      <c r="N43" s="987"/>
      <c r="O43" s="987"/>
      <c r="P43" s="987"/>
      <c r="Q43" s="987"/>
      <c r="R43" s="987"/>
      <c r="S43" s="987"/>
      <c r="T43" s="1027"/>
      <c r="U43" s="1028" t="s">
        <v>1106</v>
      </c>
      <c r="V43" s="1029" t="s">
        <v>2344</v>
      </c>
      <c r="W43" s="1029" t="s">
        <v>2217</v>
      </c>
      <c r="X43" s="1030">
        <v>6</v>
      </c>
      <c r="Y43" s="1031" t="s">
        <v>1084</v>
      </c>
      <c r="Z43" s="1032" t="s">
        <v>2347</v>
      </c>
      <c r="AA43" s="1033" t="s">
        <v>2260</v>
      </c>
      <c r="AB43" s="1034">
        <v>1</v>
      </c>
      <c r="AC43" s="1034" t="s">
        <v>2260</v>
      </c>
      <c r="AD43" s="1034" t="s">
        <v>2260</v>
      </c>
      <c r="AE43" s="1034" t="s">
        <v>2260</v>
      </c>
      <c r="AF43" s="1034" t="s">
        <v>2260</v>
      </c>
      <c r="AG43" s="1034" t="s">
        <v>2260</v>
      </c>
      <c r="AH43" s="1034" t="s">
        <v>2260</v>
      </c>
      <c r="AI43" s="1035">
        <f t="shared" si="0"/>
        <v>1</v>
      </c>
      <c r="AJ43" s="1036" t="s">
        <v>1852</v>
      </c>
      <c r="AK43" s="1036" t="s">
        <v>1826</v>
      </c>
      <c r="AL43" s="1389" t="s">
        <v>1837</v>
      </c>
      <c r="AM43" s="1037" t="s">
        <v>2348</v>
      </c>
      <c r="AN43" s="1031" t="s">
        <v>2397</v>
      </c>
      <c r="AO43" s="1031" t="s">
        <v>4416</v>
      </c>
      <c r="AP43" s="1038">
        <v>1</v>
      </c>
      <c r="AQ43" s="1039" t="s">
        <v>1828</v>
      </c>
      <c r="AR43" s="1040" t="s">
        <v>1084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210</v>
      </c>
      <c r="CE43" s="1054" t="s">
        <v>210</v>
      </c>
      <c r="CF43" s="1054" t="s">
        <v>210</v>
      </c>
      <c r="CG43" s="1054" t="s">
        <v>210</v>
      </c>
      <c r="CH43" s="1055" t="s">
        <v>210</v>
      </c>
      <c r="CI43" s="1058" t="s">
        <v>2260</v>
      </c>
      <c r="CJ43" s="1056" t="s">
        <v>2260</v>
      </c>
      <c r="CK43" s="1056" t="s">
        <v>2260</v>
      </c>
      <c r="CL43" s="1056" t="s">
        <v>2260</v>
      </c>
      <c r="CM43" s="1057" t="s">
        <v>2260</v>
      </c>
      <c r="CN43" s="1058" t="s">
        <v>2260</v>
      </c>
      <c r="CO43" s="1056" t="s">
        <v>2260</v>
      </c>
      <c r="CP43" s="1056" t="s">
        <v>2260</v>
      </c>
      <c r="CQ43" s="1056" t="s">
        <v>2260</v>
      </c>
      <c r="CR43" s="1057" t="s">
        <v>2260</v>
      </c>
      <c r="CS43" s="1048" t="s">
        <v>2260</v>
      </c>
      <c r="CT43" s="1049" t="s">
        <v>2260</v>
      </c>
      <c r="CU43" s="1049" t="s">
        <v>2260</v>
      </c>
      <c r="CV43" s="1049" t="s">
        <v>2260</v>
      </c>
      <c r="CW43" s="1052" t="s">
        <v>2260</v>
      </c>
      <c r="CX43" s="1048" t="s">
        <v>2260</v>
      </c>
      <c r="CY43" s="1049" t="s">
        <v>2260</v>
      </c>
      <c r="CZ43" s="1049" t="s">
        <v>2260</v>
      </c>
      <c r="DA43" s="1049" t="s">
        <v>2260</v>
      </c>
      <c r="DB43" s="1052" t="s">
        <v>2260</v>
      </c>
      <c r="DC43" s="1049" t="s">
        <v>2260</v>
      </c>
      <c r="DD43" s="1049" t="s">
        <v>2260</v>
      </c>
      <c r="DE43" s="1049" t="s">
        <v>2260</v>
      </c>
      <c r="DF43" s="1049" t="s">
        <v>2260</v>
      </c>
      <c r="DG43" s="1052" t="s">
        <v>2260</v>
      </c>
      <c r="DH43" s="1058" t="s">
        <v>2260</v>
      </c>
      <c r="DI43" s="1049" t="s">
        <v>2260</v>
      </c>
      <c r="DJ43" s="1049" t="s">
        <v>2260</v>
      </c>
      <c r="DK43" s="1049" t="s">
        <v>2260</v>
      </c>
      <c r="DL43" s="1052" t="s">
        <v>2260</v>
      </c>
      <c r="DM43" s="1060">
        <v>-0.374</v>
      </c>
      <c r="DN43" s="1061" t="s">
        <v>2260</v>
      </c>
      <c r="DO43" s="1061" t="s">
        <v>2260</v>
      </c>
      <c r="DP43" s="1062" t="s">
        <v>2260</v>
      </c>
      <c r="DQ43" s="1061">
        <v>0.312</v>
      </c>
      <c r="DR43" s="1061" t="s">
        <v>2260</v>
      </c>
      <c r="DS43" s="1061" t="s">
        <v>2260</v>
      </c>
      <c r="DT43" s="1062" t="s">
        <v>2260</v>
      </c>
      <c r="DU43" s="1054" t="s">
        <v>2260</v>
      </c>
      <c r="DV43" s="1063">
        <v>1</v>
      </c>
      <c r="DW43" s="1064" t="s">
        <v>2260</v>
      </c>
    </row>
    <row r="44" spans="1:127" s="382" customFormat="1" ht="15.75" customHeight="1">
      <c r="A44" s="1066" t="s">
        <v>1102</v>
      </c>
      <c r="B44" s="1026">
        <v>35</v>
      </c>
      <c r="C44" s="987"/>
      <c r="D44" s="987"/>
      <c r="E44" s="987"/>
      <c r="F44" s="987"/>
      <c r="G44" s="987"/>
      <c r="H44" s="987"/>
      <c r="I44" s="987"/>
      <c r="J44" s="987"/>
      <c r="K44" s="987"/>
      <c r="L44" s="987"/>
      <c r="M44" s="1026"/>
      <c r="N44" s="987"/>
      <c r="O44" s="987"/>
      <c r="P44" s="987"/>
      <c r="Q44" s="987"/>
      <c r="R44" s="987"/>
      <c r="S44" s="987"/>
      <c r="T44" s="988"/>
      <c r="U44" s="1067" t="s">
        <v>1095</v>
      </c>
      <c r="V44" s="1068" t="s">
        <v>2335</v>
      </c>
      <c r="W44" s="1068" t="s">
        <v>2217</v>
      </c>
      <c r="X44" s="1069">
        <v>7</v>
      </c>
      <c r="Y44" s="1070" t="s">
        <v>784</v>
      </c>
      <c r="Z44" s="1071" t="s">
        <v>2350</v>
      </c>
      <c r="AA44" s="1072" t="s">
        <v>2260</v>
      </c>
      <c r="AB44" s="1073" t="s">
        <v>2260</v>
      </c>
      <c r="AC44" s="1073">
        <v>1</v>
      </c>
      <c r="AD44" s="1073" t="s">
        <v>2260</v>
      </c>
      <c r="AE44" s="1073" t="s">
        <v>2260</v>
      </c>
      <c r="AF44" s="1073" t="s">
        <v>2260</v>
      </c>
      <c r="AG44" s="1073" t="s">
        <v>2260</v>
      </c>
      <c r="AH44" s="1073" t="s">
        <v>2260</v>
      </c>
      <c r="AI44" s="1074">
        <f t="shared" si="0"/>
        <v>1</v>
      </c>
      <c r="AJ44" s="1075" t="s">
        <v>1852</v>
      </c>
      <c r="AK44" s="1075" t="s">
        <v>1826</v>
      </c>
      <c r="AL44" s="1075" t="s">
        <v>1827</v>
      </c>
      <c r="AM44" s="1076" t="s">
        <v>2351</v>
      </c>
      <c r="AN44" s="987" t="s">
        <v>2439</v>
      </c>
      <c r="AO44" s="987" t="s">
        <v>4197</v>
      </c>
      <c r="AP44" s="2042">
        <v>2</v>
      </c>
      <c r="AQ44" s="1045" t="s">
        <v>1838</v>
      </c>
      <c r="AR44" s="1078" t="s">
        <v>784</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210</v>
      </c>
      <c r="CE44" s="1088" t="s">
        <v>210</v>
      </c>
      <c r="CF44" s="1088" t="s">
        <v>210</v>
      </c>
      <c r="CG44" s="1088" t="s">
        <v>210</v>
      </c>
      <c r="CH44" s="1089" t="s">
        <v>210</v>
      </c>
      <c r="CI44" s="1044" t="s">
        <v>2260</v>
      </c>
      <c r="CJ44" s="1045" t="s">
        <v>2260</v>
      </c>
      <c r="CK44" s="1045" t="s">
        <v>2260</v>
      </c>
      <c r="CL44" s="1045" t="s">
        <v>2260</v>
      </c>
      <c r="CM44" s="1086" t="s">
        <v>2260</v>
      </c>
      <c r="CN44" s="1044">
        <v>3.35</v>
      </c>
      <c r="CO44" s="1045">
        <v>3.35</v>
      </c>
      <c r="CP44" s="1045">
        <v>3.35</v>
      </c>
      <c r="CQ44" s="1045">
        <v>3.35</v>
      </c>
      <c r="CR44" s="1086">
        <v>3.35</v>
      </c>
      <c r="CS44" s="1044" t="s">
        <v>2260</v>
      </c>
      <c r="CT44" s="1045" t="s">
        <v>2260</v>
      </c>
      <c r="CU44" s="1045" t="s">
        <v>2260</v>
      </c>
      <c r="CV44" s="1045" t="s">
        <v>2260</v>
      </c>
      <c r="CW44" s="1086" t="s">
        <v>2260</v>
      </c>
      <c r="CX44" s="1044" t="s">
        <v>2260</v>
      </c>
      <c r="CY44" s="1045" t="s">
        <v>2260</v>
      </c>
      <c r="CZ44" s="1045" t="s">
        <v>2260</v>
      </c>
      <c r="DA44" s="1045" t="s">
        <v>2260</v>
      </c>
      <c r="DB44" s="1086" t="s">
        <v>2260</v>
      </c>
      <c r="DC44" s="1319">
        <v>1.35</v>
      </c>
      <c r="DD44" s="1324">
        <v>1.3</v>
      </c>
      <c r="DE44" s="1319">
        <v>1.25</v>
      </c>
      <c r="DF44" s="1319">
        <v>1.1100000000000001</v>
      </c>
      <c r="DG44" s="1320">
        <v>1.01</v>
      </c>
      <c r="DH44" s="1044" t="s">
        <v>2260</v>
      </c>
      <c r="DI44" s="1045" t="s">
        <v>2260</v>
      </c>
      <c r="DJ44" s="1045" t="s">
        <v>2260</v>
      </c>
      <c r="DK44" s="1045" t="s">
        <v>2260</v>
      </c>
      <c r="DL44" s="1086" t="s">
        <v>2260</v>
      </c>
      <c r="DM44" s="1969">
        <v>-10.944000000000001</v>
      </c>
      <c r="DN44" s="1091" t="s">
        <v>2260</v>
      </c>
      <c r="DO44" s="1091" t="s">
        <v>2260</v>
      </c>
      <c r="DP44" s="1092" t="s">
        <v>2260</v>
      </c>
      <c r="DQ44" s="1091">
        <v>10.994</v>
      </c>
      <c r="DR44" s="1091" t="s">
        <v>2260</v>
      </c>
      <c r="DS44" s="1091" t="s">
        <v>2260</v>
      </c>
      <c r="DT44" s="1092" t="s">
        <v>2260</v>
      </c>
      <c r="DU44" s="1088" t="s">
        <v>2260</v>
      </c>
      <c r="DV44" s="1093">
        <v>1</v>
      </c>
      <c r="DW44" s="1094" t="s">
        <v>2260</v>
      </c>
    </row>
    <row r="45" spans="1:127" s="382" customFormat="1" ht="15.75" customHeight="1">
      <c r="A45" s="1066" t="s">
        <v>1102</v>
      </c>
      <c r="B45" s="1026">
        <v>36</v>
      </c>
      <c r="C45" s="987"/>
      <c r="D45" s="987"/>
      <c r="E45" s="987"/>
      <c r="F45" s="987"/>
      <c r="G45" s="987"/>
      <c r="H45" s="987"/>
      <c r="I45" s="987"/>
      <c r="J45" s="987"/>
      <c r="K45" s="987"/>
      <c r="L45" s="987"/>
      <c r="M45" s="1026"/>
      <c r="N45" s="987"/>
      <c r="O45" s="987"/>
      <c r="P45" s="987"/>
      <c r="Q45" s="987"/>
      <c r="R45" s="987"/>
      <c r="S45" s="987"/>
      <c r="T45" s="988"/>
      <c r="U45" s="1067" t="s">
        <v>1096</v>
      </c>
      <c r="V45" s="1068" t="s">
        <v>2353</v>
      </c>
      <c r="W45" s="1068" t="s">
        <v>2217</v>
      </c>
      <c r="X45" s="1069">
        <v>8</v>
      </c>
      <c r="Y45" s="1070" t="s">
        <v>788</v>
      </c>
      <c r="Z45" s="1071" t="s">
        <v>2354</v>
      </c>
      <c r="AA45" s="1072" t="s">
        <v>2260</v>
      </c>
      <c r="AB45" s="1073" t="s">
        <v>2260</v>
      </c>
      <c r="AC45" s="1073">
        <v>1</v>
      </c>
      <c r="AD45" s="1073" t="s">
        <v>2260</v>
      </c>
      <c r="AE45" s="1073" t="s">
        <v>2260</v>
      </c>
      <c r="AF45" s="1073" t="s">
        <v>2260</v>
      </c>
      <c r="AG45" s="1073" t="s">
        <v>2260</v>
      </c>
      <c r="AH45" s="1073" t="s">
        <v>2260</v>
      </c>
      <c r="AI45" s="1074">
        <f t="shared" si="0"/>
        <v>1</v>
      </c>
      <c r="AJ45" s="1075" t="s">
        <v>1852</v>
      </c>
      <c r="AK45" s="1075" t="s">
        <v>1826</v>
      </c>
      <c r="AL45" s="1075" t="s">
        <v>1827</v>
      </c>
      <c r="AM45" s="1076" t="s">
        <v>788</v>
      </c>
      <c r="AN45" s="987" t="s">
        <v>2439</v>
      </c>
      <c r="AO45" s="987" t="s">
        <v>4431</v>
      </c>
      <c r="AP45" s="2042">
        <v>2</v>
      </c>
      <c r="AQ45" s="1045" t="s">
        <v>1838</v>
      </c>
      <c r="AR45" s="1078" t="s">
        <v>788</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210</v>
      </c>
      <c r="CE45" s="1088" t="s">
        <v>210</v>
      </c>
      <c r="CF45" s="1088" t="s">
        <v>210</v>
      </c>
      <c r="CG45" s="1088" t="s">
        <v>210</v>
      </c>
      <c r="CH45" s="1089" t="s">
        <v>210</v>
      </c>
      <c r="CI45" s="1044" t="s">
        <v>2260</v>
      </c>
      <c r="CJ45" s="1045" t="s">
        <v>2260</v>
      </c>
      <c r="CK45" s="1045" t="s">
        <v>2260</v>
      </c>
      <c r="CL45" s="1045" t="s">
        <v>2260</v>
      </c>
      <c r="CM45" s="1086" t="s">
        <v>2260</v>
      </c>
      <c r="CN45" s="1178">
        <v>41.6</v>
      </c>
      <c r="CO45" s="1179">
        <v>41.6</v>
      </c>
      <c r="CP45" s="1179">
        <v>41.6</v>
      </c>
      <c r="CQ45" s="1179">
        <v>41.6</v>
      </c>
      <c r="CR45" s="1180">
        <v>41.6</v>
      </c>
      <c r="CS45" s="1044" t="s">
        <v>2260</v>
      </c>
      <c r="CT45" s="1045" t="s">
        <v>2260</v>
      </c>
      <c r="CU45" s="1045" t="s">
        <v>2260</v>
      </c>
      <c r="CV45" s="1045" t="s">
        <v>2260</v>
      </c>
      <c r="CW45" s="1086" t="s">
        <v>2260</v>
      </c>
      <c r="CX45" s="1044" t="s">
        <v>2260</v>
      </c>
      <c r="CY45" s="1045" t="s">
        <v>2260</v>
      </c>
      <c r="CZ45" s="1045" t="s">
        <v>2260</v>
      </c>
      <c r="DA45" s="1045" t="s">
        <v>2260</v>
      </c>
      <c r="DB45" s="1086" t="s">
        <v>2260</v>
      </c>
      <c r="DC45" s="1319">
        <v>9.51</v>
      </c>
      <c r="DD45" s="1319">
        <v>8.74</v>
      </c>
      <c r="DE45" s="1324">
        <v>8</v>
      </c>
      <c r="DF45" s="1324">
        <v>7.4</v>
      </c>
      <c r="DG45" s="1325">
        <v>4.5</v>
      </c>
      <c r="DH45" s="1044" t="s">
        <v>2260</v>
      </c>
      <c r="DI45" s="1045" t="s">
        <v>2260</v>
      </c>
      <c r="DJ45" s="1045" t="s">
        <v>2260</v>
      </c>
      <c r="DK45" s="1045" t="s">
        <v>2260</v>
      </c>
      <c r="DL45" s="1086" t="s">
        <v>2260</v>
      </c>
      <c r="DM45" s="1090">
        <v>-0.44500000000000001</v>
      </c>
      <c r="DN45" s="1091" t="s">
        <v>2260</v>
      </c>
      <c r="DO45" s="1091" t="s">
        <v>2260</v>
      </c>
      <c r="DP45" s="1092" t="s">
        <v>2260</v>
      </c>
      <c r="DQ45" s="1091">
        <v>0.29499999999999998</v>
      </c>
      <c r="DR45" s="1091" t="s">
        <v>2260</v>
      </c>
      <c r="DS45" s="1091" t="s">
        <v>2260</v>
      </c>
      <c r="DT45" s="1092" t="s">
        <v>2260</v>
      </c>
      <c r="DU45" s="1088" t="s">
        <v>2260</v>
      </c>
      <c r="DV45" s="1093">
        <v>1</v>
      </c>
      <c r="DW45" s="1094" t="s">
        <v>2260</v>
      </c>
    </row>
    <row r="46" spans="1:127" s="382" customFormat="1" ht="15.75" customHeight="1">
      <c r="A46" s="1066" t="s">
        <v>1102</v>
      </c>
      <c r="B46" s="1026">
        <v>37</v>
      </c>
      <c r="C46" s="987"/>
      <c r="D46" s="987"/>
      <c r="E46" s="987"/>
      <c r="F46" s="987"/>
      <c r="G46" s="987"/>
      <c r="H46" s="987"/>
      <c r="I46" s="987"/>
      <c r="J46" s="987"/>
      <c r="K46" s="987"/>
      <c r="L46" s="987"/>
      <c r="M46" s="1026"/>
      <c r="N46" s="987"/>
      <c r="O46" s="987"/>
      <c r="P46" s="987"/>
      <c r="Q46" s="987"/>
      <c r="R46" s="987"/>
      <c r="S46" s="987"/>
      <c r="T46" s="988"/>
      <c r="U46" s="1067" t="s">
        <v>1113</v>
      </c>
      <c r="V46" s="1068" t="s">
        <v>2356</v>
      </c>
      <c r="W46" s="1068" t="s">
        <v>2231</v>
      </c>
      <c r="X46" s="1069">
        <v>9</v>
      </c>
      <c r="Y46" s="1070" t="s">
        <v>567</v>
      </c>
      <c r="Z46" s="1071" t="s">
        <v>2357</v>
      </c>
      <c r="AA46" s="1072">
        <v>0.5</v>
      </c>
      <c r="AB46" s="1073">
        <v>0.5</v>
      </c>
      <c r="AC46" s="1073" t="s">
        <v>2260</v>
      </c>
      <c r="AD46" s="1073" t="s">
        <v>2260</v>
      </c>
      <c r="AE46" s="1073" t="s">
        <v>2260</v>
      </c>
      <c r="AF46" s="1073" t="s">
        <v>2260</v>
      </c>
      <c r="AG46" s="1073" t="s">
        <v>2260</v>
      </c>
      <c r="AH46" s="1073" t="s">
        <v>2260</v>
      </c>
      <c r="AI46" s="1074">
        <f t="shared" si="0"/>
        <v>1</v>
      </c>
      <c r="AJ46" s="1075" t="s">
        <v>1825</v>
      </c>
      <c r="AK46" s="1075" t="s">
        <v>2260</v>
      </c>
      <c r="AL46" s="1075" t="s">
        <v>2260</v>
      </c>
      <c r="AM46" s="1076" t="s">
        <v>2234</v>
      </c>
      <c r="AN46" s="987" t="s">
        <v>321</v>
      </c>
      <c r="AO46" s="987" t="s">
        <v>4417</v>
      </c>
      <c r="AP46" s="2042">
        <v>1</v>
      </c>
      <c r="AQ46" s="1045" t="s">
        <v>1838</v>
      </c>
      <c r="AR46" s="1078" t="s">
        <v>567</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2260</v>
      </c>
      <c r="CE46" s="1088" t="s">
        <v>2260</v>
      </c>
      <c r="CF46" s="1088" t="s">
        <v>2260</v>
      </c>
      <c r="CG46" s="1088" t="s">
        <v>2260</v>
      </c>
      <c r="CH46" s="1089" t="s">
        <v>2260</v>
      </c>
      <c r="CI46" s="1044" t="s">
        <v>2260</v>
      </c>
      <c r="CJ46" s="1045" t="s">
        <v>2260</v>
      </c>
      <c r="CK46" s="1045" t="s">
        <v>2260</v>
      </c>
      <c r="CL46" s="1045" t="s">
        <v>2260</v>
      </c>
      <c r="CM46" s="1086" t="s">
        <v>2260</v>
      </c>
      <c r="CN46" s="1044" t="s">
        <v>2260</v>
      </c>
      <c r="CO46" s="1045" t="s">
        <v>2260</v>
      </c>
      <c r="CP46" s="1045" t="s">
        <v>2260</v>
      </c>
      <c r="CQ46" s="1045" t="s">
        <v>2260</v>
      </c>
      <c r="CR46" s="1086" t="s">
        <v>2260</v>
      </c>
      <c r="CS46" s="1044" t="s">
        <v>2260</v>
      </c>
      <c r="CT46" s="1045" t="s">
        <v>2260</v>
      </c>
      <c r="CU46" s="1045" t="s">
        <v>2260</v>
      </c>
      <c r="CV46" s="1045" t="s">
        <v>2260</v>
      </c>
      <c r="CW46" s="1086" t="s">
        <v>2260</v>
      </c>
      <c r="CX46" s="1044" t="s">
        <v>2260</v>
      </c>
      <c r="CY46" s="1045" t="s">
        <v>2260</v>
      </c>
      <c r="CZ46" s="1045" t="s">
        <v>2260</v>
      </c>
      <c r="DA46" s="1045" t="s">
        <v>2260</v>
      </c>
      <c r="DB46" s="1086" t="s">
        <v>2260</v>
      </c>
      <c r="DC46" s="1045" t="s">
        <v>2260</v>
      </c>
      <c r="DD46" s="1045" t="s">
        <v>2260</v>
      </c>
      <c r="DE46" s="1045" t="s">
        <v>2260</v>
      </c>
      <c r="DF46" s="1045" t="s">
        <v>2260</v>
      </c>
      <c r="DG46" s="1086" t="s">
        <v>2260</v>
      </c>
      <c r="DH46" s="1044" t="s">
        <v>2260</v>
      </c>
      <c r="DI46" s="1045" t="s">
        <v>2260</v>
      </c>
      <c r="DJ46" s="1045" t="s">
        <v>2260</v>
      </c>
      <c r="DK46" s="1045" t="s">
        <v>2260</v>
      </c>
      <c r="DL46" s="1086" t="s">
        <v>2260</v>
      </c>
      <c r="DM46" s="1090" t="s">
        <v>2260</v>
      </c>
      <c r="DN46" s="1091" t="s">
        <v>2260</v>
      </c>
      <c r="DO46" s="1091" t="s">
        <v>2260</v>
      </c>
      <c r="DP46" s="1092" t="s">
        <v>2260</v>
      </c>
      <c r="DQ46" s="1091" t="s">
        <v>2260</v>
      </c>
      <c r="DR46" s="1091" t="s">
        <v>2260</v>
      </c>
      <c r="DS46" s="1091" t="s">
        <v>2260</v>
      </c>
      <c r="DT46" s="1092" t="s">
        <v>2260</v>
      </c>
      <c r="DU46" s="1088" t="s">
        <v>2260</v>
      </c>
      <c r="DV46" s="1093">
        <v>1</v>
      </c>
      <c r="DW46" s="1094" t="s">
        <v>2260</v>
      </c>
    </row>
    <row r="47" spans="1:127" s="382" customFormat="1" ht="15.75" customHeight="1">
      <c r="A47" s="1066" t="s">
        <v>1102</v>
      </c>
      <c r="B47" s="1026">
        <v>38</v>
      </c>
      <c r="C47" s="987"/>
      <c r="D47" s="987"/>
      <c r="E47" s="987"/>
      <c r="F47" s="987"/>
      <c r="G47" s="987"/>
      <c r="H47" s="987"/>
      <c r="I47" s="987"/>
      <c r="J47" s="987"/>
      <c r="K47" s="987"/>
      <c r="L47" s="987"/>
      <c r="M47" s="1026"/>
      <c r="N47" s="987"/>
      <c r="O47" s="987"/>
      <c r="P47" s="987"/>
      <c r="Q47" s="987"/>
      <c r="R47" s="987"/>
      <c r="S47" s="987"/>
      <c r="T47" s="988"/>
      <c r="U47" s="1067" t="s">
        <v>1101</v>
      </c>
      <c r="V47" s="1068" t="s">
        <v>2356</v>
      </c>
      <c r="W47" s="1068" t="s">
        <v>2231</v>
      </c>
      <c r="X47" s="1069">
        <v>10</v>
      </c>
      <c r="Y47" s="1070" t="s">
        <v>891</v>
      </c>
      <c r="Z47" s="1071" t="s">
        <v>2359</v>
      </c>
      <c r="AA47" s="1072" t="s">
        <v>2260</v>
      </c>
      <c r="AB47" s="1073" t="s">
        <v>2260</v>
      </c>
      <c r="AC47" s="1073">
        <v>1</v>
      </c>
      <c r="AD47" s="1073" t="s">
        <v>2260</v>
      </c>
      <c r="AE47" s="1073" t="s">
        <v>2260</v>
      </c>
      <c r="AF47" s="1073" t="s">
        <v>2260</v>
      </c>
      <c r="AG47" s="1073" t="s">
        <v>2260</v>
      </c>
      <c r="AH47" s="1073" t="s">
        <v>2260</v>
      </c>
      <c r="AI47" s="1074">
        <f t="shared" si="0"/>
        <v>1</v>
      </c>
      <c r="AJ47" s="1075" t="s">
        <v>1825</v>
      </c>
      <c r="AK47" s="1075" t="s">
        <v>2260</v>
      </c>
      <c r="AL47" s="1075" t="s">
        <v>2260</v>
      </c>
      <c r="AM47" s="1076" t="s">
        <v>2234</v>
      </c>
      <c r="AN47" s="987" t="s">
        <v>321</v>
      </c>
      <c r="AO47" s="987" t="s">
        <v>4417</v>
      </c>
      <c r="AP47" s="2042">
        <v>2</v>
      </c>
      <c r="AQ47" s="1045" t="s">
        <v>1838</v>
      </c>
      <c r="AR47" s="1078" t="s">
        <v>891</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2260</v>
      </c>
      <c r="CE47" s="1088" t="s">
        <v>2260</v>
      </c>
      <c r="CF47" s="1088" t="s">
        <v>2260</v>
      </c>
      <c r="CG47" s="1088" t="s">
        <v>2260</v>
      </c>
      <c r="CH47" s="1089" t="s">
        <v>2260</v>
      </c>
      <c r="CI47" s="1044" t="s">
        <v>2260</v>
      </c>
      <c r="CJ47" s="1045" t="s">
        <v>2260</v>
      </c>
      <c r="CK47" s="1045" t="s">
        <v>2260</v>
      </c>
      <c r="CL47" s="1045" t="s">
        <v>2260</v>
      </c>
      <c r="CM47" s="1086" t="s">
        <v>2260</v>
      </c>
      <c r="CN47" s="1044" t="s">
        <v>2260</v>
      </c>
      <c r="CO47" s="1045" t="s">
        <v>2260</v>
      </c>
      <c r="CP47" s="1045" t="s">
        <v>2260</v>
      </c>
      <c r="CQ47" s="1045" t="s">
        <v>2260</v>
      </c>
      <c r="CR47" s="1086" t="s">
        <v>2260</v>
      </c>
      <c r="CS47" s="1044" t="s">
        <v>2260</v>
      </c>
      <c r="CT47" s="1045" t="s">
        <v>2260</v>
      </c>
      <c r="CU47" s="1045" t="s">
        <v>2260</v>
      </c>
      <c r="CV47" s="1045" t="s">
        <v>2260</v>
      </c>
      <c r="CW47" s="1086" t="s">
        <v>2260</v>
      </c>
      <c r="CX47" s="1044" t="s">
        <v>2260</v>
      </c>
      <c r="CY47" s="1045" t="s">
        <v>2260</v>
      </c>
      <c r="CZ47" s="1045" t="s">
        <v>2260</v>
      </c>
      <c r="DA47" s="1045" t="s">
        <v>2260</v>
      </c>
      <c r="DB47" s="1086" t="s">
        <v>2260</v>
      </c>
      <c r="DC47" s="1045" t="s">
        <v>2260</v>
      </c>
      <c r="DD47" s="1045" t="s">
        <v>2260</v>
      </c>
      <c r="DE47" s="1045" t="s">
        <v>2260</v>
      </c>
      <c r="DF47" s="1045" t="s">
        <v>2260</v>
      </c>
      <c r="DG47" s="1086" t="s">
        <v>2260</v>
      </c>
      <c r="DH47" s="1044" t="s">
        <v>2260</v>
      </c>
      <c r="DI47" s="1045" t="s">
        <v>2260</v>
      </c>
      <c r="DJ47" s="1045" t="s">
        <v>2260</v>
      </c>
      <c r="DK47" s="1045" t="s">
        <v>2260</v>
      </c>
      <c r="DL47" s="1086" t="s">
        <v>2260</v>
      </c>
      <c r="DM47" s="1090" t="s">
        <v>2260</v>
      </c>
      <c r="DN47" s="1091" t="s">
        <v>2260</v>
      </c>
      <c r="DO47" s="1091" t="s">
        <v>2260</v>
      </c>
      <c r="DP47" s="1092" t="s">
        <v>2260</v>
      </c>
      <c r="DQ47" s="1091" t="s">
        <v>2260</v>
      </c>
      <c r="DR47" s="1091" t="s">
        <v>2260</v>
      </c>
      <c r="DS47" s="1091" t="s">
        <v>2260</v>
      </c>
      <c r="DT47" s="1092" t="s">
        <v>2260</v>
      </c>
      <c r="DU47" s="1088" t="s">
        <v>2260</v>
      </c>
      <c r="DV47" s="1093">
        <v>1</v>
      </c>
      <c r="DW47" s="1094" t="s">
        <v>2260</v>
      </c>
    </row>
    <row r="48" spans="1:127" s="382" customFormat="1" ht="15.75" customHeight="1">
      <c r="A48" s="1066" t="s">
        <v>1102</v>
      </c>
      <c r="B48" s="1026">
        <v>39</v>
      </c>
      <c r="C48" s="987"/>
      <c r="D48" s="987"/>
      <c r="E48" s="987"/>
      <c r="F48" s="987"/>
      <c r="G48" s="987"/>
      <c r="H48" s="987"/>
      <c r="I48" s="987"/>
      <c r="J48" s="987"/>
      <c r="K48" s="987"/>
      <c r="L48" s="987"/>
      <c r="M48" s="1026"/>
      <c r="N48" s="987"/>
      <c r="O48" s="987"/>
      <c r="P48" s="987"/>
      <c r="Q48" s="987"/>
      <c r="R48" s="987"/>
      <c r="S48" s="987"/>
      <c r="T48" s="988"/>
      <c r="U48" s="1067" t="s">
        <v>1107</v>
      </c>
      <c r="V48" s="1068" t="s">
        <v>2361</v>
      </c>
      <c r="W48" s="1068" t="s">
        <v>2217</v>
      </c>
      <c r="X48" s="1069">
        <v>11</v>
      </c>
      <c r="Y48" s="1070" t="s">
        <v>203</v>
      </c>
      <c r="Z48" s="1071" t="s">
        <v>2362</v>
      </c>
      <c r="AA48" s="1072" t="s">
        <v>2260</v>
      </c>
      <c r="AB48" s="1073">
        <v>1</v>
      </c>
      <c r="AC48" s="1073" t="s">
        <v>2260</v>
      </c>
      <c r="AD48" s="1073" t="s">
        <v>2260</v>
      </c>
      <c r="AE48" s="1073" t="s">
        <v>2260</v>
      </c>
      <c r="AF48" s="1073" t="s">
        <v>2260</v>
      </c>
      <c r="AG48" s="1073" t="s">
        <v>2260</v>
      </c>
      <c r="AH48" s="1073" t="s">
        <v>2260</v>
      </c>
      <c r="AI48" s="1074">
        <f t="shared" si="0"/>
        <v>1</v>
      </c>
      <c r="AJ48" s="1075" t="s">
        <v>1846</v>
      </c>
      <c r="AK48" s="1075" t="s">
        <v>1826</v>
      </c>
      <c r="AL48" s="1075" t="s">
        <v>1827</v>
      </c>
      <c r="AM48" s="1076" t="s">
        <v>2363</v>
      </c>
      <c r="AN48" s="987" t="s">
        <v>2439</v>
      </c>
      <c r="AO48" s="987" t="s">
        <v>4419</v>
      </c>
      <c r="AP48" s="2041">
        <v>1</v>
      </c>
      <c r="AQ48" s="1077" t="s">
        <v>1838</v>
      </c>
      <c r="AR48" s="1078" t="s">
        <v>203</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210</v>
      </c>
      <c r="CE48" s="1088" t="s">
        <v>210</v>
      </c>
      <c r="CF48" s="1088" t="s">
        <v>210</v>
      </c>
      <c r="CG48" s="1088" t="s">
        <v>210</v>
      </c>
      <c r="CH48" s="1089" t="s">
        <v>210</v>
      </c>
      <c r="CI48" s="1044" t="s">
        <v>2260</v>
      </c>
      <c r="CJ48" s="1045" t="s">
        <v>2260</v>
      </c>
      <c r="CK48" s="1045" t="s">
        <v>2260</v>
      </c>
      <c r="CL48" s="1045" t="s">
        <v>2260</v>
      </c>
      <c r="CM48" s="1086" t="s">
        <v>2260</v>
      </c>
      <c r="CN48" s="1044" t="s">
        <v>2260</v>
      </c>
      <c r="CO48" s="1045" t="s">
        <v>2260</v>
      </c>
      <c r="CP48" s="1045" t="s">
        <v>2260</v>
      </c>
      <c r="CQ48" s="1045" t="s">
        <v>2260</v>
      </c>
      <c r="CR48" s="1086" t="s">
        <v>2260</v>
      </c>
      <c r="CS48" s="1187">
        <v>150.1</v>
      </c>
      <c r="CT48" s="1185">
        <v>148.1</v>
      </c>
      <c r="CU48" s="1185">
        <v>146.19999999999999</v>
      </c>
      <c r="CV48" s="1185">
        <v>144.19999999999999</v>
      </c>
      <c r="CW48" s="1186">
        <v>142.30000000000001</v>
      </c>
      <c r="CX48" s="1044" t="s">
        <v>2260</v>
      </c>
      <c r="CY48" s="1045" t="s">
        <v>2260</v>
      </c>
      <c r="CZ48" s="1045" t="s">
        <v>2260</v>
      </c>
      <c r="DA48" s="1045" t="s">
        <v>2260</v>
      </c>
      <c r="DB48" s="1086" t="s">
        <v>2260</v>
      </c>
      <c r="DC48" s="1045" t="s">
        <v>2260</v>
      </c>
      <c r="DD48" s="1045" t="s">
        <v>2260</v>
      </c>
      <c r="DE48" s="1045" t="s">
        <v>2260</v>
      </c>
      <c r="DF48" s="1045" t="s">
        <v>2260</v>
      </c>
      <c r="DG48" s="1086" t="s">
        <v>2260</v>
      </c>
      <c r="DH48" s="1044" t="s">
        <v>2260</v>
      </c>
      <c r="DI48" s="1045" t="s">
        <v>2260</v>
      </c>
      <c r="DJ48" s="1045" t="s">
        <v>2260</v>
      </c>
      <c r="DK48" s="1045" t="s">
        <v>2260</v>
      </c>
      <c r="DL48" s="1086" t="s">
        <v>2260</v>
      </c>
      <c r="DM48" s="1090">
        <v>-0.16500000000000001</v>
      </c>
      <c r="DN48" s="1091" t="s">
        <v>2260</v>
      </c>
      <c r="DO48" s="1091" t="s">
        <v>2260</v>
      </c>
      <c r="DP48" s="1092" t="s">
        <v>2260</v>
      </c>
      <c r="DQ48" s="1091" t="s">
        <v>2260</v>
      </c>
      <c r="DR48" s="1091" t="s">
        <v>2260</v>
      </c>
      <c r="DS48" s="1091" t="s">
        <v>2260</v>
      </c>
      <c r="DT48" s="1092" t="s">
        <v>2260</v>
      </c>
      <c r="DU48" s="1088" t="s">
        <v>2260</v>
      </c>
      <c r="DV48" s="1093">
        <v>1</v>
      </c>
      <c r="DW48" s="1094" t="s">
        <v>2260</v>
      </c>
    </row>
    <row r="49" spans="1:127" s="382" customFormat="1" ht="15.75" customHeight="1">
      <c r="A49" s="1066" t="s">
        <v>1102</v>
      </c>
      <c r="B49" s="1026">
        <v>40</v>
      </c>
      <c r="C49" s="987"/>
      <c r="D49" s="987"/>
      <c r="E49" s="987"/>
      <c r="F49" s="987"/>
      <c r="G49" s="987"/>
      <c r="H49" s="987"/>
      <c r="I49" s="987"/>
      <c r="J49" s="987"/>
      <c r="K49" s="987"/>
      <c r="L49" s="987"/>
      <c r="M49" s="1026"/>
      <c r="N49" s="987"/>
      <c r="O49" s="987"/>
      <c r="P49" s="987"/>
      <c r="Q49" s="987"/>
      <c r="R49" s="987"/>
      <c r="S49" s="987"/>
      <c r="T49" s="988"/>
      <c r="U49" s="1067" t="s">
        <v>1108</v>
      </c>
      <c r="V49" s="1068" t="s">
        <v>2361</v>
      </c>
      <c r="W49" s="1068" t="s">
        <v>2231</v>
      </c>
      <c r="X49" s="1069">
        <v>12</v>
      </c>
      <c r="Y49" s="1070" t="s">
        <v>209</v>
      </c>
      <c r="Z49" s="1071" t="s">
        <v>2365</v>
      </c>
      <c r="AA49" s="1072" t="s">
        <v>2260</v>
      </c>
      <c r="AB49" s="1073">
        <v>1</v>
      </c>
      <c r="AC49" s="1073" t="s">
        <v>2260</v>
      </c>
      <c r="AD49" s="1073" t="s">
        <v>2260</v>
      </c>
      <c r="AE49" s="1073" t="s">
        <v>2260</v>
      </c>
      <c r="AF49" s="1073" t="s">
        <v>2260</v>
      </c>
      <c r="AG49" s="1073" t="s">
        <v>2260</v>
      </c>
      <c r="AH49" s="1073" t="s">
        <v>2260</v>
      </c>
      <c r="AI49" s="1074">
        <f t="shared" si="0"/>
        <v>1</v>
      </c>
      <c r="AJ49" s="1075" t="s">
        <v>1846</v>
      </c>
      <c r="AK49" s="1075" t="s">
        <v>1826</v>
      </c>
      <c r="AL49" s="1075" t="s">
        <v>1827</v>
      </c>
      <c r="AM49" s="1076" t="s">
        <v>2176</v>
      </c>
      <c r="AN49" s="987" t="s">
        <v>321</v>
      </c>
      <c r="AO49" s="987" t="s">
        <v>4418</v>
      </c>
      <c r="AP49" s="2042">
        <v>2</v>
      </c>
      <c r="AQ49" s="1045" t="s">
        <v>1838</v>
      </c>
      <c r="AR49" s="1078" t="s">
        <v>209</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210</v>
      </c>
      <c r="CE49" s="1088" t="s">
        <v>210</v>
      </c>
      <c r="CF49" s="1088" t="s">
        <v>210</v>
      </c>
      <c r="CG49" s="1088" t="s">
        <v>210</v>
      </c>
      <c r="CH49" s="1089" t="s">
        <v>210</v>
      </c>
      <c r="CI49" s="1044" t="s">
        <v>2260</v>
      </c>
      <c r="CJ49" s="1045" t="s">
        <v>2260</v>
      </c>
      <c r="CK49" s="1045" t="s">
        <v>2260</v>
      </c>
      <c r="CL49" s="1045" t="s">
        <v>2260</v>
      </c>
      <c r="CM49" s="1086" t="s">
        <v>2260</v>
      </c>
      <c r="CN49" s="1044">
        <v>5.22</v>
      </c>
      <c r="CO49" s="1045">
        <v>5.22</v>
      </c>
      <c r="CP49" s="1045">
        <v>5.22</v>
      </c>
      <c r="CQ49" s="1045">
        <v>5.22</v>
      </c>
      <c r="CR49" s="1086">
        <v>5.22</v>
      </c>
      <c r="CS49" s="1181">
        <v>2.81</v>
      </c>
      <c r="CT49" s="1182">
        <v>2.81</v>
      </c>
      <c r="CU49" s="1182">
        <v>2.81</v>
      </c>
      <c r="CV49" s="1182">
        <v>2.81</v>
      </c>
      <c r="CW49" s="1184">
        <v>2.81</v>
      </c>
      <c r="CX49" s="1044" t="s">
        <v>2260</v>
      </c>
      <c r="CY49" s="1045" t="s">
        <v>2260</v>
      </c>
      <c r="CZ49" s="1045" t="s">
        <v>2260</v>
      </c>
      <c r="DA49" s="1045" t="s">
        <v>2260</v>
      </c>
      <c r="DB49" s="1086" t="s">
        <v>2260</v>
      </c>
      <c r="DC49" s="1045" t="s">
        <v>2260</v>
      </c>
      <c r="DD49" s="1045" t="s">
        <v>2260</v>
      </c>
      <c r="DE49" s="1045" t="s">
        <v>2260</v>
      </c>
      <c r="DF49" s="1045" t="s">
        <v>2260</v>
      </c>
      <c r="DG49" s="1086" t="s">
        <v>2260</v>
      </c>
      <c r="DH49" s="1044" t="s">
        <v>2260</v>
      </c>
      <c r="DI49" s="1045" t="s">
        <v>2260</v>
      </c>
      <c r="DJ49" s="1045" t="s">
        <v>2260</v>
      </c>
      <c r="DK49" s="1045" t="s">
        <v>2260</v>
      </c>
      <c r="DL49" s="1086" t="s">
        <v>2260</v>
      </c>
      <c r="DM49" s="1090">
        <v>-1.3240000000000001</v>
      </c>
      <c r="DN49" s="1091" t="s">
        <v>2260</v>
      </c>
      <c r="DO49" s="1091" t="s">
        <v>2260</v>
      </c>
      <c r="DP49" s="1092" t="s">
        <v>2260</v>
      </c>
      <c r="DQ49" s="1091" t="s">
        <v>2260</v>
      </c>
      <c r="DR49" s="1091" t="s">
        <v>2260</v>
      </c>
      <c r="DS49" s="1091" t="s">
        <v>2260</v>
      </c>
      <c r="DT49" s="1092" t="s">
        <v>2260</v>
      </c>
      <c r="DU49" s="1088" t="s">
        <v>2260</v>
      </c>
      <c r="DV49" s="1093">
        <v>1</v>
      </c>
      <c r="DW49" s="1094" t="s">
        <v>2260</v>
      </c>
    </row>
    <row r="50" spans="1:127" s="382" customFormat="1" ht="15.75" customHeight="1">
      <c r="A50" s="1066" t="s">
        <v>1102</v>
      </c>
      <c r="B50" s="1026">
        <v>41</v>
      </c>
      <c r="C50" s="987"/>
      <c r="D50" s="987"/>
      <c r="E50" s="987"/>
      <c r="F50" s="987"/>
      <c r="G50" s="987"/>
      <c r="H50" s="987"/>
      <c r="I50" s="987"/>
      <c r="J50" s="987"/>
      <c r="K50" s="987"/>
      <c r="L50" s="987"/>
      <c r="M50" s="1026"/>
      <c r="N50" s="987"/>
      <c r="O50" s="987"/>
      <c r="P50" s="987"/>
      <c r="Q50" s="987"/>
      <c r="R50" s="987"/>
      <c r="S50" s="987"/>
      <c r="T50" s="988"/>
      <c r="U50" s="1067" t="s">
        <v>1097</v>
      </c>
      <c r="V50" s="1068" t="s">
        <v>2361</v>
      </c>
      <c r="W50" s="1068" t="s">
        <v>2217</v>
      </c>
      <c r="X50" s="1069">
        <v>13</v>
      </c>
      <c r="Y50" s="1070" t="s">
        <v>795</v>
      </c>
      <c r="Z50" s="1071" t="s">
        <v>2367</v>
      </c>
      <c r="AA50" s="1072" t="s">
        <v>2260</v>
      </c>
      <c r="AB50" s="1073" t="s">
        <v>2260</v>
      </c>
      <c r="AC50" s="1073">
        <v>1</v>
      </c>
      <c r="AD50" s="1073" t="s">
        <v>2260</v>
      </c>
      <c r="AE50" s="1073" t="s">
        <v>2260</v>
      </c>
      <c r="AF50" s="1073" t="s">
        <v>2260</v>
      </c>
      <c r="AG50" s="1073" t="s">
        <v>2260</v>
      </c>
      <c r="AH50" s="1073" t="s">
        <v>2260</v>
      </c>
      <c r="AI50" s="1074">
        <f t="shared" si="0"/>
        <v>1</v>
      </c>
      <c r="AJ50" s="1075" t="s">
        <v>1846</v>
      </c>
      <c r="AK50" s="1075" t="s">
        <v>1826</v>
      </c>
      <c r="AL50" s="1075" t="s">
        <v>1827</v>
      </c>
      <c r="AM50" s="1076" t="s">
        <v>2368</v>
      </c>
      <c r="AN50" s="987" t="s">
        <v>2439</v>
      </c>
      <c r="AO50" s="987" t="s">
        <v>4432</v>
      </c>
      <c r="AP50" s="2041">
        <v>2</v>
      </c>
      <c r="AQ50" s="1077" t="s">
        <v>1838</v>
      </c>
      <c r="AR50" s="1078" t="s">
        <v>795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210</v>
      </c>
      <c r="CE50" s="1088" t="s">
        <v>210</v>
      </c>
      <c r="CF50" s="1088" t="s">
        <v>210</v>
      </c>
      <c r="CG50" s="1088" t="s">
        <v>210</v>
      </c>
      <c r="CH50" s="1089" t="s">
        <v>210</v>
      </c>
      <c r="CI50" s="1044" t="s">
        <v>2260</v>
      </c>
      <c r="CJ50" s="1045" t="s">
        <v>2260</v>
      </c>
      <c r="CK50" s="1045" t="s">
        <v>2260</v>
      </c>
      <c r="CL50" s="1045" t="s">
        <v>2260</v>
      </c>
      <c r="CM50" s="1086" t="s">
        <v>2260</v>
      </c>
      <c r="CN50" s="1044">
        <v>7.86</v>
      </c>
      <c r="CO50" s="1045">
        <v>7.86</v>
      </c>
      <c r="CP50" s="1045">
        <v>7.76</v>
      </c>
      <c r="CQ50" s="1045">
        <v>7.76</v>
      </c>
      <c r="CR50" s="1086">
        <v>7.76</v>
      </c>
      <c r="CS50" s="1044" t="s">
        <v>2260</v>
      </c>
      <c r="CT50" s="1045" t="s">
        <v>2260</v>
      </c>
      <c r="CU50" s="1045" t="s">
        <v>2260</v>
      </c>
      <c r="CV50" s="1045" t="s">
        <v>2260</v>
      </c>
      <c r="CW50" s="1086" t="s">
        <v>2260</v>
      </c>
      <c r="CX50" s="1044" t="s">
        <v>2260</v>
      </c>
      <c r="CY50" s="1045" t="s">
        <v>2260</v>
      </c>
      <c r="CZ50" s="1045" t="s">
        <v>2260</v>
      </c>
      <c r="DA50" s="1045" t="s">
        <v>2260</v>
      </c>
      <c r="DB50" s="1086" t="s">
        <v>2260</v>
      </c>
      <c r="DC50" s="1045" t="s">
        <v>2260</v>
      </c>
      <c r="DD50" s="1045" t="s">
        <v>2260</v>
      </c>
      <c r="DE50" s="1045" t="s">
        <v>2260</v>
      </c>
      <c r="DF50" s="1045" t="s">
        <v>2260</v>
      </c>
      <c r="DG50" s="1086" t="s">
        <v>2260</v>
      </c>
      <c r="DH50" s="1044" t="s">
        <v>2260</v>
      </c>
      <c r="DI50" s="1045" t="s">
        <v>2260</v>
      </c>
      <c r="DJ50" s="1045" t="s">
        <v>2260</v>
      </c>
      <c r="DK50" s="1045" t="s">
        <v>2260</v>
      </c>
      <c r="DL50" s="1086" t="s">
        <v>2260</v>
      </c>
      <c r="DM50" s="1090">
        <v>-2.298</v>
      </c>
      <c r="DN50" s="1091" t="s">
        <v>2260</v>
      </c>
      <c r="DO50" s="1091" t="s">
        <v>2260</v>
      </c>
      <c r="DP50" s="1092" t="s">
        <v>2260</v>
      </c>
      <c r="DQ50" s="1091" t="s">
        <v>2260</v>
      </c>
      <c r="DR50" s="1091" t="s">
        <v>2260</v>
      </c>
      <c r="DS50" s="1091" t="s">
        <v>2260</v>
      </c>
      <c r="DT50" s="1092" t="s">
        <v>2260</v>
      </c>
      <c r="DU50" s="1088" t="s">
        <v>2260</v>
      </c>
      <c r="DV50" s="1093">
        <v>1</v>
      </c>
      <c r="DW50" s="1094" t="s">
        <v>2260</v>
      </c>
    </row>
    <row r="51" spans="1:127" s="382" customFormat="1" ht="15.75" customHeight="1">
      <c r="A51" s="1066" t="s">
        <v>1102</v>
      </c>
      <c r="B51" s="1026">
        <v>42</v>
      </c>
      <c r="C51" s="987"/>
      <c r="D51" s="987"/>
      <c r="E51" s="987"/>
      <c r="F51" s="987"/>
      <c r="G51" s="987"/>
      <c r="H51" s="987"/>
      <c r="I51" s="987"/>
      <c r="J51" s="987"/>
      <c r="K51" s="987"/>
      <c r="L51" s="987"/>
      <c r="M51" s="1026"/>
      <c r="N51" s="987"/>
      <c r="O51" s="987"/>
      <c r="P51" s="987"/>
      <c r="Q51" s="987"/>
      <c r="R51" s="987"/>
      <c r="S51" s="987"/>
      <c r="T51" s="988"/>
      <c r="U51" s="1067" t="s">
        <v>1098</v>
      </c>
      <c r="V51" s="1068" t="s">
        <v>2361</v>
      </c>
      <c r="W51" s="1068" t="s">
        <v>2217</v>
      </c>
      <c r="X51" s="1069">
        <v>14</v>
      </c>
      <c r="Y51" s="1070" t="s">
        <v>1085</v>
      </c>
      <c r="Z51" s="1071" t="s">
        <v>2370</v>
      </c>
      <c r="AA51" s="1072" t="s">
        <v>2260</v>
      </c>
      <c r="AB51" s="1073">
        <v>0.39</v>
      </c>
      <c r="AC51" s="1073">
        <v>0.61</v>
      </c>
      <c r="AD51" s="1073" t="s">
        <v>2260</v>
      </c>
      <c r="AE51" s="1073" t="s">
        <v>2260</v>
      </c>
      <c r="AF51" s="1073" t="s">
        <v>2260</v>
      </c>
      <c r="AG51" s="1073" t="s">
        <v>2260</v>
      </c>
      <c r="AH51" s="1073" t="s">
        <v>2260</v>
      </c>
      <c r="AI51" s="1074">
        <f t="shared" si="0"/>
        <v>1</v>
      </c>
      <c r="AJ51" s="1075" t="s">
        <v>1846</v>
      </c>
      <c r="AK51" s="1075" t="s">
        <v>1826</v>
      </c>
      <c r="AL51" s="1075" t="s">
        <v>1827</v>
      </c>
      <c r="AM51" s="1076" t="s">
        <v>2371</v>
      </c>
      <c r="AN51" s="987" t="s">
        <v>321</v>
      </c>
      <c r="AO51" s="987" t="s">
        <v>2649</v>
      </c>
      <c r="AP51" s="2042">
        <v>2</v>
      </c>
      <c r="AQ51" s="1045" t="s">
        <v>1828</v>
      </c>
      <c r="AR51" s="1078" t="s">
        <v>1085</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210</v>
      </c>
      <c r="CE51" s="1088" t="s">
        <v>210</v>
      </c>
      <c r="CF51" s="1088" t="s">
        <v>210</v>
      </c>
      <c r="CG51" s="1088" t="s">
        <v>210</v>
      </c>
      <c r="CH51" s="1089" t="s">
        <v>210</v>
      </c>
      <c r="CI51" s="1044" t="s">
        <v>2260</v>
      </c>
      <c r="CJ51" s="1045" t="s">
        <v>2260</v>
      </c>
      <c r="CK51" s="1045" t="s">
        <v>2260</v>
      </c>
      <c r="CL51" s="1045" t="s">
        <v>2260</v>
      </c>
      <c r="CM51" s="1086" t="s">
        <v>2260</v>
      </c>
      <c r="CN51" s="1044">
        <v>95.4</v>
      </c>
      <c r="CO51" s="1045">
        <v>95.4</v>
      </c>
      <c r="CP51" s="1045">
        <v>95.4</v>
      </c>
      <c r="CQ51" s="1045">
        <v>95.4</v>
      </c>
      <c r="CR51" s="1086">
        <v>95.4</v>
      </c>
      <c r="CS51" s="1044">
        <v>99</v>
      </c>
      <c r="CT51" s="1045">
        <v>99</v>
      </c>
      <c r="CU51" s="1045">
        <v>99</v>
      </c>
      <c r="CV51" s="1045">
        <v>99</v>
      </c>
      <c r="CW51" s="1086">
        <v>99</v>
      </c>
      <c r="CX51" s="1044" t="s">
        <v>2260</v>
      </c>
      <c r="CY51" s="1045" t="s">
        <v>2260</v>
      </c>
      <c r="CZ51" s="1045" t="s">
        <v>2260</v>
      </c>
      <c r="DA51" s="1045" t="s">
        <v>2260</v>
      </c>
      <c r="DB51" s="1086" t="s">
        <v>2260</v>
      </c>
      <c r="DC51" s="1045" t="s">
        <v>2260</v>
      </c>
      <c r="DD51" s="1045" t="s">
        <v>2260</v>
      </c>
      <c r="DE51" s="1045" t="s">
        <v>2260</v>
      </c>
      <c r="DF51" s="1045" t="s">
        <v>2260</v>
      </c>
      <c r="DG51" s="1086" t="s">
        <v>2260</v>
      </c>
      <c r="DH51" s="1044" t="s">
        <v>2260</v>
      </c>
      <c r="DI51" s="1045" t="s">
        <v>2260</v>
      </c>
      <c r="DJ51" s="1045" t="s">
        <v>2260</v>
      </c>
      <c r="DK51" s="1045" t="s">
        <v>2260</v>
      </c>
      <c r="DL51" s="1086" t="s">
        <v>2260</v>
      </c>
      <c r="DM51" s="1090">
        <v>-1.3480000000000001</v>
      </c>
      <c r="DN51" s="1091" t="s">
        <v>2260</v>
      </c>
      <c r="DO51" s="1091" t="s">
        <v>2260</v>
      </c>
      <c r="DP51" s="1092" t="s">
        <v>2260</v>
      </c>
      <c r="DQ51" s="1091" t="s">
        <v>2260</v>
      </c>
      <c r="DR51" s="1091" t="s">
        <v>2260</v>
      </c>
      <c r="DS51" s="1091" t="s">
        <v>2260</v>
      </c>
      <c r="DT51" s="1092" t="s">
        <v>2260</v>
      </c>
      <c r="DU51" s="1088" t="s">
        <v>2260</v>
      </c>
      <c r="DV51" s="1093">
        <v>1</v>
      </c>
      <c r="DW51" s="1094" t="s">
        <v>2260</v>
      </c>
    </row>
    <row r="52" spans="1:127" s="382" customFormat="1" ht="15.75" customHeight="1">
      <c r="A52" s="1066" t="s">
        <v>1102</v>
      </c>
      <c r="B52" s="1026">
        <v>43</v>
      </c>
      <c r="C52" s="987"/>
      <c r="D52" s="987"/>
      <c r="E52" s="987"/>
      <c r="F52" s="987"/>
      <c r="G52" s="987"/>
      <c r="H52" s="987"/>
      <c r="I52" s="987"/>
      <c r="J52" s="987"/>
      <c r="K52" s="987"/>
      <c r="L52" s="987"/>
      <c r="M52" s="1026"/>
      <c r="N52" s="987"/>
      <c r="O52" s="987"/>
      <c r="P52" s="987"/>
      <c r="Q52" s="987"/>
      <c r="R52" s="987"/>
      <c r="S52" s="987"/>
      <c r="T52" s="988"/>
      <c r="U52" s="1067" t="s">
        <v>1305</v>
      </c>
      <c r="V52" s="1068" t="s">
        <v>2356</v>
      </c>
      <c r="W52" s="1068" t="s">
        <v>2223</v>
      </c>
      <c r="X52" s="1069">
        <v>15</v>
      </c>
      <c r="Y52" s="1070" t="s">
        <v>2373</v>
      </c>
      <c r="Z52" s="1071" t="s">
        <v>2374</v>
      </c>
      <c r="AA52" s="1072" t="s">
        <v>2260</v>
      </c>
      <c r="AB52" s="1073">
        <v>1</v>
      </c>
      <c r="AC52" s="1073" t="s">
        <v>2260</v>
      </c>
      <c r="AD52" s="1073" t="s">
        <v>2260</v>
      </c>
      <c r="AE52" s="1073" t="s">
        <v>2260</v>
      </c>
      <c r="AF52" s="1073" t="s">
        <v>2260</v>
      </c>
      <c r="AG52" s="1073" t="s">
        <v>2260</v>
      </c>
      <c r="AH52" s="1073" t="s">
        <v>2260</v>
      </c>
      <c r="AI52" s="1074">
        <f t="shared" si="0"/>
        <v>1</v>
      </c>
      <c r="AJ52" s="1075" t="s">
        <v>1846</v>
      </c>
      <c r="AK52" s="1075" t="s">
        <v>1826</v>
      </c>
      <c r="AL52" s="1075" t="s">
        <v>1827</v>
      </c>
      <c r="AM52" s="1076" t="s">
        <v>2234</v>
      </c>
      <c r="AN52" s="987" t="s">
        <v>321</v>
      </c>
      <c r="AO52" s="987" t="s">
        <v>2375</v>
      </c>
      <c r="AP52" s="1039">
        <v>1</v>
      </c>
      <c r="AQ52" s="1077" t="s">
        <v>1838</v>
      </c>
      <c r="AR52" s="1078" t="s">
        <v>2260</v>
      </c>
      <c r="AS52" s="1079"/>
      <c r="AT52" s="1069"/>
      <c r="AU52" s="1069"/>
      <c r="AV52" s="1069"/>
      <c r="AW52" s="1080"/>
      <c r="AX52" s="1081"/>
      <c r="AY52" s="1044"/>
      <c r="AZ52" s="1045"/>
      <c r="BA52" s="1045"/>
      <c r="BB52" s="1045"/>
      <c r="BC52" s="1045"/>
      <c r="BD52" s="1045"/>
      <c r="BE52" s="1045"/>
      <c r="BF52" s="1045"/>
      <c r="BG52" s="1045"/>
      <c r="BH52" s="1045"/>
      <c r="BI52" s="1369"/>
      <c r="BJ52" s="1319"/>
      <c r="BK52" s="1319"/>
      <c r="BL52" s="1319"/>
      <c r="BM52" s="1319"/>
      <c r="BN52" s="1044"/>
      <c r="BO52" s="1045"/>
      <c r="BP52" s="1045"/>
      <c r="BQ52" s="1045"/>
      <c r="BR52" s="1045"/>
      <c r="BS52" s="1084"/>
      <c r="BT52" s="1045"/>
      <c r="BU52" s="1045"/>
      <c r="BV52" s="1045"/>
      <c r="BW52" s="1085"/>
      <c r="BX52" s="1084"/>
      <c r="BY52" s="1045"/>
      <c r="BZ52" s="1045"/>
      <c r="CA52" s="1045"/>
      <c r="CB52" s="1085"/>
      <c r="CC52" s="1086"/>
      <c r="CD52" s="1327"/>
      <c r="CE52" s="1328"/>
      <c r="CF52" s="1328"/>
      <c r="CG52" s="1328"/>
      <c r="CH52" s="1389"/>
      <c r="CI52" s="1369"/>
      <c r="CJ52" s="1319"/>
      <c r="CK52" s="1319"/>
      <c r="CL52" s="1319"/>
      <c r="CM52" s="1320"/>
      <c r="CN52" s="1369"/>
      <c r="CO52" s="1319"/>
      <c r="CP52" s="1319"/>
      <c r="CQ52" s="1319"/>
      <c r="CR52" s="1320"/>
      <c r="CS52" s="1369"/>
      <c r="CT52" s="1319"/>
      <c r="CU52" s="1319"/>
      <c r="CV52" s="1319"/>
      <c r="CW52" s="1320"/>
      <c r="CX52" s="1369"/>
      <c r="CY52" s="1319"/>
      <c r="CZ52" s="1319"/>
      <c r="DA52" s="1319"/>
      <c r="DB52" s="1320"/>
      <c r="DC52" s="1319"/>
      <c r="DD52" s="1319"/>
      <c r="DE52" s="1319"/>
      <c r="DF52" s="1319"/>
      <c r="DG52" s="1320"/>
      <c r="DH52" s="1369"/>
      <c r="DI52" s="1319"/>
      <c r="DJ52" s="1319"/>
      <c r="DK52" s="1319"/>
      <c r="DL52" s="1320"/>
      <c r="DM52" s="1743"/>
      <c r="DN52" s="1744"/>
      <c r="DO52" s="1744"/>
      <c r="DP52" s="1745"/>
      <c r="DQ52" s="1744"/>
      <c r="DR52" s="1744"/>
      <c r="DS52" s="1744"/>
      <c r="DT52" s="1745"/>
      <c r="DU52" s="1328"/>
      <c r="DV52" s="1664"/>
      <c r="DW52" s="1746"/>
    </row>
    <row r="53" spans="1:127" s="382" customFormat="1" ht="15.75" customHeight="1">
      <c r="A53" s="1066" t="s">
        <v>1102</v>
      </c>
      <c r="B53" s="1026">
        <v>44</v>
      </c>
      <c r="C53" s="987"/>
      <c r="D53" s="987"/>
      <c r="E53" s="987"/>
      <c r="F53" s="987"/>
      <c r="G53" s="987"/>
      <c r="H53" s="987"/>
      <c r="I53" s="987"/>
      <c r="J53" s="987"/>
      <c r="K53" s="987"/>
      <c r="L53" s="987"/>
      <c r="M53" s="1026"/>
      <c r="N53" s="987"/>
      <c r="O53" s="987"/>
      <c r="P53" s="987"/>
      <c r="Q53" s="987"/>
      <c r="R53" s="987"/>
      <c r="S53" s="987"/>
      <c r="T53" s="988"/>
      <c r="U53" s="1067" t="s">
        <v>1322</v>
      </c>
      <c r="V53" s="1068" t="s">
        <v>2361</v>
      </c>
      <c r="W53" s="1068" t="s">
        <v>2217</v>
      </c>
      <c r="X53" s="1069">
        <v>16</v>
      </c>
      <c r="Y53" s="1070" t="s">
        <v>2376</v>
      </c>
      <c r="Z53" s="1071" t="s">
        <v>2377</v>
      </c>
      <c r="AA53" s="1072" t="s">
        <v>2260</v>
      </c>
      <c r="AB53" s="1073">
        <v>1</v>
      </c>
      <c r="AC53" s="1073" t="s">
        <v>2260</v>
      </c>
      <c r="AD53" s="1073" t="s">
        <v>2260</v>
      </c>
      <c r="AE53" s="1073" t="s">
        <v>2260</v>
      </c>
      <c r="AF53" s="1073" t="s">
        <v>2260</v>
      </c>
      <c r="AG53" s="1073" t="s">
        <v>2260</v>
      </c>
      <c r="AH53" s="1073" t="s">
        <v>2260</v>
      </c>
      <c r="AI53" s="1074">
        <f t="shared" si="0"/>
        <v>1</v>
      </c>
      <c r="AJ53" s="1075" t="s">
        <v>1852</v>
      </c>
      <c r="AK53" s="1075" t="s">
        <v>1826</v>
      </c>
      <c r="AL53" s="1075" t="s">
        <v>1827</v>
      </c>
      <c r="AM53" s="1076" t="s">
        <v>2295</v>
      </c>
      <c r="AN53" s="987" t="s">
        <v>2439</v>
      </c>
      <c r="AO53" s="987" t="s">
        <v>4421</v>
      </c>
      <c r="AP53" s="1039">
        <v>0</v>
      </c>
      <c r="AQ53" s="1077" t="s">
        <v>1838</v>
      </c>
      <c r="AR53" s="1078"/>
      <c r="AS53" s="1079"/>
      <c r="AT53" s="1069"/>
      <c r="AU53" s="1069"/>
      <c r="AV53" s="1069"/>
      <c r="AW53" s="1080"/>
      <c r="AX53" s="1081"/>
      <c r="AY53" s="1044"/>
      <c r="AZ53" s="1045"/>
      <c r="BA53" s="1045"/>
      <c r="BB53" s="1045"/>
      <c r="BC53" s="1045"/>
      <c r="BD53" s="1045"/>
      <c r="BE53" s="1045"/>
      <c r="BF53" s="1045"/>
      <c r="BG53" s="1045"/>
      <c r="BH53" s="1045"/>
      <c r="BI53" s="1369"/>
      <c r="BJ53" s="1319"/>
      <c r="BK53" s="1319"/>
      <c r="BL53" s="1319"/>
      <c r="BM53" s="1319"/>
      <c r="BN53" s="1044"/>
      <c r="BO53" s="1045"/>
      <c r="BP53" s="1045"/>
      <c r="BQ53" s="1045"/>
      <c r="BR53" s="1045"/>
      <c r="BS53" s="1084"/>
      <c r="BT53" s="1045"/>
      <c r="BU53" s="1045"/>
      <c r="BV53" s="1045"/>
      <c r="BW53" s="1085"/>
      <c r="BX53" s="1084"/>
      <c r="BY53" s="1045"/>
      <c r="BZ53" s="1045"/>
      <c r="CA53" s="1045"/>
      <c r="CB53" s="1085"/>
      <c r="CC53" s="1086"/>
      <c r="CD53" s="1327"/>
      <c r="CE53" s="1328"/>
      <c r="CF53" s="1328"/>
      <c r="CG53" s="1328"/>
      <c r="CH53" s="1389"/>
      <c r="CI53" s="1369"/>
      <c r="CJ53" s="1319"/>
      <c r="CK53" s="1319"/>
      <c r="CL53" s="1319"/>
      <c r="CM53" s="1320"/>
      <c r="CN53" s="1369"/>
      <c r="CO53" s="1319"/>
      <c r="CP53" s="1319"/>
      <c r="CQ53" s="1319"/>
      <c r="CR53" s="1320"/>
      <c r="CS53" s="1369"/>
      <c r="CT53" s="1319"/>
      <c r="CU53" s="1319"/>
      <c r="CV53" s="1319"/>
      <c r="CW53" s="1320"/>
      <c r="CX53" s="1369"/>
      <c r="CY53" s="1319"/>
      <c r="CZ53" s="1319"/>
      <c r="DA53" s="1319"/>
      <c r="DB53" s="1320"/>
      <c r="DC53" s="1319"/>
      <c r="DD53" s="1319"/>
      <c r="DE53" s="1319"/>
      <c r="DF53" s="1319"/>
      <c r="DG53" s="1320"/>
      <c r="DH53" s="1369"/>
      <c r="DI53" s="1319"/>
      <c r="DJ53" s="1319"/>
      <c r="DK53" s="1319"/>
      <c r="DL53" s="1320"/>
      <c r="DM53" s="1743"/>
      <c r="DN53" s="1744"/>
      <c r="DO53" s="1744"/>
      <c r="DP53" s="1745"/>
      <c r="DQ53" s="1744"/>
      <c r="DR53" s="1744"/>
      <c r="DS53" s="1744"/>
      <c r="DT53" s="1745"/>
      <c r="DU53" s="1328"/>
      <c r="DV53" s="1664"/>
      <c r="DW53" s="1746"/>
    </row>
    <row r="54" spans="1:127" s="382" customFormat="1" ht="15.75" customHeight="1">
      <c r="A54" s="1066" t="s">
        <v>1102</v>
      </c>
      <c r="B54" s="1026">
        <v>45</v>
      </c>
      <c r="C54" s="987"/>
      <c r="D54" s="987"/>
      <c r="E54" s="987"/>
      <c r="F54" s="987"/>
      <c r="G54" s="987"/>
      <c r="H54" s="987"/>
      <c r="I54" s="987"/>
      <c r="J54" s="987"/>
      <c r="K54" s="987"/>
      <c r="L54" s="987"/>
      <c r="M54" s="1026"/>
      <c r="N54" s="987"/>
      <c r="O54" s="987"/>
      <c r="P54" s="987"/>
      <c r="Q54" s="987"/>
      <c r="R54" s="987"/>
      <c r="S54" s="987"/>
      <c r="T54" s="988"/>
      <c r="U54" s="1067" t="s">
        <v>1495</v>
      </c>
      <c r="V54" s="1068" t="s">
        <v>2361</v>
      </c>
      <c r="W54" s="1068" t="s">
        <v>2217</v>
      </c>
      <c r="X54" s="1069">
        <v>17</v>
      </c>
      <c r="Y54" s="1070" t="s">
        <v>2378</v>
      </c>
      <c r="Z54" s="1071" t="s">
        <v>2379</v>
      </c>
      <c r="AA54" s="1072" t="s">
        <v>2260</v>
      </c>
      <c r="AB54" s="1073" t="s">
        <v>2260</v>
      </c>
      <c r="AC54" s="1073">
        <v>1</v>
      </c>
      <c r="AD54" s="1073" t="s">
        <v>2260</v>
      </c>
      <c r="AE54" s="1073" t="s">
        <v>2260</v>
      </c>
      <c r="AF54" s="1073" t="s">
        <v>2260</v>
      </c>
      <c r="AG54" s="1073" t="s">
        <v>2260</v>
      </c>
      <c r="AH54" s="1073" t="s">
        <v>2260</v>
      </c>
      <c r="AI54" s="1074">
        <f t="shared" si="0"/>
        <v>1</v>
      </c>
      <c r="AJ54" s="1075" t="s">
        <v>1852</v>
      </c>
      <c r="AK54" s="1075" t="s">
        <v>1826</v>
      </c>
      <c r="AL54" s="1075" t="s">
        <v>1827</v>
      </c>
      <c r="AM54" s="1076" t="s">
        <v>2351</v>
      </c>
      <c r="AN54" s="987" t="s">
        <v>2439</v>
      </c>
      <c r="AO54" s="987" t="s">
        <v>4197</v>
      </c>
      <c r="AP54" s="1039">
        <v>0</v>
      </c>
      <c r="AQ54" s="1077" t="s">
        <v>1838</v>
      </c>
      <c r="AR54" s="1078"/>
      <c r="AS54" s="1079"/>
      <c r="AT54" s="1069"/>
      <c r="AU54" s="1069"/>
      <c r="AV54" s="1069"/>
      <c r="AW54" s="1080"/>
      <c r="AX54" s="1081"/>
      <c r="AY54" s="1044"/>
      <c r="AZ54" s="1045"/>
      <c r="BA54" s="1045"/>
      <c r="BB54" s="1045"/>
      <c r="BC54" s="1045"/>
      <c r="BD54" s="1045"/>
      <c r="BE54" s="1045"/>
      <c r="BF54" s="1045"/>
      <c r="BG54" s="1045"/>
      <c r="BH54" s="1045"/>
      <c r="BI54" s="1370"/>
      <c r="BJ54" s="1324"/>
      <c r="BK54" s="1324"/>
      <c r="BL54" s="1324"/>
      <c r="BM54" s="1324"/>
      <c r="BN54" s="1044"/>
      <c r="BO54" s="1045"/>
      <c r="BP54" s="1045"/>
      <c r="BQ54" s="1045"/>
      <c r="BR54" s="1045"/>
      <c r="BS54" s="1084"/>
      <c r="BT54" s="1045"/>
      <c r="BU54" s="1045"/>
      <c r="BV54" s="1045"/>
      <c r="BW54" s="1085"/>
      <c r="BX54" s="1084"/>
      <c r="BY54" s="1045"/>
      <c r="BZ54" s="1045"/>
      <c r="CA54" s="1045"/>
      <c r="CB54" s="1085"/>
      <c r="CC54" s="1086"/>
      <c r="CD54" s="1327"/>
      <c r="CE54" s="1328"/>
      <c r="CF54" s="1328"/>
      <c r="CG54" s="1328"/>
      <c r="CH54" s="1389"/>
      <c r="CI54" s="1369"/>
      <c r="CJ54" s="1319"/>
      <c r="CK54" s="1319"/>
      <c r="CL54" s="1319"/>
      <c r="CM54" s="1320"/>
      <c r="CN54" s="1369"/>
      <c r="CO54" s="1319"/>
      <c r="CP54" s="1319"/>
      <c r="CQ54" s="1319"/>
      <c r="CR54" s="1320"/>
      <c r="CS54" s="1369"/>
      <c r="CT54" s="1319"/>
      <c r="CU54" s="1319"/>
      <c r="CV54" s="1319"/>
      <c r="CW54" s="1320"/>
      <c r="CX54" s="1369"/>
      <c r="CY54" s="1319"/>
      <c r="CZ54" s="1319"/>
      <c r="DA54" s="1319"/>
      <c r="DB54" s="1320"/>
      <c r="DC54" s="1319"/>
      <c r="DD54" s="1319"/>
      <c r="DE54" s="1319"/>
      <c r="DF54" s="1319"/>
      <c r="DG54" s="1320"/>
      <c r="DH54" s="1369"/>
      <c r="DI54" s="1319"/>
      <c r="DJ54" s="1319"/>
      <c r="DK54" s="1319"/>
      <c r="DL54" s="1320"/>
      <c r="DM54" s="1743"/>
      <c r="DN54" s="1744"/>
      <c r="DO54" s="1744"/>
      <c r="DP54" s="1745"/>
      <c r="DQ54" s="1744"/>
      <c r="DR54" s="1744"/>
      <c r="DS54" s="1744"/>
      <c r="DT54" s="1745"/>
      <c r="DU54" s="1328"/>
      <c r="DV54" s="1664"/>
      <c r="DW54" s="1746"/>
    </row>
    <row r="55" spans="1:127" s="382" customFormat="1" ht="15.75" customHeight="1">
      <c r="A55" s="1066" t="s">
        <v>1102</v>
      </c>
      <c r="B55" s="1026">
        <v>46</v>
      </c>
      <c r="C55" s="987"/>
      <c r="D55" s="987"/>
      <c r="E55" s="987"/>
      <c r="F55" s="987"/>
      <c r="G55" s="987"/>
      <c r="H55" s="987"/>
      <c r="I55" s="987"/>
      <c r="J55" s="987"/>
      <c r="K55" s="987"/>
      <c r="L55" s="987"/>
      <c r="M55" s="1026"/>
      <c r="N55" s="987"/>
      <c r="O55" s="987"/>
      <c r="P55" s="987"/>
      <c r="Q55" s="987"/>
      <c r="R55" s="987"/>
      <c r="S55" s="987"/>
      <c r="T55" s="988"/>
      <c r="U55" s="1067" t="s">
        <v>1588</v>
      </c>
      <c r="V55" s="1068" t="s">
        <v>2361</v>
      </c>
      <c r="W55" s="1068" t="s">
        <v>2217</v>
      </c>
      <c r="X55" s="1069">
        <v>18</v>
      </c>
      <c r="Y55" s="1070" t="s">
        <v>2382</v>
      </c>
      <c r="Z55" s="1071" t="s">
        <v>2383</v>
      </c>
      <c r="AA55" s="1072" t="s">
        <v>2260</v>
      </c>
      <c r="AB55" s="1073">
        <v>1</v>
      </c>
      <c r="AC55" s="1073" t="s">
        <v>2260</v>
      </c>
      <c r="AD55" s="1073" t="s">
        <v>2260</v>
      </c>
      <c r="AE55" s="1073" t="s">
        <v>2260</v>
      </c>
      <c r="AF55" s="1073" t="s">
        <v>2260</v>
      </c>
      <c r="AG55" s="1073" t="s">
        <v>2260</v>
      </c>
      <c r="AH55" s="1073" t="s">
        <v>2260</v>
      </c>
      <c r="AI55" s="1074">
        <f t="shared" si="0"/>
        <v>1</v>
      </c>
      <c r="AJ55" s="1075" t="s">
        <v>1825</v>
      </c>
      <c r="AK55" s="1075" t="s">
        <v>2260</v>
      </c>
      <c r="AL55" s="1075" t="s">
        <v>2260</v>
      </c>
      <c r="AM55" s="1076" t="s">
        <v>2363</v>
      </c>
      <c r="AN55" s="987" t="s">
        <v>1857</v>
      </c>
      <c r="AO55" s="987" t="s">
        <v>2384</v>
      </c>
      <c r="AP55" s="1039">
        <v>0</v>
      </c>
      <c r="AQ55" s="1077" t="s">
        <v>1838</v>
      </c>
      <c r="AR55" s="1078" t="s">
        <v>2260</v>
      </c>
      <c r="AS55" s="1079"/>
      <c r="AT55" s="1069"/>
      <c r="AU55" s="1069"/>
      <c r="AV55" s="1069"/>
      <c r="AW55" s="1080"/>
      <c r="AX55" s="1081"/>
      <c r="AY55" s="1044"/>
      <c r="AZ55" s="1045"/>
      <c r="BA55" s="1045"/>
      <c r="BB55" s="1045"/>
      <c r="BC55" s="1045"/>
      <c r="BD55" s="1045"/>
      <c r="BE55" s="1045"/>
      <c r="BF55" s="1045"/>
      <c r="BG55" s="1045"/>
      <c r="BH55" s="1045"/>
      <c r="BI55" s="1369"/>
      <c r="BJ55" s="1319"/>
      <c r="BK55" s="1319"/>
      <c r="BL55" s="1319"/>
      <c r="BM55" s="1319"/>
      <c r="BN55" s="1044"/>
      <c r="BO55" s="1045"/>
      <c r="BP55" s="1045"/>
      <c r="BQ55" s="1045"/>
      <c r="BR55" s="1045"/>
      <c r="BS55" s="1084"/>
      <c r="BT55" s="1045"/>
      <c r="BU55" s="1045"/>
      <c r="BV55" s="1045"/>
      <c r="BW55" s="1085"/>
      <c r="BX55" s="1084"/>
      <c r="BY55" s="1045"/>
      <c r="BZ55" s="1045"/>
      <c r="CA55" s="1045"/>
      <c r="CB55" s="1085"/>
      <c r="CC55" s="1086"/>
      <c r="CD55" s="1327"/>
      <c r="CE55" s="1328"/>
      <c r="CF55" s="1328"/>
      <c r="CG55" s="1328"/>
      <c r="CH55" s="1389"/>
      <c r="CI55" s="1369"/>
      <c r="CJ55" s="1319"/>
      <c r="CK55" s="1319"/>
      <c r="CL55" s="1319"/>
      <c r="CM55" s="1320"/>
      <c r="CN55" s="1369"/>
      <c r="CO55" s="1319"/>
      <c r="CP55" s="1319"/>
      <c r="CQ55" s="1319"/>
      <c r="CR55" s="1320"/>
      <c r="CS55" s="1369"/>
      <c r="CT55" s="1319"/>
      <c r="CU55" s="1319"/>
      <c r="CV55" s="1319"/>
      <c r="CW55" s="1320"/>
      <c r="CX55" s="1369"/>
      <c r="CY55" s="1319"/>
      <c r="CZ55" s="1319"/>
      <c r="DA55" s="1319"/>
      <c r="DB55" s="1320"/>
      <c r="DC55" s="1319"/>
      <c r="DD55" s="1319"/>
      <c r="DE55" s="1319"/>
      <c r="DF55" s="1319"/>
      <c r="DG55" s="1320"/>
      <c r="DH55" s="1369"/>
      <c r="DI55" s="1319"/>
      <c r="DJ55" s="1319"/>
      <c r="DK55" s="1319"/>
      <c r="DL55" s="1320"/>
      <c r="DM55" s="1743"/>
      <c r="DN55" s="1744"/>
      <c r="DO55" s="1744"/>
      <c r="DP55" s="1745"/>
      <c r="DQ55" s="1744"/>
      <c r="DR55" s="1744"/>
      <c r="DS55" s="1744"/>
      <c r="DT55" s="1745"/>
      <c r="DU55" s="1328"/>
      <c r="DV55" s="1664"/>
      <c r="DW55" s="1746"/>
    </row>
    <row r="56" spans="1:127" s="382" customFormat="1" ht="15.75" customHeight="1">
      <c r="A56" s="1066" t="s">
        <v>1102</v>
      </c>
      <c r="B56" s="1026">
        <v>47</v>
      </c>
      <c r="C56" s="987"/>
      <c r="D56" s="987"/>
      <c r="E56" s="987"/>
      <c r="F56" s="987"/>
      <c r="G56" s="987"/>
      <c r="H56" s="987"/>
      <c r="I56" s="987"/>
      <c r="J56" s="987"/>
      <c r="K56" s="987"/>
      <c r="L56" s="987"/>
      <c r="M56" s="1026"/>
      <c r="N56" s="987"/>
      <c r="O56" s="987"/>
      <c r="P56" s="987"/>
      <c r="Q56" s="987"/>
      <c r="R56" s="987"/>
      <c r="S56" s="987"/>
      <c r="T56" s="988"/>
      <c r="U56" s="1067" t="s">
        <v>1506</v>
      </c>
      <c r="V56" s="1068" t="s">
        <v>2353</v>
      </c>
      <c r="W56" s="1068" t="s">
        <v>2217</v>
      </c>
      <c r="X56" s="1069">
        <v>19</v>
      </c>
      <c r="Y56" s="1070" t="s">
        <v>2385</v>
      </c>
      <c r="Z56" s="1071" t="s">
        <v>2386</v>
      </c>
      <c r="AA56" s="1072" t="s">
        <v>2260</v>
      </c>
      <c r="AB56" s="1073" t="s">
        <v>2260</v>
      </c>
      <c r="AC56" s="1073">
        <v>1</v>
      </c>
      <c r="AD56" s="1073" t="s">
        <v>2260</v>
      </c>
      <c r="AE56" s="1073" t="s">
        <v>2260</v>
      </c>
      <c r="AF56" s="1073" t="s">
        <v>2260</v>
      </c>
      <c r="AG56" s="1073" t="s">
        <v>2260</v>
      </c>
      <c r="AH56" s="1073" t="s">
        <v>2260</v>
      </c>
      <c r="AI56" s="1074">
        <f t="shared" si="0"/>
        <v>1</v>
      </c>
      <c r="AJ56" s="1075" t="s">
        <v>1852</v>
      </c>
      <c r="AK56" s="1075" t="s">
        <v>1826</v>
      </c>
      <c r="AL56" s="1075" t="s">
        <v>1837</v>
      </c>
      <c r="AM56" s="1076" t="s">
        <v>2387</v>
      </c>
      <c r="AN56" s="987" t="s">
        <v>1857</v>
      </c>
      <c r="AO56" s="987" t="s">
        <v>2388</v>
      </c>
      <c r="AP56" s="802">
        <v>0</v>
      </c>
      <c r="AQ56" s="1045" t="s">
        <v>1828</v>
      </c>
      <c r="AR56" s="1078" t="s">
        <v>2260</v>
      </c>
      <c r="AS56" s="1079"/>
      <c r="AT56" s="1069"/>
      <c r="AU56" s="1069"/>
      <c r="AV56" s="1069"/>
      <c r="AW56" s="1080"/>
      <c r="AX56" s="1081"/>
      <c r="AY56" s="1044"/>
      <c r="AZ56" s="1045"/>
      <c r="BA56" s="1045"/>
      <c r="BB56" s="1045"/>
      <c r="BC56" s="1045"/>
      <c r="BD56" s="1045"/>
      <c r="BE56" s="1045"/>
      <c r="BF56" s="1045"/>
      <c r="BG56" s="1045"/>
      <c r="BH56" s="1045"/>
      <c r="BI56" s="1369"/>
      <c r="BJ56" s="1319"/>
      <c r="BK56" s="1319"/>
      <c r="BL56" s="1319"/>
      <c r="BM56" s="1319"/>
      <c r="BN56" s="1044"/>
      <c r="BO56" s="1045"/>
      <c r="BP56" s="1045"/>
      <c r="BQ56" s="1045"/>
      <c r="BR56" s="1045"/>
      <c r="BS56" s="1084"/>
      <c r="BT56" s="1045"/>
      <c r="BU56" s="1045"/>
      <c r="BV56" s="1045"/>
      <c r="BW56" s="1085"/>
      <c r="BX56" s="1084"/>
      <c r="BY56" s="1045"/>
      <c r="BZ56" s="1045"/>
      <c r="CA56" s="1045"/>
      <c r="CB56" s="1085"/>
      <c r="CC56" s="1086"/>
      <c r="CD56" s="1327"/>
      <c r="CE56" s="1328"/>
      <c r="CF56" s="1328"/>
      <c r="CG56" s="1328"/>
      <c r="CH56" s="1389"/>
      <c r="CI56" s="1369"/>
      <c r="CJ56" s="1319"/>
      <c r="CK56" s="1319"/>
      <c r="CL56" s="1319"/>
      <c r="CM56" s="1320"/>
      <c r="CN56" s="1369"/>
      <c r="CO56" s="1319"/>
      <c r="CP56" s="1319"/>
      <c r="CQ56" s="1319"/>
      <c r="CR56" s="1320"/>
      <c r="CS56" s="1369"/>
      <c r="CT56" s="1319"/>
      <c r="CU56" s="1319"/>
      <c r="CV56" s="1319"/>
      <c r="CW56" s="1320"/>
      <c r="CX56" s="1369"/>
      <c r="CY56" s="1319"/>
      <c r="CZ56" s="1319"/>
      <c r="DA56" s="1319"/>
      <c r="DB56" s="1320"/>
      <c r="DC56" s="1319"/>
      <c r="DD56" s="1319"/>
      <c r="DE56" s="1319"/>
      <c r="DF56" s="1319"/>
      <c r="DG56" s="1320"/>
      <c r="DH56" s="1369"/>
      <c r="DI56" s="1319"/>
      <c r="DJ56" s="1319"/>
      <c r="DK56" s="1319"/>
      <c r="DL56" s="1320"/>
      <c r="DM56" s="1743"/>
      <c r="DN56" s="1744"/>
      <c r="DO56" s="1744"/>
      <c r="DP56" s="1745"/>
      <c r="DQ56" s="1744"/>
      <c r="DR56" s="1744"/>
      <c r="DS56" s="1744"/>
      <c r="DT56" s="1745"/>
      <c r="DU56" s="1328"/>
      <c r="DV56" s="1664"/>
      <c r="DW56" s="1746"/>
    </row>
    <row r="57" spans="1:127" s="382" customFormat="1" ht="15.75" customHeight="1">
      <c r="A57" s="1066" t="s">
        <v>1102</v>
      </c>
      <c r="B57" s="1026">
        <v>48</v>
      </c>
      <c r="C57" s="987"/>
      <c r="D57" s="987"/>
      <c r="E57" s="987"/>
      <c r="F57" s="987"/>
      <c r="G57" s="987"/>
      <c r="H57" s="987"/>
      <c r="I57" s="987"/>
      <c r="J57" s="987"/>
      <c r="K57" s="987"/>
      <c r="L57" s="987"/>
      <c r="M57" s="1026"/>
      <c r="N57" s="987"/>
      <c r="O57" s="987"/>
      <c r="P57" s="987"/>
      <c r="Q57" s="987"/>
      <c r="R57" s="987"/>
      <c r="S57" s="987"/>
      <c r="T57" s="988"/>
      <c r="U57" s="1067" t="s">
        <v>1339</v>
      </c>
      <c r="V57" s="1068" t="s">
        <v>2353</v>
      </c>
      <c r="W57" s="1068" t="s">
        <v>2231</v>
      </c>
      <c r="X57" s="1069">
        <v>20</v>
      </c>
      <c r="Y57" s="1070" t="s">
        <v>2390</v>
      </c>
      <c r="Z57" s="1071" t="s">
        <v>2391</v>
      </c>
      <c r="AA57" s="1072">
        <v>1</v>
      </c>
      <c r="AB57" s="1073" t="s">
        <v>2260</v>
      </c>
      <c r="AC57" s="1073" t="s">
        <v>2260</v>
      </c>
      <c r="AD57" s="1073" t="s">
        <v>2260</v>
      </c>
      <c r="AE57" s="1073" t="s">
        <v>2260</v>
      </c>
      <c r="AF57" s="1073" t="s">
        <v>2260</v>
      </c>
      <c r="AG57" s="1073" t="s">
        <v>2260</v>
      </c>
      <c r="AH57" s="1073" t="s">
        <v>2260</v>
      </c>
      <c r="AI57" s="1074">
        <f t="shared" si="0"/>
        <v>1</v>
      </c>
      <c r="AJ57" s="1075" t="s">
        <v>1852</v>
      </c>
      <c r="AK57" s="1075" t="s">
        <v>1826</v>
      </c>
      <c r="AL57" s="1075" t="s">
        <v>1827</v>
      </c>
      <c r="AM57" s="1076" t="s">
        <v>2290</v>
      </c>
      <c r="AN57" s="987" t="s">
        <v>1857</v>
      </c>
      <c r="AO57" s="987" t="s">
        <v>2392</v>
      </c>
      <c r="AP57" s="802">
        <v>0</v>
      </c>
      <c r="AQ57" s="1045" t="s">
        <v>1828</v>
      </c>
      <c r="AR57" s="1078" t="s">
        <v>2260</v>
      </c>
      <c r="AS57" s="1079"/>
      <c r="AT57" s="1069"/>
      <c r="AU57" s="1069"/>
      <c r="AV57" s="1069"/>
      <c r="AW57" s="1080"/>
      <c r="AX57" s="1081"/>
      <c r="AY57" s="1044"/>
      <c r="AZ57" s="1045"/>
      <c r="BA57" s="1045"/>
      <c r="BB57" s="1045"/>
      <c r="BC57" s="1045"/>
      <c r="BD57" s="1045"/>
      <c r="BE57" s="1045"/>
      <c r="BF57" s="1045"/>
      <c r="BG57" s="1045"/>
      <c r="BH57" s="1045"/>
      <c r="BI57" s="1369"/>
      <c r="BJ57" s="1319"/>
      <c r="BK57" s="1319"/>
      <c r="BL57" s="1319"/>
      <c r="BM57" s="1319"/>
      <c r="BN57" s="1044"/>
      <c r="BO57" s="1045"/>
      <c r="BP57" s="1045"/>
      <c r="BQ57" s="1045"/>
      <c r="BR57" s="1045"/>
      <c r="BS57" s="1084"/>
      <c r="BT57" s="1045"/>
      <c r="BU57" s="1045"/>
      <c r="BV57" s="1045"/>
      <c r="BW57" s="1085"/>
      <c r="BX57" s="1084"/>
      <c r="BY57" s="1045"/>
      <c r="BZ57" s="1045"/>
      <c r="CA57" s="1045"/>
      <c r="CB57" s="1085"/>
      <c r="CC57" s="1086"/>
      <c r="CD57" s="1327"/>
      <c r="CE57" s="1328"/>
      <c r="CF57" s="1328"/>
      <c r="CG57" s="1328"/>
      <c r="CH57" s="1389"/>
      <c r="CI57" s="1369"/>
      <c r="CJ57" s="1319"/>
      <c r="CK57" s="1319"/>
      <c r="CL57" s="1319"/>
      <c r="CM57" s="1320"/>
      <c r="CN57" s="1369"/>
      <c r="CO57" s="1319"/>
      <c r="CP57" s="1319"/>
      <c r="CQ57" s="1319"/>
      <c r="CR57" s="1320"/>
      <c r="CS57" s="1369"/>
      <c r="CT57" s="1319"/>
      <c r="CU57" s="1319"/>
      <c r="CV57" s="1319"/>
      <c r="CW57" s="1320"/>
      <c r="CX57" s="1369"/>
      <c r="CY57" s="1319"/>
      <c r="CZ57" s="1319"/>
      <c r="DA57" s="1319"/>
      <c r="DB57" s="1320"/>
      <c r="DC57" s="1319"/>
      <c r="DD57" s="1319"/>
      <c r="DE57" s="1319"/>
      <c r="DF57" s="1319"/>
      <c r="DG57" s="1320"/>
      <c r="DH57" s="1369"/>
      <c r="DI57" s="1319"/>
      <c r="DJ57" s="1319"/>
      <c r="DK57" s="1319"/>
      <c r="DL57" s="1320"/>
      <c r="DM57" s="1743"/>
      <c r="DN57" s="1744"/>
      <c r="DO57" s="1744"/>
      <c r="DP57" s="1745"/>
      <c r="DQ57" s="1744"/>
      <c r="DR57" s="1744"/>
      <c r="DS57" s="1744"/>
      <c r="DT57" s="1745"/>
      <c r="DU57" s="1328"/>
      <c r="DV57" s="1664"/>
      <c r="DW57" s="1746"/>
    </row>
    <row r="58" spans="1:127" s="382" customFormat="1" ht="15.75" customHeight="1">
      <c r="A58" s="1066" t="s">
        <v>1102</v>
      </c>
      <c r="B58" s="1026">
        <v>49</v>
      </c>
      <c r="C58" s="987"/>
      <c r="D58" s="987"/>
      <c r="E58" s="987"/>
      <c r="F58" s="987"/>
      <c r="G58" s="987"/>
      <c r="H58" s="987"/>
      <c r="I58" s="987"/>
      <c r="J58" s="987"/>
      <c r="K58" s="987"/>
      <c r="L58" s="987"/>
      <c r="M58" s="1026"/>
      <c r="N58" s="987"/>
      <c r="O58" s="987"/>
      <c r="P58" s="987"/>
      <c r="Q58" s="987"/>
      <c r="R58" s="987"/>
      <c r="S58" s="987"/>
      <c r="T58" s="988"/>
      <c r="U58" s="1067" t="s">
        <v>1605</v>
      </c>
      <c r="V58" s="1068" t="s">
        <v>2393</v>
      </c>
      <c r="W58" s="1068" t="s">
        <v>2231</v>
      </c>
      <c r="X58" s="1069">
        <v>21</v>
      </c>
      <c r="Y58" s="1070" t="s">
        <v>2394</v>
      </c>
      <c r="Z58" s="1071" t="s">
        <v>2395</v>
      </c>
      <c r="AA58" s="1072" t="s">
        <v>2260</v>
      </c>
      <c r="AB58" s="1073" t="s">
        <v>2260</v>
      </c>
      <c r="AC58" s="1073" t="s">
        <v>2260</v>
      </c>
      <c r="AD58" s="1073" t="s">
        <v>2260</v>
      </c>
      <c r="AE58" s="1073">
        <v>1</v>
      </c>
      <c r="AF58" s="1073" t="s">
        <v>2260</v>
      </c>
      <c r="AG58" s="1073" t="s">
        <v>2260</v>
      </c>
      <c r="AH58" s="1073" t="s">
        <v>2260</v>
      </c>
      <c r="AI58" s="1074">
        <f t="shared" si="0"/>
        <v>1</v>
      </c>
      <c r="AJ58" s="1075" t="s">
        <v>1825</v>
      </c>
      <c r="AK58" s="1075" t="s">
        <v>2260</v>
      </c>
      <c r="AL58" s="1075" t="s">
        <v>2260</v>
      </c>
      <c r="AM58" s="1076" t="s">
        <v>2396</v>
      </c>
      <c r="AN58" s="987" t="s">
        <v>2397</v>
      </c>
      <c r="AO58" s="987" t="s">
        <v>2398</v>
      </c>
      <c r="AP58" s="802">
        <v>1</v>
      </c>
      <c r="AQ58" s="1045" t="s">
        <v>1828</v>
      </c>
      <c r="AR58" s="1078" t="s">
        <v>2260</v>
      </c>
      <c r="AS58" s="1079"/>
      <c r="AT58" s="1069"/>
      <c r="AU58" s="1069"/>
      <c r="AV58" s="1069"/>
      <c r="AW58" s="1080"/>
      <c r="AX58" s="1081"/>
      <c r="AY58" s="1044"/>
      <c r="AZ58" s="1045"/>
      <c r="BA58" s="1045"/>
      <c r="BB58" s="1045"/>
      <c r="BC58" s="1045"/>
      <c r="BD58" s="1045"/>
      <c r="BE58" s="1045"/>
      <c r="BF58" s="1045"/>
      <c r="BG58" s="1045"/>
      <c r="BH58" s="1045"/>
      <c r="BI58" s="1369"/>
      <c r="BJ58" s="1319"/>
      <c r="BK58" s="1319"/>
      <c r="BL58" s="1319"/>
      <c r="BM58" s="1319"/>
      <c r="BN58" s="1044"/>
      <c r="BO58" s="1045"/>
      <c r="BP58" s="1045"/>
      <c r="BQ58" s="1045"/>
      <c r="BR58" s="1045"/>
      <c r="BS58" s="1084"/>
      <c r="BT58" s="1045"/>
      <c r="BU58" s="1045"/>
      <c r="BV58" s="1045"/>
      <c r="BW58" s="1085"/>
      <c r="BX58" s="1084"/>
      <c r="BY58" s="1045"/>
      <c r="BZ58" s="1045"/>
      <c r="CA58" s="1045"/>
      <c r="CB58" s="1085"/>
      <c r="CC58" s="1086"/>
      <c r="CD58" s="1327"/>
      <c r="CE58" s="1328"/>
      <c r="CF58" s="1328"/>
      <c r="CG58" s="1328"/>
      <c r="CH58" s="1389"/>
      <c r="CI58" s="1369"/>
      <c r="CJ58" s="1319"/>
      <c r="CK58" s="1319"/>
      <c r="CL58" s="1319"/>
      <c r="CM58" s="1320"/>
      <c r="CN58" s="1369"/>
      <c r="CO58" s="1319"/>
      <c r="CP58" s="1319"/>
      <c r="CQ58" s="1319"/>
      <c r="CR58" s="1320"/>
      <c r="CS58" s="1369"/>
      <c r="CT58" s="1319"/>
      <c r="CU58" s="1319"/>
      <c r="CV58" s="1319"/>
      <c r="CW58" s="1320"/>
      <c r="CX58" s="1369"/>
      <c r="CY58" s="1319"/>
      <c r="CZ58" s="1319"/>
      <c r="DA58" s="1319"/>
      <c r="DB58" s="1320"/>
      <c r="DC58" s="1319"/>
      <c r="DD58" s="1319"/>
      <c r="DE58" s="1319"/>
      <c r="DF58" s="1319"/>
      <c r="DG58" s="1320"/>
      <c r="DH58" s="1369"/>
      <c r="DI58" s="1319"/>
      <c r="DJ58" s="1319"/>
      <c r="DK58" s="1319"/>
      <c r="DL58" s="1320"/>
      <c r="DM58" s="1743"/>
      <c r="DN58" s="1744"/>
      <c r="DO58" s="1744"/>
      <c r="DP58" s="1745"/>
      <c r="DQ58" s="1744"/>
      <c r="DR58" s="1744"/>
      <c r="DS58" s="1744"/>
      <c r="DT58" s="1745"/>
      <c r="DU58" s="1328"/>
      <c r="DV58" s="1664"/>
      <c r="DW58" s="1746"/>
    </row>
    <row r="59" spans="1:127" s="382" customFormat="1" ht="15.75" customHeight="1">
      <c r="A59" s="1066" t="s">
        <v>1102</v>
      </c>
      <c r="B59" s="1026">
        <v>50</v>
      </c>
      <c r="C59" s="987"/>
      <c r="D59" s="987"/>
      <c r="E59" s="987"/>
      <c r="F59" s="987"/>
      <c r="G59" s="987"/>
      <c r="H59" s="987"/>
      <c r="I59" s="987"/>
      <c r="J59" s="987"/>
      <c r="K59" s="987"/>
      <c r="L59" s="987"/>
      <c r="M59" s="1026"/>
      <c r="N59" s="987"/>
      <c r="O59" s="987"/>
      <c r="P59" s="987"/>
      <c r="Q59" s="987"/>
      <c r="R59" s="987"/>
      <c r="S59" s="987"/>
      <c r="T59" s="988"/>
      <c r="U59" s="1067" t="s">
        <v>1114</v>
      </c>
      <c r="V59" s="1068" t="s">
        <v>2393</v>
      </c>
      <c r="W59" s="1068" t="s">
        <v>2231</v>
      </c>
      <c r="X59" s="1069">
        <v>22</v>
      </c>
      <c r="Y59" s="1070" t="s">
        <v>755</v>
      </c>
      <c r="Z59" s="1071" t="s">
        <v>2399</v>
      </c>
      <c r="AA59" s="1072" t="s">
        <v>2260</v>
      </c>
      <c r="AB59" s="1073" t="s">
        <v>2260</v>
      </c>
      <c r="AC59" s="1073" t="s">
        <v>2260</v>
      </c>
      <c r="AD59" s="1073" t="s">
        <v>2260</v>
      </c>
      <c r="AE59" s="1073">
        <v>1</v>
      </c>
      <c r="AF59" s="1073" t="s">
        <v>2260</v>
      </c>
      <c r="AG59" s="1073" t="s">
        <v>2260</v>
      </c>
      <c r="AH59" s="1073" t="s">
        <v>2260</v>
      </c>
      <c r="AI59" s="1074">
        <f t="shared" si="0"/>
        <v>1</v>
      </c>
      <c r="AJ59" s="1075" t="s">
        <v>1825</v>
      </c>
      <c r="AK59" s="1075" t="s">
        <v>2260</v>
      </c>
      <c r="AL59" s="1075" t="s">
        <v>2260</v>
      </c>
      <c r="AM59" s="1076" t="s">
        <v>2396</v>
      </c>
      <c r="AN59" s="987" t="s">
        <v>321</v>
      </c>
      <c r="AO59" s="987" t="s">
        <v>4424</v>
      </c>
      <c r="AP59" s="2042">
        <v>1</v>
      </c>
      <c r="AQ59" s="1045" t="s">
        <v>1828</v>
      </c>
      <c r="AR59" s="1078" t="s">
        <v>755</v>
      </c>
      <c r="AS59" s="1079"/>
      <c r="AT59" s="1069"/>
      <c r="AU59" s="1069"/>
      <c r="AV59" s="1069"/>
      <c r="AW59" s="1080"/>
      <c r="AX59" s="1081"/>
      <c r="AY59" s="1044"/>
      <c r="AZ59" s="1045"/>
      <c r="BA59" s="1045"/>
      <c r="BB59" s="1045"/>
      <c r="BC59" s="1045"/>
      <c r="BD59" s="1045"/>
      <c r="BE59" s="1045"/>
      <c r="BF59" s="1045"/>
      <c r="BG59" s="1045"/>
      <c r="BH59" s="1045"/>
      <c r="BI59" s="1044" t="s">
        <v>4433</v>
      </c>
      <c r="BJ59" s="1045" t="s">
        <v>4434</v>
      </c>
      <c r="BK59" s="1045" t="s">
        <v>4435</v>
      </c>
      <c r="BL59" s="1045" t="s">
        <v>4436</v>
      </c>
      <c r="BM59" s="1045" t="s">
        <v>4437</v>
      </c>
      <c r="BN59" s="1044"/>
      <c r="BO59" s="1045"/>
      <c r="BP59" s="1045"/>
      <c r="BQ59" s="1045"/>
      <c r="BR59" s="1045"/>
      <c r="BS59" s="1084"/>
      <c r="BT59" s="1045"/>
      <c r="BU59" s="1045"/>
      <c r="BV59" s="1045"/>
      <c r="BW59" s="1085"/>
      <c r="BX59" s="1084"/>
      <c r="BY59" s="1045"/>
      <c r="BZ59" s="1045"/>
      <c r="CA59" s="1045"/>
      <c r="CB59" s="1085"/>
      <c r="CC59" s="1086"/>
      <c r="CD59" s="1087" t="s">
        <v>2260</v>
      </c>
      <c r="CE59" s="1088" t="s">
        <v>2260</v>
      </c>
      <c r="CF59" s="1088" t="s">
        <v>2260</v>
      </c>
      <c r="CG59" s="1088" t="s">
        <v>2260</v>
      </c>
      <c r="CH59" s="1089" t="s">
        <v>2260</v>
      </c>
      <c r="CI59" s="1044" t="s">
        <v>2260</v>
      </c>
      <c r="CJ59" s="1045" t="s">
        <v>2260</v>
      </c>
      <c r="CK59" s="1045" t="s">
        <v>2260</v>
      </c>
      <c r="CL59" s="1045" t="s">
        <v>2260</v>
      </c>
      <c r="CM59" s="1086" t="s">
        <v>2260</v>
      </c>
      <c r="CN59" s="1044" t="s">
        <v>2260</v>
      </c>
      <c r="CO59" s="1045" t="s">
        <v>2260</v>
      </c>
      <c r="CP59" s="1045" t="s">
        <v>2260</v>
      </c>
      <c r="CQ59" s="1045" t="s">
        <v>2260</v>
      </c>
      <c r="CR59" s="1086" t="s">
        <v>2260</v>
      </c>
      <c r="CS59" s="1044" t="s">
        <v>2260</v>
      </c>
      <c r="CT59" s="1045" t="s">
        <v>2260</v>
      </c>
      <c r="CU59" s="1045" t="s">
        <v>2260</v>
      </c>
      <c r="CV59" s="1045" t="s">
        <v>2260</v>
      </c>
      <c r="CW59" s="1086" t="s">
        <v>2260</v>
      </c>
      <c r="CX59" s="1044" t="s">
        <v>2260</v>
      </c>
      <c r="CY59" s="1045" t="s">
        <v>2260</v>
      </c>
      <c r="CZ59" s="1045" t="s">
        <v>2260</v>
      </c>
      <c r="DA59" s="1045" t="s">
        <v>2260</v>
      </c>
      <c r="DB59" s="1086" t="s">
        <v>2260</v>
      </c>
      <c r="DC59" s="1045" t="s">
        <v>2260</v>
      </c>
      <c r="DD59" s="1045" t="s">
        <v>2260</v>
      </c>
      <c r="DE59" s="1045" t="s">
        <v>2260</v>
      </c>
      <c r="DF59" s="1045" t="s">
        <v>2260</v>
      </c>
      <c r="DG59" s="1086" t="s">
        <v>2260</v>
      </c>
      <c r="DH59" s="1044" t="s">
        <v>2260</v>
      </c>
      <c r="DI59" s="1045" t="s">
        <v>2260</v>
      </c>
      <c r="DJ59" s="1045" t="s">
        <v>2260</v>
      </c>
      <c r="DK59" s="1045" t="s">
        <v>2260</v>
      </c>
      <c r="DL59" s="1086" t="s">
        <v>2260</v>
      </c>
      <c r="DM59" s="1090" t="s">
        <v>2260</v>
      </c>
      <c r="DN59" s="1091" t="s">
        <v>2260</v>
      </c>
      <c r="DO59" s="1091" t="s">
        <v>2260</v>
      </c>
      <c r="DP59" s="1092" t="s">
        <v>2260</v>
      </c>
      <c r="DQ59" s="1091" t="s">
        <v>2260</v>
      </c>
      <c r="DR59" s="1091" t="s">
        <v>2260</v>
      </c>
      <c r="DS59" s="1091" t="s">
        <v>2260</v>
      </c>
      <c r="DT59" s="1092" t="s">
        <v>2260</v>
      </c>
      <c r="DU59" s="1088" t="s">
        <v>2260</v>
      </c>
      <c r="DV59" s="1093">
        <v>1</v>
      </c>
      <c r="DW59" s="1094" t="s">
        <v>2260</v>
      </c>
    </row>
    <row r="60" spans="1:127" s="382" customFormat="1" ht="15.75" customHeight="1">
      <c r="A60" s="1066" t="s">
        <v>1102</v>
      </c>
      <c r="B60" s="1026">
        <v>51</v>
      </c>
      <c r="C60" s="987"/>
      <c r="D60" s="987"/>
      <c r="E60" s="987"/>
      <c r="F60" s="987"/>
      <c r="G60" s="987"/>
      <c r="H60" s="987"/>
      <c r="I60" s="987"/>
      <c r="J60" s="987"/>
      <c r="K60" s="987"/>
      <c r="L60" s="987"/>
      <c r="M60" s="1026"/>
      <c r="N60" s="987"/>
      <c r="O60" s="987"/>
      <c r="P60" s="987"/>
      <c r="Q60" s="987"/>
      <c r="R60" s="987"/>
      <c r="S60" s="987"/>
      <c r="T60" s="988"/>
      <c r="U60" s="1067" t="s">
        <v>1356</v>
      </c>
      <c r="V60" s="1068" t="s">
        <v>2401</v>
      </c>
      <c r="W60" s="1068" t="s">
        <v>2231</v>
      </c>
      <c r="X60" s="1069">
        <v>23</v>
      </c>
      <c r="Y60" s="1070" t="s">
        <v>2402</v>
      </c>
      <c r="Z60" s="1071" t="s">
        <v>2403</v>
      </c>
      <c r="AA60" s="1072" t="s">
        <v>2260</v>
      </c>
      <c r="AB60" s="1073" t="s">
        <v>2260</v>
      </c>
      <c r="AC60" s="1073" t="s">
        <v>2260</v>
      </c>
      <c r="AD60" s="1073" t="s">
        <v>2260</v>
      </c>
      <c r="AE60" s="1073">
        <v>1</v>
      </c>
      <c r="AF60" s="1073" t="s">
        <v>2260</v>
      </c>
      <c r="AG60" s="1073" t="s">
        <v>2260</v>
      </c>
      <c r="AH60" s="1073" t="s">
        <v>2260</v>
      </c>
      <c r="AI60" s="1074">
        <f t="shared" si="0"/>
        <v>1</v>
      </c>
      <c r="AJ60" s="1075" t="s">
        <v>1852</v>
      </c>
      <c r="AK60" s="1075" t="s">
        <v>1826</v>
      </c>
      <c r="AL60" s="1075" t="s">
        <v>1827</v>
      </c>
      <c r="AM60" s="1076" t="s">
        <v>2396</v>
      </c>
      <c r="AN60" s="987" t="s">
        <v>321</v>
      </c>
      <c r="AO60" s="987" t="s">
        <v>2404</v>
      </c>
      <c r="AP60" s="802">
        <v>2</v>
      </c>
      <c r="AQ60" s="1045" t="s">
        <v>1838</v>
      </c>
      <c r="AR60" s="1078" t="s">
        <v>2260</v>
      </c>
      <c r="AS60" s="1079"/>
      <c r="AT60" s="1069"/>
      <c r="AU60" s="1069"/>
      <c r="AV60" s="1069"/>
      <c r="AW60" s="1080"/>
      <c r="AX60" s="1081"/>
      <c r="AY60" s="1044"/>
      <c r="AZ60" s="1045"/>
      <c r="BA60" s="1045"/>
      <c r="BB60" s="1045"/>
      <c r="BC60" s="1045"/>
      <c r="BD60" s="1045"/>
      <c r="BE60" s="1045"/>
      <c r="BF60" s="1045"/>
      <c r="BG60" s="1045"/>
      <c r="BH60" s="1045"/>
      <c r="BI60" s="1369"/>
      <c r="BJ60" s="1319"/>
      <c r="BK60" s="1319"/>
      <c r="BL60" s="1319"/>
      <c r="BM60" s="1319"/>
      <c r="BN60" s="1044"/>
      <c r="BO60" s="1045"/>
      <c r="BP60" s="1045"/>
      <c r="BQ60" s="1045"/>
      <c r="BR60" s="1045"/>
      <c r="BS60" s="1084"/>
      <c r="BT60" s="1045"/>
      <c r="BU60" s="1045"/>
      <c r="BV60" s="1045"/>
      <c r="BW60" s="1085"/>
      <c r="BX60" s="1084"/>
      <c r="BY60" s="1045"/>
      <c r="BZ60" s="1045"/>
      <c r="CA60" s="1045"/>
      <c r="CB60" s="1085"/>
      <c r="CC60" s="1086"/>
      <c r="CD60" s="1327"/>
      <c r="CE60" s="1328"/>
      <c r="CF60" s="1328"/>
      <c r="CG60" s="1328"/>
      <c r="CH60" s="1389"/>
      <c r="CI60" s="1369"/>
      <c r="CJ60" s="1319"/>
      <c r="CK60" s="1319"/>
      <c r="CL60" s="1319"/>
      <c r="CM60" s="1320"/>
      <c r="CN60" s="1369"/>
      <c r="CO60" s="1319"/>
      <c r="CP60" s="1319"/>
      <c r="CQ60" s="1319"/>
      <c r="CR60" s="1320"/>
      <c r="CS60" s="1369"/>
      <c r="CT60" s="1319"/>
      <c r="CU60" s="1319"/>
      <c r="CV60" s="1319"/>
      <c r="CW60" s="1320"/>
      <c r="CX60" s="1369"/>
      <c r="CY60" s="1319"/>
      <c r="CZ60" s="1319"/>
      <c r="DA60" s="1319"/>
      <c r="DB60" s="1320"/>
      <c r="DC60" s="1319"/>
      <c r="DD60" s="1319"/>
      <c r="DE60" s="1319"/>
      <c r="DF60" s="1319"/>
      <c r="DG60" s="1320"/>
      <c r="DH60" s="1369"/>
      <c r="DI60" s="1319"/>
      <c r="DJ60" s="1319"/>
      <c r="DK60" s="1319"/>
      <c r="DL60" s="1320"/>
      <c r="DM60" s="1743"/>
      <c r="DN60" s="1744"/>
      <c r="DO60" s="1744"/>
      <c r="DP60" s="1745"/>
      <c r="DQ60" s="1744"/>
      <c r="DR60" s="1744"/>
      <c r="DS60" s="1744"/>
      <c r="DT60" s="1745"/>
      <c r="DU60" s="1328"/>
      <c r="DV60" s="1664"/>
      <c r="DW60" s="1746"/>
    </row>
    <row r="61" spans="1:127" s="382" customFormat="1" ht="15.75" customHeight="1">
      <c r="A61" s="1066" t="s">
        <v>1102</v>
      </c>
      <c r="B61" s="1026">
        <v>52</v>
      </c>
      <c r="C61" s="987"/>
      <c r="D61" s="987"/>
      <c r="E61" s="987"/>
      <c r="F61" s="987"/>
      <c r="G61" s="987"/>
      <c r="H61" s="987"/>
      <c r="I61" s="987"/>
      <c r="J61" s="987"/>
      <c r="K61" s="987"/>
      <c r="L61" s="987"/>
      <c r="M61" s="1026"/>
      <c r="N61" s="987"/>
      <c r="O61" s="987"/>
      <c r="P61" s="987"/>
      <c r="Q61" s="987"/>
      <c r="R61" s="987"/>
      <c r="S61" s="987"/>
      <c r="T61" s="988"/>
      <c r="U61" s="1067" t="s">
        <v>1622</v>
      </c>
      <c r="V61" s="1068" t="s">
        <v>2405</v>
      </c>
      <c r="W61" s="1068" t="s">
        <v>2223</v>
      </c>
      <c r="X61" s="1069">
        <v>24</v>
      </c>
      <c r="Y61" s="1070" t="s">
        <v>2406</v>
      </c>
      <c r="Z61" s="1071" t="s">
        <v>2407</v>
      </c>
      <c r="AA61" s="1072">
        <v>0.2</v>
      </c>
      <c r="AB61" s="1073">
        <v>0.2</v>
      </c>
      <c r="AC61" s="1073">
        <v>0.2</v>
      </c>
      <c r="AD61" s="1073">
        <v>0.2</v>
      </c>
      <c r="AE61" s="1073">
        <v>0.2</v>
      </c>
      <c r="AF61" s="1073" t="s">
        <v>2260</v>
      </c>
      <c r="AG61" s="1073" t="s">
        <v>2260</v>
      </c>
      <c r="AH61" s="1073" t="s">
        <v>2260</v>
      </c>
      <c r="AI61" s="1074">
        <f t="shared" si="0"/>
        <v>1</v>
      </c>
      <c r="AJ61" s="1075" t="s">
        <v>1825</v>
      </c>
      <c r="AK61" s="1075" t="s">
        <v>2260</v>
      </c>
      <c r="AL61" s="1075" t="s">
        <v>2260</v>
      </c>
      <c r="AM61" s="1076" t="s">
        <v>2408</v>
      </c>
      <c r="AN61" s="987" t="s">
        <v>321</v>
      </c>
      <c r="AO61" s="987" t="s">
        <v>2409</v>
      </c>
      <c r="AP61" s="802">
        <v>1</v>
      </c>
      <c r="AQ61" s="1045" t="s">
        <v>1828</v>
      </c>
      <c r="AR61" s="1078" t="s">
        <v>2260</v>
      </c>
      <c r="AS61" s="1079"/>
      <c r="AT61" s="1069"/>
      <c r="AU61" s="1069"/>
      <c r="AV61" s="1069"/>
      <c r="AW61" s="1080"/>
      <c r="AX61" s="1081"/>
      <c r="AY61" s="1044"/>
      <c r="AZ61" s="1045"/>
      <c r="BA61" s="1045"/>
      <c r="BB61" s="1045"/>
      <c r="BC61" s="1045"/>
      <c r="BD61" s="1045"/>
      <c r="BE61" s="1045"/>
      <c r="BF61" s="1045"/>
      <c r="BG61" s="1045"/>
      <c r="BH61" s="1045"/>
      <c r="BI61" s="1369"/>
      <c r="BJ61" s="1319"/>
      <c r="BK61" s="1319"/>
      <c r="BL61" s="1319"/>
      <c r="BM61" s="1319"/>
      <c r="BN61" s="1044"/>
      <c r="BO61" s="1045"/>
      <c r="BP61" s="1045"/>
      <c r="BQ61" s="1045"/>
      <c r="BR61" s="1045"/>
      <c r="BS61" s="1084"/>
      <c r="BT61" s="1045"/>
      <c r="BU61" s="1045"/>
      <c r="BV61" s="1045"/>
      <c r="BW61" s="1085"/>
      <c r="BX61" s="1084"/>
      <c r="BY61" s="1045"/>
      <c r="BZ61" s="1045"/>
      <c r="CA61" s="1045"/>
      <c r="CB61" s="1085"/>
      <c r="CC61" s="1086"/>
      <c r="CD61" s="1327"/>
      <c r="CE61" s="1328"/>
      <c r="CF61" s="1328"/>
      <c r="CG61" s="1328"/>
      <c r="CH61" s="1389"/>
      <c r="CI61" s="1369"/>
      <c r="CJ61" s="1319"/>
      <c r="CK61" s="1319"/>
      <c r="CL61" s="1319"/>
      <c r="CM61" s="1320"/>
      <c r="CN61" s="1369"/>
      <c r="CO61" s="1319"/>
      <c r="CP61" s="1319"/>
      <c r="CQ61" s="1319"/>
      <c r="CR61" s="1320"/>
      <c r="CS61" s="1369"/>
      <c r="CT61" s="1319"/>
      <c r="CU61" s="1319"/>
      <c r="CV61" s="1319"/>
      <c r="CW61" s="1320"/>
      <c r="CX61" s="1369"/>
      <c r="CY61" s="1319"/>
      <c r="CZ61" s="1319"/>
      <c r="DA61" s="1319"/>
      <c r="DB61" s="1320"/>
      <c r="DC61" s="1319"/>
      <c r="DD61" s="1319"/>
      <c r="DE61" s="1319"/>
      <c r="DF61" s="1319"/>
      <c r="DG61" s="1320"/>
      <c r="DH61" s="1369"/>
      <c r="DI61" s="1319"/>
      <c r="DJ61" s="1319"/>
      <c r="DK61" s="1319"/>
      <c r="DL61" s="1320"/>
      <c r="DM61" s="1743"/>
      <c r="DN61" s="1744"/>
      <c r="DO61" s="1744"/>
      <c r="DP61" s="1745"/>
      <c r="DQ61" s="1744"/>
      <c r="DR61" s="1744"/>
      <c r="DS61" s="1744"/>
      <c r="DT61" s="1745"/>
      <c r="DU61" s="1328"/>
      <c r="DV61" s="1664"/>
      <c r="DW61" s="1746"/>
    </row>
    <row r="62" spans="1:127" s="382" customFormat="1" ht="15.75" customHeight="1">
      <c r="A62" s="1066" t="s">
        <v>1102</v>
      </c>
      <c r="B62" s="1026">
        <v>53</v>
      </c>
      <c r="C62" s="987"/>
      <c r="D62" s="987"/>
      <c r="E62" s="987"/>
      <c r="F62" s="987"/>
      <c r="G62" s="987"/>
      <c r="H62" s="987"/>
      <c r="I62" s="987"/>
      <c r="J62" s="987"/>
      <c r="K62" s="987"/>
      <c r="L62" s="987"/>
      <c r="M62" s="1026"/>
      <c r="N62" s="987"/>
      <c r="O62" s="987"/>
      <c r="P62" s="987"/>
      <c r="Q62" s="987"/>
      <c r="R62" s="987"/>
      <c r="S62" s="987"/>
      <c r="T62" s="988"/>
      <c r="U62" s="1067" t="s">
        <v>1639</v>
      </c>
      <c r="V62" s="1068" t="s">
        <v>2405</v>
      </c>
      <c r="W62" s="1068" t="s">
        <v>2223</v>
      </c>
      <c r="X62" s="1069">
        <v>25</v>
      </c>
      <c r="Y62" s="1070" t="s">
        <v>2410</v>
      </c>
      <c r="Z62" s="1071" t="s">
        <v>2411</v>
      </c>
      <c r="AA62" s="1072">
        <v>0.2</v>
      </c>
      <c r="AB62" s="1073">
        <v>0.2</v>
      </c>
      <c r="AC62" s="1073">
        <v>0.2</v>
      </c>
      <c r="AD62" s="1073">
        <v>0.2</v>
      </c>
      <c r="AE62" s="1073">
        <v>0.2</v>
      </c>
      <c r="AF62" s="1073" t="s">
        <v>2260</v>
      </c>
      <c r="AG62" s="1073" t="s">
        <v>2260</v>
      </c>
      <c r="AH62" s="1073" t="s">
        <v>2260</v>
      </c>
      <c r="AI62" s="1074">
        <f t="shared" si="0"/>
        <v>1</v>
      </c>
      <c r="AJ62" s="1075" t="s">
        <v>1825</v>
      </c>
      <c r="AK62" s="1075" t="s">
        <v>2260</v>
      </c>
      <c r="AL62" s="1075" t="s">
        <v>2260</v>
      </c>
      <c r="AM62" s="1076" t="s">
        <v>2408</v>
      </c>
      <c r="AN62" s="987" t="s">
        <v>321</v>
      </c>
      <c r="AO62" s="987" t="s">
        <v>2412</v>
      </c>
      <c r="AP62" s="802">
        <v>1</v>
      </c>
      <c r="AQ62" s="1045" t="s">
        <v>1828</v>
      </c>
      <c r="AR62" s="1078" t="s">
        <v>2260</v>
      </c>
      <c r="AS62" s="1079"/>
      <c r="AT62" s="1069"/>
      <c r="AU62" s="1069"/>
      <c r="AV62" s="1069"/>
      <c r="AW62" s="1080"/>
      <c r="AX62" s="1081"/>
      <c r="AY62" s="1044"/>
      <c r="AZ62" s="1045"/>
      <c r="BA62" s="1045"/>
      <c r="BB62" s="1045"/>
      <c r="BC62" s="1045"/>
      <c r="BD62" s="1045"/>
      <c r="BE62" s="1045"/>
      <c r="BF62" s="1045"/>
      <c r="BG62" s="1045"/>
      <c r="BH62" s="1045"/>
      <c r="BI62" s="1369"/>
      <c r="BJ62" s="1319"/>
      <c r="BK62" s="1319"/>
      <c r="BL62" s="1319"/>
      <c r="BM62" s="1319"/>
      <c r="BN62" s="1044"/>
      <c r="BO62" s="1045"/>
      <c r="BP62" s="1045"/>
      <c r="BQ62" s="1045"/>
      <c r="BR62" s="1045"/>
      <c r="BS62" s="1084"/>
      <c r="BT62" s="1045"/>
      <c r="BU62" s="1045"/>
      <c r="BV62" s="1045"/>
      <c r="BW62" s="1085"/>
      <c r="BX62" s="1084"/>
      <c r="BY62" s="1045"/>
      <c r="BZ62" s="1045"/>
      <c r="CA62" s="1045"/>
      <c r="CB62" s="1085"/>
      <c r="CC62" s="1086"/>
      <c r="CD62" s="1327"/>
      <c r="CE62" s="1328"/>
      <c r="CF62" s="1328"/>
      <c r="CG62" s="1328"/>
      <c r="CH62" s="1389"/>
      <c r="CI62" s="1369"/>
      <c r="CJ62" s="1319"/>
      <c r="CK62" s="1319"/>
      <c r="CL62" s="1319"/>
      <c r="CM62" s="1320"/>
      <c r="CN62" s="1369"/>
      <c r="CO62" s="1319"/>
      <c r="CP62" s="1319"/>
      <c r="CQ62" s="1319"/>
      <c r="CR62" s="1320"/>
      <c r="CS62" s="1369"/>
      <c r="CT62" s="1319"/>
      <c r="CU62" s="1319"/>
      <c r="CV62" s="1319"/>
      <c r="CW62" s="1320"/>
      <c r="CX62" s="1369"/>
      <c r="CY62" s="1319"/>
      <c r="CZ62" s="1319"/>
      <c r="DA62" s="1319"/>
      <c r="DB62" s="1320"/>
      <c r="DC62" s="1319"/>
      <c r="DD62" s="1319"/>
      <c r="DE62" s="1319"/>
      <c r="DF62" s="1319"/>
      <c r="DG62" s="1320"/>
      <c r="DH62" s="1369"/>
      <c r="DI62" s="1319"/>
      <c r="DJ62" s="1319"/>
      <c r="DK62" s="1319"/>
      <c r="DL62" s="1320"/>
      <c r="DM62" s="1743"/>
      <c r="DN62" s="1744"/>
      <c r="DO62" s="1744"/>
      <c r="DP62" s="1745"/>
      <c r="DQ62" s="1744"/>
      <c r="DR62" s="1744"/>
      <c r="DS62" s="1744"/>
      <c r="DT62" s="1745"/>
      <c r="DU62" s="1328"/>
      <c r="DV62" s="1664"/>
      <c r="DW62" s="1746"/>
    </row>
    <row r="63" spans="1:127" s="382" customFormat="1" ht="15.75" customHeight="1">
      <c r="A63" s="1066" t="s">
        <v>1102</v>
      </c>
      <c r="B63" s="1026">
        <v>54</v>
      </c>
      <c r="C63" s="987"/>
      <c r="D63" s="987"/>
      <c r="E63" s="987"/>
      <c r="F63" s="987"/>
      <c r="G63" s="987"/>
      <c r="H63" s="987"/>
      <c r="I63" s="987"/>
      <c r="J63" s="987"/>
      <c r="K63" s="987"/>
      <c r="L63" s="987"/>
      <c r="M63" s="1026"/>
      <c r="N63" s="987"/>
      <c r="O63" s="987"/>
      <c r="P63" s="987"/>
      <c r="Q63" s="987"/>
      <c r="R63" s="987"/>
      <c r="S63" s="987"/>
      <c r="T63" s="988"/>
      <c r="U63" s="1067" t="s">
        <v>1655</v>
      </c>
      <c r="V63" s="1068" t="s">
        <v>2335</v>
      </c>
      <c r="W63" s="1068" t="s">
        <v>2231</v>
      </c>
      <c r="X63" s="1069">
        <v>30</v>
      </c>
      <c r="Y63" s="1070" t="s">
        <v>2413</v>
      </c>
      <c r="Z63" s="1071" t="s">
        <v>2414</v>
      </c>
      <c r="AA63" s="1072" t="s">
        <v>2260</v>
      </c>
      <c r="AB63" s="1073">
        <v>0.51</v>
      </c>
      <c r="AC63" s="1073">
        <v>0.49</v>
      </c>
      <c r="AD63" s="1073" t="s">
        <v>2260</v>
      </c>
      <c r="AE63" s="1073" t="s">
        <v>2260</v>
      </c>
      <c r="AF63" s="1073" t="s">
        <v>2260</v>
      </c>
      <c r="AG63" s="1073" t="s">
        <v>2260</v>
      </c>
      <c r="AH63" s="1073" t="s">
        <v>2260</v>
      </c>
      <c r="AI63" s="1074">
        <f t="shared" si="0"/>
        <v>1</v>
      </c>
      <c r="AJ63" s="1075" t="s">
        <v>1825</v>
      </c>
      <c r="AK63" s="1075" t="s">
        <v>2260</v>
      </c>
      <c r="AL63" s="1075" t="s">
        <v>2260</v>
      </c>
      <c r="AM63" s="1076" t="s">
        <v>2264</v>
      </c>
      <c r="AN63" s="987" t="s">
        <v>1897</v>
      </c>
      <c r="AO63" s="987" t="s">
        <v>2415</v>
      </c>
      <c r="AP63" s="802">
        <v>1</v>
      </c>
      <c r="AQ63" s="1045" t="s">
        <v>1828</v>
      </c>
      <c r="AR63" s="1078" t="s">
        <v>2260</v>
      </c>
      <c r="AS63" s="1079"/>
      <c r="AT63" s="1069"/>
      <c r="AU63" s="1069"/>
      <c r="AV63" s="1069"/>
      <c r="AW63" s="1080"/>
      <c r="AX63" s="1081"/>
      <c r="AY63" s="1044"/>
      <c r="AZ63" s="1045"/>
      <c r="BA63" s="1045"/>
      <c r="BB63" s="1045"/>
      <c r="BC63" s="1045"/>
      <c r="BD63" s="1045"/>
      <c r="BE63" s="1045"/>
      <c r="BF63" s="1045"/>
      <c r="BG63" s="1045"/>
      <c r="BH63" s="1045"/>
      <c r="BI63" s="1369"/>
      <c r="BJ63" s="1319"/>
      <c r="BK63" s="1319"/>
      <c r="BL63" s="1319"/>
      <c r="BM63" s="1319"/>
      <c r="BN63" s="1044"/>
      <c r="BO63" s="1045"/>
      <c r="BP63" s="1045"/>
      <c r="BQ63" s="1045"/>
      <c r="BR63" s="1045"/>
      <c r="BS63" s="1084"/>
      <c r="BT63" s="1045"/>
      <c r="BU63" s="1045"/>
      <c r="BV63" s="1045"/>
      <c r="BW63" s="1085"/>
      <c r="BX63" s="1084"/>
      <c r="BY63" s="1045"/>
      <c r="BZ63" s="1045"/>
      <c r="CA63" s="1045"/>
      <c r="CB63" s="1085"/>
      <c r="CC63" s="1086"/>
      <c r="CD63" s="1327"/>
      <c r="CE63" s="1328"/>
      <c r="CF63" s="1328"/>
      <c r="CG63" s="1328"/>
      <c r="CH63" s="1389"/>
      <c r="CI63" s="1369"/>
      <c r="CJ63" s="1319"/>
      <c r="CK63" s="1319"/>
      <c r="CL63" s="1319"/>
      <c r="CM63" s="1320"/>
      <c r="CN63" s="1369"/>
      <c r="CO63" s="1319"/>
      <c r="CP63" s="1319"/>
      <c r="CQ63" s="1319"/>
      <c r="CR63" s="1320"/>
      <c r="CS63" s="1369"/>
      <c r="CT63" s="1319"/>
      <c r="CU63" s="1319"/>
      <c r="CV63" s="1319"/>
      <c r="CW63" s="1320"/>
      <c r="CX63" s="1369"/>
      <c r="CY63" s="1319"/>
      <c r="CZ63" s="1319"/>
      <c r="DA63" s="1319"/>
      <c r="DB63" s="1320"/>
      <c r="DC63" s="1319"/>
      <c r="DD63" s="1319"/>
      <c r="DE63" s="1319"/>
      <c r="DF63" s="1319"/>
      <c r="DG63" s="1320"/>
      <c r="DH63" s="1369"/>
      <c r="DI63" s="1319"/>
      <c r="DJ63" s="1319"/>
      <c r="DK63" s="1319"/>
      <c r="DL63" s="1320"/>
      <c r="DM63" s="1743"/>
      <c r="DN63" s="1744"/>
      <c r="DO63" s="1744"/>
      <c r="DP63" s="1745"/>
      <c r="DQ63" s="1744"/>
      <c r="DR63" s="1744"/>
      <c r="DS63" s="1744"/>
      <c r="DT63" s="1745"/>
      <c r="DU63" s="1328"/>
      <c r="DV63" s="1664"/>
      <c r="DW63" s="1746"/>
    </row>
    <row r="64" spans="1:127" s="382" customFormat="1" ht="15.75" customHeight="1">
      <c r="A64" s="1066" t="s">
        <v>1102</v>
      </c>
      <c r="B64" s="1026">
        <v>55</v>
      </c>
      <c r="C64" s="987"/>
      <c r="D64" s="987"/>
      <c r="E64" s="987"/>
      <c r="F64" s="987"/>
      <c r="G64" s="987"/>
      <c r="H64" s="987"/>
      <c r="I64" s="987"/>
      <c r="J64" s="987"/>
      <c r="K64" s="987"/>
      <c r="L64" s="987"/>
      <c r="M64" s="1026"/>
      <c r="N64" s="987"/>
      <c r="O64" s="987"/>
      <c r="P64" s="987"/>
      <c r="Q64" s="987"/>
      <c r="R64" s="987"/>
      <c r="S64" s="987"/>
      <c r="T64" s="988"/>
      <c r="U64" s="1067" t="s">
        <v>1517</v>
      </c>
      <c r="V64" s="1068" t="s">
        <v>2353</v>
      </c>
      <c r="W64" s="1068" t="s">
        <v>2231</v>
      </c>
      <c r="X64" s="1069">
        <v>32</v>
      </c>
      <c r="Y64" s="1070" t="s">
        <v>2416</v>
      </c>
      <c r="Z64" s="1071" t="s">
        <v>2417</v>
      </c>
      <c r="AA64" s="1072">
        <v>0.15</v>
      </c>
      <c r="AB64" s="1073" t="s">
        <v>2260</v>
      </c>
      <c r="AC64" s="1073">
        <v>0.85</v>
      </c>
      <c r="AD64" s="1073" t="s">
        <v>2260</v>
      </c>
      <c r="AE64" s="1073" t="s">
        <v>2260</v>
      </c>
      <c r="AF64" s="1073" t="s">
        <v>2260</v>
      </c>
      <c r="AG64" s="1073" t="s">
        <v>2260</v>
      </c>
      <c r="AH64" s="1073" t="s">
        <v>2260</v>
      </c>
      <c r="AI64" s="1074">
        <f t="shared" si="0"/>
        <v>1</v>
      </c>
      <c r="AJ64" s="1075" t="s">
        <v>1852</v>
      </c>
      <c r="AK64" s="1075" t="s">
        <v>1826</v>
      </c>
      <c r="AL64" s="1075" t="s">
        <v>1827</v>
      </c>
      <c r="AM64" s="1076" t="s">
        <v>2387</v>
      </c>
      <c r="AN64" s="987" t="s">
        <v>1857</v>
      </c>
      <c r="AO64" s="987" t="s">
        <v>2418</v>
      </c>
      <c r="AP64" s="802">
        <v>0</v>
      </c>
      <c r="AQ64" s="1045" t="s">
        <v>1828</v>
      </c>
      <c r="AR64" s="1078" t="s">
        <v>2260</v>
      </c>
      <c r="AS64" s="1079"/>
      <c r="AT64" s="1069"/>
      <c r="AU64" s="1069"/>
      <c r="AV64" s="1069"/>
      <c r="AW64" s="1080"/>
      <c r="AX64" s="1081"/>
      <c r="AY64" s="1044"/>
      <c r="AZ64" s="1045"/>
      <c r="BA64" s="1045"/>
      <c r="BB64" s="1045"/>
      <c r="BC64" s="1045"/>
      <c r="BD64" s="1045"/>
      <c r="BE64" s="1045"/>
      <c r="BF64" s="1045"/>
      <c r="BG64" s="1045"/>
      <c r="BH64" s="1045"/>
      <c r="BI64" s="1369"/>
      <c r="BJ64" s="1319"/>
      <c r="BK64" s="1319"/>
      <c r="BL64" s="1319"/>
      <c r="BM64" s="1319"/>
      <c r="BN64" s="1044"/>
      <c r="BO64" s="1045"/>
      <c r="BP64" s="1045"/>
      <c r="BQ64" s="1045"/>
      <c r="BR64" s="1045"/>
      <c r="BS64" s="1084"/>
      <c r="BT64" s="1045"/>
      <c r="BU64" s="1045"/>
      <c r="BV64" s="1045"/>
      <c r="BW64" s="1085"/>
      <c r="BX64" s="1084"/>
      <c r="BY64" s="1045"/>
      <c r="BZ64" s="1045"/>
      <c r="CA64" s="1045"/>
      <c r="CB64" s="1085"/>
      <c r="CC64" s="1086"/>
      <c r="CD64" s="1327"/>
      <c r="CE64" s="1328"/>
      <c r="CF64" s="1328"/>
      <c r="CG64" s="1328"/>
      <c r="CH64" s="1389"/>
      <c r="CI64" s="1369"/>
      <c r="CJ64" s="1319"/>
      <c r="CK64" s="1319"/>
      <c r="CL64" s="1319"/>
      <c r="CM64" s="1320"/>
      <c r="CN64" s="1369"/>
      <c r="CO64" s="1319"/>
      <c r="CP64" s="1319"/>
      <c r="CQ64" s="1319"/>
      <c r="CR64" s="1320"/>
      <c r="CS64" s="1369"/>
      <c r="CT64" s="1319"/>
      <c r="CU64" s="1319"/>
      <c r="CV64" s="1319"/>
      <c r="CW64" s="1320"/>
      <c r="CX64" s="1369"/>
      <c r="CY64" s="1319"/>
      <c r="CZ64" s="1319"/>
      <c r="DA64" s="1319"/>
      <c r="DB64" s="1320"/>
      <c r="DC64" s="1319"/>
      <c r="DD64" s="1319"/>
      <c r="DE64" s="1319"/>
      <c r="DF64" s="1319"/>
      <c r="DG64" s="1320"/>
      <c r="DH64" s="1369"/>
      <c r="DI64" s="1319"/>
      <c r="DJ64" s="1319"/>
      <c r="DK64" s="1319"/>
      <c r="DL64" s="1320"/>
      <c r="DM64" s="1743"/>
      <c r="DN64" s="1744"/>
      <c r="DO64" s="1744"/>
      <c r="DP64" s="1745"/>
      <c r="DQ64" s="1744"/>
      <c r="DR64" s="1744"/>
      <c r="DS64" s="1744"/>
      <c r="DT64" s="1745"/>
      <c r="DU64" s="1328"/>
      <c r="DV64" s="1664"/>
      <c r="DW64" s="1746"/>
    </row>
    <row r="65" spans="1:127" s="382" customFormat="1" ht="15.75" customHeight="1">
      <c r="A65" s="1066" t="s">
        <v>1102</v>
      </c>
      <c r="B65" s="1026">
        <v>56</v>
      </c>
      <c r="C65" s="987"/>
      <c r="D65" s="987"/>
      <c r="E65" s="987"/>
      <c r="F65" s="987"/>
      <c r="G65" s="987"/>
      <c r="H65" s="987"/>
      <c r="I65" s="987"/>
      <c r="J65" s="987"/>
      <c r="K65" s="987"/>
      <c r="L65" s="987"/>
      <c r="M65" s="1026"/>
      <c r="N65" s="987"/>
      <c r="O65" s="987"/>
      <c r="P65" s="987"/>
      <c r="Q65" s="987"/>
      <c r="R65" s="987"/>
      <c r="S65" s="987"/>
      <c r="T65" s="988"/>
      <c r="U65" s="1067" t="s">
        <v>1373</v>
      </c>
      <c r="V65" s="1068" t="s">
        <v>2339</v>
      </c>
      <c r="W65" s="1068" t="s">
        <v>2217</v>
      </c>
      <c r="X65" s="1069">
        <v>34</v>
      </c>
      <c r="Y65" s="1070" t="s">
        <v>2419</v>
      </c>
      <c r="Z65" s="1071" t="s">
        <v>2420</v>
      </c>
      <c r="AA65" s="1072" t="s">
        <v>2260</v>
      </c>
      <c r="AB65" s="1073">
        <v>1</v>
      </c>
      <c r="AC65" s="1073" t="s">
        <v>2260</v>
      </c>
      <c r="AD65" s="1073" t="s">
        <v>2260</v>
      </c>
      <c r="AE65" s="1073" t="s">
        <v>2260</v>
      </c>
      <c r="AF65" s="1073" t="s">
        <v>2260</v>
      </c>
      <c r="AG65" s="1073" t="s">
        <v>2260</v>
      </c>
      <c r="AH65" s="1073" t="s">
        <v>2260</v>
      </c>
      <c r="AI65" s="1074">
        <f t="shared" si="0"/>
        <v>1</v>
      </c>
      <c r="AJ65" s="1075" t="s">
        <v>1852</v>
      </c>
      <c r="AK65" s="1075" t="s">
        <v>1826</v>
      </c>
      <c r="AL65" s="1075" t="s">
        <v>1827</v>
      </c>
      <c r="AM65" s="1076" t="s">
        <v>2421</v>
      </c>
      <c r="AN65" s="987" t="s">
        <v>439</v>
      </c>
      <c r="AO65" s="987" t="s">
        <v>4423</v>
      </c>
      <c r="AP65" s="2042">
        <v>2</v>
      </c>
      <c r="AQ65" s="1045" t="s">
        <v>1838</v>
      </c>
      <c r="AR65" s="1078"/>
      <c r="AS65" s="1079"/>
      <c r="AT65" s="1069"/>
      <c r="AU65" s="1069"/>
      <c r="AV65" s="1069"/>
      <c r="AW65" s="1080"/>
      <c r="AX65" s="1081"/>
      <c r="AY65" s="1044"/>
      <c r="AZ65" s="1045"/>
      <c r="BA65" s="1045"/>
      <c r="BB65" s="1045"/>
      <c r="BC65" s="1045"/>
      <c r="BD65" s="1045"/>
      <c r="BE65" s="1045"/>
      <c r="BF65" s="1045"/>
      <c r="BG65" s="1045"/>
      <c r="BH65" s="1045"/>
      <c r="BI65" s="1369"/>
      <c r="BJ65" s="1319"/>
      <c r="BK65" s="1319"/>
      <c r="BL65" s="1319"/>
      <c r="BM65" s="1319"/>
      <c r="BN65" s="1044"/>
      <c r="BO65" s="1045"/>
      <c r="BP65" s="1045"/>
      <c r="BQ65" s="1045"/>
      <c r="BR65" s="1045"/>
      <c r="BS65" s="1084"/>
      <c r="BT65" s="1045"/>
      <c r="BU65" s="1045"/>
      <c r="BV65" s="1045"/>
      <c r="BW65" s="1085"/>
      <c r="BX65" s="1084"/>
      <c r="BY65" s="1045"/>
      <c r="BZ65" s="1045"/>
      <c r="CA65" s="1045"/>
      <c r="CB65" s="1085"/>
      <c r="CC65" s="1086"/>
      <c r="CD65" s="1327"/>
      <c r="CE65" s="1328"/>
      <c r="CF65" s="1328"/>
      <c r="CG65" s="1328"/>
      <c r="CH65" s="1389"/>
      <c r="CI65" s="1369"/>
      <c r="CJ65" s="1319"/>
      <c r="CK65" s="1319"/>
      <c r="CL65" s="1319"/>
      <c r="CM65" s="1320"/>
      <c r="CN65" s="1369"/>
      <c r="CO65" s="1319"/>
      <c r="CP65" s="1319"/>
      <c r="CQ65" s="1319"/>
      <c r="CR65" s="1320"/>
      <c r="CS65" s="1369"/>
      <c r="CT65" s="1319"/>
      <c r="CU65" s="1319"/>
      <c r="CV65" s="1319"/>
      <c r="CW65" s="1320"/>
      <c r="CX65" s="1369"/>
      <c r="CY65" s="1319"/>
      <c r="CZ65" s="1319"/>
      <c r="DA65" s="1319"/>
      <c r="DB65" s="1320"/>
      <c r="DC65" s="1319"/>
      <c r="DD65" s="1319"/>
      <c r="DE65" s="1319"/>
      <c r="DF65" s="1319"/>
      <c r="DG65" s="1320"/>
      <c r="DH65" s="1369"/>
      <c r="DI65" s="1319"/>
      <c r="DJ65" s="1319"/>
      <c r="DK65" s="1319"/>
      <c r="DL65" s="1320"/>
      <c r="DM65" s="1743"/>
      <c r="DN65" s="1744"/>
      <c r="DO65" s="1744"/>
      <c r="DP65" s="1745"/>
      <c r="DQ65" s="1744"/>
      <c r="DR65" s="1744"/>
      <c r="DS65" s="1744"/>
      <c r="DT65" s="1745"/>
      <c r="DU65" s="1328"/>
      <c r="DV65" s="1664"/>
      <c r="DW65" s="1746"/>
    </row>
    <row r="66" spans="1:127" s="382" customFormat="1" ht="15.75" customHeight="1">
      <c r="A66" s="1066" t="s">
        <v>1102</v>
      </c>
      <c r="B66" s="1026">
        <v>57</v>
      </c>
      <c r="C66" s="987"/>
      <c r="D66" s="987"/>
      <c r="E66" s="987"/>
      <c r="F66" s="987"/>
      <c r="G66" s="987"/>
      <c r="H66" s="987"/>
      <c r="I66" s="987"/>
      <c r="J66" s="987"/>
      <c r="K66" s="987"/>
      <c r="L66" s="987"/>
      <c r="M66" s="1026"/>
      <c r="N66" s="987"/>
      <c r="O66" s="987"/>
      <c r="P66" s="987"/>
      <c r="Q66" s="987"/>
      <c r="R66" s="987"/>
      <c r="S66" s="987"/>
      <c r="T66" s="988"/>
      <c r="U66" s="1067" t="s">
        <v>1670</v>
      </c>
      <c r="V66" s="1068" t="s">
        <v>2339</v>
      </c>
      <c r="W66" s="1068" t="s">
        <v>2231</v>
      </c>
      <c r="X66" s="1069">
        <v>35</v>
      </c>
      <c r="Y66" s="1070" t="s">
        <v>2423</v>
      </c>
      <c r="Z66" s="1071" t="s">
        <v>2424</v>
      </c>
      <c r="AA66" s="1072" t="s">
        <v>2260</v>
      </c>
      <c r="AB66" s="1073">
        <v>1</v>
      </c>
      <c r="AC66" s="1073" t="s">
        <v>2260</v>
      </c>
      <c r="AD66" s="1073" t="s">
        <v>2260</v>
      </c>
      <c r="AE66" s="1073" t="s">
        <v>2260</v>
      </c>
      <c r="AF66" s="1073" t="s">
        <v>2260</v>
      </c>
      <c r="AG66" s="1073" t="s">
        <v>2260</v>
      </c>
      <c r="AH66" s="1073" t="s">
        <v>2260</v>
      </c>
      <c r="AI66" s="1074">
        <f t="shared" si="0"/>
        <v>1</v>
      </c>
      <c r="AJ66" s="1075" t="s">
        <v>1825</v>
      </c>
      <c r="AK66" s="1075" t="s">
        <v>2260</v>
      </c>
      <c r="AL66" s="1075" t="s">
        <v>2260</v>
      </c>
      <c r="AM66" s="1076" t="s">
        <v>2247</v>
      </c>
      <c r="AN66" s="987" t="s">
        <v>1897</v>
      </c>
      <c r="AO66" s="987" t="s">
        <v>2425</v>
      </c>
      <c r="AP66" s="1039">
        <v>3</v>
      </c>
      <c r="AQ66" s="1077" t="s">
        <v>1838</v>
      </c>
      <c r="AR66" s="1078" t="s">
        <v>2260</v>
      </c>
      <c r="AS66" s="1079"/>
      <c r="AT66" s="1069"/>
      <c r="AU66" s="1069"/>
      <c r="AV66" s="1069"/>
      <c r="AW66" s="1080"/>
      <c r="AX66" s="1081"/>
      <c r="AY66" s="1044"/>
      <c r="AZ66" s="1045"/>
      <c r="BA66" s="1045"/>
      <c r="BB66" s="1045"/>
      <c r="BC66" s="1045"/>
      <c r="BD66" s="1045"/>
      <c r="BE66" s="1045"/>
      <c r="BF66" s="1045"/>
      <c r="BG66" s="1045"/>
      <c r="BH66" s="1045"/>
      <c r="BI66" s="1369"/>
      <c r="BJ66" s="1319"/>
      <c r="BK66" s="1319"/>
      <c r="BL66" s="1319"/>
      <c r="BM66" s="1319"/>
      <c r="BN66" s="1044"/>
      <c r="BO66" s="1045"/>
      <c r="BP66" s="1045"/>
      <c r="BQ66" s="1045"/>
      <c r="BR66" s="1045"/>
      <c r="BS66" s="1084"/>
      <c r="BT66" s="1045"/>
      <c r="BU66" s="1045"/>
      <c r="BV66" s="1045"/>
      <c r="BW66" s="1085"/>
      <c r="BX66" s="1084"/>
      <c r="BY66" s="1045"/>
      <c r="BZ66" s="1045"/>
      <c r="CA66" s="1045"/>
      <c r="CB66" s="1085"/>
      <c r="CC66" s="1086"/>
      <c r="CD66" s="1327"/>
      <c r="CE66" s="1328"/>
      <c r="CF66" s="1328"/>
      <c r="CG66" s="1328"/>
      <c r="CH66" s="1389"/>
      <c r="CI66" s="1369"/>
      <c r="CJ66" s="1319"/>
      <c r="CK66" s="1319"/>
      <c r="CL66" s="1319"/>
      <c r="CM66" s="1320"/>
      <c r="CN66" s="1369"/>
      <c r="CO66" s="1319"/>
      <c r="CP66" s="1319"/>
      <c r="CQ66" s="1319"/>
      <c r="CR66" s="1320"/>
      <c r="CS66" s="1369"/>
      <c r="CT66" s="1319"/>
      <c r="CU66" s="1319"/>
      <c r="CV66" s="1319"/>
      <c r="CW66" s="1320"/>
      <c r="CX66" s="1369"/>
      <c r="CY66" s="1319"/>
      <c r="CZ66" s="1319"/>
      <c r="DA66" s="1319"/>
      <c r="DB66" s="1320"/>
      <c r="DC66" s="1319"/>
      <c r="DD66" s="1319"/>
      <c r="DE66" s="1319"/>
      <c r="DF66" s="1319"/>
      <c r="DG66" s="1320"/>
      <c r="DH66" s="1369"/>
      <c r="DI66" s="1319"/>
      <c r="DJ66" s="1319"/>
      <c r="DK66" s="1319"/>
      <c r="DL66" s="1320"/>
      <c r="DM66" s="1743"/>
      <c r="DN66" s="1744"/>
      <c r="DO66" s="1744"/>
      <c r="DP66" s="1745"/>
      <c r="DQ66" s="1744"/>
      <c r="DR66" s="1744"/>
      <c r="DS66" s="1744"/>
      <c r="DT66" s="1745"/>
      <c r="DU66" s="1328"/>
      <c r="DV66" s="1664"/>
      <c r="DW66" s="1746"/>
    </row>
    <row r="67" spans="1:127" s="382" customFormat="1" ht="15.75" customHeight="1">
      <c r="A67" s="1066" t="s">
        <v>1102</v>
      </c>
      <c r="B67" s="1026">
        <v>58</v>
      </c>
      <c r="C67" s="987"/>
      <c r="D67" s="987"/>
      <c r="E67" s="987"/>
      <c r="F67" s="987"/>
      <c r="G67" s="987"/>
      <c r="H67" s="987"/>
      <c r="I67" s="987"/>
      <c r="J67" s="987"/>
      <c r="K67" s="987"/>
      <c r="L67" s="987"/>
      <c r="M67" s="1026"/>
      <c r="N67" s="987"/>
      <c r="O67" s="987"/>
      <c r="P67" s="987"/>
      <c r="Q67" s="987"/>
      <c r="R67" s="987"/>
      <c r="S67" s="987"/>
      <c r="T67" s="988"/>
      <c r="U67" s="1067" t="s">
        <v>1684</v>
      </c>
      <c r="V67" s="1068" t="s">
        <v>2393</v>
      </c>
      <c r="W67" s="1068" t="s">
        <v>2231</v>
      </c>
      <c r="X67" s="1069">
        <v>36</v>
      </c>
      <c r="Y67" s="1070" t="s">
        <v>2426</v>
      </c>
      <c r="Z67" s="1071" t="s">
        <v>2427</v>
      </c>
      <c r="AA67" s="1072" t="s">
        <v>2260</v>
      </c>
      <c r="AB67" s="1073" t="s">
        <v>2260</v>
      </c>
      <c r="AC67" s="1073" t="s">
        <v>2260</v>
      </c>
      <c r="AD67" s="1073" t="s">
        <v>2260</v>
      </c>
      <c r="AE67" s="1073">
        <v>1</v>
      </c>
      <c r="AF67" s="1073" t="s">
        <v>2260</v>
      </c>
      <c r="AG67" s="1073" t="s">
        <v>2260</v>
      </c>
      <c r="AH67" s="1073" t="s">
        <v>2260</v>
      </c>
      <c r="AI67" s="1074">
        <f t="shared" si="0"/>
        <v>1</v>
      </c>
      <c r="AJ67" s="1075" t="s">
        <v>1825</v>
      </c>
      <c r="AK67" s="1075" t="s">
        <v>2260</v>
      </c>
      <c r="AL67" s="1075" t="s">
        <v>2260</v>
      </c>
      <c r="AM67" s="1076" t="s">
        <v>2329</v>
      </c>
      <c r="AN67" s="987" t="s">
        <v>1890</v>
      </c>
      <c r="AO67" s="987" t="s">
        <v>2428</v>
      </c>
      <c r="AP67" s="1039">
        <v>0</v>
      </c>
      <c r="AQ67" s="1077" t="s">
        <v>1890</v>
      </c>
      <c r="AR67" s="1078" t="s">
        <v>2260</v>
      </c>
      <c r="AS67" s="1079"/>
      <c r="AT67" s="1069"/>
      <c r="AU67" s="1069"/>
      <c r="AV67" s="1069"/>
      <c r="AW67" s="1080"/>
      <c r="AX67" s="1081"/>
      <c r="AY67" s="1044"/>
      <c r="AZ67" s="1045"/>
      <c r="BA67" s="1045"/>
      <c r="BB67" s="1045"/>
      <c r="BC67" s="1045"/>
      <c r="BD67" s="1045"/>
      <c r="BE67" s="1045"/>
      <c r="BF67" s="1045"/>
      <c r="BG67" s="1045"/>
      <c r="BH67" s="1045"/>
      <c r="BI67" s="1369"/>
      <c r="BJ67" s="1319"/>
      <c r="BK67" s="1319"/>
      <c r="BL67" s="1319"/>
      <c r="BM67" s="1319"/>
      <c r="BN67" s="1044"/>
      <c r="BO67" s="1045"/>
      <c r="BP67" s="1045"/>
      <c r="BQ67" s="1045"/>
      <c r="BR67" s="1045"/>
      <c r="BS67" s="1084"/>
      <c r="BT67" s="1045"/>
      <c r="BU67" s="1045"/>
      <c r="BV67" s="1045"/>
      <c r="BW67" s="1085"/>
      <c r="BX67" s="1084"/>
      <c r="BY67" s="1045"/>
      <c r="BZ67" s="1045"/>
      <c r="CA67" s="1045"/>
      <c r="CB67" s="1085"/>
      <c r="CC67" s="1086"/>
      <c r="CD67" s="1327"/>
      <c r="CE67" s="1328"/>
      <c r="CF67" s="1328"/>
      <c r="CG67" s="1328"/>
      <c r="CH67" s="1389"/>
      <c r="CI67" s="1369"/>
      <c r="CJ67" s="1319"/>
      <c r="CK67" s="1319"/>
      <c r="CL67" s="1319"/>
      <c r="CM67" s="1320"/>
      <c r="CN67" s="1369"/>
      <c r="CO67" s="1319"/>
      <c r="CP67" s="1319"/>
      <c r="CQ67" s="1319"/>
      <c r="CR67" s="1320"/>
      <c r="CS67" s="1369"/>
      <c r="CT67" s="1319"/>
      <c r="CU67" s="1319"/>
      <c r="CV67" s="1319"/>
      <c r="CW67" s="1320"/>
      <c r="CX67" s="1369"/>
      <c r="CY67" s="1319"/>
      <c r="CZ67" s="1319"/>
      <c r="DA67" s="1319"/>
      <c r="DB67" s="1320"/>
      <c r="DC67" s="1319"/>
      <c r="DD67" s="1319"/>
      <c r="DE67" s="1319"/>
      <c r="DF67" s="1319"/>
      <c r="DG67" s="1320"/>
      <c r="DH67" s="1369"/>
      <c r="DI67" s="1319"/>
      <c r="DJ67" s="1319"/>
      <c r="DK67" s="1319"/>
      <c r="DL67" s="1320"/>
      <c r="DM67" s="1743"/>
      <c r="DN67" s="1744"/>
      <c r="DO67" s="1744"/>
      <c r="DP67" s="1745"/>
      <c r="DQ67" s="1744"/>
      <c r="DR67" s="1744"/>
      <c r="DS67" s="1744"/>
      <c r="DT67" s="1745"/>
      <c r="DU67" s="1328"/>
      <c r="DV67" s="1664"/>
      <c r="DW67" s="1746"/>
    </row>
    <row r="68" spans="1:127" s="382" customFormat="1" ht="15.75" customHeight="1">
      <c r="A68" s="1066" t="s">
        <v>1102</v>
      </c>
      <c r="B68" s="1026">
        <v>59</v>
      </c>
      <c r="C68" s="987"/>
      <c r="D68" s="987"/>
      <c r="E68" s="987"/>
      <c r="F68" s="987"/>
      <c r="G68" s="987"/>
      <c r="H68" s="987"/>
      <c r="I68" s="987"/>
      <c r="J68" s="987"/>
      <c r="K68" s="987"/>
      <c r="L68" s="987"/>
      <c r="M68" s="1026"/>
      <c r="N68" s="987"/>
      <c r="O68" s="987"/>
      <c r="P68" s="987"/>
      <c r="Q68" s="987"/>
      <c r="R68" s="987"/>
      <c r="S68" s="987"/>
      <c r="T68" s="988"/>
      <c r="U68" s="1067" t="s">
        <v>1696</v>
      </c>
      <c r="V68" s="1068" t="s">
        <v>2393</v>
      </c>
      <c r="W68" s="1068" t="s">
        <v>2231</v>
      </c>
      <c r="X68" s="1069">
        <v>37</v>
      </c>
      <c r="Y68" s="1070" t="s">
        <v>2429</v>
      </c>
      <c r="Z68" s="1071" t="s">
        <v>2430</v>
      </c>
      <c r="AA68" s="1072" t="s">
        <v>2260</v>
      </c>
      <c r="AB68" s="1073" t="s">
        <v>2260</v>
      </c>
      <c r="AC68" s="1073" t="s">
        <v>2260</v>
      </c>
      <c r="AD68" s="1073" t="s">
        <v>2260</v>
      </c>
      <c r="AE68" s="1073">
        <v>1</v>
      </c>
      <c r="AF68" s="1073" t="s">
        <v>2260</v>
      </c>
      <c r="AG68" s="1073" t="s">
        <v>2260</v>
      </c>
      <c r="AH68" s="1073" t="s">
        <v>2260</v>
      </c>
      <c r="AI68" s="1074">
        <f t="shared" si="0"/>
        <v>1</v>
      </c>
      <c r="AJ68" s="1075" t="s">
        <v>1825</v>
      </c>
      <c r="AK68" s="1075" t="s">
        <v>2260</v>
      </c>
      <c r="AL68" s="1075" t="s">
        <v>2260</v>
      </c>
      <c r="AM68" s="1076" t="s">
        <v>2329</v>
      </c>
      <c r="AN68" s="987" t="s">
        <v>1857</v>
      </c>
      <c r="AO68" s="987" t="s">
        <v>2431</v>
      </c>
      <c r="AP68" s="1039">
        <v>1</v>
      </c>
      <c r="AQ68" s="1077" t="s">
        <v>1828</v>
      </c>
      <c r="AR68" s="1078" t="s">
        <v>2260</v>
      </c>
      <c r="AS68" s="1079"/>
      <c r="AT68" s="1069"/>
      <c r="AU68" s="1069"/>
      <c r="AV68" s="1069"/>
      <c r="AW68" s="1080"/>
      <c r="AX68" s="1081"/>
      <c r="AY68" s="1044"/>
      <c r="AZ68" s="1045"/>
      <c r="BA68" s="1045"/>
      <c r="BB68" s="1045"/>
      <c r="BC68" s="1045"/>
      <c r="BD68" s="1045"/>
      <c r="BE68" s="1045"/>
      <c r="BF68" s="1045"/>
      <c r="BG68" s="1045"/>
      <c r="BH68" s="1045"/>
      <c r="BI68" s="1369"/>
      <c r="BJ68" s="1319"/>
      <c r="BK68" s="1319"/>
      <c r="BL68" s="1319"/>
      <c r="BM68" s="1319"/>
      <c r="BN68" s="1044"/>
      <c r="BO68" s="1045"/>
      <c r="BP68" s="1045"/>
      <c r="BQ68" s="1045"/>
      <c r="BR68" s="1045"/>
      <c r="BS68" s="1084"/>
      <c r="BT68" s="1045"/>
      <c r="BU68" s="1045"/>
      <c r="BV68" s="1045"/>
      <c r="BW68" s="1085"/>
      <c r="BX68" s="1084"/>
      <c r="BY68" s="1045"/>
      <c r="BZ68" s="1045"/>
      <c r="CA68" s="1045"/>
      <c r="CB68" s="1085"/>
      <c r="CC68" s="1086"/>
      <c r="CD68" s="1327"/>
      <c r="CE68" s="1328"/>
      <c r="CF68" s="1328"/>
      <c r="CG68" s="1328"/>
      <c r="CH68" s="1389"/>
      <c r="CI68" s="1369"/>
      <c r="CJ68" s="1319"/>
      <c r="CK68" s="1319"/>
      <c r="CL68" s="1319"/>
      <c r="CM68" s="1320"/>
      <c r="CN68" s="1369"/>
      <c r="CO68" s="1319"/>
      <c r="CP68" s="1319"/>
      <c r="CQ68" s="1319"/>
      <c r="CR68" s="1320"/>
      <c r="CS68" s="1369"/>
      <c r="CT68" s="1319"/>
      <c r="CU68" s="1319"/>
      <c r="CV68" s="1319"/>
      <c r="CW68" s="1320"/>
      <c r="CX68" s="1369"/>
      <c r="CY68" s="1319"/>
      <c r="CZ68" s="1319"/>
      <c r="DA68" s="1319"/>
      <c r="DB68" s="1320"/>
      <c r="DC68" s="1319"/>
      <c r="DD68" s="1319"/>
      <c r="DE68" s="1319"/>
      <c r="DF68" s="1319"/>
      <c r="DG68" s="1320"/>
      <c r="DH68" s="1369"/>
      <c r="DI68" s="1319"/>
      <c r="DJ68" s="1319"/>
      <c r="DK68" s="1319"/>
      <c r="DL68" s="1320"/>
      <c r="DM68" s="1743"/>
      <c r="DN68" s="1744"/>
      <c r="DO68" s="1744"/>
      <c r="DP68" s="1745"/>
      <c r="DQ68" s="1744"/>
      <c r="DR68" s="1744"/>
      <c r="DS68" s="1744"/>
      <c r="DT68" s="1745"/>
      <c r="DU68" s="1328"/>
      <c r="DV68" s="1664"/>
      <c r="DW68" s="1746"/>
    </row>
    <row r="69" spans="1:127" s="382" customFormat="1" ht="15.75" customHeight="1">
      <c r="A69" s="1066" t="s">
        <v>1102</v>
      </c>
      <c r="B69" s="1026">
        <v>60</v>
      </c>
      <c r="C69" s="987"/>
      <c r="D69" s="987"/>
      <c r="E69" s="987"/>
      <c r="F69" s="987"/>
      <c r="G69" s="987"/>
      <c r="H69" s="987"/>
      <c r="I69" s="987"/>
      <c r="J69" s="987"/>
      <c r="K69" s="987"/>
      <c r="L69" s="987"/>
      <c r="M69" s="1026"/>
      <c r="N69" s="987"/>
      <c r="O69" s="987"/>
      <c r="P69" s="987"/>
      <c r="Q69" s="987"/>
      <c r="R69" s="987"/>
      <c r="S69" s="987"/>
      <c r="T69" s="988"/>
      <c r="U69" s="1067" t="s">
        <v>1390</v>
      </c>
      <c r="V69" s="1068" t="s">
        <v>2260</v>
      </c>
      <c r="W69" s="1068" t="s">
        <v>2231</v>
      </c>
      <c r="X69" s="1069">
        <v>38</v>
      </c>
      <c r="Y69" s="1070" t="s">
        <v>2432</v>
      </c>
      <c r="Z69" s="1071" t="s">
        <v>2260</v>
      </c>
      <c r="AA69" s="1072" t="s">
        <v>2260</v>
      </c>
      <c r="AB69" s="1073">
        <v>1</v>
      </c>
      <c r="AC69" s="1073" t="s">
        <v>2260</v>
      </c>
      <c r="AD69" s="1073" t="s">
        <v>2260</v>
      </c>
      <c r="AE69" s="1073" t="s">
        <v>2260</v>
      </c>
      <c r="AF69" s="1073" t="s">
        <v>2260</v>
      </c>
      <c r="AG69" s="1073" t="s">
        <v>2260</v>
      </c>
      <c r="AH69" s="1073" t="s">
        <v>2260</v>
      </c>
      <c r="AI69" s="1074">
        <f t="shared" si="0"/>
        <v>1</v>
      </c>
      <c r="AJ69" s="1075" t="s">
        <v>1846</v>
      </c>
      <c r="AK69" s="1075" t="s">
        <v>1826</v>
      </c>
      <c r="AL69" s="1075" t="s">
        <v>1837</v>
      </c>
      <c r="AM69" s="1076" t="s">
        <v>2433</v>
      </c>
      <c r="AN69" s="987" t="s">
        <v>1857</v>
      </c>
      <c r="AO69" s="987" t="s">
        <v>2434</v>
      </c>
      <c r="AP69" s="1039">
        <v>0</v>
      </c>
      <c r="AQ69" s="1077" t="s">
        <v>1828</v>
      </c>
      <c r="AR69" s="1078" t="s">
        <v>2260</v>
      </c>
      <c r="AS69" s="1079"/>
      <c r="AT69" s="1069"/>
      <c r="AU69" s="1069"/>
      <c r="AV69" s="1069"/>
      <c r="AW69" s="1080"/>
      <c r="AX69" s="1081"/>
      <c r="AY69" s="1044"/>
      <c r="AZ69" s="1045"/>
      <c r="BA69" s="1045"/>
      <c r="BB69" s="1045"/>
      <c r="BC69" s="1045"/>
      <c r="BD69" s="1045"/>
      <c r="BE69" s="1045"/>
      <c r="BF69" s="1045"/>
      <c r="BG69" s="1045"/>
      <c r="BH69" s="1045"/>
      <c r="BI69" s="1369"/>
      <c r="BJ69" s="1319"/>
      <c r="BK69" s="1319"/>
      <c r="BL69" s="1319"/>
      <c r="BM69" s="1319"/>
      <c r="BN69" s="1044"/>
      <c r="BO69" s="1045"/>
      <c r="BP69" s="1045"/>
      <c r="BQ69" s="1045"/>
      <c r="BR69" s="1045"/>
      <c r="BS69" s="1084"/>
      <c r="BT69" s="1045"/>
      <c r="BU69" s="1045"/>
      <c r="BV69" s="1045"/>
      <c r="BW69" s="1085"/>
      <c r="BX69" s="1084"/>
      <c r="BY69" s="1045"/>
      <c r="BZ69" s="1045"/>
      <c r="CA69" s="1045"/>
      <c r="CB69" s="1085"/>
      <c r="CC69" s="1086"/>
      <c r="CD69" s="1672"/>
      <c r="CE69" s="1673"/>
      <c r="CF69" s="1673"/>
      <c r="CG69" s="1673"/>
      <c r="CH69" s="1674"/>
      <c r="CI69" s="1369"/>
      <c r="CJ69" s="1319"/>
      <c r="CK69" s="1319"/>
      <c r="CL69" s="1319"/>
      <c r="CM69" s="1320"/>
      <c r="CN69" s="1369"/>
      <c r="CO69" s="1319"/>
      <c r="CP69" s="1319"/>
      <c r="CQ69" s="1319"/>
      <c r="CR69" s="1320"/>
      <c r="CS69" s="1369"/>
      <c r="CT69" s="1319"/>
      <c r="CU69" s="1319"/>
      <c r="CV69" s="1319"/>
      <c r="CW69" s="1320"/>
      <c r="CX69" s="1369"/>
      <c r="CY69" s="1319"/>
      <c r="CZ69" s="1319"/>
      <c r="DA69" s="1319"/>
      <c r="DB69" s="1320"/>
      <c r="DC69" s="1319"/>
      <c r="DD69" s="1319"/>
      <c r="DE69" s="1319"/>
      <c r="DF69" s="1319"/>
      <c r="DG69" s="1320"/>
      <c r="DH69" s="1369"/>
      <c r="DI69" s="1319"/>
      <c r="DJ69" s="1319"/>
      <c r="DK69" s="1319"/>
      <c r="DL69" s="1320"/>
      <c r="DM69" s="1743"/>
      <c r="DN69" s="1744"/>
      <c r="DO69" s="1744"/>
      <c r="DP69" s="1745"/>
      <c r="DQ69" s="1744"/>
      <c r="DR69" s="1744"/>
      <c r="DS69" s="1744"/>
      <c r="DT69" s="1745"/>
      <c r="DU69" s="1328"/>
      <c r="DV69" s="1664"/>
      <c r="DW69" s="1746"/>
    </row>
    <row r="70" spans="1:127" s="382" customFormat="1" ht="15.75" customHeight="1">
      <c r="A70" s="1066" t="s">
        <v>1102</v>
      </c>
      <c r="B70" s="1026">
        <v>61</v>
      </c>
      <c r="C70" s="987"/>
      <c r="D70" s="987"/>
      <c r="E70" s="987"/>
      <c r="F70" s="987"/>
      <c r="G70" s="987"/>
      <c r="H70" s="987"/>
      <c r="I70" s="987"/>
      <c r="J70" s="987"/>
      <c r="K70" s="987"/>
      <c r="L70" s="987"/>
      <c r="M70" s="1026"/>
      <c r="N70" s="987"/>
      <c r="O70" s="987"/>
      <c r="P70" s="987"/>
      <c r="Q70" s="987"/>
      <c r="R70" s="987"/>
      <c r="S70" s="987"/>
      <c r="T70" s="988"/>
      <c r="U70" s="1067" t="s">
        <v>1407</v>
      </c>
      <c r="V70" s="1068" t="s">
        <v>2260</v>
      </c>
      <c r="W70" s="1068" t="s">
        <v>2231</v>
      </c>
      <c r="X70" s="1069">
        <v>39</v>
      </c>
      <c r="Y70" s="1070" t="s">
        <v>2078</v>
      </c>
      <c r="Z70" s="1071" t="s">
        <v>2260</v>
      </c>
      <c r="AA70" s="1072" t="s">
        <v>2260</v>
      </c>
      <c r="AB70" s="1073">
        <v>1</v>
      </c>
      <c r="AC70" s="1073" t="s">
        <v>2260</v>
      </c>
      <c r="AD70" s="1073" t="s">
        <v>2260</v>
      </c>
      <c r="AE70" s="1073" t="s">
        <v>2260</v>
      </c>
      <c r="AF70" s="1073" t="s">
        <v>2260</v>
      </c>
      <c r="AG70" s="1073" t="s">
        <v>2260</v>
      </c>
      <c r="AH70" s="1073" t="s">
        <v>2260</v>
      </c>
      <c r="AI70" s="1074">
        <f t="shared" si="0"/>
        <v>1</v>
      </c>
      <c r="AJ70" s="1075" t="s">
        <v>1846</v>
      </c>
      <c r="AK70" s="1075" t="s">
        <v>1826</v>
      </c>
      <c r="AL70" s="1075" t="s">
        <v>1837</v>
      </c>
      <c r="AM70" s="1076" t="s">
        <v>2433</v>
      </c>
      <c r="AN70" s="987" t="s">
        <v>1857</v>
      </c>
      <c r="AO70" s="987" t="s">
        <v>2435</v>
      </c>
      <c r="AP70" s="802">
        <v>1</v>
      </c>
      <c r="AQ70" s="1045" t="s">
        <v>1828</v>
      </c>
      <c r="AR70" s="1078" t="s">
        <v>2260</v>
      </c>
      <c r="AS70" s="1079"/>
      <c r="AT70" s="1069"/>
      <c r="AU70" s="1069"/>
      <c r="AV70" s="1069"/>
      <c r="AW70" s="1080"/>
      <c r="AX70" s="1081"/>
      <c r="AY70" s="1044"/>
      <c r="AZ70" s="1045"/>
      <c r="BA70" s="1045"/>
      <c r="BB70" s="1045"/>
      <c r="BC70" s="1045"/>
      <c r="BD70" s="1045"/>
      <c r="BE70" s="1045"/>
      <c r="BF70" s="1045"/>
      <c r="BG70" s="1045"/>
      <c r="BH70" s="1045"/>
      <c r="BI70" s="1369"/>
      <c r="BJ70" s="1319"/>
      <c r="BK70" s="1319"/>
      <c r="BL70" s="1319"/>
      <c r="BM70" s="1319"/>
      <c r="BN70" s="1044"/>
      <c r="BO70" s="1045"/>
      <c r="BP70" s="1045"/>
      <c r="BQ70" s="1045"/>
      <c r="BR70" s="1045"/>
      <c r="BS70" s="1084"/>
      <c r="BT70" s="1045"/>
      <c r="BU70" s="1045"/>
      <c r="BV70" s="1045"/>
      <c r="BW70" s="1085"/>
      <c r="BX70" s="1084"/>
      <c r="BY70" s="1045"/>
      <c r="BZ70" s="1045"/>
      <c r="CA70" s="1045"/>
      <c r="CB70" s="1085"/>
      <c r="CC70" s="1086"/>
      <c r="CD70" s="1327"/>
      <c r="CE70" s="1328"/>
      <c r="CF70" s="1328"/>
      <c r="CG70" s="1328"/>
      <c r="CH70" s="1389"/>
      <c r="CI70" s="1369"/>
      <c r="CJ70" s="1319"/>
      <c r="CK70" s="1319"/>
      <c r="CL70" s="1319"/>
      <c r="CM70" s="1320"/>
      <c r="CN70" s="1369"/>
      <c r="CO70" s="1319"/>
      <c r="CP70" s="1319"/>
      <c r="CQ70" s="1319"/>
      <c r="CR70" s="1320"/>
      <c r="CS70" s="1369"/>
      <c r="CT70" s="1319"/>
      <c r="CU70" s="1319"/>
      <c r="CV70" s="1319"/>
      <c r="CW70" s="1320"/>
      <c r="CX70" s="1369"/>
      <c r="CY70" s="1319"/>
      <c r="CZ70" s="1319"/>
      <c r="DA70" s="1319"/>
      <c r="DB70" s="1320"/>
      <c r="DC70" s="1319"/>
      <c r="DD70" s="1319"/>
      <c r="DE70" s="1319"/>
      <c r="DF70" s="1319"/>
      <c r="DG70" s="1320"/>
      <c r="DH70" s="1369"/>
      <c r="DI70" s="1319"/>
      <c r="DJ70" s="1319"/>
      <c r="DK70" s="1319"/>
      <c r="DL70" s="1320"/>
      <c r="DM70" s="1743"/>
      <c r="DN70" s="1744"/>
      <c r="DO70" s="1744"/>
      <c r="DP70" s="1745"/>
      <c r="DQ70" s="1744"/>
      <c r="DR70" s="1744"/>
      <c r="DS70" s="1744"/>
      <c r="DT70" s="1745"/>
      <c r="DU70" s="1328"/>
      <c r="DV70" s="1664"/>
      <c r="DW70" s="1746"/>
    </row>
    <row r="71" spans="1:127" s="382" customFormat="1" ht="15.75" customHeight="1">
      <c r="A71" s="1066" t="s">
        <v>1102</v>
      </c>
      <c r="B71" s="1026">
        <v>62</v>
      </c>
      <c r="C71" s="987"/>
      <c r="D71" s="987"/>
      <c r="E71" s="987"/>
      <c r="F71" s="987"/>
      <c r="G71" s="987"/>
      <c r="H71" s="987"/>
      <c r="I71" s="987"/>
      <c r="J71" s="987"/>
      <c r="K71" s="987"/>
      <c r="L71" s="987"/>
      <c r="M71" s="1026"/>
      <c r="N71" s="987"/>
      <c r="O71" s="987"/>
      <c r="P71" s="987"/>
      <c r="Q71" s="987"/>
      <c r="R71" s="987"/>
      <c r="S71" s="987"/>
      <c r="T71" s="988"/>
      <c r="U71" s="1067" t="s">
        <v>1706</v>
      </c>
      <c r="V71" s="1068" t="s">
        <v>2260</v>
      </c>
      <c r="W71" s="1068" t="s">
        <v>2260</v>
      </c>
      <c r="X71" s="1069">
        <v>40</v>
      </c>
      <c r="Y71" s="1070" t="s">
        <v>2436</v>
      </c>
      <c r="Z71" s="1071" t="s">
        <v>2260</v>
      </c>
      <c r="AA71" s="1072" t="s">
        <v>2260</v>
      </c>
      <c r="AB71" s="1073" t="s">
        <v>2260</v>
      </c>
      <c r="AC71" s="1073" t="s">
        <v>2260</v>
      </c>
      <c r="AD71" s="1073" t="s">
        <v>2260</v>
      </c>
      <c r="AE71" s="1073" t="s">
        <v>2260</v>
      </c>
      <c r="AF71" s="1073" t="s">
        <v>2260</v>
      </c>
      <c r="AG71" s="1073" t="s">
        <v>2260</v>
      </c>
      <c r="AH71" s="1073" t="s">
        <v>2260</v>
      </c>
      <c r="AI71" s="1074">
        <f t="shared" si="0"/>
        <v>0</v>
      </c>
      <c r="AJ71" s="1075" t="s">
        <v>1825</v>
      </c>
      <c r="AK71" s="1075" t="s">
        <v>2260</v>
      </c>
      <c r="AL71" s="1075" t="s">
        <v>2260</v>
      </c>
      <c r="AM71" s="1076" t="s">
        <v>2260</v>
      </c>
      <c r="AN71" s="987" t="s">
        <v>2260</v>
      </c>
      <c r="AO71" s="987" t="s">
        <v>2260</v>
      </c>
      <c r="AP71" s="2042">
        <v>0</v>
      </c>
      <c r="AQ71" s="1045" t="s">
        <v>2260</v>
      </c>
      <c r="AR71" s="1078" t="s">
        <v>2260</v>
      </c>
      <c r="AS71" s="1079"/>
      <c r="AT71" s="1069"/>
      <c r="AU71" s="1069"/>
      <c r="AV71" s="1069"/>
      <c r="AW71" s="1080"/>
      <c r="AX71" s="1081"/>
      <c r="AY71" s="1044"/>
      <c r="AZ71" s="1045"/>
      <c r="BA71" s="1045"/>
      <c r="BB71" s="1045"/>
      <c r="BC71" s="1045"/>
      <c r="BD71" s="1045"/>
      <c r="BE71" s="1045"/>
      <c r="BF71" s="1045"/>
      <c r="BG71" s="1045"/>
      <c r="BH71" s="1045"/>
      <c r="BI71" s="1369"/>
      <c r="BJ71" s="1319"/>
      <c r="BK71" s="1319"/>
      <c r="BL71" s="1319"/>
      <c r="BM71" s="1319"/>
      <c r="BN71" s="1044"/>
      <c r="BO71" s="1045"/>
      <c r="BP71" s="1045"/>
      <c r="BQ71" s="1045"/>
      <c r="BR71" s="1045"/>
      <c r="BS71" s="1084"/>
      <c r="BT71" s="1045"/>
      <c r="BU71" s="1045"/>
      <c r="BV71" s="1045"/>
      <c r="BW71" s="1085"/>
      <c r="BX71" s="1084"/>
      <c r="BY71" s="1045"/>
      <c r="BZ71" s="1045"/>
      <c r="CA71" s="1045"/>
      <c r="CB71" s="1085"/>
      <c r="CC71" s="1086"/>
      <c r="CD71" s="1327"/>
      <c r="CE71" s="1328"/>
      <c r="CF71" s="1328"/>
      <c r="CG71" s="1328"/>
      <c r="CH71" s="1389"/>
      <c r="CI71" s="1369"/>
      <c r="CJ71" s="1319"/>
      <c r="CK71" s="1319"/>
      <c r="CL71" s="1319"/>
      <c r="CM71" s="1320"/>
      <c r="CN71" s="1369"/>
      <c r="CO71" s="1319"/>
      <c r="CP71" s="1319"/>
      <c r="CQ71" s="1319"/>
      <c r="CR71" s="1320"/>
      <c r="CS71" s="1369"/>
      <c r="CT71" s="1319"/>
      <c r="CU71" s="1319"/>
      <c r="CV71" s="1319"/>
      <c r="CW71" s="1320"/>
      <c r="CX71" s="1369"/>
      <c r="CY71" s="1319"/>
      <c r="CZ71" s="1319"/>
      <c r="DA71" s="1319"/>
      <c r="DB71" s="1320"/>
      <c r="DC71" s="1319"/>
      <c r="DD71" s="1319"/>
      <c r="DE71" s="1319"/>
      <c r="DF71" s="1319"/>
      <c r="DG71" s="1320"/>
      <c r="DH71" s="1369"/>
      <c r="DI71" s="1319"/>
      <c r="DJ71" s="1319"/>
      <c r="DK71" s="1319"/>
      <c r="DL71" s="1320"/>
      <c r="DM71" s="1743"/>
      <c r="DN71" s="1744"/>
      <c r="DO71" s="1744"/>
      <c r="DP71" s="1745"/>
      <c r="DQ71" s="1744"/>
      <c r="DR71" s="1744"/>
      <c r="DS71" s="1744"/>
      <c r="DT71" s="1745"/>
      <c r="DU71" s="1328"/>
      <c r="DV71" s="1664"/>
      <c r="DW71" s="1746"/>
    </row>
    <row r="72" spans="1:127" s="382" customFormat="1" ht="15.75" customHeight="1">
      <c r="A72" s="1066" t="s">
        <v>1102</v>
      </c>
      <c r="B72" s="1026">
        <v>63</v>
      </c>
      <c r="C72" s="987"/>
      <c r="D72" s="987"/>
      <c r="E72" s="987"/>
      <c r="F72" s="987"/>
      <c r="G72" s="987"/>
      <c r="H72" s="987"/>
      <c r="I72" s="987"/>
      <c r="J72" s="987"/>
      <c r="K72" s="987"/>
      <c r="L72" s="987"/>
      <c r="M72" s="1026"/>
      <c r="N72" s="987"/>
      <c r="O72" s="987"/>
      <c r="P72" s="987"/>
      <c r="Q72" s="987"/>
      <c r="R72" s="987"/>
      <c r="S72" s="987"/>
      <c r="T72" s="988"/>
      <c r="U72" s="1067" t="s">
        <v>1424</v>
      </c>
      <c r="V72" s="1068" t="s">
        <v>2260</v>
      </c>
      <c r="W72" s="1068" t="s">
        <v>2260</v>
      </c>
      <c r="X72" s="1069">
        <v>41</v>
      </c>
      <c r="Y72" s="1070" t="s">
        <v>2437</v>
      </c>
      <c r="Z72" s="1071" t="s">
        <v>2260</v>
      </c>
      <c r="AA72" s="1072" t="s">
        <v>2260</v>
      </c>
      <c r="AB72" s="1073">
        <v>1</v>
      </c>
      <c r="AC72" s="1073" t="s">
        <v>2260</v>
      </c>
      <c r="AD72" s="1073" t="s">
        <v>2260</v>
      </c>
      <c r="AE72" s="1073" t="s">
        <v>2260</v>
      </c>
      <c r="AF72" s="1073" t="s">
        <v>2260</v>
      </c>
      <c r="AG72" s="1073" t="s">
        <v>2260</v>
      </c>
      <c r="AH72" s="1073" t="s">
        <v>2260</v>
      </c>
      <c r="AI72" s="1074">
        <f t="shared" si="0"/>
        <v>1</v>
      </c>
      <c r="AJ72" s="1075"/>
      <c r="AK72" s="1075"/>
      <c r="AL72" s="1075"/>
      <c r="AM72" s="1076"/>
      <c r="AN72" s="987"/>
      <c r="AO72" s="987"/>
      <c r="AP72" s="2042">
        <v>0</v>
      </c>
      <c r="AQ72" s="1045"/>
      <c r="AR72" s="1078"/>
      <c r="AS72" s="1079"/>
      <c r="AT72" s="1069"/>
      <c r="AU72" s="1069"/>
      <c r="AV72" s="1069"/>
      <c r="AW72" s="1080"/>
      <c r="AX72" s="1081"/>
      <c r="AY72" s="1044"/>
      <c r="AZ72" s="1045"/>
      <c r="BA72" s="1045"/>
      <c r="BB72" s="1045"/>
      <c r="BC72" s="1045"/>
      <c r="BD72" s="1045"/>
      <c r="BE72" s="1045"/>
      <c r="BF72" s="1045"/>
      <c r="BG72" s="1045"/>
      <c r="BH72" s="1045"/>
      <c r="BI72" s="1369"/>
      <c r="BJ72" s="1319"/>
      <c r="BK72" s="1319"/>
      <c r="BL72" s="1319"/>
      <c r="BM72" s="1319"/>
      <c r="BN72" s="1044"/>
      <c r="BO72" s="1045"/>
      <c r="BP72" s="1045"/>
      <c r="BQ72" s="1045"/>
      <c r="BR72" s="1045"/>
      <c r="BS72" s="1084"/>
      <c r="BT72" s="1045"/>
      <c r="BU72" s="1045"/>
      <c r="BV72" s="1045"/>
      <c r="BW72" s="1085"/>
      <c r="BX72" s="1084"/>
      <c r="BY72" s="1045"/>
      <c r="BZ72" s="1045"/>
      <c r="CA72" s="1045"/>
      <c r="CB72" s="1085"/>
      <c r="CC72" s="1086"/>
      <c r="CD72" s="1327"/>
      <c r="CE72" s="1328"/>
      <c r="CF72" s="1328"/>
      <c r="CG72" s="1328"/>
      <c r="CH72" s="1389"/>
      <c r="CI72" s="1369"/>
      <c r="CJ72" s="1319"/>
      <c r="CK72" s="1319"/>
      <c r="CL72" s="1319"/>
      <c r="CM72" s="1320"/>
      <c r="CN72" s="1369"/>
      <c r="CO72" s="1319"/>
      <c r="CP72" s="1319"/>
      <c r="CQ72" s="1319"/>
      <c r="CR72" s="1320"/>
      <c r="CS72" s="1369"/>
      <c r="CT72" s="1319"/>
      <c r="CU72" s="1319"/>
      <c r="CV72" s="1319"/>
      <c r="CW72" s="1320"/>
      <c r="CX72" s="1369"/>
      <c r="CY72" s="1319"/>
      <c r="CZ72" s="1319"/>
      <c r="DA72" s="1319"/>
      <c r="DB72" s="1320"/>
      <c r="DC72" s="1319"/>
      <c r="DD72" s="1319"/>
      <c r="DE72" s="1319"/>
      <c r="DF72" s="1319"/>
      <c r="DG72" s="1320"/>
      <c r="DH72" s="1369"/>
      <c r="DI72" s="1319"/>
      <c r="DJ72" s="1319"/>
      <c r="DK72" s="1319"/>
      <c r="DL72" s="1320"/>
      <c r="DM72" s="1743"/>
      <c r="DN72" s="1744"/>
      <c r="DO72" s="1744"/>
      <c r="DP72" s="1745"/>
      <c r="DQ72" s="1744"/>
      <c r="DR72" s="1744"/>
      <c r="DS72" s="1744"/>
      <c r="DT72" s="1745"/>
      <c r="DU72" s="1328"/>
      <c r="DV72" s="1664"/>
      <c r="DW72" s="1746"/>
    </row>
    <row r="73" spans="1:127" s="382" customFormat="1" ht="15.75" customHeight="1">
      <c r="A73" s="1066" t="s">
        <v>1102</v>
      </c>
      <c r="B73" s="1026">
        <v>64</v>
      </c>
      <c r="C73" s="987"/>
      <c r="D73" s="987"/>
      <c r="E73" s="987"/>
      <c r="F73" s="987"/>
      <c r="G73" s="987"/>
      <c r="H73" s="987"/>
      <c r="I73" s="987"/>
      <c r="J73" s="987"/>
      <c r="K73" s="987"/>
      <c r="L73" s="987"/>
      <c r="M73" s="1026"/>
      <c r="N73" s="987"/>
      <c r="O73" s="987"/>
      <c r="P73" s="987"/>
      <c r="Q73" s="987"/>
      <c r="R73" s="987"/>
      <c r="S73" s="987"/>
      <c r="T73" s="988"/>
      <c r="U73" s="1067" t="s">
        <v>1715</v>
      </c>
      <c r="V73" s="1068" t="s">
        <v>2260</v>
      </c>
      <c r="W73" s="1068" t="s">
        <v>2260</v>
      </c>
      <c r="X73" s="1069" t="s">
        <v>2331</v>
      </c>
      <c r="Y73" s="1070" t="s">
        <v>2332</v>
      </c>
      <c r="Z73" s="1071" t="s">
        <v>2260</v>
      </c>
      <c r="AA73" s="1072" t="s">
        <v>2260</v>
      </c>
      <c r="AB73" s="1073" t="s">
        <v>2260</v>
      </c>
      <c r="AC73" s="1073" t="s">
        <v>2260</v>
      </c>
      <c r="AD73" s="1073" t="s">
        <v>2260</v>
      </c>
      <c r="AE73" s="1073" t="s">
        <v>2260</v>
      </c>
      <c r="AF73" s="1073" t="s">
        <v>2260</v>
      </c>
      <c r="AG73" s="1073" t="s">
        <v>2260</v>
      </c>
      <c r="AH73" s="1073" t="s">
        <v>2260</v>
      </c>
      <c r="AI73" s="1074">
        <f t="shared" si="0"/>
        <v>0</v>
      </c>
      <c r="AJ73" s="1075" t="s">
        <v>1825</v>
      </c>
      <c r="AK73" s="1075" t="s">
        <v>2260</v>
      </c>
      <c r="AL73" s="1075" t="s">
        <v>2260</v>
      </c>
      <c r="AM73" s="1076" t="s">
        <v>2260</v>
      </c>
      <c r="AN73" s="987" t="s">
        <v>2260</v>
      </c>
      <c r="AO73" s="987" t="s">
        <v>2333</v>
      </c>
      <c r="AP73" s="2042">
        <v>0</v>
      </c>
      <c r="AQ73" s="1045" t="s">
        <v>2260</v>
      </c>
      <c r="AR73" s="1078" t="s">
        <v>2260</v>
      </c>
      <c r="AS73" s="1079"/>
      <c r="AT73" s="1069"/>
      <c r="AU73" s="1069"/>
      <c r="AV73" s="1069"/>
      <c r="AW73" s="1080"/>
      <c r="AX73" s="1111"/>
      <c r="AY73" s="1044"/>
      <c r="AZ73" s="1045"/>
      <c r="BA73" s="1045"/>
      <c r="BB73" s="1045"/>
      <c r="BC73" s="1045"/>
      <c r="BD73" s="1045"/>
      <c r="BE73" s="1045"/>
      <c r="BF73" s="1045"/>
      <c r="BG73" s="1045"/>
      <c r="BH73" s="1045"/>
      <c r="BI73" s="1369"/>
      <c r="BJ73" s="1319"/>
      <c r="BK73" s="1319"/>
      <c r="BL73" s="1319"/>
      <c r="BM73" s="1319"/>
      <c r="BN73" s="1044"/>
      <c r="BO73" s="1045"/>
      <c r="BP73" s="1045"/>
      <c r="BQ73" s="1045"/>
      <c r="BR73" s="1045"/>
      <c r="BS73" s="1084"/>
      <c r="BT73" s="1045"/>
      <c r="BU73" s="1045"/>
      <c r="BV73" s="1045"/>
      <c r="BW73" s="1085"/>
      <c r="BX73" s="1084"/>
      <c r="BY73" s="1045"/>
      <c r="BZ73" s="1045"/>
      <c r="CA73" s="1045"/>
      <c r="CB73" s="1085"/>
      <c r="CC73" s="1086"/>
      <c r="CD73" s="1327"/>
      <c r="CE73" s="1328"/>
      <c r="CF73" s="1328"/>
      <c r="CG73" s="1328"/>
      <c r="CH73" s="1389"/>
      <c r="CI73" s="1369"/>
      <c r="CJ73" s="1319"/>
      <c r="CK73" s="1319"/>
      <c r="CL73" s="1319"/>
      <c r="CM73" s="1320"/>
      <c r="CN73" s="1369"/>
      <c r="CO73" s="1319"/>
      <c r="CP73" s="1319"/>
      <c r="CQ73" s="1319"/>
      <c r="CR73" s="1320"/>
      <c r="CS73" s="1369"/>
      <c r="CT73" s="1319"/>
      <c r="CU73" s="1319"/>
      <c r="CV73" s="1319"/>
      <c r="CW73" s="1320"/>
      <c r="CX73" s="1369"/>
      <c r="CY73" s="1319"/>
      <c r="CZ73" s="1319"/>
      <c r="DA73" s="1319"/>
      <c r="DB73" s="1320"/>
      <c r="DC73" s="1319"/>
      <c r="DD73" s="1319"/>
      <c r="DE73" s="1319"/>
      <c r="DF73" s="1319"/>
      <c r="DG73" s="1320"/>
      <c r="DH73" s="1369"/>
      <c r="DI73" s="1319"/>
      <c r="DJ73" s="1319"/>
      <c r="DK73" s="1319"/>
      <c r="DL73" s="1320"/>
      <c r="DM73" s="1743"/>
      <c r="DN73" s="1744"/>
      <c r="DO73" s="1744"/>
      <c r="DP73" s="1745"/>
      <c r="DQ73" s="1744"/>
      <c r="DR73" s="1744"/>
      <c r="DS73" s="1744"/>
      <c r="DT73" s="1745"/>
      <c r="DU73" s="1328"/>
      <c r="DV73" s="1664"/>
      <c r="DW73" s="1746"/>
    </row>
    <row r="74" spans="1:127" s="382" customFormat="1" ht="15.75" customHeight="1">
      <c r="A74" s="1066" t="s">
        <v>1102</v>
      </c>
      <c r="B74" s="1026">
        <v>65</v>
      </c>
      <c r="C74" s="987"/>
      <c r="D74" s="987"/>
      <c r="E74" s="987"/>
      <c r="F74" s="987"/>
      <c r="G74" s="987"/>
      <c r="H74" s="987"/>
      <c r="I74" s="987"/>
      <c r="J74" s="987"/>
      <c r="K74" s="987"/>
      <c r="L74" s="987"/>
      <c r="M74" s="1026"/>
      <c r="N74" s="987"/>
      <c r="O74" s="987"/>
      <c r="P74" s="987"/>
      <c r="Q74" s="987"/>
      <c r="R74" s="987"/>
      <c r="S74" s="987"/>
      <c r="T74" s="988"/>
      <c r="U74" s="1067" t="s">
        <v>1528</v>
      </c>
      <c r="V74" s="1068" t="s">
        <v>2260</v>
      </c>
      <c r="W74" s="1068" t="s">
        <v>2260</v>
      </c>
      <c r="X74" s="1069">
        <v>42</v>
      </c>
      <c r="Y74" s="1070" t="s">
        <v>2438</v>
      </c>
      <c r="Z74" s="1071" t="s">
        <v>2260</v>
      </c>
      <c r="AA74" s="1072" t="s">
        <v>2260</v>
      </c>
      <c r="AB74" s="1073" t="s">
        <v>2260</v>
      </c>
      <c r="AC74" s="1073">
        <v>1</v>
      </c>
      <c r="AD74" s="1073" t="s">
        <v>2260</v>
      </c>
      <c r="AE74" s="1073" t="s">
        <v>2260</v>
      </c>
      <c r="AF74" s="1073" t="s">
        <v>2260</v>
      </c>
      <c r="AG74" s="1073" t="s">
        <v>2260</v>
      </c>
      <c r="AH74" s="1073" t="s">
        <v>2260</v>
      </c>
      <c r="AI74" s="1074">
        <f t="shared" ref="AI74:AI137" si="1">SUM(AA74:AH74)</f>
        <v>1</v>
      </c>
      <c r="AJ74" s="1075" t="s">
        <v>1846</v>
      </c>
      <c r="AK74" s="1075" t="s">
        <v>1826</v>
      </c>
      <c r="AL74" s="1075" t="s">
        <v>1837</v>
      </c>
      <c r="AM74" s="1076" t="s">
        <v>2260</v>
      </c>
      <c r="AN74" s="987"/>
      <c r="AO74" s="987"/>
      <c r="AP74" s="2042">
        <v>0</v>
      </c>
      <c r="AQ74" s="1045"/>
      <c r="AR74" s="1078" t="s">
        <v>2260</v>
      </c>
      <c r="AS74" s="1079"/>
      <c r="AT74" s="1069"/>
      <c r="AU74" s="1069"/>
      <c r="AV74" s="1069"/>
      <c r="AW74" s="1080"/>
      <c r="AX74" s="1111"/>
      <c r="AY74" s="1044"/>
      <c r="AZ74" s="1045"/>
      <c r="BA74" s="1045"/>
      <c r="BB74" s="1045"/>
      <c r="BC74" s="1045"/>
      <c r="BD74" s="1045"/>
      <c r="BE74" s="1045"/>
      <c r="BF74" s="1045"/>
      <c r="BG74" s="1045"/>
      <c r="BH74" s="1045"/>
      <c r="BI74" s="1369"/>
      <c r="BJ74" s="1319"/>
      <c r="BK74" s="1319"/>
      <c r="BL74" s="1319"/>
      <c r="BM74" s="1319"/>
      <c r="BN74" s="1044"/>
      <c r="BO74" s="1045"/>
      <c r="BP74" s="1045"/>
      <c r="BQ74" s="1045"/>
      <c r="BR74" s="1045"/>
      <c r="BS74" s="1084"/>
      <c r="BT74" s="1045"/>
      <c r="BU74" s="1045"/>
      <c r="BV74" s="1045"/>
      <c r="BW74" s="1085"/>
      <c r="BX74" s="1084"/>
      <c r="BY74" s="1045"/>
      <c r="BZ74" s="1045"/>
      <c r="CA74" s="1045"/>
      <c r="CB74" s="1085"/>
      <c r="CC74" s="1086"/>
      <c r="CD74" s="1327"/>
      <c r="CE74" s="1328"/>
      <c r="CF74" s="1328"/>
      <c r="CG74" s="1328"/>
      <c r="CH74" s="1389"/>
      <c r="CI74" s="1369"/>
      <c r="CJ74" s="1319"/>
      <c r="CK74" s="1319"/>
      <c r="CL74" s="1319"/>
      <c r="CM74" s="1320"/>
      <c r="CN74" s="1369"/>
      <c r="CO74" s="1319"/>
      <c r="CP74" s="1319"/>
      <c r="CQ74" s="1319"/>
      <c r="CR74" s="1320"/>
      <c r="CS74" s="1369"/>
      <c r="CT74" s="1319"/>
      <c r="CU74" s="1319"/>
      <c r="CV74" s="1319"/>
      <c r="CW74" s="1320"/>
      <c r="CX74" s="1369"/>
      <c r="CY74" s="1319"/>
      <c r="CZ74" s="1319"/>
      <c r="DA74" s="1319"/>
      <c r="DB74" s="1320"/>
      <c r="DC74" s="1319"/>
      <c r="DD74" s="1319"/>
      <c r="DE74" s="1319"/>
      <c r="DF74" s="1319"/>
      <c r="DG74" s="1320"/>
      <c r="DH74" s="1369"/>
      <c r="DI74" s="1319"/>
      <c r="DJ74" s="1319"/>
      <c r="DK74" s="1319"/>
      <c r="DL74" s="1320"/>
      <c r="DM74" s="1743"/>
      <c r="DN74" s="1744"/>
      <c r="DO74" s="1744"/>
      <c r="DP74" s="1745"/>
      <c r="DQ74" s="1744"/>
      <c r="DR74" s="1744"/>
      <c r="DS74" s="1744"/>
      <c r="DT74" s="1745"/>
      <c r="DU74" s="1328"/>
      <c r="DV74" s="1664"/>
      <c r="DW74" s="1746"/>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69"/>
      <c r="BJ75" s="1319"/>
      <c r="BK75" s="1319"/>
      <c r="BL75" s="1319"/>
      <c r="BM75" s="1319"/>
      <c r="BN75" s="1044"/>
      <c r="BO75" s="1045"/>
      <c r="BP75" s="1045"/>
      <c r="BQ75" s="1045"/>
      <c r="BR75" s="1045"/>
      <c r="BS75" s="1084"/>
      <c r="BT75" s="1045"/>
      <c r="BU75" s="1045"/>
      <c r="BV75" s="1045"/>
      <c r="BW75" s="1085"/>
      <c r="BX75" s="1084"/>
      <c r="BY75" s="1045"/>
      <c r="BZ75" s="1045"/>
      <c r="CA75" s="1045"/>
      <c r="CB75" s="1085"/>
      <c r="CC75" s="1086"/>
      <c r="CD75" s="1327"/>
      <c r="CE75" s="1328"/>
      <c r="CF75" s="1328"/>
      <c r="CG75" s="1328"/>
      <c r="CH75" s="1389"/>
      <c r="CI75" s="1369"/>
      <c r="CJ75" s="1319"/>
      <c r="CK75" s="1319"/>
      <c r="CL75" s="1319"/>
      <c r="CM75" s="1320"/>
      <c r="CN75" s="1369"/>
      <c r="CO75" s="1319"/>
      <c r="CP75" s="1319"/>
      <c r="CQ75" s="1319"/>
      <c r="CR75" s="1320"/>
      <c r="CS75" s="1369"/>
      <c r="CT75" s="1319"/>
      <c r="CU75" s="1319"/>
      <c r="CV75" s="1319"/>
      <c r="CW75" s="1320"/>
      <c r="CX75" s="1369"/>
      <c r="CY75" s="1319"/>
      <c r="CZ75" s="1319"/>
      <c r="DA75" s="1319"/>
      <c r="DB75" s="1320"/>
      <c r="DC75" s="1319"/>
      <c r="DD75" s="1319"/>
      <c r="DE75" s="1319"/>
      <c r="DF75" s="1319"/>
      <c r="DG75" s="1320"/>
      <c r="DH75" s="1369"/>
      <c r="DI75" s="1319"/>
      <c r="DJ75" s="1319"/>
      <c r="DK75" s="1319"/>
      <c r="DL75" s="1320"/>
      <c r="DM75" s="1743"/>
      <c r="DN75" s="1744"/>
      <c r="DO75" s="1744"/>
      <c r="DP75" s="1745"/>
      <c r="DQ75" s="1744"/>
      <c r="DR75" s="1744"/>
      <c r="DS75" s="1744"/>
      <c r="DT75" s="1745"/>
      <c r="DU75" s="1328"/>
      <c r="DV75" s="1664"/>
      <c r="DW75" s="1746"/>
    </row>
    <row r="76" spans="1:127" s="382" customFormat="1" ht="15.75" customHeight="1">
      <c r="A76" s="1066" t="s">
        <v>1102</v>
      </c>
      <c r="B76" s="1026">
        <v>67</v>
      </c>
      <c r="C76" s="987"/>
      <c r="D76" s="987"/>
      <c r="E76" s="987"/>
      <c r="F76" s="987"/>
      <c r="G76" s="987"/>
      <c r="H76" s="987"/>
      <c r="I76" s="987"/>
      <c r="J76" s="987"/>
      <c r="K76" s="987"/>
      <c r="L76" s="987"/>
      <c r="M76" s="1026"/>
      <c r="N76" s="987"/>
      <c r="O76" s="987"/>
      <c r="P76" s="987"/>
      <c r="Q76" s="987"/>
      <c r="R76" s="987"/>
      <c r="S76" s="987"/>
      <c r="T76" s="988"/>
      <c r="U76" s="1067" t="s">
        <v>1723</v>
      </c>
      <c r="V76" s="1068" t="s">
        <v>2260</v>
      </c>
      <c r="W76" s="1068" t="s">
        <v>2260</v>
      </c>
      <c r="X76" s="1069">
        <v>43</v>
      </c>
      <c r="Y76" s="1070" t="s">
        <v>2441</v>
      </c>
      <c r="Z76" s="1071" t="s">
        <v>2260</v>
      </c>
      <c r="AA76" s="1072" t="s">
        <v>2260</v>
      </c>
      <c r="AB76" s="1073" t="s">
        <v>2260</v>
      </c>
      <c r="AC76" s="1073" t="s">
        <v>2260</v>
      </c>
      <c r="AD76" s="1073" t="s">
        <v>2260</v>
      </c>
      <c r="AE76" s="1073" t="s">
        <v>2260</v>
      </c>
      <c r="AF76" s="1073" t="s">
        <v>2260</v>
      </c>
      <c r="AG76" s="1073" t="s">
        <v>2260</v>
      </c>
      <c r="AH76" s="1073" t="s">
        <v>2260</v>
      </c>
      <c r="AI76" s="1074">
        <f t="shared" si="1"/>
        <v>0</v>
      </c>
      <c r="AJ76" s="1075" t="s">
        <v>1825</v>
      </c>
      <c r="AK76" s="1075" t="s">
        <v>2260</v>
      </c>
      <c r="AL76" s="1075" t="s">
        <v>2260</v>
      </c>
      <c r="AM76" s="1076" t="s">
        <v>2260</v>
      </c>
      <c r="AN76" s="987"/>
      <c r="AO76" s="987"/>
      <c r="AP76" s="802">
        <v>2</v>
      </c>
      <c r="AQ76" s="1045"/>
      <c r="AR76" s="1078" t="s">
        <v>2260</v>
      </c>
      <c r="AS76" s="1079"/>
      <c r="AT76" s="1069"/>
      <c r="AU76" s="1069"/>
      <c r="AV76" s="1069"/>
      <c r="AW76" s="1080"/>
      <c r="AX76" s="1111"/>
      <c r="AY76" s="1044"/>
      <c r="AZ76" s="1045"/>
      <c r="BA76" s="1045"/>
      <c r="BB76" s="1045"/>
      <c r="BC76" s="1045"/>
      <c r="BD76" s="1045"/>
      <c r="BE76" s="1045"/>
      <c r="BF76" s="1045"/>
      <c r="BG76" s="1045"/>
      <c r="BH76" s="1045"/>
      <c r="BI76" s="1369"/>
      <c r="BJ76" s="1319"/>
      <c r="BK76" s="1319"/>
      <c r="BL76" s="1319"/>
      <c r="BM76" s="1319"/>
      <c r="BN76" s="1044"/>
      <c r="BO76" s="1045"/>
      <c r="BP76" s="1045"/>
      <c r="BQ76" s="1045"/>
      <c r="BR76" s="1045"/>
      <c r="BS76" s="1084"/>
      <c r="BT76" s="1045"/>
      <c r="BU76" s="1045"/>
      <c r="BV76" s="1045"/>
      <c r="BW76" s="1085"/>
      <c r="BX76" s="1084"/>
      <c r="BY76" s="1045"/>
      <c r="BZ76" s="1045"/>
      <c r="CA76" s="1045"/>
      <c r="CB76" s="1085"/>
      <c r="CC76" s="1086"/>
      <c r="CD76" s="1327"/>
      <c r="CE76" s="1328"/>
      <c r="CF76" s="1328"/>
      <c r="CG76" s="1328"/>
      <c r="CH76" s="1389"/>
      <c r="CI76" s="1369"/>
      <c r="CJ76" s="1319"/>
      <c r="CK76" s="1319"/>
      <c r="CL76" s="1319"/>
      <c r="CM76" s="1320"/>
      <c r="CN76" s="1369"/>
      <c r="CO76" s="1319"/>
      <c r="CP76" s="1319"/>
      <c r="CQ76" s="1319"/>
      <c r="CR76" s="1320"/>
      <c r="CS76" s="1369"/>
      <c r="CT76" s="1319"/>
      <c r="CU76" s="1319"/>
      <c r="CV76" s="1319"/>
      <c r="CW76" s="1320"/>
      <c r="CX76" s="1369"/>
      <c r="CY76" s="1319"/>
      <c r="CZ76" s="1319"/>
      <c r="DA76" s="1319"/>
      <c r="DB76" s="1320"/>
      <c r="DC76" s="1319"/>
      <c r="DD76" s="1319"/>
      <c r="DE76" s="1319"/>
      <c r="DF76" s="1319"/>
      <c r="DG76" s="1320"/>
      <c r="DH76" s="1369"/>
      <c r="DI76" s="1319"/>
      <c r="DJ76" s="1319"/>
      <c r="DK76" s="1319"/>
      <c r="DL76" s="1320"/>
      <c r="DM76" s="1743"/>
      <c r="DN76" s="1744"/>
      <c r="DO76" s="1744"/>
      <c r="DP76" s="1745"/>
      <c r="DQ76" s="1744"/>
      <c r="DR76" s="1744"/>
      <c r="DS76" s="1744"/>
      <c r="DT76" s="1745"/>
      <c r="DU76" s="1328"/>
      <c r="DV76" s="1664"/>
      <c r="DW76" s="1746"/>
    </row>
    <row r="77" spans="1:127" s="382" customFormat="1" ht="15.75" customHeight="1">
      <c r="A77" s="1066" t="s">
        <v>1102</v>
      </c>
      <c r="B77" s="1026">
        <v>68</v>
      </c>
      <c r="C77" s="987"/>
      <c r="D77" s="987"/>
      <c r="E77" s="987"/>
      <c r="F77" s="987"/>
      <c r="G77" s="987"/>
      <c r="H77" s="987"/>
      <c r="I77" s="987"/>
      <c r="J77" s="987"/>
      <c r="K77" s="987"/>
      <c r="L77" s="987"/>
      <c r="M77" s="1026"/>
      <c r="N77" s="987"/>
      <c r="O77" s="987"/>
      <c r="P77" s="987"/>
      <c r="Q77" s="987"/>
      <c r="R77" s="987"/>
      <c r="S77" s="987"/>
      <c r="T77" s="988"/>
      <c r="U77" s="1067" t="s">
        <v>1730</v>
      </c>
      <c r="V77" s="1068" t="s">
        <v>2260</v>
      </c>
      <c r="W77" s="1068" t="s">
        <v>2260</v>
      </c>
      <c r="X77" s="1069">
        <v>44</v>
      </c>
      <c r="Y77" s="1070" t="s">
        <v>2442</v>
      </c>
      <c r="Z77" s="1071" t="s">
        <v>2260</v>
      </c>
      <c r="AA77" s="1072" t="s">
        <v>2260</v>
      </c>
      <c r="AB77" s="1073" t="s">
        <v>2260</v>
      </c>
      <c r="AC77" s="1073" t="s">
        <v>2260</v>
      </c>
      <c r="AD77" s="1073" t="s">
        <v>2260</v>
      </c>
      <c r="AE77" s="1073" t="s">
        <v>2260</v>
      </c>
      <c r="AF77" s="1073" t="s">
        <v>2260</v>
      </c>
      <c r="AG77" s="1073" t="s">
        <v>2260</v>
      </c>
      <c r="AH77" s="1073" t="s">
        <v>2260</v>
      </c>
      <c r="AI77" s="1074">
        <f t="shared" si="1"/>
        <v>0</v>
      </c>
      <c r="AJ77" s="1075" t="s">
        <v>1825</v>
      </c>
      <c r="AK77" s="1075" t="s">
        <v>2260</v>
      </c>
      <c r="AL77" s="1075" t="s">
        <v>2260</v>
      </c>
      <c r="AM77" s="1076" t="s">
        <v>2260</v>
      </c>
      <c r="AN77" s="987"/>
      <c r="AO77" s="987"/>
      <c r="AP77" s="2042">
        <v>0</v>
      </c>
      <c r="AQ77" s="1045"/>
      <c r="AR77" s="1078" t="s">
        <v>2260</v>
      </c>
      <c r="AS77" s="1079"/>
      <c r="AT77" s="1069"/>
      <c r="AU77" s="1069"/>
      <c r="AV77" s="1069"/>
      <c r="AW77" s="1080"/>
      <c r="AX77" s="1111"/>
      <c r="AY77" s="1044"/>
      <c r="AZ77" s="1045"/>
      <c r="BA77" s="1045"/>
      <c r="BB77" s="1045"/>
      <c r="BC77" s="1045"/>
      <c r="BD77" s="1045"/>
      <c r="BE77" s="1045"/>
      <c r="BF77" s="1045"/>
      <c r="BG77" s="1045"/>
      <c r="BH77" s="1045"/>
      <c r="BI77" s="1369"/>
      <c r="BJ77" s="1319"/>
      <c r="BK77" s="1319"/>
      <c r="BL77" s="1319"/>
      <c r="BM77" s="1319"/>
      <c r="BN77" s="1044"/>
      <c r="BO77" s="1045"/>
      <c r="BP77" s="1045"/>
      <c r="BQ77" s="1045"/>
      <c r="BR77" s="1045"/>
      <c r="BS77" s="1084"/>
      <c r="BT77" s="1045"/>
      <c r="BU77" s="1045"/>
      <c r="BV77" s="1045"/>
      <c r="BW77" s="1085"/>
      <c r="BX77" s="1084"/>
      <c r="BY77" s="1045"/>
      <c r="BZ77" s="1045"/>
      <c r="CA77" s="1045"/>
      <c r="CB77" s="1085"/>
      <c r="CC77" s="1086"/>
      <c r="CD77" s="1327"/>
      <c r="CE77" s="1328"/>
      <c r="CF77" s="1328"/>
      <c r="CG77" s="1328"/>
      <c r="CH77" s="1389"/>
      <c r="CI77" s="1369"/>
      <c r="CJ77" s="1319"/>
      <c r="CK77" s="1319"/>
      <c r="CL77" s="1319"/>
      <c r="CM77" s="1320"/>
      <c r="CN77" s="1369"/>
      <c r="CO77" s="1319"/>
      <c r="CP77" s="1319"/>
      <c r="CQ77" s="1319"/>
      <c r="CR77" s="1320"/>
      <c r="CS77" s="1369"/>
      <c r="CT77" s="1319"/>
      <c r="CU77" s="1319"/>
      <c r="CV77" s="1319"/>
      <c r="CW77" s="1320"/>
      <c r="CX77" s="1369"/>
      <c r="CY77" s="1319"/>
      <c r="CZ77" s="1319"/>
      <c r="DA77" s="1319"/>
      <c r="DB77" s="1320"/>
      <c r="DC77" s="1319"/>
      <c r="DD77" s="1319"/>
      <c r="DE77" s="1319"/>
      <c r="DF77" s="1319"/>
      <c r="DG77" s="1320"/>
      <c r="DH77" s="1369"/>
      <c r="DI77" s="1319"/>
      <c r="DJ77" s="1319"/>
      <c r="DK77" s="1319"/>
      <c r="DL77" s="1320"/>
      <c r="DM77" s="1743"/>
      <c r="DN77" s="1744"/>
      <c r="DO77" s="1744"/>
      <c r="DP77" s="1745"/>
      <c r="DQ77" s="1744"/>
      <c r="DR77" s="1744"/>
      <c r="DS77" s="1744"/>
      <c r="DT77" s="1745"/>
      <c r="DU77" s="1328"/>
      <c r="DV77" s="1664"/>
      <c r="DW77" s="1746"/>
    </row>
    <row r="78" spans="1:127" s="382" customFormat="1" ht="15.75" customHeight="1">
      <c r="A78" s="1066" t="s">
        <v>1102</v>
      </c>
      <c r="B78" s="1026">
        <v>69</v>
      </c>
      <c r="C78" s="987"/>
      <c r="D78" s="987"/>
      <c r="E78" s="987"/>
      <c r="F78" s="987"/>
      <c r="G78" s="987"/>
      <c r="H78" s="987"/>
      <c r="I78" s="987"/>
      <c r="J78" s="987"/>
      <c r="K78" s="987"/>
      <c r="L78" s="987"/>
      <c r="M78" s="1026"/>
      <c r="N78" s="987"/>
      <c r="O78" s="987"/>
      <c r="P78" s="987"/>
      <c r="Q78" s="987"/>
      <c r="R78" s="987"/>
      <c r="S78" s="987"/>
      <c r="T78" s="988"/>
      <c r="U78" s="1067" t="s">
        <v>1737</v>
      </c>
      <c r="V78" s="1068" t="s">
        <v>2260</v>
      </c>
      <c r="W78" s="1068" t="s">
        <v>2260</v>
      </c>
      <c r="X78" s="1069">
        <v>45</v>
      </c>
      <c r="Y78" s="1070" t="s">
        <v>2443</v>
      </c>
      <c r="Z78" s="1071" t="s">
        <v>2260</v>
      </c>
      <c r="AA78" s="1072" t="s">
        <v>2260</v>
      </c>
      <c r="AB78" s="1073" t="s">
        <v>2260</v>
      </c>
      <c r="AC78" s="1073" t="s">
        <v>2260</v>
      </c>
      <c r="AD78" s="1073" t="s">
        <v>2260</v>
      </c>
      <c r="AE78" s="1073" t="s">
        <v>2260</v>
      </c>
      <c r="AF78" s="1073" t="s">
        <v>2260</v>
      </c>
      <c r="AG78" s="1073" t="s">
        <v>2260</v>
      </c>
      <c r="AH78" s="1073" t="s">
        <v>2260</v>
      </c>
      <c r="AI78" s="1074">
        <f t="shared" si="1"/>
        <v>0</v>
      </c>
      <c r="AJ78" s="1075"/>
      <c r="AK78" s="1075"/>
      <c r="AL78" s="1075"/>
      <c r="AM78" s="1076"/>
      <c r="AN78" s="987"/>
      <c r="AO78" s="987"/>
      <c r="AP78" s="2042">
        <v>0</v>
      </c>
      <c r="AQ78" s="1045"/>
      <c r="AR78" s="1078"/>
      <c r="AS78" s="1079"/>
      <c r="AT78" s="1069"/>
      <c r="AU78" s="1069"/>
      <c r="AV78" s="1069"/>
      <c r="AW78" s="1080"/>
      <c r="AX78" s="1111"/>
      <c r="AY78" s="1044"/>
      <c r="AZ78" s="1045"/>
      <c r="BA78" s="1045"/>
      <c r="BB78" s="1045"/>
      <c r="BC78" s="1045"/>
      <c r="BD78" s="1045"/>
      <c r="BE78" s="1045"/>
      <c r="BF78" s="1045"/>
      <c r="BG78" s="1045"/>
      <c r="BH78" s="1045"/>
      <c r="BI78" s="1369"/>
      <c r="BJ78" s="1319"/>
      <c r="BK78" s="1319"/>
      <c r="BL78" s="1319"/>
      <c r="BM78" s="1319"/>
      <c r="BN78" s="1044"/>
      <c r="BO78" s="1045"/>
      <c r="BP78" s="1045"/>
      <c r="BQ78" s="1045"/>
      <c r="BR78" s="1045"/>
      <c r="BS78" s="1084"/>
      <c r="BT78" s="1045"/>
      <c r="BU78" s="1045"/>
      <c r="BV78" s="1045"/>
      <c r="BW78" s="1085"/>
      <c r="BX78" s="1084"/>
      <c r="BY78" s="1045"/>
      <c r="BZ78" s="1045"/>
      <c r="CA78" s="1045"/>
      <c r="CB78" s="1085"/>
      <c r="CC78" s="1086"/>
      <c r="CD78" s="1327"/>
      <c r="CE78" s="1328"/>
      <c r="CF78" s="1328"/>
      <c r="CG78" s="1328"/>
      <c r="CH78" s="1389"/>
      <c r="CI78" s="1369"/>
      <c r="CJ78" s="1319"/>
      <c r="CK78" s="1319"/>
      <c r="CL78" s="1319"/>
      <c r="CM78" s="1320"/>
      <c r="CN78" s="1369"/>
      <c r="CO78" s="1319"/>
      <c r="CP78" s="1319"/>
      <c r="CQ78" s="1319"/>
      <c r="CR78" s="1320"/>
      <c r="CS78" s="1369"/>
      <c r="CT78" s="1319"/>
      <c r="CU78" s="1319"/>
      <c r="CV78" s="1319"/>
      <c r="CW78" s="1320"/>
      <c r="CX78" s="1369"/>
      <c r="CY78" s="1319"/>
      <c r="CZ78" s="1319"/>
      <c r="DA78" s="1319"/>
      <c r="DB78" s="1320"/>
      <c r="DC78" s="1319"/>
      <c r="DD78" s="1319"/>
      <c r="DE78" s="1319"/>
      <c r="DF78" s="1319"/>
      <c r="DG78" s="1320"/>
      <c r="DH78" s="1369"/>
      <c r="DI78" s="1319"/>
      <c r="DJ78" s="1319"/>
      <c r="DK78" s="1319"/>
      <c r="DL78" s="1320"/>
      <c r="DM78" s="1743"/>
      <c r="DN78" s="1744"/>
      <c r="DO78" s="1744"/>
      <c r="DP78" s="1745"/>
      <c r="DQ78" s="1744"/>
      <c r="DR78" s="1744"/>
      <c r="DS78" s="1744"/>
      <c r="DT78" s="1745"/>
      <c r="DU78" s="1328"/>
      <c r="DV78" s="1664"/>
      <c r="DW78" s="1746"/>
    </row>
    <row r="79" spans="1:127" s="382" customFormat="1" ht="15.75" customHeight="1">
      <c r="A79" s="1066" t="s">
        <v>1102</v>
      </c>
      <c r="B79" s="1026">
        <v>70</v>
      </c>
      <c r="C79" s="987"/>
      <c r="D79" s="987"/>
      <c r="E79" s="987"/>
      <c r="F79" s="987"/>
      <c r="G79" s="987"/>
      <c r="H79" s="987"/>
      <c r="I79" s="987"/>
      <c r="J79" s="987"/>
      <c r="K79" s="987"/>
      <c r="L79" s="987"/>
      <c r="M79" s="1026"/>
      <c r="N79" s="987"/>
      <c r="O79" s="987"/>
      <c r="P79" s="987"/>
      <c r="Q79" s="987"/>
      <c r="R79" s="987"/>
      <c r="S79" s="987"/>
      <c r="T79" s="988"/>
      <c r="U79" s="1067" t="s">
        <v>1743</v>
      </c>
      <c r="V79" s="1068" t="s">
        <v>2260</v>
      </c>
      <c r="W79" s="1068" t="s">
        <v>2260</v>
      </c>
      <c r="X79" s="1069">
        <v>46</v>
      </c>
      <c r="Y79" s="1070" t="s">
        <v>2445</v>
      </c>
      <c r="Z79" s="1071" t="s">
        <v>2260</v>
      </c>
      <c r="AA79" s="1072" t="s">
        <v>2260</v>
      </c>
      <c r="AB79" s="1073" t="s">
        <v>2260</v>
      </c>
      <c r="AC79" s="1073" t="s">
        <v>2260</v>
      </c>
      <c r="AD79" s="1073" t="s">
        <v>2260</v>
      </c>
      <c r="AE79" s="1073" t="s">
        <v>2260</v>
      </c>
      <c r="AF79" s="1073" t="s">
        <v>2260</v>
      </c>
      <c r="AG79" s="1073" t="s">
        <v>2260</v>
      </c>
      <c r="AH79" s="1073" t="s">
        <v>2260</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69"/>
      <c r="BJ79" s="1319"/>
      <c r="BK79" s="1319"/>
      <c r="BL79" s="1319"/>
      <c r="BM79" s="1319"/>
      <c r="BN79" s="1044"/>
      <c r="BO79" s="1045"/>
      <c r="BP79" s="1045"/>
      <c r="BQ79" s="1045"/>
      <c r="BR79" s="1045"/>
      <c r="BS79" s="1084"/>
      <c r="BT79" s="1045"/>
      <c r="BU79" s="1045"/>
      <c r="BV79" s="1045"/>
      <c r="BW79" s="1085"/>
      <c r="BX79" s="1084"/>
      <c r="BY79" s="1045"/>
      <c r="BZ79" s="1045"/>
      <c r="CA79" s="1045"/>
      <c r="CB79" s="1085"/>
      <c r="CC79" s="1086"/>
      <c r="CD79" s="1327"/>
      <c r="CE79" s="1328"/>
      <c r="CF79" s="1328"/>
      <c r="CG79" s="1328"/>
      <c r="CH79" s="1389"/>
      <c r="CI79" s="1369"/>
      <c r="CJ79" s="1319"/>
      <c r="CK79" s="1319"/>
      <c r="CL79" s="1319"/>
      <c r="CM79" s="1320"/>
      <c r="CN79" s="1369"/>
      <c r="CO79" s="1319"/>
      <c r="CP79" s="1319"/>
      <c r="CQ79" s="1319"/>
      <c r="CR79" s="1320"/>
      <c r="CS79" s="1369"/>
      <c r="CT79" s="1319"/>
      <c r="CU79" s="1319"/>
      <c r="CV79" s="1319"/>
      <c r="CW79" s="1320"/>
      <c r="CX79" s="1369"/>
      <c r="CY79" s="1319"/>
      <c r="CZ79" s="1319"/>
      <c r="DA79" s="1319"/>
      <c r="DB79" s="1320"/>
      <c r="DC79" s="1319"/>
      <c r="DD79" s="1319"/>
      <c r="DE79" s="1319"/>
      <c r="DF79" s="1319"/>
      <c r="DG79" s="1320"/>
      <c r="DH79" s="1369"/>
      <c r="DI79" s="1319"/>
      <c r="DJ79" s="1319"/>
      <c r="DK79" s="1319"/>
      <c r="DL79" s="1320"/>
      <c r="DM79" s="1743"/>
      <c r="DN79" s="1744"/>
      <c r="DO79" s="1744"/>
      <c r="DP79" s="1745"/>
      <c r="DQ79" s="1744"/>
      <c r="DR79" s="1744"/>
      <c r="DS79" s="1744"/>
      <c r="DT79" s="1745"/>
      <c r="DU79" s="1328"/>
      <c r="DV79" s="1664"/>
      <c r="DW79" s="1746"/>
    </row>
    <row r="80" spans="1:127" s="382" customFormat="1" ht="15.75" customHeight="1">
      <c r="A80" s="1066" t="s">
        <v>1260</v>
      </c>
      <c r="B80" s="1026">
        <v>71</v>
      </c>
      <c r="C80" s="987"/>
      <c r="D80" s="987"/>
      <c r="E80" s="987"/>
      <c r="F80" s="987"/>
      <c r="G80" s="987"/>
      <c r="H80" s="987"/>
      <c r="I80" s="987"/>
      <c r="J80" s="987"/>
      <c r="K80" s="987"/>
      <c r="L80" s="987"/>
      <c r="M80" s="1026"/>
      <c r="N80" s="987"/>
      <c r="O80" s="987"/>
      <c r="P80" s="987"/>
      <c r="Q80" s="987"/>
      <c r="R80" s="987"/>
      <c r="S80" s="987"/>
      <c r="T80" s="988"/>
      <c r="U80" s="1067" t="s">
        <v>1117</v>
      </c>
      <c r="V80" s="1068" t="s">
        <v>2451</v>
      </c>
      <c r="W80" s="1068" t="s">
        <v>2231</v>
      </c>
      <c r="X80" s="1069" t="s">
        <v>2452</v>
      </c>
      <c r="Y80" s="1070" t="s">
        <v>172</v>
      </c>
      <c r="Z80" s="1071" t="s">
        <v>2453</v>
      </c>
      <c r="AA80" s="1072" t="s">
        <v>2260</v>
      </c>
      <c r="AB80" s="1073">
        <v>1</v>
      </c>
      <c r="AC80" s="1073" t="s">
        <v>2260</v>
      </c>
      <c r="AD80" s="1073" t="s">
        <v>2260</v>
      </c>
      <c r="AE80" s="1073" t="s">
        <v>2260</v>
      </c>
      <c r="AF80" s="1073" t="s">
        <v>2260</v>
      </c>
      <c r="AG80" s="1073" t="s">
        <v>2260</v>
      </c>
      <c r="AH80" s="1073" t="s">
        <v>2260</v>
      </c>
      <c r="AI80" s="1074">
        <f t="shared" si="1"/>
        <v>1</v>
      </c>
      <c r="AJ80" s="1075" t="s">
        <v>1846</v>
      </c>
      <c r="AK80" s="1075" t="s">
        <v>1826</v>
      </c>
      <c r="AL80" s="1075" t="s">
        <v>1827</v>
      </c>
      <c r="AM80" s="1076" t="s">
        <v>2247</v>
      </c>
      <c r="AN80" s="987" t="s">
        <v>2439</v>
      </c>
      <c r="AO80" s="987" t="s">
        <v>4420</v>
      </c>
      <c r="AP80" s="2042">
        <v>2</v>
      </c>
      <c r="AQ80" s="1045" t="s">
        <v>1838</v>
      </c>
      <c r="AR80" s="1078" t="s">
        <v>172</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210</v>
      </c>
      <c r="CE80" s="1088" t="s">
        <v>210</v>
      </c>
      <c r="CF80" s="1088" t="s">
        <v>210</v>
      </c>
      <c r="CG80" s="1088" t="s">
        <v>210</v>
      </c>
      <c r="CH80" s="1089" t="s">
        <v>210</v>
      </c>
      <c r="CI80" s="1044" t="s">
        <v>2260</v>
      </c>
      <c r="CJ80" s="1045" t="s">
        <v>2260</v>
      </c>
      <c r="CK80" s="1045" t="s">
        <v>2260</v>
      </c>
      <c r="CL80" s="1045" t="s">
        <v>2260</v>
      </c>
      <c r="CM80" s="1086" t="s">
        <v>2260</v>
      </c>
      <c r="CN80" s="1044">
        <v>9.5</v>
      </c>
      <c r="CO80" s="1045">
        <v>9.5</v>
      </c>
      <c r="CP80" s="1045">
        <v>9.5</v>
      </c>
      <c r="CQ80" s="1045">
        <v>9.5</v>
      </c>
      <c r="CR80" s="1086">
        <v>9.5</v>
      </c>
      <c r="CS80" s="1044">
        <v>2</v>
      </c>
      <c r="CT80" s="1045">
        <v>2</v>
      </c>
      <c r="CU80" s="1179">
        <v>1.5</v>
      </c>
      <c r="CV80" s="1179">
        <v>1.5</v>
      </c>
      <c r="CW80" s="1180">
        <v>1.5</v>
      </c>
      <c r="CX80" s="1044" t="s">
        <v>2260</v>
      </c>
      <c r="CY80" s="1045" t="s">
        <v>2260</v>
      </c>
      <c r="CZ80" s="1045" t="s">
        <v>2260</v>
      </c>
      <c r="DA80" s="1045" t="s">
        <v>2260</v>
      </c>
      <c r="DB80" s="1086" t="s">
        <v>2260</v>
      </c>
      <c r="DC80" s="1045" t="s">
        <v>2260</v>
      </c>
      <c r="DD80" s="1045" t="s">
        <v>2260</v>
      </c>
      <c r="DE80" s="1045" t="s">
        <v>2260</v>
      </c>
      <c r="DF80" s="1045" t="s">
        <v>2260</v>
      </c>
      <c r="DG80" s="1086" t="s">
        <v>2260</v>
      </c>
      <c r="DH80" s="1044" t="s">
        <v>2260</v>
      </c>
      <c r="DI80" s="1045" t="s">
        <v>2260</v>
      </c>
      <c r="DJ80" s="1045" t="s">
        <v>2260</v>
      </c>
      <c r="DK80" s="1045" t="s">
        <v>2260</v>
      </c>
      <c r="DL80" s="1086" t="s">
        <v>2260</v>
      </c>
      <c r="DM80" s="1090">
        <v>-0.191</v>
      </c>
      <c r="DN80" s="1091" t="s">
        <v>2260</v>
      </c>
      <c r="DO80" s="1091" t="s">
        <v>2260</v>
      </c>
      <c r="DP80" s="1092" t="s">
        <v>2260</v>
      </c>
      <c r="DQ80" s="1091">
        <v>0</v>
      </c>
      <c r="DR80" s="1091" t="s">
        <v>2260</v>
      </c>
      <c r="DS80" s="1091" t="s">
        <v>2260</v>
      </c>
      <c r="DT80" s="1092" t="s">
        <v>2260</v>
      </c>
      <c r="DU80" s="1088" t="s">
        <v>2260</v>
      </c>
      <c r="DV80" s="1093">
        <v>1</v>
      </c>
      <c r="DW80" s="1094" t="s">
        <v>2260</v>
      </c>
    </row>
    <row r="81" spans="1:127" s="382" customFormat="1" ht="15.75" customHeight="1">
      <c r="A81" s="1023" t="s">
        <v>1260</v>
      </c>
      <c r="B81" s="1024">
        <v>72</v>
      </c>
      <c r="C81" s="1112"/>
      <c r="D81" s="1112"/>
      <c r="E81" s="1112"/>
      <c r="F81" s="1112"/>
      <c r="G81" s="1112"/>
      <c r="H81" s="1112"/>
      <c r="I81" s="1112"/>
      <c r="J81" s="1112"/>
      <c r="K81" s="1112"/>
      <c r="L81" s="1112"/>
      <c r="M81" s="1024"/>
      <c r="N81" s="1112"/>
      <c r="O81" s="1112"/>
      <c r="P81" s="1112"/>
      <c r="Q81" s="1112"/>
      <c r="R81" s="1112"/>
      <c r="S81" s="1112"/>
      <c r="T81" s="1027"/>
      <c r="U81" s="1028" t="s">
        <v>1118</v>
      </c>
      <c r="V81" s="1029" t="s">
        <v>2451</v>
      </c>
      <c r="W81" s="1029" t="s">
        <v>2217</v>
      </c>
      <c r="X81" s="1030" t="s">
        <v>2455</v>
      </c>
      <c r="Y81" s="1031" t="s">
        <v>179</v>
      </c>
      <c r="Z81" s="1032" t="s">
        <v>2456</v>
      </c>
      <c r="AA81" s="1033" t="s">
        <v>2260</v>
      </c>
      <c r="AB81" s="1034">
        <v>1</v>
      </c>
      <c r="AC81" s="1034" t="s">
        <v>2260</v>
      </c>
      <c r="AD81" s="1034" t="s">
        <v>2260</v>
      </c>
      <c r="AE81" s="1034" t="s">
        <v>2260</v>
      </c>
      <c r="AF81" s="1034" t="s">
        <v>2260</v>
      </c>
      <c r="AG81" s="1034" t="s">
        <v>2260</v>
      </c>
      <c r="AH81" s="1034" t="s">
        <v>2260</v>
      </c>
      <c r="AI81" s="1035">
        <f t="shared" si="1"/>
        <v>1</v>
      </c>
      <c r="AJ81" s="1036" t="s">
        <v>1852</v>
      </c>
      <c r="AK81" s="1036" t="s">
        <v>1826</v>
      </c>
      <c r="AL81" s="1036" t="s">
        <v>1827</v>
      </c>
      <c r="AM81" s="1037" t="s">
        <v>2220</v>
      </c>
      <c r="AN81" s="1031" t="s">
        <v>4414</v>
      </c>
      <c r="AO81" s="1031" t="s">
        <v>4415</v>
      </c>
      <c r="AP81" s="1049">
        <v>0</v>
      </c>
      <c r="AQ81" s="1049" t="s">
        <v>1838</v>
      </c>
      <c r="AR81" s="1040" t="s">
        <v>179</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210</v>
      </c>
      <c r="CE81" s="1054" t="s">
        <v>210</v>
      </c>
      <c r="CF81" s="1054" t="s">
        <v>210</v>
      </c>
      <c r="CG81" s="1054" t="s">
        <v>210</v>
      </c>
      <c r="CH81" s="1055" t="s">
        <v>210</v>
      </c>
      <c r="CI81" s="1105" t="s">
        <v>2260</v>
      </c>
      <c r="CJ81" s="1104" t="s">
        <v>2260</v>
      </c>
      <c r="CK81" s="1104" t="s">
        <v>2260</v>
      </c>
      <c r="CL81" s="1104" t="s">
        <v>2260</v>
      </c>
      <c r="CM81" s="1108" t="s">
        <v>2260</v>
      </c>
      <c r="CN81" s="1105">
        <v>1.5798611111111114E-2</v>
      </c>
      <c r="CO81" s="1104">
        <v>1.5798611111111114E-2</v>
      </c>
      <c r="CP81" s="1104">
        <v>1.5798611111111114E-2</v>
      </c>
      <c r="CQ81" s="1104">
        <v>1.5798611111111114E-2</v>
      </c>
      <c r="CR81" s="1108">
        <v>1.5798611111111114E-2</v>
      </c>
      <c r="CS81" s="1310"/>
      <c r="CT81" s="1311"/>
      <c r="CU81" s="1311"/>
      <c r="CV81" s="1311"/>
      <c r="CW81" s="1312"/>
      <c r="CX81" s="1310"/>
      <c r="CY81" s="1311"/>
      <c r="CZ81" s="1311"/>
      <c r="DA81" s="1311"/>
      <c r="DB81" s="1312"/>
      <c r="DC81" s="1267">
        <v>1.8171296296296297E-3</v>
      </c>
      <c r="DD81" s="1267">
        <v>1.6203703703703703E-3</v>
      </c>
      <c r="DE81" s="1267">
        <v>1.0416666666666667E-3</v>
      </c>
      <c r="DF81" s="1267">
        <v>1.0416666666666667E-3</v>
      </c>
      <c r="DG81" s="1267">
        <v>1.0416666666666667E-3</v>
      </c>
      <c r="DH81" s="1105" t="s">
        <v>2260</v>
      </c>
      <c r="DI81" s="1104" t="s">
        <v>2260</v>
      </c>
      <c r="DJ81" s="1104" t="s">
        <v>2260</v>
      </c>
      <c r="DK81" s="1104" t="s">
        <v>2260</v>
      </c>
      <c r="DL81" s="1108" t="s">
        <v>2260</v>
      </c>
      <c r="DM81" s="1060">
        <v>-9.5000000000000001E-2</v>
      </c>
      <c r="DN81" s="1061" t="s">
        <v>2260</v>
      </c>
      <c r="DO81" s="1061" t="s">
        <v>2260</v>
      </c>
      <c r="DP81" s="1062" t="s">
        <v>2260</v>
      </c>
      <c r="DQ81" s="1061">
        <v>9.5000000000000001E-2</v>
      </c>
      <c r="DR81" s="1061" t="s">
        <v>2260</v>
      </c>
      <c r="DS81" s="1061" t="s">
        <v>2260</v>
      </c>
      <c r="DT81" s="1062" t="s">
        <v>2260</v>
      </c>
      <c r="DU81" s="1054" t="s">
        <v>2260</v>
      </c>
      <c r="DV81" s="1063">
        <v>1</v>
      </c>
      <c r="DW81" s="1064" t="s">
        <v>2260</v>
      </c>
    </row>
    <row r="82" spans="1:127" s="382" customFormat="1" ht="15.75" customHeight="1">
      <c r="A82" s="1066" t="s">
        <v>1260</v>
      </c>
      <c r="B82" s="1026">
        <v>73</v>
      </c>
      <c r="C82" s="987"/>
      <c r="D82" s="987"/>
      <c r="E82" s="987"/>
      <c r="F82" s="987"/>
      <c r="G82" s="987"/>
      <c r="H82" s="987"/>
      <c r="I82" s="987"/>
      <c r="J82" s="987"/>
      <c r="K82" s="987"/>
      <c r="L82" s="987"/>
      <c r="M82" s="1026"/>
      <c r="N82" s="987"/>
      <c r="O82" s="987"/>
      <c r="P82" s="987"/>
      <c r="Q82" s="987"/>
      <c r="R82" s="987"/>
      <c r="S82" s="987"/>
      <c r="T82" s="988"/>
      <c r="U82" s="1067" t="s">
        <v>1121</v>
      </c>
      <c r="V82" s="1068" t="s">
        <v>2451</v>
      </c>
      <c r="W82" s="1068" t="s">
        <v>2217</v>
      </c>
      <c r="X82" s="1069" t="s">
        <v>2457</v>
      </c>
      <c r="Y82" s="1070" t="s">
        <v>203</v>
      </c>
      <c r="Z82" s="1071" t="s">
        <v>2458</v>
      </c>
      <c r="AA82" s="1072" t="s">
        <v>2260</v>
      </c>
      <c r="AB82" s="1073">
        <v>1</v>
      </c>
      <c r="AC82" s="1073" t="s">
        <v>2260</v>
      </c>
      <c r="AD82" s="1073" t="s">
        <v>2260</v>
      </c>
      <c r="AE82" s="1073" t="s">
        <v>2260</v>
      </c>
      <c r="AF82" s="1073" t="s">
        <v>2260</v>
      </c>
      <c r="AG82" s="1073" t="s">
        <v>2260</v>
      </c>
      <c r="AH82" s="1073" t="s">
        <v>2260</v>
      </c>
      <c r="AI82" s="1074">
        <f t="shared" si="1"/>
        <v>1</v>
      </c>
      <c r="AJ82" s="1075" t="s">
        <v>1846</v>
      </c>
      <c r="AK82" s="1075" t="s">
        <v>1826</v>
      </c>
      <c r="AL82" s="1075" t="s">
        <v>1827</v>
      </c>
      <c r="AM82" s="1076" t="s">
        <v>2363</v>
      </c>
      <c r="AN82" s="987" t="s">
        <v>2439</v>
      </c>
      <c r="AO82" s="987" t="s">
        <v>4419</v>
      </c>
      <c r="AP82" s="2042">
        <v>1</v>
      </c>
      <c r="AQ82" s="1045" t="s">
        <v>1838</v>
      </c>
      <c r="AR82" s="1078" t="s">
        <v>203</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210</v>
      </c>
      <c r="CE82" s="1088" t="s">
        <v>210</v>
      </c>
      <c r="CF82" s="1088" t="s">
        <v>210</v>
      </c>
      <c r="CG82" s="1088" t="s">
        <v>210</v>
      </c>
      <c r="CH82" s="1089" t="s">
        <v>210</v>
      </c>
      <c r="CI82" s="1044" t="s">
        <v>2260</v>
      </c>
      <c r="CJ82" s="1045" t="s">
        <v>2260</v>
      </c>
      <c r="CK82" s="1045" t="s">
        <v>2260</v>
      </c>
      <c r="CL82" s="1045" t="s">
        <v>2260</v>
      </c>
      <c r="CM82" s="1086" t="s">
        <v>2260</v>
      </c>
      <c r="CN82" s="1044">
        <v>193.8</v>
      </c>
      <c r="CO82" s="1045">
        <v>193.8</v>
      </c>
      <c r="CP82" s="1045">
        <v>193.8</v>
      </c>
      <c r="CQ82" s="1045">
        <v>193.8</v>
      </c>
      <c r="CR82" s="1086">
        <v>193.8</v>
      </c>
      <c r="CS82" s="1183">
        <v>148.4</v>
      </c>
      <c r="CT82" s="1185">
        <v>146.5</v>
      </c>
      <c r="CU82" s="1185">
        <v>144.6</v>
      </c>
      <c r="CV82" s="1185">
        <v>142.69999999999999</v>
      </c>
      <c r="CW82" s="1186">
        <v>140.69999999999999</v>
      </c>
      <c r="CX82" s="1044" t="s">
        <v>2260</v>
      </c>
      <c r="CY82" s="1045" t="s">
        <v>2260</v>
      </c>
      <c r="CZ82" s="1045" t="s">
        <v>2260</v>
      </c>
      <c r="DA82" s="1045" t="s">
        <v>2260</v>
      </c>
      <c r="DB82" s="1086" t="s">
        <v>2260</v>
      </c>
      <c r="DC82" s="1045" t="s">
        <v>2260</v>
      </c>
      <c r="DD82" s="1045" t="s">
        <v>2260</v>
      </c>
      <c r="DE82" s="1045" t="s">
        <v>2260</v>
      </c>
      <c r="DF82" s="1045" t="s">
        <v>2260</v>
      </c>
      <c r="DG82" s="1086" t="s">
        <v>2260</v>
      </c>
      <c r="DH82" s="1044" t="s">
        <v>2260</v>
      </c>
      <c r="DI82" s="1045" t="s">
        <v>2260</v>
      </c>
      <c r="DJ82" s="1045" t="s">
        <v>2260</v>
      </c>
      <c r="DK82" s="1045" t="s">
        <v>2260</v>
      </c>
      <c r="DL82" s="1086" t="s">
        <v>2260</v>
      </c>
      <c r="DM82" s="1090">
        <v>-0.04</v>
      </c>
      <c r="DN82" s="1091" t="s">
        <v>2260</v>
      </c>
      <c r="DO82" s="1091" t="s">
        <v>2260</v>
      </c>
      <c r="DP82" s="1092" t="s">
        <v>2260</v>
      </c>
      <c r="DQ82" s="1091" t="s">
        <v>2260</v>
      </c>
      <c r="DR82" s="1091" t="s">
        <v>2260</v>
      </c>
      <c r="DS82" s="1091" t="s">
        <v>2260</v>
      </c>
      <c r="DT82" s="1092" t="s">
        <v>2260</v>
      </c>
      <c r="DU82" s="1088" t="s">
        <v>2260</v>
      </c>
      <c r="DV82" s="1093">
        <v>1</v>
      </c>
      <c r="DW82" s="1094" t="s">
        <v>2260</v>
      </c>
    </row>
    <row r="83" spans="1:127" s="382" customFormat="1" ht="15.75" customHeight="1">
      <c r="A83" s="1066" t="s">
        <v>1260</v>
      </c>
      <c r="B83" s="1026">
        <v>74</v>
      </c>
      <c r="C83" s="987"/>
      <c r="D83" s="987"/>
      <c r="E83" s="987"/>
      <c r="F83" s="987"/>
      <c r="G83" s="987"/>
      <c r="H83" s="987"/>
      <c r="I83" s="987"/>
      <c r="J83" s="987"/>
      <c r="K83" s="987"/>
      <c r="L83" s="987"/>
      <c r="M83" s="1026"/>
      <c r="N83" s="987"/>
      <c r="O83" s="987"/>
      <c r="P83" s="987"/>
      <c r="Q83" s="987"/>
      <c r="R83" s="987"/>
      <c r="S83" s="987"/>
      <c r="T83" s="988"/>
      <c r="U83" s="1067" t="s">
        <v>1122</v>
      </c>
      <c r="V83" s="1068" t="s">
        <v>2451</v>
      </c>
      <c r="W83" s="1068" t="s">
        <v>2231</v>
      </c>
      <c r="X83" s="1069" t="s">
        <v>2460</v>
      </c>
      <c r="Y83" s="1070" t="s">
        <v>209</v>
      </c>
      <c r="Z83" s="1071" t="s">
        <v>2461</v>
      </c>
      <c r="AA83" s="1072" t="s">
        <v>2260</v>
      </c>
      <c r="AB83" s="1073">
        <v>1</v>
      </c>
      <c r="AC83" s="1073" t="s">
        <v>2260</v>
      </c>
      <c r="AD83" s="1073" t="s">
        <v>2260</v>
      </c>
      <c r="AE83" s="1073" t="s">
        <v>2260</v>
      </c>
      <c r="AF83" s="1073" t="s">
        <v>2260</v>
      </c>
      <c r="AG83" s="1073" t="s">
        <v>2260</v>
      </c>
      <c r="AH83" s="1073" t="s">
        <v>2260</v>
      </c>
      <c r="AI83" s="1074">
        <f t="shared" si="1"/>
        <v>1</v>
      </c>
      <c r="AJ83" s="1075" t="s">
        <v>1846</v>
      </c>
      <c r="AK83" s="1075" t="s">
        <v>1826</v>
      </c>
      <c r="AL83" s="1075" t="s">
        <v>1827</v>
      </c>
      <c r="AM83" s="1076" t="s">
        <v>2238</v>
      </c>
      <c r="AN83" s="987" t="s">
        <v>321</v>
      </c>
      <c r="AO83" s="987" t="s">
        <v>4418</v>
      </c>
      <c r="AP83" s="2041">
        <v>2</v>
      </c>
      <c r="AQ83" s="1077" t="s">
        <v>1838</v>
      </c>
      <c r="AR83" s="1078" t="s">
        <v>209</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210</v>
      </c>
      <c r="CE83" s="1088" t="s">
        <v>210</v>
      </c>
      <c r="CF83" s="1088" t="s">
        <v>210</v>
      </c>
      <c r="CG83" s="1088" t="s">
        <v>210</v>
      </c>
      <c r="CH83" s="1089" t="s">
        <v>210</v>
      </c>
      <c r="CI83" s="1044" t="s">
        <v>2260</v>
      </c>
      <c r="CJ83" s="1045" t="s">
        <v>2260</v>
      </c>
      <c r="CK83" s="1045" t="s">
        <v>2260</v>
      </c>
      <c r="CL83" s="1045" t="s">
        <v>2260</v>
      </c>
      <c r="CM83" s="1086" t="s">
        <v>2260</v>
      </c>
      <c r="CN83" s="1114">
        <v>4.68</v>
      </c>
      <c r="CO83" s="1077">
        <v>4.68</v>
      </c>
      <c r="CP83" s="1077">
        <v>4.68</v>
      </c>
      <c r="CQ83" s="1077">
        <v>4.68</v>
      </c>
      <c r="CR83" s="1115">
        <v>4.68</v>
      </c>
      <c r="CS83" s="1181">
        <v>2.81</v>
      </c>
      <c r="CT83" s="1182">
        <v>2.81</v>
      </c>
      <c r="CU83" s="1182">
        <v>2.81</v>
      </c>
      <c r="CV83" s="1182">
        <v>2.81</v>
      </c>
      <c r="CW83" s="1184">
        <v>2.81</v>
      </c>
      <c r="CX83" s="1044" t="s">
        <v>2260</v>
      </c>
      <c r="CY83" s="1045" t="s">
        <v>2260</v>
      </c>
      <c r="CZ83" s="1045" t="s">
        <v>2260</v>
      </c>
      <c r="DA83" s="1045" t="s">
        <v>2260</v>
      </c>
      <c r="DB83" s="1086" t="s">
        <v>2260</v>
      </c>
      <c r="DC83" s="1045" t="s">
        <v>2260</v>
      </c>
      <c r="DD83" s="1045" t="s">
        <v>2260</v>
      </c>
      <c r="DE83" s="1045" t="s">
        <v>2260</v>
      </c>
      <c r="DF83" s="1045" t="s">
        <v>2260</v>
      </c>
      <c r="DG83" s="1086" t="s">
        <v>2260</v>
      </c>
      <c r="DH83" s="1044" t="s">
        <v>2260</v>
      </c>
      <c r="DI83" s="1045" t="s">
        <v>2260</v>
      </c>
      <c r="DJ83" s="1045" t="s">
        <v>2260</v>
      </c>
      <c r="DK83" s="1045" t="s">
        <v>2260</v>
      </c>
      <c r="DL83" s="1086" t="s">
        <v>2260</v>
      </c>
      <c r="DM83" s="1090">
        <v>-0.38100000000000001</v>
      </c>
      <c r="DN83" s="1091" t="s">
        <v>2260</v>
      </c>
      <c r="DO83" s="1091" t="s">
        <v>2260</v>
      </c>
      <c r="DP83" s="1092" t="s">
        <v>2260</v>
      </c>
      <c r="DQ83" s="1091" t="s">
        <v>2260</v>
      </c>
      <c r="DR83" s="1091" t="s">
        <v>2260</v>
      </c>
      <c r="DS83" s="1091" t="s">
        <v>2260</v>
      </c>
      <c r="DT83" s="1092" t="s">
        <v>2260</v>
      </c>
      <c r="DU83" s="1088" t="s">
        <v>2260</v>
      </c>
      <c r="DV83" s="1093">
        <v>1</v>
      </c>
      <c r="DW83" s="1094" t="s">
        <v>2260</v>
      </c>
    </row>
    <row r="84" spans="1:127" s="382" customFormat="1" ht="15.75" customHeight="1">
      <c r="A84" s="1066" t="s">
        <v>1260</v>
      </c>
      <c r="B84" s="1026">
        <v>75</v>
      </c>
      <c r="C84" s="987"/>
      <c r="D84" s="987"/>
      <c r="E84" s="987"/>
      <c r="F84" s="987"/>
      <c r="G84" s="987"/>
      <c r="H84" s="987"/>
      <c r="I84" s="987"/>
      <c r="J84" s="987"/>
      <c r="K84" s="987"/>
      <c r="L84" s="987"/>
      <c r="M84" s="1026"/>
      <c r="N84" s="987"/>
      <c r="O84" s="987"/>
      <c r="P84" s="987"/>
      <c r="Q84" s="987"/>
      <c r="R84" s="987"/>
      <c r="S84" s="987"/>
      <c r="T84" s="988"/>
      <c r="U84" s="1067" t="s">
        <v>1127</v>
      </c>
      <c r="V84" s="1068" t="s">
        <v>2451</v>
      </c>
      <c r="W84" s="1068" t="s">
        <v>2231</v>
      </c>
      <c r="X84" s="1069" t="s">
        <v>2462</v>
      </c>
      <c r="Y84" s="1070" t="s">
        <v>567</v>
      </c>
      <c r="Z84" s="1071" t="s">
        <v>2463</v>
      </c>
      <c r="AA84" s="1072">
        <v>1</v>
      </c>
      <c r="AB84" s="1073" t="s">
        <v>2260</v>
      </c>
      <c r="AC84" s="1073" t="s">
        <v>2260</v>
      </c>
      <c r="AD84" s="1073" t="s">
        <v>2260</v>
      </c>
      <c r="AE84" s="1073" t="s">
        <v>2260</v>
      </c>
      <c r="AF84" s="1073" t="s">
        <v>2260</v>
      </c>
      <c r="AG84" s="1073" t="s">
        <v>2260</v>
      </c>
      <c r="AH84" s="1073" t="s">
        <v>2260</v>
      </c>
      <c r="AI84" s="1074">
        <f t="shared" si="1"/>
        <v>1</v>
      </c>
      <c r="AJ84" s="1075" t="s">
        <v>1825</v>
      </c>
      <c r="AK84" s="1075" t="s">
        <v>2260</v>
      </c>
      <c r="AL84" s="1075" t="s">
        <v>2260</v>
      </c>
      <c r="AM84" s="1076" t="s">
        <v>2234</v>
      </c>
      <c r="AN84" s="987" t="s">
        <v>321</v>
      </c>
      <c r="AO84" s="987" t="s">
        <v>4417</v>
      </c>
      <c r="AP84" s="2042">
        <v>1</v>
      </c>
      <c r="AQ84" s="1045" t="s">
        <v>1838</v>
      </c>
      <c r="AR84" s="1078" t="s">
        <v>567</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2260</v>
      </c>
      <c r="CE84" s="1088" t="s">
        <v>2260</v>
      </c>
      <c r="CF84" s="1088" t="s">
        <v>2260</v>
      </c>
      <c r="CG84" s="1088" t="s">
        <v>2260</v>
      </c>
      <c r="CH84" s="1089" t="s">
        <v>2260</v>
      </c>
      <c r="CI84" s="1044" t="s">
        <v>2260</v>
      </c>
      <c r="CJ84" s="1045" t="s">
        <v>2260</v>
      </c>
      <c r="CK84" s="1045" t="s">
        <v>2260</v>
      </c>
      <c r="CL84" s="1045" t="s">
        <v>2260</v>
      </c>
      <c r="CM84" s="1086" t="s">
        <v>2260</v>
      </c>
      <c r="CN84" s="1044" t="s">
        <v>2260</v>
      </c>
      <c r="CO84" s="1045" t="s">
        <v>2260</v>
      </c>
      <c r="CP84" s="1045" t="s">
        <v>2260</v>
      </c>
      <c r="CQ84" s="1045" t="s">
        <v>2260</v>
      </c>
      <c r="CR84" s="1086" t="s">
        <v>2260</v>
      </c>
      <c r="CS84" s="1044" t="s">
        <v>2260</v>
      </c>
      <c r="CT84" s="1045" t="s">
        <v>2260</v>
      </c>
      <c r="CU84" s="1045" t="s">
        <v>2260</v>
      </c>
      <c r="CV84" s="1045" t="s">
        <v>2260</v>
      </c>
      <c r="CW84" s="1086" t="s">
        <v>2260</v>
      </c>
      <c r="CX84" s="1044" t="s">
        <v>2260</v>
      </c>
      <c r="CY84" s="1045" t="s">
        <v>2260</v>
      </c>
      <c r="CZ84" s="1045" t="s">
        <v>2260</v>
      </c>
      <c r="DA84" s="1045" t="s">
        <v>2260</v>
      </c>
      <c r="DB84" s="1086" t="s">
        <v>2260</v>
      </c>
      <c r="DC84" s="1045" t="s">
        <v>2260</v>
      </c>
      <c r="DD84" s="1045" t="s">
        <v>2260</v>
      </c>
      <c r="DE84" s="1045" t="s">
        <v>2260</v>
      </c>
      <c r="DF84" s="1045" t="s">
        <v>2260</v>
      </c>
      <c r="DG84" s="1086" t="s">
        <v>2260</v>
      </c>
      <c r="DH84" s="1044" t="s">
        <v>2260</v>
      </c>
      <c r="DI84" s="1045" t="s">
        <v>2260</v>
      </c>
      <c r="DJ84" s="1045" t="s">
        <v>2260</v>
      </c>
      <c r="DK84" s="1045" t="s">
        <v>2260</v>
      </c>
      <c r="DL84" s="1086" t="s">
        <v>2260</v>
      </c>
      <c r="DM84" s="1090" t="s">
        <v>2260</v>
      </c>
      <c r="DN84" s="1091" t="s">
        <v>2260</v>
      </c>
      <c r="DO84" s="1091" t="s">
        <v>2260</v>
      </c>
      <c r="DP84" s="1092" t="s">
        <v>2260</v>
      </c>
      <c r="DQ84" s="1091" t="s">
        <v>2260</v>
      </c>
      <c r="DR84" s="1091" t="s">
        <v>2260</v>
      </c>
      <c r="DS84" s="1091" t="s">
        <v>2260</v>
      </c>
      <c r="DT84" s="1092" t="s">
        <v>2260</v>
      </c>
      <c r="DU84" s="1088" t="s">
        <v>2260</v>
      </c>
      <c r="DV84" s="1093">
        <v>1</v>
      </c>
      <c r="DW84" s="1094" t="s">
        <v>2260</v>
      </c>
    </row>
    <row r="85" spans="1:127" s="382" customFormat="1" ht="15.75" customHeight="1">
      <c r="A85" s="1066" t="s">
        <v>1260</v>
      </c>
      <c r="B85" s="1026">
        <v>76</v>
      </c>
      <c r="C85" s="987"/>
      <c r="D85" s="987"/>
      <c r="E85" s="987"/>
      <c r="F85" s="987"/>
      <c r="G85" s="987"/>
      <c r="H85" s="987"/>
      <c r="I85" s="987"/>
      <c r="J85" s="987"/>
      <c r="K85" s="987"/>
      <c r="L85" s="987"/>
      <c r="M85" s="1026"/>
      <c r="N85" s="987"/>
      <c r="O85" s="987"/>
      <c r="P85" s="987"/>
      <c r="Q85" s="987"/>
      <c r="R85" s="987"/>
      <c r="S85" s="987"/>
      <c r="T85" s="988"/>
      <c r="U85" s="1067" t="s">
        <v>1306</v>
      </c>
      <c r="V85" s="1068" t="s">
        <v>2451</v>
      </c>
      <c r="W85" s="1068" t="s">
        <v>2217</v>
      </c>
      <c r="X85" s="1069" t="s">
        <v>2465</v>
      </c>
      <c r="Y85" s="1070" t="s">
        <v>2466</v>
      </c>
      <c r="Z85" s="1071" t="s">
        <v>2467</v>
      </c>
      <c r="AA85" s="1072" t="s">
        <v>2260</v>
      </c>
      <c r="AB85" s="1073">
        <v>1</v>
      </c>
      <c r="AC85" s="1073" t="s">
        <v>2260</v>
      </c>
      <c r="AD85" s="1073" t="s">
        <v>2260</v>
      </c>
      <c r="AE85" s="1073" t="s">
        <v>2260</v>
      </c>
      <c r="AF85" s="1073" t="s">
        <v>2260</v>
      </c>
      <c r="AG85" s="1073" t="s">
        <v>2260</v>
      </c>
      <c r="AH85" s="1073" t="s">
        <v>2260</v>
      </c>
      <c r="AI85" s="1074">
        <f t="shared" si="1"/>
        <v>1</v>
      </c>
      <c r="AJ85" s="1075" t="s">
        <v>1852</v>
      </c>
      <c r="AK85" s="1075" t="s">
        <v>1826</v>
      </c>
      <c r="AL85" s="1075" t="s">
        <v>1827</v>
      </c>
      <c r="AM85" s="1076" t="s">
        <v>2421</v>
      </c>
      <c r="AN85" s="987" t="s">
        <v>439</v>
      </c>
      <c r="AO85" s="987" t="s">
        <v>4423</v>
      </c>
      <c r="AP85" s="2041">
        <v>2</v>
      </c>
      <c r="AQ85" s="1077" t="s">
        <v>1838</v>
      </c>
      <c r="AR85" s="1078"/>
      <c r="AS85" s="1079"/>
      <c r="AT85" s="1069"/>
      <c r="AU85" s="1069"/>
      <c r="AV85" s="1069"/>
      <c r="AW85" s="1080"/>
      <c r="AX85" s="1081"/>
      <c r="AY85" s="1044"/>
      <c r="AZ85" s="1045"/>
      <c r="BA85" s="1045"/>
      <c r="BB85" s="1045"/>
      <c r="BC85" s="1045"/>
      <c r="BD85" s="1045"/>
      <c r="BE85" s="1045"/>
      <c r="BF85" s="1045"/>
      <c r="BG85" s="1045"/>
      <c r="BH85" s="1045"/>
      <c r="BI85" s="1369"/>
      <c r="BJ85" s="1319"/>
      <c r="BK85" s="1319"/>
      <c r="BL85" s="1319"/>
      <c r="BM85" s="1319"/>
      <c r="BN85" s="1044"/>
      <c r="BO85" s="1045"/>
      <c r="BP85" s="1045"/>
      <c r="BQ85" s="1045"/>
      <c r="BR85" s="1045"/>
      <c r="BS85" s="1084"/>
      <c r="BT85" s="1045"/>
      <c r="BU85" s="1045"/>
      <c r="BV85" s="1045"/>
      <c r="BW85" s="1085"/>
      <c r="BX85" s="1084"/>
      <c r="BY85" s="1045"/>
      <c r="BZ85" s="1045"/>
      <c r="CA85" s="1045"/>
      <c r="CB85" s="1085"/>
      <c r="CC85" s="1086"/>
      <c r="CD85" s="1327"/>
      <c r="CE85" s="1328"/>
      <c r="CF85" s="1328"/>
      <c r="CG85" s="1328"/>
      <c r="CH85" s="1389"/>
      <c r="CI85" s="1369"/>
      <c r="CJ85" s="1319"/>
      <c r="CK85" s="1319"/>
      <c r="CL85" s="1319"/>
      <c r="CM85" s="1320"/>
      <c r="CN85" s="1369"/>
      <c r="CO85" s="1319"/>
      <c r="CP85" s="1319"/>
      <c r="CQ85" s="1319"/>
      <c r="CR85" s="1320"/>
      <c r="CS85" s="1369"/>
      <c r="CT85" s="1319"/>
      <c r="CU85" s="1319"/>
      <c r="CV85" s="1319"/>
      <c r="CW85" s="1320"/>
      <c r="CX85" s="1369"/>
      <c r="CY85" s="1319"/>
      <c r="CZ85" s="1319"/>
      <c r="DA85" s="1319"/>
      <c r="DB85" s="1320"/>
      <c r="DC85" s="1319"/>
      <c r="DD85" s="1319"/>
      <c r="DE85" s="1319"/>
      <c r="DF85" s="1319"/>
      <c r="DG85" s="1320"/>
      <c r="DH85" s="1369"/>
      <c r="DI85" s="1319"/>
      <c r="DJ85" s="1319"/>
      <c r="DK85" s="1319"/>
      <c r="DL85" s="1320"/>
      <c r="DM85" s="1743"/>
      <c r="DN85" s="1744"/>
      <c r="DO85" s="1744"/>
      <c r="DP85" s="1745"/>
      <c r="DQ85" s="1744"/>
      <c r="DR85" s="1744"/>
      <c r="DS85" s="1744"/>
      <c r="DT85" s="1745"/>
      <c r="DU85" s="1328"/>
      <c r="DV85" s="1664"/>
      <c r="DW85" s="1746"/>
    </row>
    <row r="86" spans="1:127" s="382" customFormat="1" ht="15.75" customHeight="1">
      <c r="A86" s="1066" t="s">
        <v>1260</v>
      </c>
      <c r="B86" s="1026">
        <v>77</v>
      </c>
      <c r="C86" s="987"/>
      <c r="D86" s="987"/>
      <c r="E86" s="987"/>
      <c r="F86" s="987"/>
      <c r="G86" s="987"/>
      <c r="H86" s="987"/>
      <c r="I86" s="987"/>
      <c r="J86" s="987"/>
      <c r="K86" s="987"/>
      <c r="L86" s="987"/>
      <c r="M86" s="1026"/>
      <c r="N86" s="987"/>
      <c r="O86" s="987"/>
      <c r="P86" s="987"/>
      <c r="Q86" s="987"/>
      <c r="R86" s="987"/>
      <c r="S86" s="987"/>
      <c r="T86" s="988"/>
      <c r="U86" s="1067" t="s">
        <v>1323</v>
      </c>
      <c r="V86" s="1068" t="s">
        <v>2451</v>
      </c>
      <c r="W86" s="1068" t="s">
        <v>2217</v>
      </c>
      <c r="X86" s="1069" t="s">
        <v>2469</v>
      </c>
      <c r="Y86" s="1070" t="s">
        <v>2470</v>
      </c>
      <c r="Z86" s="1071" t="s">
        <v>2471</v>
      </c>
      <c r="AA86" s="1072" t="s">
        <v>2260</v>
      </c>
      <c r="AB86" s="1073">
        <v>1</v>
      </c>
      <c r="AC86" s="1073" t="s">
        <v>2260</v>
      </c>
      <c r="AD86" s="1073" t="s">
        <v>2260</v>
      </c>
      <c r="AE86" s="1073" t="s">
        <v>2260</v>
      </c>
      <c r="AF86" s="1073" t="s">
        <v>2260</v>
      </c>
      <c r="AG86" s="1073" t="s">
        <v>2260</v>
      </c>
      <c r="AH86" s="1073" t="s">
        <v>2260</v>
      </c>
      <c r="AI86" s="1074">
        <f t="shared" si="1"/>
        <v>1</v>
      </c>
      <c r="AJ86" s="1075" t="s">
        <v>1852</v>
      </c>
      <c r="AK86" s="1075" t="s">
        <v>1826</v>
      </c>
      <c r="AL86" s="1075" t="s">
        <v>1827</v>
      </c>
      <c r="AM86" s="1076" t="s">
        <v>2421</v>
      </c>
      <c r="AN86" s="987" t="s">
        <v>439</v>
      </c>
      <c r="AO86" s="987" t="s">
        <v>4423</v>
      </c>
      <c r="AP86" s="2042">
        <v>2</v>
      </c>
      <c r="AQ86" s="1045" t="s">
        <v>1838</v>
      </c>
      <c r="AR86" s="1078"/>
      <c r="AS86" s="1079"/>
      <c r="AT86" s="1069"/>
      <c r="AU86" s="1069"/>
      <c r="AV86" s="1069"/>
      <c r="AW86" s="1080"/>
      <c r="AX86" s="1111"/>
      <c r="AY86" s="1044"/>
      <c r="AZ86" s="1045"/>
      <c r="BA86" s="1045"/>
      <c r="BB86" s="1045"/>
      <c r="BC86" s="1045"/>
      <c r="BD86" s="1045"/>
      <c r="BE86" s="1045"/>
      <c r="BF86" s="1045"/>
      <c r="BG86" s="1045"/>
      <c r="BH86" s="1045"/>
      <c r="BI86" s="1369"/>
      <c r="BJ86" s="1319"/>
      <c r="BK86" s="1319"/>
      <c r="BL86" s="1319"/>
      <c r="BM86" s="1319"/>
      <c r="BN86" s="1044"/>
      <c r="BO86" s="1045"/>
      <c r="BP86" s="1045"/>
      <c r="BQ86" s="1045"/>
      <c r="BR86" s="1045"/>
      <c r="BS86" s="1084"/>
      <c r="BT86" s="1045"/>
      <c r="BU86" s="1045"/>
      <c r="BV86" s="1045"/>
      <c r="BW86" s="1085"/>
      <c r="BX86" s="1084"/>
      <c r="BY86" s="1045"/>
      <c r="BZ86" s="1045"/>
      <c r="CA86" s="1045"/>
      <c r="CB86" s="1085"/>
      <c r="CC86" s="1086"/>
      <c r="CD86" s="1327"/>
      <c r="CE86" s="1328"/>
      <c r="CF86" s="1328"/>
      <c r="CG86" s="1328"/>
      <c r="CH86" s="1389"/>
      <c r="CI86" s="1369"/>
      <c r="CJ86" s="1319"/>
      <c r="CK86" s="1319"/>
      <c r="CL86" s="1319"/>
      <c r="CM86" s="1320"/>
      <c r="CN86" s="1369"/>
      <c r="CO86" s="1319"/>
      <c r="CP86" s="1319"/>
      <c r="CQ86" s="1319"/>
      <c r="CR86" s="1320"/>
      <c r="CS86" s="1369"/>
      <c r="CT86" s="1319"/>
      <c r="CU86" s="1319"/>
      <c r="CV86" s="1319"/>
      <c r="CW86" s="1320"/>
      <c r="CX86" s="1369"/>
      <c r="CY86" s="1319"/>
      <c r="CZ86" s="1319"/>
      <c r="DA86" s="1319"/>
      <c r="DB86" s="1320"/>
      <c r="DC86" s="1319"/>
      <c r="DD86" s="1319"/>
      <c r="DE86" s="1319"/>
      <c r="DF86" s="1319"/>
      <c r="DG86" s="1320"/>
      <c r="DH86" s="1369"/>
      <c r="DI86" s="1319"/>
      <c r="DJ86" s="1319"/>
      <c r="DK86" s="1319"/>
      <c r="DL86" s="1320"/>
      <c r="DM86" s="1743"/>
      <c r="DN86" s="1744"/>
      <c r="DO86" s="1744"/>
      <c r="DP86" s="1745"/>
      <c r="DQ86" s="1744"/>
      <c r="DR86" s="1744"/>
      <c r="DS86" s="1744"/>
      <c r="DT86" s="1745"/>
      <c r="DU86" s="1328"/>
      <c r="DV86" s="1664"/>
      <c r="DW86" s="1746"/>
    </row>
    <row r="87" spans="1:127" s="382" customFormat="1" ht="15.75" customHeight="1">
      <c r="A87" s="1066" t="s">
        <v>1260</v>
      </c>
      <c r="B87" s="1026">
        <v>78</v>
      </c>
      <c r="C87" s="987"/>
      <c r="D87" s="987"/>
      <c r="E87" s="987"/>
      <c r="F87" s="987"/>
      <c r="G87" s="987"/>
      <c r="H87" s="987"/>
      <c r="I87" s="987"/>
      <c r="J87" s="987"/>
      <c r="K87" s="987"/>
      <c r="L87" s="987"/>
      <c r="M87" s="1026"/>
      <c r="N87" s="987"/>
      <c r="O87" s="987"/>
      <c r="P87" s="987"/>
      <c r="Q87" s="987"/>
      <c r="R87" s="987"/>
      <c r="S87" s="987"/>
      <c r="T87" s="988"/>
      <c r="U87" s="1067" t="s">
        <v>1340</v>
      </c>
      <c r="V87" s="1068" t="s">
        <v>2451</v>
      </c>
      <c r="W87" s="1068" t="s">
        <v>2217</v>
      </c>
      <c r="X87" s="1069" t="s">
        <v>2472</v>
      </c>
      <c r="Y87" s="1070" t="s">
        <v>2293</v>
      </c>
      <c r="Z87" s="1071" t="s">
        <v>2473</v>
      </c>
      <c r="AA87" s="1072" t="s">
        <v>2260</v>
      </c>
      <c r="AB87" s="1073">
        <v>1</v>
      </c>
      <c r="AC87" s="1073" t="s">
        <v>2260</v>
      </c>
      <c r="AD87" s="1073" t="s">
        <v>2260</v>
      </c>
      <c r="AE87" s="1073" t="s">
        <v>2260</v>
      </c>
      <c r="AF87" s="1073" t="s">
        <v>2260</v>
      </c>
      <c r="AG87" s="1073" t="s">
        <v>2260</v>
      </c>
      <c r="AH87" s="1073" t="s">
        <v>2260</v>
      </c>
      <c r="AI87" s="1074">
        <f t="shared" si="1"/>
        <v>1</v>
      </c>
      <c r="AJ87" s="1075" t="s">
        <v>1852</v>
      </c>
      <c r="AK87" s="1075" t="s">
        <v>1826</v>
      </c>
      <c r="AL87" s="1075" t="s">
        <v>1827</v>
      </c>
      <c r="AM87" s="1076" t="s">
        <v>2295</v>
      </c>
      <c r="AN87" s="987" t="s">
        <v>2439</v>
      </c>
      <c r="AO87" s="987" t="s">
        <v>4421</v>
      </c>
      <c r="AP87" s="1039">
        <v>0</v>
      </c>
      <c r="AQ87" s="1077" t="s">
        <v>1838</v>
      </c>
      <c r="AR87" s="1078"/>
      <c r="AS87" s="1079"/>
      <c r="AT87" s="1069"/>
      <c r="AU87" s="1069"/>
      <c r="AV87" s="1069"/>
      <c r="AW87" s="1080"/>
      <c r="AX87" s="1111"/>
      <c r="AY87" s="1044"/>
      <c r="AZ87" s="1045"/>
      <c r="BA87" s="1045"/>
      <c r="BB87" s="1045"/>
      <c r="BC87" s="1045"/>
      <c r="BD87" s="1045"/>
      <c r="BE87" s="1045"/>
      <c r="BF87" s="1045"/>
      <c r="BG87" s="1045"/>
      <c r="BH87" s="1045"/>
      <c r="BI87" s="1369"/>
      <c r="BJ87" s="1319"/>
      <c r="BK87" s="1319"/>
      <c r="BL87" s="1319"/>
      <c r="BM87" s="1319"/>
      <c r="BN87" s="1044"/>
      <c r="BO87" s="1045"/>
      <c r="BP87" s="1045"/>
      <c r="BQ87" s="1045"/>
      <c r="BR87" s="1045"/>
      <c r="BS87" s="1084"/>
      <c r="BT87" s="1045"/>
      <c r="BU87" s="1045"/>
      <c r="BV87" s="1045"/>
      <c r="BW87" s="1085"/>
      <c r="BX87" s="1084"/>
      <c r="BY87" s="1045"/>
      <c r="BZ87" s="1045"/>
      <c r="CA87" s="1045"/>
      <c r="CB87" s="1085"/>
      <c r="CC87" s="1086"/>
      <c r="CD87" s="1327"/>
      <c r="CE87" s="1328"/>
      <c r="CF87" s="1328"/>
      <c r="CG87" s="1328"/>
      <c r="CH87" s="1389"/>
      <c r="CI87" s="1369"/>
      <c r="CJ87" s="1319"/>
      <c r="CK87" s="1319"/>
      <c r="CL87" s="1319"/>
      <c r="CM87" s="1320"/>
      <c r="CN87" s="1369"/>
      <c r="CO87" s="1319"/>
      <c r="CP87" s="1319"/>
      <c r="CQ87" s="1319"/>
      <c r="CR87" s="1320"/>
      <c r="CS87" s="1369"/>
      <c r="CT87" s="1319"/>
      <c r="CU87" s="1319"/>
      <c r="CV87" s="1319"/>
      <c r="CW87" s="1320"/>
      <c r="CX87" s="1369"/>
      <c r="CY87" s="1319"/>
      <c r="CZ87" s="1319"/>
      <c r="DA87" s="1319"/>
      <c r="DB87" s="1320"/>
      <c r="DC87" s="1319"/>
      <c r="DD87" s="1319"/>
      <c r="DE87" s="1319"/>
      <c r="DF87" s="1319"/>
      <c r="DG87" s="1320"/>
      <c r="DH87" s="1369"/>
      <c r="DI87" s="1319"/>
      <c r="DJ87" s="1319"/>
      <c r="DK87" s="1319"/>
      <c r="DL87" s="1320"/>
      <c r="DM87" s="1743"/>
      <c r="DN87" s="1744"/>
      <c r="DO87" s="1744"/>
      <c r="DP87" s="1745"/>
      <c r="DQ87" s="1744"/>
      <c r="DR87" s="1744"/>
      <c r="DS87" s="1744"/>
      <c r="DT87" s="1745"/>
      <c r="DU87" s="1328"/>
      <c r="DV87" s="1664"/>
      <c r="DW87" s="1746"/>
    </row>
    <row r="88" spans="1:127" s="382" customFormat="1" ht="15.75" customHeight="1">
      <c r="A88" s="1066" t="s">
        <v>1260</v>
      </c>
      <c r="B88" s="1026">
        <v>79</v>
      </c>
      <c r="C88" s="987"/>
      <c r="D88" s="987"/>
      <c r="E88" s="987"/>
      <c r="F88" s="987"/>
      <c r="G88" s="987"/>
      <c r="H88" s="987"/>
      <c r="I88" s="987"/>
      <c r="J88" s="987"/>
      <c r="K88" s="987"/>
      <c r="L88" s="987"/>
      <c r="M88" s="1026"/>
      <c r="N88" s="987"/>
      <c r="O88" s="987"/>
      <c r="P88" s="987"/>
      <c r="Q88" s="987"/>
      <c r="R88" s="987"/>
      <c r="S88" s="987"/>
      <c r="T88" s="988"/>
      <c r="U88" s="1067" t="s">
        <v>1357</v>
      </c>
      <c r="V88" s="1068" t="s">
        <v>2451</v>
      </c>
      <c r="W88" s="1068" t="s">
        <v>2217</v>
      </c>
      <c r="X88" s="1069" t="s">
        <v>2474</v>
      </c>
      <c r="Y88" s="1070" t="s">
        <v>2475</v>
      </c>
      <c r="Z88" s="1071" t="s">
        <v>2476</v>
      </c>
      <c r="AA88" s="1072" t="s">
        <v>2260</v>
      </c>
      <c r="AB88" s="1073">
        <v>1</v>
      </c>
      <c r="AC88" s="1073" t="s">
        <v>2260</v>
      </c>
      <c r="AD88" s="1073" t="s">
        <v>2260</v>
      </c>
      <c r="AE88" s="1073" t="s">
        <v>2260</v>
      </c>
      <c r="AF88" s="1073" t="s">
        <v>2260</v>
      </c>
      <c r="AG88" s="1073" t="s">
        <v>2260</v>
      </c>
      <c r="AH88" s="1073" t="s">
        <v>2260</v>
      </c>
      <c r="AI88" s="1074">
        <f t="shared" si="1"/>
        <v>1</v>
      </c>
      <c r="AJ88" s="1075" t="s">
        <v>1846</v>
      </c>
      <c r="AK88" s="1075" t="s">
        <v>1826</v>
      </c>
      <c r="AL88" s="1075" t="s">
        <v>1827</v>
      </c>
      <c r="AM88" s="1076" t="s">
        <v>2477</v>
      </c>
      <c r="AN88" s="987" t="s">
        <v>1857</v>
      </c>
      <c r="AO88" s="987" t="s">
        <v>2478</v>
      </c>
      <c r="AP88" s="1039">
        <v>0</v>
      </c>
      <c r="AQ88" s="1077" t="s">
        <v>1838</v>
      </c>
      <c r="AR88" s="1078" t="s">
        <v>2260</v>
      </c>
      <c r="AS88" s="1079"/>
      <c r="AT88" s="1069"/>
      <c r="AU88" s="1069"/>
      <c r="AV88" s="1069"/>
      <c r="AW88" s="1080"/>
      <c r="AX88" s="1111"/>
      <c r="AY88" s="1044"/>
      <c r="AZ88" s="1045"/>
      <c r="BA88" s="1045"/>
      <c r="BB88" s="1045"/>
      <c r="BC88" s="1045"/>
      <c r="BD88" s="1045"/>
      <c r="BE88" s="1045"/>
      <c r="BF88" s="1045"/>
      <c r="BG88" s="1045"/>
      <c r="BH88" s="1045"/>
      <c r="BI88" s="1369"/>
      <c r="BJ88" s="1319"/>
      <c r="BK88" s="1319"/>
      <c r="BL88" s="1319"/>
      <c r="BM88" s="1319"/>
      <c r="BN88" s="1044"/>
      <c r="BO88" s="1045"/>
      <c r="BP88" s="1045"/>
      <c r="BQ88" s="1045"/>
      <c r="BR88" s="1045"/>
      <c r="BS88" s="1084"/>
      <c r="BT88" s="1045"/>
      <c r="BU88" s="1045"/>
      <c r="BV88" s="1045"/>
      <c r="BW88" s="1085"/>
      <c r="BX88" s="1084"/>
      <c r="BY88" s="1045"/>
      <c r="BZ88" s="1045"/>
      <c r="CA88" s="1045"/>
      <c r="CB88" s="1085"/>
      <c r="CC88" s="1086"/>
      <c r="CD88" s="1327"/>
      <c r="CE88" s="1328"/>
      <c r="CF88" s="1328"/>
      <c r="CG88" s="1328"/>
      <c r="CH88" s="1389"/>
      <c r="CI88" s="1369"/>
      <c r="CJ88" s="1319"/>
      <c r="CK88" s="1319"/>
      <c r="CL88" s="1319"/>
      <c r="CM88" s="1320"/>
      <c r="CN88" s="1369"/>
      <c r="CO88" s="1319"/>
      <c r="CP88" s="1319"/>
      <c r="CQ88" s="1319"/>
      <c r="CR88" s="1320"/>
      <c r="CS88" s="1369"/>
      <c r="CT88" s="1319"/>
      <c r="CU88" s="1319"/>
      <c r="CV88" s="1319"/>
      <c r="CW88" s="1320"/>
      <c r="CX88" s="1369"/>
      <c r="CY88" s="1319"/>
      <c r="CZ88" s="1319"/>
      <c r="DA88" s="1319"/>
      <c r="DB88" s="1320"/>
      <c r="DC88" s="1319"/>
      <c r="DD88" s="1319"/>
      <c r="DE88" s="1319"/>
      <c r="DF88" s="1319"/>
      <c r="DG88" s="1320"/>
      <c r="DH88" s="1369"/>
      <c r="DI88" s="1319"/>
      <c r="DJ88" s="1319"/>
      <c r="DK88" s="1319"/>
      <c r="DL88" s="1320"/>
      <c r="DM88" s="1743"/>
      <c r="DN88" s="1744"/>
      <c r="DO88" s="1744"/>
      <c r="DP88" s="1745"/>
      <c r="DQ88" s="1744"/>
      <c r="DR88" s="1744"/>
      <c r="DS88" s="1744"/>
      <c r="DT88" s="1745"/>
      <c r="DU88" s="1328"/>
      <c r="DV88" s="1664"/>
      <c r="DW88" s="1746"/>
    </row>
    <row r="89" spans="1:127" s="382" customFormat="1" ht="15.75" customHeight="1">
      <c r="A89" s="1066" t="s">
        <v>1260</v>
      </c>
      <c r="B89" s="1026">
        <v>80</v>
      </c>
      <c r="C89" s="987"/>
      <c r="D89" s="987"/>
      <c r="E89" s="987"/>
      <c r="F89" s="987"/>
      <c r="G89" s="987"/>
      <c r="H89" s="987"/>
      <c r="I89" s="987"/>
      <c r="J89" s="987"/>
      <c r="K89" s="987"/>
      <c r="L89" s="987"/>
      <c r="M89" s="1026"/>
      <c r="N89" s="987"/>
      <c r="O89" s="987"/>
      <c r="P89" s="987"/>
      <c r="Q89" s="987"/>
      <c r="R89" s="987"/>
      <c r="S89" s="987"/>
      <c r="T89" s="988"/>
      <c r="U89" s="1067" t="s">
        <v>1374</v>
      </c>
      <c r="V89" s="1068" t="s">
        <v>2451</v>
      </c>
      <c r="W89" s="1068" t="s">
        <v>2217</v>
      </c>
      <c r="X89" s="1069" t="s">
        <v>2479</v>
      </c>
      <c r="Y89" s="1070" t="s">
        <v>2480</v>
      </c>
      <c r="Z89" s="1071" t="s">
        <v>2481</v>
      </c>
      <c r="AA89" s="1072" t="s">
        <v>2260</v>
      </c>
      <c r="AB89" s="1073">
        <v>1</v>
      </c>
      <c r="AC89" s="1073" t="s">
        <v>2260</v>
      </c>
      <c r="AD89" s="1073" t="s">
        <v>2260</v>
      </c>
      <c r="AE89" s="1073" t="s">
        <v>2260</v>
      </c>
      <c r="AF89" s="1073" t="s">
        <v>2260</v>
      </c>
      <c r="AG89" s="1073" t="s">
        <v>2260</v>
      </c>
      <c r="AH89" s="1073" t="s">
        <v>2260</v>
      </c>
      <c r="AI89" s="1074">
        <f t="shared" si="1"/>
        <v>1</v>
      </c>
      <c r="AJ89" s="1075" t="s">
        <v>1846</v>
      </c>
      <c r="AK89" s="1075" t="s">
        <v>1826</v>
      </c>
      <c r="AL89" s="1075" t="s">
        <v>1827</v>
      </c>
      <c r="AM89" s="1076" t="s">
        <v>2482</v>
      </c>
      <c r="AN89" s="987" t="s">
        <v>1857</v>
      </c>
      <c r="AO89" s="987" t="s">
        <v>2483</v>
      </c>
      <c r="AP89" s="1039">
        <v>0</v>
      </c>
      <c r="AQ89" s="1077" t="s">
        <v>1838</v>
      </c>
      <c r="AR89" s="1078" t="s">
        <v>2260</v>
      </c>
      <c r="AS89" s="1079"/>
      <c r="AT89" s="1069"/>
      <c r="AU89" s="1069"/>
      <c r="AV89" s="1069"/>
      <c r="AW89" s="1080"/>
      <c r="AX89" s="1081"/>
      <c r="AY89" s="1044"/>
      <c r="AZ89" s="1045"/>
      <c r="BA89" s="1045"/>
      <c r="BB89" s="1045"/>
      <c r="BC89" s="1045"/>
      <c r="BD89" s="1045"/>
      <c r="BE89" s="1045"/>
      <c r="BF89" s="1045"/>
      <c r="BG89" s="1045"/>
      <c r="BH89" s="1045"/>
      <c r="BI89" s="1369"/>
      <c r="BJ89" s="1319"/>
      <c r="BK89" s="1319"/>
      <c r="BL89" s="1319"/>
      <c r="BM89" s="1319"/>
      <c r="BN89" s="1044"/>
      <c r="BO89" s="1045"/>
      <c r="BP89" s="1045"/>
      <c r="BQ89" s="1045"/>
      <c r="BR89" s="1045"/>
      <c r="BS89" s="1084"/>
      <c r="BT89" s="1045"/>
      <c r="BU89" s="1045"/>
      <c r="BV89" s="1045"/>
      <c r="BW89" s="1085"/>
      <c r="BX89" s="1084"/>
      <c r="BY89" s="1045"/>
      <c r="BZ89" s="1045"/>
      <c r="CA89" s="1045"/>
      <c r="CB89" s="1085"/>
      <c r="CC89" s="1086"/>
      <c r="CD89" s="1327"/>
      <c r="CE89" s="1328"/>
      <c r="CF89" s="1328"/>
      <c r="CG89" s="1328"/>
      <c r="CH89" s="1389"/>
      <c r="CI89" s="1369"/>
      <c r="CJ89" s="1319"/>
      <c r="CK89" s="1319"/>
      <c r="CL89" s="1319"/>
      <c r="CM89" s="1320"/>
      <c r="CN89" s="1369"/>
      <c r="CO89" s="1319"/>
      <c r="CP89" s="1319"/>
      <c r="CQ89" s="1319"/>
      <c r="CR89" s="1320"/>
      <c r="CS89" s="1369"/>
      <c r="CT89" s="1319"/>
      <c r="CU89" s="1319"/>
      <c r="CV89" s="1319"/>
      <c r="CW89" s="1320"/>
      <c r="CX89" s="1369"/>
      <c r="CY89" s="1319"/>
      <c r="CZ89" s="1319"/>
      <c r="DA89" s="1319"/>
      <c r="DB89" s="1320"/>
      <c r="DC89" s="1319"/>
      <c r="DD89" s="1319"/>
      <c r="DE89" s="1319"/>
      <c r="DF89" s="1319"/>
      <c r="DG89" s="1320"/>
      <c r="DH89" s="1369"/>
      <c r="DI89" s="1319"/>
      <c r="DJ89" s="1319"/>
      <c r="DK89" s="1319"/>
      <c r="DL89" s="1320"/>
      <c r="DM89" s="1743"/>
      <c r="DN89" s="1744"/>
      <c r="DO89" s="1744"/>
      <c r="DP89" s="1745"/>
      <c r="DQ89" s="1744"/>
      <c r="DR89" s="1744"/>
      <c r="DS89" s="1744"/>
      <c r="DT89" s="1745"/>
      <c r="DU89" s="1328"/>
      <c r="DV89" s="1664"/>
      <c r="DW89" s="1746"/>
    </row>
    <row r="90" spans="1:127" s="382" customFormat="1" ht="15.75" customHeight="1">
      <c r="A90" s="1066" t="s">
        <v>1260</v>
      </c>
      <c r="B90" s="1026">
        <v>81</v>
      </c>
      <c r="C90" s="987"/>
      <c r="D90" s="987"/>
      <c r="E90" s="987"/>
      <c r="F90" s="987"/>
      <c r="G90" s="987"/>
      <c r="H90" s="987"/>
      <c r="I90" s="987"/>
      <c r="J90" s="987"/>
      <c r="K90" s="987"/>
      <c r="L90" s="987"/>
      <c r="M90" s="1026"/>
      <c r="N90" s="987"/>
      <c r="O90" s="987"/>
      <c r="P90" s="987"/>
      <c r="Q90" s="987"/>
      <c r="R90" s="987"/>
      <c r="S90" s="987"/>
      <c r="T90" s="988"/>
      <c r="U90" s="1067" t="s">
        <v>4438</v>
      </c>
      <c r="V90" s="1068" t="s">
        <v>2451</v>
      </c>
      <c r="W90" s="1068" t="s">
        <v>2231</v>
      </c>
      <c r="X90" s="1069" t="s">
        <v>4439</v>
      </c>
      <c r="Y90" s="1070" t="s">
        <v>4440</v>
      </c>
      <c r="Z90" s="1071" t="s">
        <v>4441</v>
      </c>
      <c r="AA90" s="1072" t="s">
        <v>2260</v>
      </c>
      <c r="AB90" s="1073">
        <v>1</v>
      </c>
      <c r="AC90" s="1073" t="s">
        <v>2260</v>
      </c>
      <c r="AD90" s="1073" t="s">
        <v>2260</v>
      </c>
      <c r="AE90" s="1073" t="s">
        <v>2260</v>
      </c>
      <c r="AF90" s="1073" t="s">
        <v>2260</v>
      </c>
      <c r="AG90" s="1073" t="s">
        <v>2260</v>
      </c>
      <c r="AH90" s="1073" t="s">
        <v>2260</v>
      </c>
      <c r="AI90" s="1074">
        <f t="shared" si="1"/>
        <v>1</v>
      </c>
      <c r="AJ90" s="1075" t="s">
        <v>1825</v>
      </c>
      <c r="AK90" s="1075" t="s">
        <v>2260</v>
      </c>
      <c r="AL90" s="1075" t="s">
        <v>2260</v>
      </c>
      <c r="AM90" s="1076" t="s">
        <v>2234</v>
      </c>
      <c r="AN90" s="987"/>
      <c r="AO90" s="987"/>
      <c r="AP90" s="2042">
        <v>0</v>
      </c>
      <c r="AQ90" s="1077" t="s">
        <v>1838</v>
      </c>
      <c r="AR90" s="1078" t="s">
        <v>2260</v>
      </c>
      <c r="AS90" s="1079"/>
      <c r="AT90" s="1069"/>
      <c r="AU90" s="1069"/>
      <c r="AV90" s="1069"/>
      <c r="AW90" s="1080"/>
      <c r="AX90" s="1081"/>
      <c r="AY90" s="1044"/>
      <c r="AZ90" s="1045"/>
      <c r="BA90" s="1045"/>
      <c r="BB90" s="1045"/>
      <c r="BC90" s="1045"/>
      <c r="BD90" s="1045"/>
      <c r="BE90" s="1045"/>
      <c r="BF90" s="1045"/>
      <c r="BG90" s="1045"/>
      <c r="BH90" s="1045"/>
      <c r="BI90" s="1369"/>
      <c r="BJ90" s="1319"/>
      <c r="BK90" s="1319"/>
      <c r="BL90" s="1319"/>
      <c r="BM90" s="1319"/>
      <c r="BN90" s="1044"/>
      <c r="BO90" s="1045"/>
      <c r="BP90" s="1045"/>
      <c r="BQ90" s="1045"/>
      <c r="BR90" s="1045"/>
      <c r="BS90" s="1084"/>
      <c r="BT90" s="1045"/>
      <c r="BU90" s="1045"/>
      <c r="BV90" s="1045"/>
      <c r="BW90" s="1085"/>
      <c r="BX90" s="1084"/>
      <c r="BY90" s="1045"/>
      <c r="BZ90" s="1045"/>
      <c r="CA90" s="1045"/>
      <c r="CB90" s="1085"/>
      <c r="CC90" s="1086"/>
      <c r="CD90" s="1327"/>
      <c r="CE90" s="1328"/>
      <c r="CF90" s="1328"/>
      <c r="CG90" s="1328"/>
      <c r="CH90" s="1389"/>
      <c r="CI90" s="1369"/>
      <c r="CJ90" s="1319"/>
      <c r="CK90" s="1319"/>
      <c r="CL90" s="1319"/>
      <c r="CM90" s="1320"/>
      <c r="CN90" s="1369"/>
      <c r="CO90" s="1319"/>
      <c r="CP90" s="1319"/>
      <c r="CQ90" s="1319"/>
      <c r="CR90" s="1320"/>
      <c r="CS90" s="1369"/>
      <c r="CT90" s="1319"/>
      <c r="CU90" s="1319"/>
      <c r="CV90" s="1319"/>
      <c r="CW90" s="1320"/>
      <c r="CX90" s="1369"/>
      <c r="CY90" s="1319"/>
      <c r="CZ90" s="1319"/>
      <c r="DA90" s="1319"/>
      <c r="DB90" s="1320"/>
      <c r="DC90" s="1319"/>
      <c r="DD90" s="1319"/>
      <c r="DE90" s="1319"/>
      <c r="DF90" s="1319"/>
      <c r="DG90" s="1320"/>
      <c r="DH90" s="1369"/>
      <c r="DI90" s="1319"/>
      <c r="DJ90" s="1319"/>
      <c r="DK90" s="1319"/>
      <c r="DL90" s="1320"/>
      <c r="DM90" s="1743"/>
      <c r="DN90" s="1744"/>
      <c r="DO90" s="1744"/>
      <c r="DP90" s="1745"/>
      <c r="DQ90" s="1744"/>
      <c r="DR90" s="1744"/>
      <c r="DS90" s="1744"/>
      <c r="DT90" s="1745"/>
      <c r="DU90" s="1328"/>
      <c r="DV90" s="1664"/>
      <c r="DW90" s="1746"/>
    </row>
    <row r="91" spans="1:127" s="382" customFormat="1" ht="15.75" customHeight="1">
      <c r="A91" s="1066" t="s">
        <v>1260</v>
      </c>
      <c r="B91" s="1026">
        <v>82</v>
      </c>
      <c r="C91" s="987"/>
      <c r="D91" s="987"/>
      <c r="E91" s="987"/>
      <c r="F91" s="987"/>
      <c r="G91" s="987"/>
      <c r="H91" s="987"/>
      <c r="I91" s="987"/>
      <c r="J91" s="987"/>
      <c r="K91" s="987"/>
      <c r="L91" s="987"/>
      <c r="M91" s="1026"/>
      <c r="N91" s="987"/>
      <c r="O91" s="987"/>
      <c r="P91" s="987"/>
      <c r="Q91" s="987"/>
      <c r="R91" s="987"/>
      <c r="S91" s="987"/>
      <c r="T91" s="988"/>
      <c r="U91" s="1067" t="s">
        <v>1761</v>
      </c>
      <c r="V91" s="1068" t="s">
        <v>2484</v>
      </c>
      <c r="W91" s="1068" t="s">
        <v>2231</v>
      </c>
      <c r="X91" s="1069" t="s">
        <v>2485</v>
      </c>
      <c r="Y91" s="1070" t="s">
        <v>2251</v>
      </c>
      <c r="Z91" s="1071" t="s">
        <v>2486</v>
      </c>
      <c r="AA91" s="1072" t="s">
        <v>2260</v>
      </c>
      <c r="AB91" s="1073" t="s">
        <v>2260</v>
      </c>
      <c r="AC91" s="1073" t="s">
        <v>2260</v>
      </c>
      <c r="AD91" s="1073" t="s">
        <v>2260</v>
      </c>
      <c r="AE91" s="1073">
        <v>1</v>
      </c>
      <c r="AF91" s="1073" t="s">
        <v>2260</v>
      </c>
      <c r="AG91" s="1073" t="s">
        <v>2260</v>
      </c>
      <c r="AH91" s="1073" t="s">
        <v>2260</v>
      </c>
      <c r="AI91" s="1074">
        <f t="shared" si="1"/>
        <v>1</v>
      </c>
      <c r="AJ91" s="1075" t="s">
        <v>1852</v>
      </c>
      <c r="AK91" s="1075" t="s">
        <v>1826</v>
      </c>
      <c r="AL91" s="1075" t="s">
        <v>1827</v>
      </c>
      <c r="AM91" s="1076" t="s">
        <v>1888</v>
      </c>
      <c r="AN91" s="987" t="s">
        <v>1897</v>
      </c>
      <c r="AO91" s="987" t="s">
        <v>2337</v>
      </c>
      <c r="AP91" s="1039">
        <v>2</v>
      </c>
      <c r="AQ91" s="1077" t="s">
        <v>1828</v>
      </c>
      <c r="AR91" s="1078" t="s">
        <v>2251</v>
      </c>
      <c r="AS91" s="1079"/>
      <c r="AT91" s="1069"/>
      <c r="AU91" s="1069"/>
      <c r="AV91" s="1069"/>
      <c r="AW91" s="1080"/>
      <c r="AX91" s="1111"/>
      <c r="AY91" s="1044"/>
      <c r="AZ91" s="1045"/>
      <c r="BA91" s="1045"/>
      <c r="BB91" s="1045"/>
      <c r="BC91" s="1045"/>
      <c r="BD91" s="1045"/>
      <c r="BE91" s="1045"/>
      <c r="BF91" s="1045"/>
      <c r="BG91" s="1045"/>
      <c r="BH91" s="1045"/>
      <c r="BI91" s="1116" t="s">
        <v>2260</v>
      </c>
      <c r="BJ91" s="1117" t="s">
        <v>2260</v>
      </c>
      <c r="BK91" s="1117" t="s">
        <v>2260</v>
      </c>
      <c r="BL91" s="1117" t="s">
        <v>2260</v>
      </c>
      <c r="BM91" s="1117" t="s">
        <v>2260</v>
      </c>
      <c r="BN91" s="1044"/>
      <c r="BO91" s="1045"/>
      <c r="BP91" s="1045"/>
      <c r="BQ91" s="1045"/>
      <c r="BR91" s="1045"/>
      <c r="BS91" s="1084"/>
      <c r="BT91" s="1045"/>
      <c r="BU91" s="1045"/>
      <c r="BV91" s="1045"/>
      <c r="BW91" s="1085"/>
      <c r="BX91" s="1084"/>
      <c r="BY91" s="1045"/>
      <c r="BZ91" s="1045"/>
      <c r="CA91" s="1045"/>
      <c r="CB91" s="1085"/>
      <c r="CC91" s="1086"/>
      <c r="CD91" s="1087" t="s">
        <v>210</v>
      </c>
      <c r="CE91" s="1088" t="s">
        <v>210</v>
      </c>
      <c r="CF91" s="1088" t="s">
        <v>210</v>
      </c>
      <c r="CG91" s="1088" t="s">
        <v>210</v>
      </c>
      <c r="CH91" s="1089" t="s">
        <v>210</v>
      </c>
      <c r="CI91" s="1044" t="s">
        <v>2260</v>
      </c>
      <c r="CJ91" s="1045" t="s">
        <v>2260</v>
      </c>
      <c r="CK91" s="1045" t="s">
        <v>2260</v>
      </c>
      <c r="CL91" s="1045" t="s">
        <v>2260</v>
      </c>
      <c r="CM91" s="1086" t="s">
        <v>2260</v>
      </c>
      <c r="CN91" s="1044" t="s">
        <v>2260</v>
      </c>
      <c r="CO91" s="1045" t="s">
        <v>2260</v>
      </c>
      <c r="CP91" s="1045" t="s">
        <v>2260</v>
      </c>
      <c r="CQ91" s="1045" t="s">
        <v>2260</v>
      </c>
      <c r="CR91" s="1086" t="s">
        <v>2260</v>
      </c>
      <c r="CS91" s="1044" t="s">
        <v>2260</v>
      </c>
      <c r="CT91" s="1045" t="s">
        <v>2260</v>
      </c>
      <c r="CU91" s="1045" t="s">
        <v>2260</v>
      </c>
      <c r="CV91" s="1045" t="s">
        <v>2260</v>
      </c>
      <c r="CW91" s="1086" t="s">
        <v>2260</v>
      </c>
      <c r="CX91" s="1044" t="s">
        <v>2260</v>
      </c>
      <c r="CY91" s="1045" t="s">
        <v>2260</v>
      </c>
      <c r="CZ91" s="1045" t="s">
        <v>2260</v>
      </c>
      <c r="DA91" s="1045" t="s">
        <v>2260</v>
      </c>
      <c r="DB91" s="1086" t="s">
        <v>2260</v>
      </c>
      <c r="DC91" s="1045" t="s">
        <v>2260</v>
      </c>
      <c r="DD91" s="1045" t="s">
        <v>2260</v>
      </c>
      <c r="DE91" s="1045" t="s">
        <v>2260</v>
      </c>
      <c r="DF91" s="1045" t="s">
        <v>2260</v>
      </c>
      <c r="DG91" s="1086" t="s">
        <v>2260</v>
      </c>
      <c r="DH91" s="1044" t="s">
        <v>2260</v>
      </c>
      <c r="DI91" s="1045" t="s">
        <v>2260</v>
      </c>
      <c r="DJ91" s="1045" t="s">
        <v>2260</v>
      </c>
      <c r="DK91" s="1045" t="s">
        <v>2260</v>
      </c>
      <c r="DL91" s="1086" t="s">
        <v>2260</v>
      </c>
      <c r="DM91" s="1090" t="s">
        <v>2260</v>
      </c>
      <c r="DN91" s="1091" t="s">
        <v>2260</v>
      </c>
      <c r="DO91" s="1091" t="s">
        <v>2260</v>
      </c>
      <c r="DP91" s="1092" t="s">
        <v>2260</v>
      </c>
      <c r="DQ91" s="1091" t="s">
        <v>2260</v>
      </c>
      <c r="DR91" s="1091" t="s">
        <v>2260</v>
      </c>
      <c r="DS91" s="1091" t="s">
        <v>2260</v>
      </c>
      <c r="DT91" s="1092" t="s">
        <v>2260</v>
      </c>
      <c r="DU91" s="1088" t="s">
        <v>2260</v>
      </c>
      <c r="DV91" s="1093">
        <v>1</v>
      </c>
      <c r="DW91" s="1094" t="s">
        <v>2260</v>
      </c>
    </row>
    <row r="92" spans="1:127" s="382" customFormat="1" ht="15.75" customHeight="1">
      <c r="A92" s="1066" t="s">
        <v>1260</v>
      </c>
      <c r="B92" s="1026">
        <v>83</v>
      </c>
      <c r="C92" s="987"/>
      <c r="D92" s="987"/>
      <c r="E92" s="987"/>
      <c r="F92" s="987"/>
      <c r="G92" s="987"/>
      <c r="H92" s="987"/>
      <c r="I92" s="987"/>
      <c r="J92" s="987"/>
      <c r="K92" s="987"/>
      <c r="L92" s="987"/>
      <c r="M92" s="1026"/>
      <c r="N92" s="987"/>
      <c r="O92" s="987"/>
      <c r="P92" s="987"/>
      <c r="Q92" s="987"/>
      <c r="R92" s="987"/>
      <c r="S92" s="987"/>
      <c r="T92" s="988"/>
      <c r="U92" s="1067" t="s">
        <v>1778</v>
      </c>
      <c r="V92" s="1068" t="s">
        <v>2484</v>
      </c>
      <c r="W92" s="1068" t="s">
        <v>2231</v>
      </c>
      <c r="X92" s="1069" t="s">
        <v>2487</v>
      </c>
      <c r="Y92" s="1070" t="s">
        <v>2254</v>
      </c>
      <c r="Z92" s="1071" t="s">
        <v>2488</v>
      </c>
      <c r="AA92" s="1072" t="s">
        <v>2260</v>
      </c>
      <c r="AB92" s="1073">
        <v>1</v>
      </c>
      <c r="AC92" s="1073" t="s">
        <v>2260</v>
      </c>
      <c r="AD92" s="1073" t="s">
        <v>2260</v>
      </c>
      <c r="AE92" s="1073" t="s">
        <v>2260</v>
      </c>
      <c r="AF92" s="1073" t="s">
        <v>2260</v>
      </c>
      <c r="AG92" s="1073" t="s">
        <v>2260</v>
      </c>
      <c r="AH92" s="1073" t="s">
        <v>2260</v>
      </c>
      <c r="AI92" s="1074">
        <f t="shared" si="1"/>
        <v>1</v>
      </c>
      <c r="AJ92" s="1075" t="s">
        <v>1852</v>
      </c>
      <c r="AK92" s="1075" t="s">
        <v>1826</v>
      </c>
      <c r="AL92" s="1075" t="s">
        <v>1827</v>
      </c>
      <c r="AM92" s="1076" t="s">
        <v>1891</v>
      </c>
      <c r="AN92" s="987" t="s">
        <v>1897</v>
      </c>
      <c r="AO92" s="987" t="s">
        <v>470</v>
      </c>
      <c r="AP92" s="802">
        <v>2</v>
      </c>
      <c r="AQ92" s="1045" t="s">
        <v>1828</v>
      </c>
      <c r="AR92" s="1078" t="s">
        <v>2254</v>
      </c>
      <c r="AS92" s="1079"/>
      <c r="AT92" s="1069"/>
      <c r="AU92" s="1069"/>
      <c r="AV92" s="1069"/>
      <c r="AW92" s="1080"/>
      <c r="AX92" s="1111"/>
      <c r="AY92" s="1044"/>
      <c r="AZ92" s="1045"/>
      <c r="BA92" s="1045"/>
      <c r="BB92" s="1045"/>
      <c r="BC92" s="1045"/>
      <c r="BD92" s="1045"/>
      <c r="BE92" s="1045"/>
      <c r="BF92" s="1045"/>
      <c r="BG92" s="1045"/>
      <c r="BH92" s="1045"/>
      <c r="BI92" s="1044" t="s">
        <v>2260</v>
      </c>
      <c r="BJ92" s="1045" t="s">
        <v>2260</v>
      </c>
      <c r="BK92" s="1045" t="s">
        <v>2260</v>
      </c>
      <c r="BL92" s="1045" t="s">
        <v>2260</v>
      </c>
      <c r="BM92" s="1045" t="s">
        <v>2260</v>
      </c>
      <c r="BN92" s="1044"/>
      <c r="BO92" s="1045"/>
      <c r="BP92" s="1045"/>
      <c r="BQ92" s="1045"/>
      <c r="BR92" s="1045"/>
      <c r="BS92" s="1084"/>
      <c r="BT92" s="1045"/>
      <c r="BU92" s="1045"/>
      <c r="BV92" s="1045"/>
      <c r="BW92" s="1085"/>
      <c r="BX92" s="1084"/>
      <c r="BY92" s="1045"/>
      <c r="BZ92" s="1045"/>
      <c r="CA92" s="1045"/>
      <c r="CB92" s="1085"/>
      <c r="CC92" s="1086"/>
      <c r="CD92" s="1087" t="s">
        <v>210</v>
      </c>
      <c r="CE92" s="1088" t="s">
        <v>210</v>
      </c>
      <c r="CF92" s="1088" t="s">
        <v>210</v>
      </c>
      <c r="CG92" s="1088" t="s">
        <v>210</v>
      </c>
      <c r="CH92" s="1089" t="s">
        <v>210</v>
      </c>
      <c r="CI92" s="1044" t="s">
        <v>2260</v>
      </c>
      <c r="CJ92" s="1045" t="s">
        <v>2260</v>
      </c>
      <c r="CK92" s="1045" t="s">
        <v>2260</v>
      </c>
      <c r="CL92" s="1045" t="s">
        <v>2260</v>
      </c>
      <c r="CM92" s="1086" t="s">
        <v>2260</v>
      </c>
      <c r="CN92" s="1044" t="s">
        <v>2260</v>
      </c>
      <c r="CO92" s="1045" t="s">
        <v>2260</v>
      </c>
      <c r="CP92" s="1045" t="s">
        <v>2260</v>
      </c>
      <c r="CQ92" s="1045" t="s">
        <v>2260</v>
      </c>
      <c r="CR92" s="1086" t="s">
        <v>2260</v>
      </c>
      <c r="CS92" s="1044" t="s">
        <v>2260</v>
      </c>
      <c r="CT92" s="1045" t="s">
        <v>2260</v>
      </c>
      <c r="CU92" s="1045" t="s">
        <v>2260</v>
      </c>
      <c r="CV92" s="1045" t="s">
        <v>2260</v>
      </c>
      <c r="CW92" s="1086" t="s">
        <v>2260</v>
      </c>
      <c r="CX92" s="1044" t="s">
        <v>2260</v>
      </c>
      <c r="CY92" s="1045" t="s">
        <v>2260</v>
      </c>
      <c r="CZ92" s="1045" t="s">
        <v>2260</v>
      </c>
      <c r="DA92" s="1045" t="s">
        <v>2260</v>
      </c>
      <c r="DB92" s="1086" t="s">
        <v>2260</v>
      </c>
      <c r="DC92" s="1045" t="s">
        <v>2260</v>
      </c>
      <c r="DD92" s="1045" t="s">
        <v>2260</v>
      </c>
      <c r="DE92" s="1045" t="s">
        <v>2260</v>
      </c>
      <c r="DF92" s="1045" t="s">
        <v>2260</v>
      </c>
      <c r="DG92" s="1086" t="s">
        <v>2260</v>
      </c>
      <c r="DH92" s="1044" t="s">
        <v>2260</v>
      </c>
      <c r="DI92" s="1045" t="s">
        <v>2260</v>
      </c>
      <c r="DJ92" s="1045" t="s">
        <v>2260</v>
      </c>
      <c r="DK92" s="1045" t="s">
        <v>2260</v>
      </c>
      <c r="DL92" s="1086" t="s">
        <v>2260</v>
      </c>
      <c r="DM92" s="1090" t="s">
        <v>2260</v>
      </c>
      <c r="DN92" s="1091" t="s">
        <v>2260</v>
      </c>
      <c r="DO92" s="1091" t="s">
        <v>2260</v>
      </c>
      <c r="DP92" s="1092" t="s">
        <v>2260</v>
      </c>
      <c r="DQ92" s="1091" t="s">
        <v>2260</v>
      </c>
      <c r="DR92" s="1091" t="s">
        <v>2260</v>
      </c>
      <c r="DS92" s="1091" t="s">
        <v>2260</v>
      </c>
      <c r="DT92" s="1092" t="s">
        <v>2260</v>
      </c>
      <c r="DU92" s="1088" t="s">
        <v>2260</v>
      </c>
      <c r="DV92" s="1093">
        <v>1</v>
      </c>
      <c r="DW92" s="1094" t="s">
        <v>2260</v>
      </c>
    </row>
    <row r="93" spans="1:127" s="382" customFormat="1" ht="15.75" customHeight="1">
      <c r="A93" s="1066" t="s">
        <v>1260</v>
      </c>
      <c r="B93" s="1026">
        <v>84</v>
      </c>
      <c r="C93" s="987"/>
      <c r="D93" s="987"/>
      <c r="E93" s="987"/>
      <c r="F93" s="987"/>
      <c r="G93" s="987"/>
      <c r="H93" s="987"/>
      <c r="I93" s="987"/>
      <c r="J93" s="987"/>
      <c r="K93" s="987"/>
      <c r="L93" s="987"/>
      <c r="M93" s="1026"/>
      <c r="N93" s="987"/>
      <c r="O93" s="987"/>
      <c r="P93" s="987"/>
      <c r="Q93" s="987"/>
      <c r="R93" s="987"/>
      <c r="S93" s="987"/>
      <c r="T93" s="988"/>
      <c r="U93" s="1067" t="s">
        <v>1589</v>
      </c>
      <c r="V93" s="1068" t="s">
        <v>2484</v>
      </c>
      <c r="W93" s="1068" t="s">
        <v>2223</v>
      </c>
      <c r="X93" s="1069" t="s">
        <v>2489</v>
      </c>
      <c r="Y93" s="1070" t="s">
        <v>4442</v>
      </c>
      <c r="Z93" s="1071" t="s">
        <v>2491</v>
      </c>
      <c r="AA93" s="1072" t="s">
        <v>2260</v>
      </c>
      <c r="AB93" s="1073" t="s">
        <v>2260</v>
      </c>
      <c r="AC93" s="1073" t="s">
        <v>2260</v>
      </c>
      <c r="AD93" s="1073" t="s">
        <v>2260</v>
      </c>
      <c r="AE93" s="1073">
        <v>1</v>
      </c>
      <c r="AF93" s="1073" t="s">
        <v>2260</v>
      </c>
      <c r="AG93" s="1073" t="s">
        <v>2260</v>
      </c>
      <c r="AH93" s="1073" t="s">
        <v>2260</v>
      </c>
      <c r="AI93" s="1074">
        <f t="shared" si="1"/>
        <v>1</v>
      </c>
      <c r="AJ93" s="1075" t="s">
        <v>1825</v>
      </c>
      <c r="AK93" s="1075" t="s">
        <v>2260</v>
      </c>
      <c r="AL93" s="1075" t="s">
        <v>2260</v>
      </c>
      <c r="AM93" s="1076" t="s">
        <v>2396</v>
      </c>
      <c r="AN93" s="987" t="s">
        <v>321</v>
      </c>
      <c r="AO93" s="987" t="s">
        <v>2492</v>
      </c>
      <c r="AP93" s="802">
        <v>0</v>
      </c>
      <c r="AQ93" s="1045" t="s">
        <v>1838</v>
      </c>
      <c r="AR93" s="1078" t="s">
        <v>2260</v>
      </c>
      <c r="AS93" s="1079"/>
      <c r="AT93" s="1069"/>
      <c r="AU93" s="1069"/>
      <c r="AV93" s="1069"/>
      <c r="AW93" s="1080"/>
      <c r="AX93" s="1111"/>
      <c r="AY93" s="1044"/>
      <c r="AZ93" s="1045"/>
      <c r="BA93" s="1045"/>
      <c r="BB93" s="1045"/>
      <c r="BC93" s="1045"/>
      <c r="BD93" s="1045"/>
      <c r="BE93" s="1045"/>
      <c r="BF93" s="1045"/>
      <c r="BG93" s="1045"/>
      <c r="BH93" s="1045"/>
      <c r="BI93" s="1369"/>
      <c r="BJ93" s="1319"/>
      <c r="BK93" s="1319"/>
      <c r="BL93" s="1319"/>
      <c r="BM93" s="1319"/>
      <c r="BN93" s="1044"/>
      <c r="BO93" s="1045"/>
      <c r="BP93" s="1045"/>
      <c r="BQ93" s="1045"/>
      <c r="BR93" s="1045"/>
      <c r="BS93" s="1084"/>
      <c r="BT93" s="1045"/>
      <c r="BU93" s="1045"/>
      <c r="BV93" s="1045"/>
      <c r="BW93" s="1085"/>
      <c r="BX93" s="1084"/>
      <c r="BY93" s="1045"/>
      <c r="BZ93" s="1045"/>
      <c r="CA93" s="1045"/>
      <c r="CB93" s="1085"/>
      <c r="CC93" s="1086"/>
      <c r="CD93" s="1327"/>
      <c r="CE93" s="1328"/>
      <c r="CF93" s="1328"/>
      <c r="CG93" s="1328"/>
      <c r="CH93" s="1389"/>
      <c r="CI93" s="1369"/>
      <c r="CJ93" s="1319"/>
      <c r="CK93" s="1319"/>
      <c r="CL93" s="1319"/>
      <c r="CM93" s="1320"/>
      <c r="CN93" s="1369"/>
      <c r="CO93" s="1319"/>
      <c r="CP93" s="1319"/>
      <c r="CQ93" s="1319"/>
      <c r="CR93" s="1320"/>
      <c r="CS93" s="1369"/>
      <c r="CT93" s="1319"/>
      <c r="CU93" s="1319"/>
      <c r="CV93" s="1319"/>
      <c r="CW93" s="1320"/>
      <c r="CX93" s="1369"/>
      <c r="CY93" s="1319"/>
      <c r="CZ93" s="1319"/>
      <c r="DA93" s="1319"/>
      <c r="DB93" s="1320"/>
      <c r="DC93" s="1319"/>
      <c r="DD93" s="1319"/>
      <c r="DE93" s="1319"/>
      <c r="DF93" s="1319"/>
      <c r="DG93" s="1319"/>
      <c r="DH93" s="1369"/>
      <c r="DI93" s="1319"/>
      <c r="DJ93" s="1319"/>
      <c r="DK93" s="1319"/>
      <c r="DL93" s="1320"/>
      <c r="DM93" s="1743"/>
      <c r="DN93" s="1744"/>
      <c r="DO93" s="1744"/>
      <c r="DP93" s="1745"/>
      <c r="DQ93" s="1744"/>
      <c r="DR93" s="1744"/>
      <c r="DS93" s="1744"/>
      <c r="DT93" s="1745"/>
      <c r="DU93" s="1328"/>
      <c r="DV93" s="1664"/>
      <c r="DW93" s="1746"/>
    </row>
    <row r="94" spans="1:127" s="382" customFormat="1" ht="15.75" customHeight="1">
      <c r="A94" s="1066" t="s">
        <v>1260</v>
      </c>
      <c r="B94" s="1026">
        <v>85</v>
      </c>
      <c r="C94" s="987"/>
      <c r="D94" s="987"/>
      <c r="E94" s="987"/>
      <c r="F94" s="987"/>
      <c r="G94" s="987"/>
      <c r="H94" s="987"/>
      <c r="I94" s="987"/>
      <c r="J94" s="987"/>
      <c r="K94" s="987"/>
      <c r="L94" s="987"/>
      <c r="M94" s="1026"/>
      <c r="N94" s="987"/>
      <c r="O94" s="987"/>
      <c r="P94" s="987"/>
      <c r="Q94" s="987"/>
      <c r="R94" s="987"/>
      <c r="S94" s="987"/>
      <c r="T94" s="988"/>
      <c r="U94" s="1067" t="s">
        <v>1606</v>
      </c>
      <c r="V94" s="1068" t="s">
        <v>2484</v>
      </c>
      <c r="W94" s="1068" t="s">
        <v>2223</v>
      </c>
      <c r="X94" s="1069" t="s">
        <v>2493</v>
      </c>
      <c r="Y94" s="1070" t="s">
        <v>2494</v>
      </c>
      <c r="Z94" s="1071" t="s">
        <v>2495</v>
      </c>
      <c r="AA94" s="1072" t="s">
        <v>2260</v>
      </c>
      <c r="AB94" s="1073" t="s">
        <v>2260</v>
      </c>
      <c r="AC94" s="1073" t="s">
        <v>2260</v>
      </c>
      <c r="AD94" s="1073" t="s">
        <v>2260</v>
      </c>
      <c r="AE94" s="1073">
        <v>1</v>
      </c>
      <c r="AF94" s="1073" t="s">
        <v>2260</v>
      </c>
      <c r="AG94" s="1073" t="s">
        <v>2260</v>
      </c>
      <c r="AH94" s="1073" t="s">
        <v>2260</v>
      </c>
      <c r="AI94" s="1074">
        <f t="shared" si="1"/>
        <v>1</v>
      </c>
      <c r="AJ94" s="1075" t="s">
        <v>1825</v>
      </c>
      <c r="AK94" s="1075" t="s">
        <v>2260</v>
      </c>
      <c r="AL94" s="1075" t="s">
        <v>2260</v>
      </c>
      <c r="AM94" s="1076" t="s">
        <v>2396</v>
      </c>
      <c r="AN94" s="987" t="s">
        <v>321</v>
      </c>
      <c r="AO94" s="987" t="s">
        <v>2496</v>
      </c>
      <c r="AP94" s="802">
        <v>0</v>
      </c>
      <c r="AQ94" s="1045" t="s">
        <v>1828</v>
      </c>
      <c r="AR94" s="1078" t="s">
        <v>2260</v>
      </c>
      <c r="AS94" s="1079"/>
      <c r="AT94" s="1069"/>
      <c r="AU94" s="1069"/>
      <c r="AV94" s="1069"/>
      <c r="AW94" s="1080"/>
      <c r="AX94" s="1111"/>
      <c r="AY94" s="1044"/>
      <c r="AZ94" s="1045"/>
      <c r="BA94" s="1045"/>
      <c r="BB94" s="1045"/>
      <c r="BC94" s="1045"/>
      <c r="BD94" s="1045"/>
      <c r="BE94" s="1045"/>
      <c r="BF94" s="1045"/>
      <c r="BG94" s="1045"/>
      <c r="BH94" s="1045"/>
      <c r="BI94" s="1369"/>
      <c r="BJ94" s="1319"/>
      <c r="BK94" s="1319"/>
      <c r="BL94" s="1319"/>
      <c r="BM94" s="1319"/>
      <c r="BN94" s="1044"/>
      <c r="BO94" s="1045"/>
      <c r="BP94" s="1045"/>
      <c r="BQ94" s="1045"/>
      <c r="BR94" s="1045"/>
      <c r="BS94" s="1084"/>
      <c r="BT94" s="1045"/>
      <c r="BU94" s="1045"/>
      <c r="BV94" s="1045"/>
      <c r="BW94" s="1085"/>
      <c r="BX94" s="1084"/>
      <c r="BY94" s="1045"/>
      <c r="BZ94" s="1045"/>
      <c r="CA94" s="1045"/>
      <c r="CB94" s="1085"/>
      <c r="CC94" s="1086"/>
      <c r="CD94" s="1327"/>
      <c r="CE94" s="1328"/>
      <c r="CF94" s="1328"/>
      <c r="CG94" s="1328"/>
      <c r="CH94" s="1389"/>
      <c r="CI94" s="1369"/>
      <c r="CJ94" s="1319"/>
      <c r="CK94" s="1319"/>
      <c r="CL94" s="1319"/>
      <c r="CM94" s="1320"/>
      <c r="CN94" s="1369"/>
      <c r="CO94" s="1319"/>
      <c r="CP94" s="1319"/>
      <c r="CQ94" s="1319"/>
      <c r="CR94" s="1320"/>
      <c r="CS94" s="1369"/>
      <c r="CT94" s="1319"/>
      <c r="CU94" s="1319"/>
      <c r="CV94" s="1319"/>
      <c r="CW94" s="1320"/>
      <c r="CX94" s="1369"/>
      <c r="CY94" s="1319"/>
      <c r="CZ94" s="1319"/>
      <c r="DA94" s="1319"/>
      <c r="DB94" s="1320"/>
      <c r="DC94" s="1319"/>
      <c r="DD94" s="1319"/>
      <c r="DE94" s="1319"/>
      <c r="DF94" s="1319"/>
      <c r="DG94" s="1320"/>
      <c r="DH94" s="1369"/>
      <c r="DI94" s="1319"/>
      <c r="DJ94" s="1319"/>
      <c r="DK94" s="1319"/>
      <c r="DL94" s="1320"/>
      <c r="DM94" s="1743"/>
      <c r="DN94" s="1744"/>
      <c r="DO94" s="1744"/>
      <c r="DP94" s="1745"/>
      <c r="DQ94" s="1744"/>
      <c r="DR94" s="1744"/>
      <c r="DS94" s="1744"/>
      <c r="DT94" s="1745"/>
      <c r="DU94" s="1328"/>
      <c r="DV94" s="1664"/>
      <c r="DW94" s="1746"/>
    </row>
    <row r="95" spans="1:127" s="382" customFormat="1" ht="15.75" customHeight="1">
      <c r="A95" s="1066" t="s">
        <v>1260</v>
      </c>
      <c r="B95" s="1026">
        <v>86</v>
      </c>
      <c r="C95" s="987"/>
      <c r="D95" s="987"/>
      <c r="E95" s="987"/>
      <c r="F95" s="987"/>
      <c r="G95" s="987"/>
      <c r="H95" s="987"/>
      <c r="I95" s="987"/>
      <c r="J95" s="987"/>
      <c r="K95" s="987"/>
      <c r="L95" s="987"/>
      <c r="M95" s="1026"/>
      <c r="N95" s="987"/>
      <c r="O95" s="987"/>
      <c r="P95" s="987"/>
      <c r="Q95" s="987"/>
      <c r="R95" s="987"/>
      <c r="S95" s="987"/>
      <c r="T95" s="988"/>
      <c r="U95" s="1067" t="s">
        <v>1623</v>
      </c>
      <c r="V95" s="1068" t="s">
        <v>2484</v>
      </c>
      <c r="W95" s="1068" t="s">
        <v>2231</v>
      </c>
      <c r="X95" s="1069" t="s">
        <v>2497</v>
      </c>
      <c r="Y95" s="1070" t="s">
        <v>2498</v>
      </c>
      <c r="Z95" s="1071" t="s">
        <v>2499</v>
      </c>
      <c r="AA95" s="1072" t="s">
        <v>2260</v>
      </c>
      <c r="AB95" s="1073" t="s">
        <v>2260</v>
      </c>
      <c r="AC95" s="1073" t="s">
        <v>2260</v>
      </c>
      <c r="AD95" s="1073" t="s">
        <v>2260</v>
      </c>
      <c r="AE95" s="1073">
        <v>1</v>
      </c>
      <c r="AF95" s="1073" t="s">
        <v>2260</v>
      </c>
      <c r="AG95" s="1073" t="s">
        <v>2260</v>
      </c>
      <c r="AH95" s="1073" t="s">
        <v>2260</v>
      </c>
      <c r="AI95" s="1074">
        <f t="shared" si="1"/>
        <v>1</v>
      </c>
      <c r="AJ95" s="1075" t="s">
        <v>1825</v>
      </c>
      <c r="AK95" s="1075" t="s">
        <v>2260</v>
      </c>
      <c r="AL95" s="1075" t="s">
        <v>2260</v>
      </c>
      <c r="AM95" s="1076" t="s">
        <v>2396</v>
      </c>
      <c r="AN95" s="987" t="s">
        <v>321</v>
      </c>
      <c r="AO95" s="987" t="s">
        <v>2500</v>
      </c>
      <c r="AP95" s="802">
        <v>0</v>
      </c>
      <c r="AQ95" s="1045" t="s">
        <v>1828</v>
      </c>
      <c r="AR95" s="1078" t="s">
        <v>2260</v>
      </c>
      <c r="AS95" s="1079"/>
      <c r="AT95" s="1069"/>
      <c r="AU95" s="1069"/>
      <c r="AV95" s="1069"/>
      <c r="AW95" s="1080"/>
      <c r="AX95" s="1111"/>
      <c r="AY95" s="1044"/>
      <c r="AZ95" s="1045"/>
      <c r="BA95" s="1045"/>
      <c r="BB95" s="1045"/>
      <c r="BC95" s="1045"/>
      <c r="BD95" s="1045"/>
      <c r="BE95" s="1045"/>
      <c r="BF95" s="1045"/>
      <c r="BG95" s="1045"/>
      <c r="BH95" s="1045"/>
      <c r="BI95" s="1369"/>
      <c r="BJ95" s="1319"/>
      <c r="BK95" s="1319"/>
      <c r="BL95" s="1319"/>
      <c r="BM95" s="1319"/>
      <c r="BN95" s="1044"/>
      <c r="BO95" s="1045"/>
      <c r="BP95" s="1045"/>
      <c r="BQ95" s="1045"/>
      <c r="BR95" s="1045"/>
      <c r="BS95" s="1084"/>
      <c r="BT95" s="1045"/>
      <c r="BU95" s="1045"/>
      <c r="BV95" s="1045"/>
      <c r="BW95" s="1085"/>
      <c r="BX95" s="1084"/>
      <c r="BY95" s="1045"/>
      <c r="BZ95" s="1045"/>
      <c r="CA95" s="1045"/>
      <c r="CB95" s="1085"/>
      <c r="CC95" s="1086"/>
      <c r="CD95" s="1327"/>
      <c r="CE95" s="1328"/>
      <c r="CF95" s="1328"/>
      <c r="CG95" s="1328"/>
      <c r="CH95" s="1389"/>
      <c r="CI95" s="1369"/>
      <c r="CJ95" s="1319"/>
      <c r="CK95" s="1319"/>
      <c r="CL95" s="1319"/>
      <c r="CM95" s="1320"/>
      <c r="CN95" s="1369"/>
      <c r="CO95" s="1319"/>
      <c r="CP95" s="1319"/>
      <c r="CQ95" s="1319"/>
      <c r="CR95" s="1320"/>
      <c r="CS95" s="1369"/>
      <c r="CT95" s="1319"/>
      <c r="CU95" s="1319"/>
      <c r="CV95" s="1319"/>
      <c r="CW95" s="1320"/>
      <c r="CX95" s="1369"/>
      <c r="CY95" s="1319"/>
      <c r="CZ95" s="1319"/>
      <c r="DA95" s="1319"/>
      <c r="DB95" s="1320"/>
      <c r="DC95" s="1319"/>
      <c r="DD95" s="1319"/>
      <c r="DE95" s="1319"/>
      <c r="DF95" s="1319"/>
      <c r="DG95" s="1320"/>
      <c r="DH95" s="1369"/>
      <c r="DI95" s="1319"/>
      <c r="DJ95" s="1319"/>
      <c r="DK95" s="1319"/>
      <c r="DL95" s="1320"/>
      <c r="DM95" s="1743"/>
      <c r="DN95" s="1744"/>
      <c r="DO95" s="1744"/>
      <c r="DP95" s="1745"/>
      <c r="DQ95" s="1744"/>
      <c r="DR95" s="1744"/>
      <c r="DS95" s="1744"/>
      <c r="DT95" s="1745"/>
      <c r="DU95" s="1328"/>
      <c r="DV95" s="1664"/>
      <c r="DW95" s="1746"/>
    </row>
    <row r="96" spans="1:127" s="382" customFormat="1" ht="15.75" customHeight="1">
      <c r="A96" s="1066" t="s">
        <v>1260</v>
      </c>
      <c r="B96" s="1026">
        <v>87</v>
      </c>
      <c r="C96" s="987"/>
      <c r="D96" s="987"/>
      <c r="E96" s="987"/>
      <c r="F96" s="987"/>
      <c r="G96" s="987"/>
      <c r="H96" s="987"/>
      <c r="I96" s="987"/>
      <c r="J96" s="987"/>
      <c r="K96" s="987"/>
      <c r="L96" s="987"/>
      <c r="M96" s="1026"/>
      <c r="N96" s="987"/>
      <c r="O96" s="987"/>
      <c r="P96" s="987"/>
      <c r="Q96" s="987"/>
      <c r="R96" s="987"/>
      <c r="S96" s="987"/>
      <c r="T96" s="988"/>
      <c r="U96" s="1067" t="s">
        <v>1391</v>
      </c>
      <c r="V96" s="1068" t="s">
        <v>2484</v>
      </c>
      <c r="W96" s="1068" t="s">
        <v>2231</v>
      </c>
      <c r="X96" s="1069" t="s">
        <v>2501</v>
      </c>
      <c r="Y96" s="1070" t="s">
        <v>2502</v>
      </c>
      <c r="Z96" s="1071" t="s">
        <v>2503</v>
      </c>
      <c r="AA96" s="1072" t="s">
        <v>2260</v>
      </c>
      <c r="AB96" s="1073" t="s">
        <v>2260</v>
      </c>
      <c r="AC96" s="1073" t="s">
        <v>2260</v>
      </c>
      <c r="AD96" s="1073" t="s">
        <v>2260</v>
      </c>
      <c r="AE96" s="1073">
        <v>1</v>
      </c>
      <c r="AF96" s="1073" t="s">
        <v>2260</v>
      </c>
      <c r="AG96" s="1073" t="s">
        <v>2260</v>
      </c>
      <c r="AH96" s="1073" t="s">
        <v>2260</v>
      </c>
      <c r="AI96" s="1074">
        <f t="shared" si="1"/>
        <v>1</v>
      </c>
      <c r="AJ96" s="1075" t="s">
        <v>1852</v>
      </c>
      <c r="AK96" s="1075" t="s">
        <v>1826</v>
      </c>
      <c r="AL96" s="1075" t="s">
        <v>1827</v>
      </c>
      <c r="AM96" s="1076" t="s">
        <v>2396</v>
      </c>
      <c r="AN96" s="987" t="s">
        <v>321</v>
      </c>
      <c r="AO96" s="987" t="s">
        <v>2504</v>
      </c>
      <c r="AP96" s="802">
        <v>2</v>
      </c>
      <c r="AQ96" s="1045" t="s">
        <v>1838</v>
      </c>
      <c r="AR96" s="1078" t="s">
        <v>2260</v>
      </c>
      <c r="AS96" s="1079"/>
      <c r="AT96" s="1069"/>
      <c r="AU96" s="1069"/>
      <c r="AV96" s="1069"/>
      <c r="AW96" s="1080"/>
      <c r="AX96" s="1081"/>
      <c r="AY96" s="1044"/>
      <c r="AZ96" s="1045"/>
      <c r="BA96" s="1045"/>
      <c r="BB96" s="1045"/>
      <c r="BC96" s="1045"/>
      <c r="BD96" s="1045"/>
      <c r="BE96" s="1045"/>
      <c r="BF96" s="1045"/>
      <c r="BG96" s="1045"/>
      <c r="BH96" s="1045"/>
      <c r="BI96" s="1369"/>
      <c r="BJ96" s="1319"/>
      <c r="BK96" s="1319"/>
      <c r="BL96" s="1319"/>
      <c r="BM96" s="1319"/>
      <c r="BN96" s="1044"/>
      <c r="BO96" s="1045"/>
      <c r="BP96" s="1045"/>
      <c r="BQ96" s="1045"/>
      <c r="BR96" s="1045"/>
      <c r="BS96" s="1084"/>
      <c r="BT96" s="1045"/>
      <c r="BU96" s="1045"/>
      <c r="BV96" s="1045"/>
      <c r="BW96" s="1085"/>
      <c r="BX96" s="1084"/>
      <c r="BY96" s="1045"/>
      <c r="BZ96" s="1045"/>
      <c r="CA96" s="1045"/>
      <c r="CB96" s="1085"/>
      <c r="CC96" s="1086"/>
      <c r="CD96" s="1327"/>
      <c r="CE96" s="1328"/>
      <c r="CF96" s="1328"/>
      <c r="CG96" s="1328"/>
      <c r="CH96" s="1389"/>
      <c r="CI96" s="1369"/>
      <c r="CJ96" s="1319"/>
      <c r="CK96" s="1319"/>
      <c r="CL96" s="1319"/>
      <c r="CM96" s="1320"/>
      <c r="CN96" s="1369"/>
      <c r="CO96" s="1319"/>
      <c r="CP96" s="1319"/>
      <c r="CQ96" s="1319"/>
      <c r="CR96" s="1320"/>
      <c r="CS96" s="1369"/>
      <c r="CT96" s="1319"/>
      <c r="CU96" s="1319"/>
      <c r="CV96" s="1319"/>
      <c r="CW96" s="1320"/>
      <c r="CX96" s="1369"/>
      <c r="CY96" s="1319"/>
      <c r="CZ96" s="1319"/>
      <c r="DA96" s="1319"/>
      <c r="DB96" s="1320"/>
      <c r="DC96" s="1319"/>
      <c r="DD96" s="1319"/>
      <c r="DE96" s="1319"/>
      <c r="DF96" s="1319"/>
      <c r="DG96" s="1320"/>
      <c r="DH96" s="1369"/>
      <c r="DI96" s="1319"/>
      <c r="DJ96" s="1319"/>
      <c r="DK96" s="1319"/>
      <c r="DL96" s="1320"/>
      <c r="DM96" s="1743"/>
      <c r="DN96" s="1744"/>
      <c r="DO96" s="1744"/>
      <c r="DP96" s="1745"/>
      <c r="DQ96" s="1744"/>
      <c r="DR96" s="1744"/>
      <c r="DS96" s="1744"/>
      <c r="DT96" s="1745"/>
      <c r="DU96" s="1328"/>
      <c r="DV96" s="1664"/>
      <c r="DW96" s="1746"/>
    </row>
    <row r="97" spans="1:127" s="382" customFormat="1" ht="15.75" customHeight="1">
      <c r="A97" s="1023" t="s">
        <v>1260</v>
      </c>
      <c r="B97" s="1024">
        <v>88</v>
      </c>
      <c r="C97" s="1112"/>
      <c r="D97" s="1112"/>
      <c r="E97" s="1112"/>
      <c r="F97" s="1112"/>
      <c r="G97" s="1112"/>
      <c r="H97" s="1112"/>
      <c r="I97" s="1112"/>
      <c r="J97" s="1112"/>
      <c r="K97" s="1112"/>
      <c r="L97" s="1112"/>
      <c r="M97" s="1024"/>
      <c r="N97" s="1112"/>
      <c r="O97" s="1112"/>
      <c r="P97" s="1112"/>
      <c r="Q97" s="1112"/>
      <c r="R97" s="1112"/>
      <c r="S97" s="1112"/>
      <c r="T97" s="1027"/>
      <c r="U97" s="1028" t="s">
        <v>1119</v>
      </c>
      <c r="V97" s="1029" t="s">
        <v>2505</v>
      </c>
      <c r="W97" s="1029" t="s">
        <v>2223</v>
      </c>
      <c r="X97" s="1030" t="s">
        <v>2506</v>
      </c>
      <c r="Y97" s="1031" t="s">
        <v>705</v>
      </c>
      <c r="Z97" s="1032" t="s">
        <v>2507</v>
      </c>
      <c r="AA97" s="1033" t="s">
        <v>2260</v>
      </c>
      <c r="AB97" s="1034">
        <v>1</v>
      </c>
      <c r="AC97" s="1034" t="s">
        <v>2260</v>
      </c>
      <c r="AD97" s="1034" t="s">
        <v>2260</v>
      </c>
      <c r="AE97" s="1034" t="s">
        <v>2260</v>
      </c>
      <c r="AF97" s="1034" t="s">
        <v>2260</v>
      </c>
      <c r="AG97" s="1034" t="s">
        <v>2260</v>
      </c>
      <c r="AH97" s="1034" t="s">
        <v>2260</v>
      </c>
      <c r="AI97" s="1035">
        <f t="shared" si="1"/>
        <v>1</v>
      </c>
      <c r="AJ97" s="1036" t="s">
        <v>1852</v>
      </c>
      <c r="AK97" s="1036" t="s">
        <v>1826</v>
      </c>
      <c r="AL97" s="1036" t="s">
        <v>1827</v>
      </c>
      <c r="AM97" s="1037" t="s">
        <v>705</v>
      </c>
      <c r="AN97" s="1031" t="s">
        <v>321</v>
      </c>
      <c r="AO97" s="1031" t="s">
        <v>4416</v>
      </c>
      <c r="AP97" s="1049">
        <v>1</v>
      </c>
      <c r="AQ97" s="802" t="s">
        <v>1828</v>
      </c>
      <c r="AR97" s="1040" t="s">
        <v>705</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210</v>
      </c>
      <c r="CE97" s="1054" t="s">
        <v>210</v>
      </c>
      <c r="CF97" s="1054" t="s">
        <v>210</v>
      </c>
      <c r="CG97" s="1054" t="s">
        <v>210</v>
      </c>
      <c r="CH97" s="1055" t="s">
        <v>210</v>
      </c>
      <c r="CI97" s="1370">
        <v>-5</v>
      </c>
      <c r="CJ97" s="1324">
        <v>-5</v>
      </c>
      <c r="CK97" s="1324">
        <v>-5</v>
      </c>
      <c r="CL97" s="1324">
        <v>-5</v>
      </c>
      <c r="CM97" s="1325">
        <v>-5</v>
      </c>
      <c r="CN97" s="1370">
        <v>0</v>
      </c>
      <c r="CO97" s="1324">
        <v>0</v>
      </c>
      <c r="CP97" s="1324">
        <v>0</v>
      </c>
      <c r="CQ97" s="1324">
        <v>0</v>
      </c>
      <c r="CR97" s="1325">
        <v>0</v>
      </c>
      <c r="CS97" s="1048" t="s">
        <v>2260</v>
      </c>
      <c r="CT97" s="1049" t="s">
        <v>2260</v>
      </c>
      <c r="CU97" s="1049" t="s">
        <v>2260</v>
      </c>
      <c r="CV97" s="1049" t="s">
        <v>2260</v>
      </c>
      <c r="CW97" s="1052" t="s">
        <v>2260</v>
      </c>
      <c r="CX97" s="1048" t="s">
        <v>2260</v>
      </c>
      <c r="CY97" s="1049" t="s">
        <v>2260</v>
      </c>
      <c r="CZ97" s="1049" t="s">
        <v>2260</v>
      </c>
      <c r="DA97" s="1049" t="s">
        <v>2260</v>
      </c>
      <c r="DB97" s="1052" t="s">
        <v>2260</v>
      </c>
      <c r="DC97" s="1056">
        <v>14.8</v>
      </c>
      <c r="DD97" s="1056">
        <v>18.5</v>
      </c>
      <c r="DE97" s="1056">
        <v>22.1</v>
      </c>
      <c r="DF97" s="1056">
        <v>25.8</v>
      </c>
      <c r="DG97" s="1057">
        <v>29.4</v>
      </c>
      <c r="DH97" s="1058" t="s">
        <v>2260</v>
      </c>
      <c r="DI97" s="1049" t="s">
        <v>2260</v>
      </c>
      <c r="DJ97" s="1049" t="s">
        <v>2260</v>
      </c>
      <c r="DK97" s="1049" t="s">
        <v>2260</v>
      </c>
      <c r="DL97" s="1052" t="s">
        <v>2260</v>
      </c>
      <c r="DM97" s="1969">
        <v>-0.26200000000000001</v>
      </c>
      <c r="DN97" s="1970">
        <v>-0.191</v>
      </c>
      <c r="DO97" s="1061" t="s">
        <v>2260</v>
      </c>
      <c r="DP97" s="1062" t="s">
        <v>2260</v>
      </c>
      <c r="DQ97" s="1061">
        <v>0.16400000000000001</v>
      </c>
      <c r="DR97" s="1061" t="s">
        <v>2260</v>
      </c>
      <c r="DS97" s="1061" t="s">
        <v>2260</v>
      </c>
      <c r="DT97" s="1062" t="s">
        <v>2260</v>
      </c>
      <c r="DU97" s="1054" t="s">
        <v>2260</v>
      </c>
      <c r="DV97" s="1063">
        <v>1</v>
      </c>
      <c r="DW97" s="1064" t="s">
        <v>2260</v>
      </c>
    </row>
    <row r="98" spans="1:127" s="382" customFormat="1" ht="15.75" customHeight="1">
      <c r="A98" s="1023" t="s">
        <v>1260</v>
      </c>
      <c r="B98" s="1024">
        <v>89</v>
      </c>
      <c r="C98" s="1112"/>
      <c r="D98" s="1112"/>
      <c r="E98" s="1112"/>
      <c r="F98" s="1112"/>
      <c r="G98" s="1112"/>
      <c r="H98" s="1112"/>
      <c r="I98" s="1112"/>
      <c r="J98" s="1112"/>
      <c r="K98" s="1112"/>
      <c r="L98" s="1112"/>
      <c r="M98" s="1024"/>
      <c r="N98" s="1112"/>
      <c r="O98" s="1112"/>
      <c r="P98" s="1112"/>
      <c r="Q98" s="1112"/>
      <c r="R98" s="1112"/>
      <c r="S98" s="1112"/>
      <c r="T98" s="1027"/>
      <c r="U98" s="1028" t="s">
        <v>1120</v>
      </c>
      <c r="V98" s="1029" t="s">
        <v>2505</v>
      </c>
      <c r="W98" s="1029" t="s">
        <v>2223</v>
      </c>
      <c r="X98" s="1030" t="s">
        <v>2509</v>
      </c>
      <c r="Y98" s="1031" t="s">
        <v>1084</v>
      </c>
      <c r="Z98" s="1032" t="s">
        <v>2510</v>
      </c>
      <c r="AA98" s="1033" t="s">
        <v>2260</v>
      </c>
      <c r="AB98" s="1034">
        <v>0.5</v>
      </c>
      <c r="AC98" s="1034" t="s">
        <v>2260</v>
      </c>
      <c r="AD98" s="1034" t="s">
        <v>2260</v>
      </c>
      <c r="AE98" s="1034">
        <v>0.5</v>
      </c>
      <c r="AF98" s="1034" t="s">
        <v>2260</v>
      </c>
      <c r="AG98" s="1034" t="s">
        <v>2260</v>
      </c>
      <c r="AH98" s="1034" t="s">
        <v>2260</v>
      </c>
      <c r="AI98" s="1035">
        <f t="shared" si="1"/>
        <v>1</v>
      </c>
      <c r="AJ98" s="1036" t="s">
        <v>1852</v>
      </c>
      <c r="AK98" s="1036" t="s">
        <v>1826</v>
      </c>
      <c r="AL98" s="1389" t="s">
        <v>1837</v>
      </c>
      <c r="AM98" s="1037" t="s">
        <v>2348</v>
      </c>
      <c r="AN98" s="1031" t="s">
        <v>2397</v>
      </c>
      <c r="AO98" s="1031" t="s">
        <v>4416</v>
      </c>
      <c r="AP98" s="1049">
        <v>1</v>
      </c>
      <c r="AQ98" s="802" t="s">
        <v>1828</v>
      </c>
      <c r="AR98" s="1040" t="s">
        <v>1084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210</v>
      </c>
      <c r="CE98" s="1054" t="s">
        <v>210</v>
      </c>
      <c r="CF98" s="1054" t="s">
        <v>210</v>
      </c>
      <c r="CG98" s="1054" t="s">
        <v>210</v>
      </c>
      <c r="CH98" s="1055" t="s">
        <v>210</v>
      </c>
      <c r="CI98" s="1058" t="s">
        <v>2260</v>
      </c>
      <c r="CJ98" s="1056" t="s">
        <v>2260</v>
      </c>
      <c r="CK98" s="1056" t="s">
        <v>2260</v>
      </c>
      <c r="CL98" s="1056" t="s">
        <v>2260</v>
      </c>
      <c r="CM98" s="1057" t="s">
        <v>2260</v>
      </c>
      <c r="CN98" s="1058">
        <v>-8.6</v>
      </c>
      <c r="CO98" s="1056">
        <v>-8.6</v>
      </c>
      <c r="CP98" s="1056">
        <v>-8.6</v>
      </c>
      <c r="CQ98" s="1056">
        <v>-8.6</v>
      </c>
      <c r="CR98" s="1057">
        <v>-8.6</v>
      </c>
      <c r="CS98" s="1048" t="s">
        <v>2260</v>
      </c>
      <c r="CT98" s="1049" t="s">
        <v>2260</v>
      </c>
      <c r="CU98" s="1049" t="s">
        <v>2260</v>
      </c>
      <c r="CV98" s="1049" t="s">
        <v>2260</v>
      </c>
      <c r="CW98" s="1052" t="s">
        <v>2260</v>
      </c>
      <c r="CX98" s="1048" t="s">
        <v>2260</v>
      </c>
      <c r="CY98" s="1049" t="s">
        <v>2260</v>
      </c>
      <c r="CZ98" s="1049" t="s">
        <v>2260</v>
      </c>
      <c r="DA98" s="1049" t="s">
        <v>2260</v>
      </c>
      <c r="DB98" s="1052" t="s">
        <v>2260</v>
      </c>
      <c r="DC98" s="1056">
        <v>9.6999999999999993</v>
      </c>
      <c r="DD98" s="1056">
        <v>10.1</v>
      </c>
      <c r="DE98" s="1056">
        <v>10.4</v>
      </c>
      <c r="DF98" s="1056">
        <v>10.7</v>
      </c>
      <c r="DG98" s="1057">
        <v>11</v>
      </c>
      <c r="DH98" s="1058" t="s">
        <v>2260</v>
      </c>
      <c r="DI98" s="1049" t="s">
        <v>2260</v>
      </c>
      <c r="DJ98" s="1049" t="s">
        <v>2260</v>
      </c>
      <c r="DK98" s="1049" t="s">
        <v>2260</v>
      </c>
      <c r="DL98" s="1052" t="s">
        <v>2260</v>
      </c>
      <c r="DM98" s="1190">
        <v>-0.03</v>
      </c>
      <c r="DN98" s="1061" t="s">
        <v>2260</v>
      </c>
      <c r="DO98" s="1061" t="s">
        <v>2260</v>
      </c>
      <c r="DP98" s="1062" t="s">
        <v>2260</v>
      </c>
      <c r="DQ98" s="1189">
        <v>2.5000000000000001E-2</v>
      </c>
      <c r="DR98" s="1061" t="s">
        <v>2260</v>
      </c>
      <c r="DS98" s="1061" t="s">
        <v>2260</v>
      </c>
      <c r="DT98" s="1062" t="s">
        <v>2260</v>
      </c>
      <c r="DU98" s="1054" t="s">
        <v>2260</v>
      </c>
      <c r="DV98" s="1063">
        <v>1</v>
      </c>
      <c r="DW98" s="1064" t="s">
        <v>2260</v>
      </c>
    </row>
    <row r="99" spans="1:127" s="382" customFormat="1" ht="15.75" customHeight="1">
      <c r="A99" s="1066" t="s">
        <v>1260</v>
      </c>
      <c r="B99" s="1026">
        <v>90</v>
      </c>
      <c r="C99" s="987"/>
      <c r="D99" s="987"/>
      <c r="E99" s="987"/>
      <c r="F99" s="987"/>
      <c r="G99" s="987"/>
      <c r="H99" s="987"/>
      <c r="I99" s="987"/>
      <c r="J99" s="987"/>
      <c r="K99" s="987"/>
      <c r="L99" s="987"/>
      <c r="M99" s="1026"/>
      <c r="N99" s="987"/>
      <c r="O99" s="987"/>
      <c r="P99" s="987"/>
      <c r="Q99" s="987"/>
      <c r="R99" s="987"/>
      <c r="S99" s="987"/>
      <c r="T99" s="988"/>
      <c r="U99" s="1067" t="s">
        <v>1408</v>
      </c>
      <c r="V99" s="1068" t="s">
        <v>2505</v>
      </c>
      <c r="W99" s="1068" t="s">
        <v>2223</v>
      </c>
      <c r="X99" s="1069" t="s">
        <v>2512</v>
      </c>
      <c r="Y99" s="1070" t="s">
        <v>2513</v>
      </c>
      <c r="Z99" s="1071" t="s">
        <v>2514</v>
      </c>
      <c r="AA99" s="1072" t="s">
        <v>2260</v>
      </c>
      <c r="AB99" s="1073">
        <v>1</v>
      </c>
      <c r="AC99" s="1073" t="s">
        <v>2260</v>
      </c>
      <c r="AD99" s="1073" t="s">
        <v>2260</v>
      </c>
      <c r="AE99" s="1073" t="s">
        <v>2260</v>
      </c>
      <c r="AF99" s="1073" t="s">
        <v>2260</v>
      </c>
      <c r="AG99" s="1073" t="s">
        <v>2260</v>
      </c>
      <c r="AH99" s="1073" t="s">
        <v>2260</v>
      </c>
      <c r="AI99" s="1074">
        <f t="shared" si="1"/>
        <v>1</v>
      </c>
      <c r="AJ99" s="1075" t="s">
        <v>1852</v>
      </c>
      <c r="AK99" s="1075" t="s">
        <v>1826</v>
      </c>
      <c r="AL99" s="1075" t="s">
        <v>1827</v>
      </c>
      <c r="AM99" s="1076" t="s">
        <v>2275</v>
      </c>
      <c r="AN99" s="987" t="s">
        <v>321</v>
      </c>
      <c r="AO99" s="987" t="s">
        <v>2515</v>
      </c>
      <c r="AP99" s="802">
        <v>2</v>
      </c>
      <c r="AQ99" s="1045" t="s">
        <v>1828</v>
      </c>
      <c r="AR99" s="1078" t="s">
        <v>2260</v>
      </c>
      <c r="AS99" s="1079"/>
      <c r="AT99" s="1069"/>
      <c r="AU99" s="1069"/>
      <c r="AV99" s="1069"/>
      <c r="AW99" s="1080"/>
      <c r="AX99" s="1081"/>
      <c r="AY99" s="1044"/>
      <c r="AZ99" s="1045"/>
      <c r="BA99" s="1045"/>
      <c r="BB99" s="1045"/>
      <c r="BC99" s="1045"/>
      <c r="BD99" s="1045"/>
      <c r="BE99" s="1045"/>
      <c r="BF99" s="1045"/>
      <c r="BG99" s="1045"/>
      <c r="BH99" s="1045"/>
      <c r="BI99" s="1369"/>
      <c r="BJ99" s="1319"/>
      <c r="BK99" s="1319"/>
      <c r="BL99" s="1319"/>
      <c r="BM99" s="1319"/>
      <c r="BN99" s="1044"/>
      <c r="BO99" s="1045"/>
      <c r="BP99" s="1045"/>
      <c r="BQ99" s="1045"/>
      <c r="BR99" s="1045"/>
      <c r="BS99" s="1084"/>
      <c r="BT99" s="1045"/>
      <c r="BU99" s="1045"/>
      <c r="BV99" s="1045"/>
      <c r="BW99" s="1085"/>
      <c r="BX99" s="1084"/>
      <c r="BY99" s="1045"/>
      <c r="BZ99" s="1045"/>
      <c r="CA99" s="1045"/>
      <c r="CB99" s="1085"/>
      <c r="CC99" s="1086"/>
      <c r="CD99" s="1327"/>
      <c r="CE99" s="1328"/>
      <c r="CF99" s="1328"/>
      <c r="CG99" s="1328"/>
      <c r="CH99" s="1389"/>
      <c r="CI99" s="1369"/>
      <c r="CJ99" s="1319"/>
      <c r="CK99" s="1319"/>
      <c r="CL99" s="1319"/>
      <c r="CM99" s="1320"/>
      <c r="CN99" s="1369"/>
      <c r="CO99" s="1319"/>
      <c r="CP99" s="1319"/>
      <c r="CQ99" s="1319"/>
      <c r="CR99" s="1320"/>
      <c r="CS99" s="1369"/>
      <c r="CT99" s="1319"/>
      <c r="CU99" s="1319"/>
      <c r="CV99" s="1319"/>
      <c r="CW99" s="1320"/>
      <c r="CX99" s="1369"/>
      <c r="CY99" s="1319"/>
      <c r="CZ99" s="1319"/>
      <c r="DA99" s="1319"/>
      <c r="DB99" s="1320"/>
      <c r="DC99" s="1319"/>
      <c r="DD99" s="1319"/>
      <c r="DE99" s="1319"/>
      <c r="DF99" s="1319"/>
      <c r="DG99" s="1320"/>
      <c r="DH99" s="1369"/>
      <c r="DI99" s="1319"/>
      <c r="DJ99" s="1319"/>
      <c r="DK99" s="1319"/>
      <c r="DL99" s="1320"/>
      <c r="DM99" s="1743"/>
      <c r="DN99" s="1744"/>
      <c r="DO99" s="1744"/>
      <c r="DP99" s="1745"/>
      <c r="DQ99" s="1744"/>
      <c r="DR99" s="1744"/>
      <c r="DS99" s="1744"/>
      <c r="DT99" s="1745"/>
      <c r="DU99" s="1328"/>
      <c r="DV99" s="1664"/>
      <c r="DW99" s="1746"/>
    </row>
    <row r="100" spans="1:127" s="382" customFormat="1" ht="15.75" customHeight="1">
      <c r="A100" s="1066" t="s">
        <v>1260</v>
      </c>
      <c r="B100" s="1026">
        <v>91</v>
      </c>
      <c r="C100" s="987"/>
      <c r="D100" s="987"/>
      <c r="E100" s="987"/>
      <c r="F100" s="987"/>
      <c r="G100" s="987"/>
      <c r="H100" s="987"/>
      <c r="I100" s="987"/>
      <c r="J100" s="987"/>
      <c r="K100" s="987"/>
      <c r="L100" s="987"/>
      <c r="M100" s="1026"/>
      <c r="N100" s="987"/>
      <c r="O100" s="987"/>
      <c r="P100" s="987"/>
      <c r="Q100" s="987"/>
      <c r="R100" s="987"/>
      <c r="S100" s="987"/>
      <c r="T100" s="988"/>
      <c r="U100" s="1067" t="s">
        <v>1425</v>
      </c>
      <c r="V100" s="1068" t="s">
        <v>2505</v>
      </c>
      <c r="W100" s="1068" t="s">
        <v>2217</v>
      </c>
      <c r="X100" s="1069" t="s">
        <v>2516</v>
      </c>
      <c r="Y100" s="1070" t="s">
        <v>2517</v>
      </c>
      <c r="Z100" s="1071" t="s">
        <v>2518</v>
      </c>
      <c r="AA100" s="1072">
        <v>1</v>
      </c>
      <c r="AB100" s="1073" t="s">
        <v>2260</v>
      </c>
      <c r="AC100" s="1073" t="s">
        <v>2260</v>
      </c>
      <c r="AD100" s="1073" t="s">
        <v>2260</v>
      </c>
      <c r="AE100" s="1073" t="s">
        <v>2260</v>
      </c>
      <c r="AF100" s="1073" t="s">
        <v>2260</v>
      </c>
      <c r="AG100" s="1073" t="s">
        <v>2260</v>
      </c>
      <c r="AH100" s="1073" t="s">
        <v>2260</v>
      </c>
      <c r="AI100" s="1074">
        <f t="shared" si="1"/>
        <v>1</v>
      </c>
      <c r="AJ100" s="1075" t="s">
        <v>1852</v>
      </c>
      <c r="AK100" s="1075" t="s">
        <v>1826</v>
      </c>
      <c r="AL100" s="1075" t="s">
        <v>1827</v>
      </c>
      <c r="AM100" s="1076" t="s">
        <v>2280</v>
      </c>
      <c r="AN100" s="987" t="s">
        <v>1857</v>
      </c>
      <c r="AO100" s="987" t="s">
        <v>2519</v>
      </c>
      <c r="AP100" s="802">
        <v>0</v>
      </c>
      <c r="AQ100" s="1045" t="s">
        <v>1828</v>
      </c>
      <c r="AR100" s="1078" t="s">
        <v>2260</v>
      </c>
      <c r="AS100" s="1079"/>
      <c r="AT100" s="1069"/>
      <c r="AU100" s="1069"/>
      <c r="AV100" s="1069"/>
      <c r="AW100" s="1080"/>
      <c r="AX100" s="1081"/>
      <c r="AY100" s="1044"/>
      <c r="AZ100" s="1045"/>
      <c r="BA100" s="1045"/>
      <c r="BB100" s="1045"/>
      <c r="BC100" s="1045"/>
      <c r="BD100" s="1045"/>
      <c r="BE100" s="1045"/>
      <c r="BF100" s="1045"/>
      <c r="BG100" s="1045"/>
      <c r="BH100" s="1045"/>
      <c r="BI100" s="1369"/>
      <c r="BJ100" s="1319"/>
      <c r="BK100" s="1319"/>
      <c r="BL100" s="1319"/>
      <c r="BM100" s="1319"/>
      <c r="BN100" s="1044"/>
      <c r="BO100" s="1045"/>
      <c r="BP100" s="1045"/>
      <c r="BQ100" s="1045"/>
      <c r="BR100" s="1045"/>
      <c r="BS100" s="1084"/>
      <c r="BT100" s="1045"/>
      <c r="BU100" s="1045"/>
      <c r="BV100" s="1045"/>
      <c r="BW100" s="1085"/>
      <c r="BX100" s="1084"/>
      <c r="BY100" s="1045"/>
      <c r="BZ100" s="1045"/>
      <c r="CA100" s="1045"/>
      <c r="CB100" s="1085"/>
      <c r="CC100" s="1086"/>
      <c r="CD100" s="1327"/>
      <c r="CE100" s="1328"/>
      <c r="CF100" s="1328"/>
      <c r="CG100" s="1328"/>
      <c r="CH100" s="1389"/>
      <c r="CI100" s="1369"/>
      <c r="CJ100" s="1319"/>
      <c r="CK100" s="1319"/>
      <c r="CL100" s="1319"/>
      <c r="CM100" s="1320"/>
      <c r="CN100" s="1369"/>
      <c r="CO100" s="1319"/>
      <c r="CP100" s="1319"/>
      <c r="CQ100" s="1319"/>
      <c r="CR100" s="1320"/>
      <c r="CS100" s="1369"/>
      <c r="CT100" s="1319"/>
      <c r="CU100" s="1319"/>
      <c r="CV100" s="1319"/>
      <c r="CW100" s="1320"/>
      <c r="CX100" s="1369"/>
      <c r="CY100" s="1319"/>
      <c r="CZ100" s="1319"/>
      <c r="DA100" s="1319"/>
      <c r="DB100" s="1320"/>
      <c r="DC100" s="1319"/>
      <c r="DD100" s="1319"/>
      <c r="DE100" s="1319"/>
      <c r="DF100" s="1319"/>
      <c r="DG100" s="1320"/>
      <c r="DH100" s="1369"/>
      <c r="DI100" s="1319"/>
      <c r="DJ100" s="1319"/>
      <c r="DK100" s="1319"/>
      <c r="DL100" s="1320"/>
      <c r="DM100" s="1743"/>
      <c r="DN100" s="1744"/>
      <c r="DO100" s="1744"/>
      <c r="DP100" s="1745"/>
      <c r="DQ100" s="1744"/>
      <c r="DR100" s="1744"/>
      <c r="DS100" s="1744"/>
      <c r="DT100" s="1745"/>
      <c r="DU100" s="1328"/>
      <c r="DV100" s="1664"/>
      <c r="DW100" s="1746"/>
    </row>
    <row r="101" spans="1:127" s="382" customFormat="1" ht="15.75" customHeight="1">
      <c r="A101" s="1066" t="s">
        <v>1260</v>
      </c>
      <c r="B101" s="1026">
        <v>92</v>
      </c>
      <c r="C101" s="987"/>
      <c r="D101" s="987"/>
      <c r="E101" s="987"/>
      <c r="F101" s="987"/>
      <c r="G101" s="987"/>
      <c r="H101" s="987"/>
      <c r="I101" s="987"/>
      <c r="J101" s="987"/>
      <c r="K101" s="987"/>
      <c r="L101" s="987"/>
      <c r="M101" s="1026"/>
      <c r="N101" s="987"/>
      <c r="O101" s="987"/>
      <c r="P101" s="987"/>
      <c r="Q101" s="987"/>
      <c r="R101" s="987"/>
      <c r="S101" s="987"/>
      <c r="T101" s="988"/>
      <c r="U101" s="1067" t="s">
        <v>1441</v>
      </c>
      <c r="V101" s="1068" t="s">
        <v>2505</v>
      </c>
      <c r="W101" s="1068" t="s">
        <v>2223</v>
      </c>
      <c r="X101" s="1069" t="s">
        <v>2520</v>
      </c>
      <c r="Y101" s="1070" t="s">
        <v>2521</v>
      </c>
      <c r="Z101" s="1071" t="s">
        <v>2522</v>
      </c>
      <c r="AA101" s="1072">
        <v>0.5</v>
      </c>
      <c r="AB101" s="1073">
        <v>0.5</v>
      </c>
      <c r="AC101" s="1073" t="s">
        <v>2260</v>
      </c>
      <c r="AD101" s="1073" t="s">
        <v>2260</v>
      </c>
      <c r="AE101" s="1073" t="s">
        <v>2260</v>
      </c>
      <c r="AF101" s="1073" t="s">
        <v>2260</v>
      </c>
      <c r="AG101" s="1073" t="s">
        <v>2260</v>
      </c>
      <c r="AH101" s="1073" t="s">
        <v>2260</v>
      </c>
      <c r="AI101" s="1074">
        <f t="shared" si="1"/>
        <v>1</v>
      </c>
      <c r="AJ101" s="1075" t="s">
        <v>1852</v>
      </c>
      <c r="AK101" s="1075" t="s">
        <v>1826</v>
      </c>
      <c r="AL101" s="1075" t="s">
        <v>1827</v>
      </c>
      <c r="AM101" s="1076" t="s">
        <v>2523</v>
      </c>
      <c r="AN101" s="987" t="s">
        <v>1897</v>
      </c>
      <c r="AO101" s="987" t="s">
        <v>2524</v>
      </c>
      <c r="AP101" s="802">
        <v>0</v>
      </c>
      <c r="AQ101" s="1045" t="s">
        <v>1828</v>
      </c>
      <c r="AR101" s="1078" t="s">
        <v>2260</v>
      </c>
      <c r="AS101" s="1079"/>
      <c r="AT101" s="1069"/>
      <c r="AU101" s="1069"/>
      <c r="AV101" s="1069"/>
      <c r="AW101" s="1080"/>
      <c r="AX101" s="1081"/>
      <c r="AY101" s="1044"/>
      <c r="AZ101" s="1045"/>
      <c r="BA101" s="1045"/>
      <c r="BB101" s="1045"/>
      <c r="BC101" s="1045"/>
      <c r="BD101" s="1045"/>
      <c r="BE101" s="1045"/>
      <c r="BF101" s="1045"/>
      <c r="BG101" s="1045"/>
      <c r="BH101" s="1045"/>
      <c r="BI101" s="1369"/>
      <c r="BJ101" s="1319"/>
      <c r="BK101" s="1319"/>
      <c r="BL101" s="1319"/>
      <c r="BM101" s="1319"/>
      <c r="BN101" s="1044"/>
      <c r="BO101" s="1045"/>
      <c r="BP101" s="1045"/>
      <c r="BQ101" s="1045"/>
      <c r="BR101" s="1045"/>
      <c r="BS101" s="1084"/>
      <c r="BT101" s="1045"/>
      <c r="BU101" s="1045"/>
      <c r="BV101" s="1045"/>
      <c r="BW101" s="1085"/>
      <c r="BX101" s="1084"/>
      <c r="BY101" s="1045"/>
      <c r="BZ101" s="1045"/>
      <c r="CA101" s="1045"/>
      <c r="CB101" s="1085"/>
      <c r="CC101" s="1086"/>
      <c r="CD101" s="1327"/>
      <c r="CE101" s="1328"/>
      <c r="CF101" s="1328"/>
      <c r="CG101" s="1328"/>
      <c r="CH101" s="1389"/>
      <c r="CI101" s="1369"/>
      <c r="CJ101" s="1319"/>
      <c r="CK101" s="1319"/>
      <c r="CL101" s="1319"/>
      <c r="CM101" s="1320"/>
      <c r="CN101" s="1369"/>
      <c r="CO101" s="1319"/>
      <c r="CP101" s="1319"/>
      <c r="CQ101" s="1319"/>
      <c r="CR101" s="1320"/>
      <c r="CS101" s="1369"/>
      <c r="CT101" s="1319"/>
      <c r="CU101" s="1319"/>
      <c r="CV101" s="1319"/>
      <c r="CW101" s="1320"/>
      <c r="CX101" s="1369"/>
      <c r="CY101" s="1319"/>
      <c r="CZ101" s="1319"/>
      <c r="DA101" s="1319"/>
      <c r="DB101" s="1320"/>
      <c r="DC101" s="1319"/>
      <c r="DD101" s="1319"/>
      <c r="DE101" s="1319"/>
      <c r="DF101" s="1319"/>
      <c r="DG101" s="1320"/>
      <c r="DH101" s="1369"/>
      <c r="DI101" s="1319"/>
      <c r="DJ101" s="1319"/>
      <c r="DK101" s="1319"/>
      <c r="DL101" s="1320"/>
      <c r="DM101" s="1743"/>
      <c r="DN101" s="1744"/>
      <c r="DO101" s="1744"/>
      <c r="DP101" s="1745"/>
      <c r="DQ101" s="1744"/>
      <c r="DR101" s="1744"/>
      <c r="DS101" s="1744"/>
      <c r="DT101" s="1745"/>
      <c r="DU101" s="1328"/>
      <c r="DV101" s="1664"/>
      <c r="DW101" s="1746"/>
    </row>
    <row r="102" spans="1:127" s="382" customFormat="1" ht="15.75" customHeight="1">
      <c r="A102" s="1066" t="s">
        <v>1260</v>
      </c>
      <c r="B102" s="1026">
        <v>93</v>
      </c>
      <c r="C102" s="987"/>
      <c r="D102" s="987"/>
      <c r="E102" s="987"/>
      <c r="F102" s="987"/>
      <c r="G102" s="987"/>
      <c r="H102" s="987"/>
      <c r="I102" s="987"/>
      <c r="J102" s="987"/>
      <c r="K102" s="987"/>
      <c r="L102" s="987"/>
      <c r="M102" s="1026"/>
      <c r="N102" s="987"/>
      <c r="O102" s="987"/>
      <c r="P102" s="987"/>
      <c r="Q102" s="987"/>
      <c r="R102" s="987"/>
      <c r="S102" s="987"/>
      <c r="T102" s="988"/>
      <c r="U102" s="1067" t="s">
        <v>1455</v>
      </c>
      <c r="V102" s="1068" t="s">
        <v>2505</v>
      </c>
      <c r="W102" s="1068" t="s">
        <v>2223</v>
      </c>
      <c r="X102" s="1069" t="s">
        <v>2525</v>
      </c>
      <c r="Y102" s="1070" t="s">
        <v>2526</v>
      </c>
      <c r="Z102" s="1071" t="s">
        <v>2527</v>
      </c>
      <c r="AA102" s="1072" t="s">
        <v>2260</v>
      </c>
      <c r="AB102" s="1073">
        <v>1</v>
      </c>
      <c r="AC102" s="1073" t="s">
        <v>2260</v>
      </c>
      <c r="AD102" s="1073" t="s">
        <v>2260</v>
      </c>
      <c r="AE102" s="1073" t="s">
        <v>2260</v>
      </c>
      <c r="AF102" s="1073" t="s">
        <v>2260</v>
      </c>
      <c r="AG102" s="1073" t="s">
        <v>2260</v>
      </c>
      <c r="AH102" s="1073" t="s">
        <v>2260</v>
      </c>
      <c r="AI102" s="1074">
        <f t="shared" si="1"/>
        <v>1</v>
      </c>
      <c r="AJ102" s="1075" t="s">
        <v>1846</v>
      </c>
      <c r="AK102" s="1075" t="s">
        <v>1826</v>
      </c>
      <c r="AL102" s="1075" t="s">
        <v>1827</v>
      </c>
      <c r="AM102" s="1076" t="s">
        <v>2528</v>
      </c>
      <c r="AN102" s="987" t="s">
        <v>321</v>
      </c>
      <c r="AO102" s="987" t="s">
        <v>2529</v>
      </c>
      <c r="AP102" s="802">
        <v>1</v>
      </c>
      <c r="AQ102" s="1045" t="s">
        <v>1828</v>
      </c>
      <c r="AR102" s="1078" t="s">
        <v>2260</v>
      </c>
      <c r="AS102" s="1079"/>
      <c r="AT102" s="1069"/>
      <c r="AU102" s="1069"/>
      <c r="AV102" s="1069"/>
      <c r="AW102" s="1080"/>
      <c r="AX102" s="1081"/>
      <c r="AY102" s="1044"/>
      <c r="AZ102" s="1045"/>
      <c r="BA102" s="1045"/>
      <c r="BB102" s="1045"/>
      <c r="BC102" s="1045"/>
      <c r="BD102" s="1045"/>
      <c r="BE102" s="1045"/>
      <c r="BF102" s="1045"/>
      <c r="BG102" s="1045"/>
      <c r="BH102" s="1045"/>
      <c r="BI102" s="1369"/>
      <c r="BJ102" s="1319"/>
      <c r="BK102" s="1319"/>
      <c r="BL102" s="1319"/>
      <c r="BM102" s="1319"/>
      <c r="BN102" s="1044"/>
      <c r="BO102" s="1045"/>
      <c r="BP102" s="1045"/>
      <c r="BQ102" s="1045"/>
      <c r="BR102" s="1045"/>
      <c r="BS102" s="1084"/>
      <c r="BT102" s="1045"/>
      <c r="BU102" s="1045"/>
      <c r="BV102" s="1045"/>
      <c r="BW102" s="1085"/>
      <c r="BX102" s="1084"/>
      <c r="BY102" s="1045"/>
      <c r="BZ102" s="1045"/>
      <c r="CA102" s="1045"/>
      <c r="CB102" s="1085"/>
      <c r="CC102" s="1086"/>
      <c r="CD102" s="1327"/>
      <c r="CE102" s="1328"/>
      <c r="CF102" s="1328"/>
      <c r="CG102" s="1328"/>
      <c r="CH102" s="1389"/>
      <c r="CI102" s="1369"/>
      <c r="CJ102" s="1319"/>
      <c r="CK102" s="1319"/>
      <c r="CL102" s="1319"/>
      <c r="CM102" s="1320"/>
      <c r="CN102" s="1369"/>
      <c r="CO102" s="1319"/>
      <c r="CP102" s="1319"/>
      <c r="CQ102" s="1319"/>
      <c r="CR102" s="1320"/>
      <c r="CS102" s="1369"/>
      <c r="CT102" s="1319"/>
      <c r="CU102" s="1319"/>
      <c r="CV102" s="1319"/>
      <c r="CW102" s="1320"/>
      <c r="CX102" s="1369"/>
      <c r="CY102" s="1319"/>
      <c r="CZ102" s="1319"/>
      <c r="DA102" s="1319"/>
      <c r="DB102" s="1320"/>
      <c r="DC102" s="1319"/>
      <c r="DD102" s="1319"/>
      <c r="DE102" s="1319"/>
      <c r="DF102" s="1319"/>
      <c r="DG102" s="1320"/>
      <c r="DH102" s="1369"/>
      <c r="DI102" s="1319"/>
      <c r="DJ102" s="1319"/>
      <c r="DK102" s="1319"/>
      <c r="DL102" s="1320"/>
      <c r="DM102" s="1743"/>
      <c r="DN102" s="1744"/>
      <c r="DO102" s="1744"/>
      <c r="DP102" s="1745"/>
      <c r="DQ102" s="1744"/>
      <c r="DR102" s="1744"/>
      <c r="DS102" s="1744"/>
      <c r="DT102" s="1745"/>
      <c r="DU102" s="1328"/>
      <c r="DV102" s="1664"/>
      <c r="DW102" s="1746"/>
    </row>
    <row r="103" spans="1:127" s="382" customFormat="1" ht="15.75" customHeight="1">
      <c r="A103" s="1066" t="s">
        <v>1260</v>
      </c>
      <c r="B103" s="1026">
        <v>94</v>
      </c>
      <c r="C103" s="987"/>
      <c r="D103" s="987"/>
      <c r="E103" s="987"/>
      <c r="F103" s="987"/>
      <c r="G103" s="987"/>
      <c r="H103" s="987"/>
      <c r="I103" s="987"/>
      <c r="J103" s="987"/>
      <c r="K103" s="987"/>
      <c r="L103" s="987"/>
      <c r="M103" s="1026"/>
      <c r="N103" s="987"/>
      <c r="O103" s="987"/>
      <c r="P103" s="987"/>
      <c r="Q103" s="987"/>
      <c r="R103" s="987"/>
      <c r="S103" s="987"/>
      <c r="T103" s="988"/>
      <c r="U103" s="1067" t="s">
        <v>1465</v>
      </c>
      <c r="V103" s="1068" t="s">
        <v>2505</v>
      </c>
      <c r="W103" s="1068" t="s">
        <v>2231</v>
      </c>
      <c r="X103" s="1069" t="s">
        <v>2530</v>
      </c>
      <c r="Y103" s="1070" t="s">
        <v>2531</v>
      </c>
      <c r="Z103" s="1071" t="s">
        <v>2532</v>
      </c>
      <c r="AA103" s="1072">
        <v>1</v>
      </c>
      <c r="AB103" s="1073" t="s">
        <v>2260</v>
      </c>
      <c r="AC103" s="1073" t="s">
        <v>2260</v>
      </c>
      <c r="AD103" s="1073" t="s">
        <v>2260</v>
      </c>
      <c r="AE103" s="1073" t="s">
        <v>2260</v>
      </c>
      <c r="AF103" s="1073" t="s">
        <v>2260</v>
      </c>
      <c r="AG103" s="1073" t="s">
        <v>2260</v>
      </c>
      <c r="AH103" s="1073" t="s">
        <v>2260</v>
      </c>
      <c r="AI103" s="1074">
        <f t="shared" si="1"/>
        <v>1</v>
      </c>
      <c r="AJ103" s="1075" t="s">
        <v>1846</v>
      </c>
      <c r="AK103" s="1075" t="s">
        <v>1826</v>
      </c>
      <c r="AL103" s="1075" t="s">
        <v>1827</v>
      </c>
      <c r="AM103" s="1076" t="s">
        <v>2290</v>
      </c>
      <c r="AN103" s="987" t="s">
        <v>321</v>
      </c>
      <c r="AO103" s="987" t="s">
        <v>2533</v>
      </c>
      <c r="AP103" s="802">
        <v>0</v>
      </c>
      <c r="AQ103" s="1045" t="s">
        <v>1828</v>
      </c>
      <c r="AR103" s="1078" t="s">
        <v>2260</v>
      </c>
      <c r="AS103" s="1079"/>
      <c r="AT103" s="1069"/>
      <c r="AU103" s="1069"/>
      <c r="AV103" s="1069"/>
      <c r="AW103" s="1080"/>
      <c r="AX103" s="1081"/>
      <c r="AY103" s="1044"/>
      <c r="AZ103" s="1045"/>
      <c r="BA103" s="1045"/>
      <c r="BB103" s="1045"/>
      <c r="BC103" s="1045"/>
      <c r="BD103" s="1045"/>
      <c r="BE103" s="1045"/>
      <c r="BF103" s="1045"/>
      <c r="BG103" s="1045"/>
      <c r="BH103" s="1045"/>
      <c r="BI103" s="1369"/>
      <c r="BJ103" s="1319"/>
      <c r="BK103" s="1319"/>
      <c r="BL103" s="1319"/>
      <c r="BM103" s="1319"/>
      <c r="BN103" s="1044"/>
      <c r="BO103" s="1045"/>
      <c r="BP103" s="1045"/>
      <c r="BQ103" s="1045"/>
      <c r="BR103" s="1045"/>
      <c r="BS103" s="1084"/>
      <c r="BT103" s="1045"/>
      <c r="BU103" s="1045"/>
      <c r="BV103" s="1045"/>
      <c r="BW103" s="1085"/>
      <c r="BX103" s="1084"/>
      <c r="BY103" s="1045"/>
      <c r="BZ103" s="1045"/>
      <c r="CA103" s="1045"/>
      <c r="CB103" s="1085"/>
      <c r="CC103" s="1086"/>
      <c r="CD103" s="1327"/>
      <c r="CE103" s="1328"/>
      <c r="CF103" s="1328"/>
      <c r="CG103" s="1328"/>
      <c r="CH103" s="1389"/>
      <c r="CI103" s="1369"/>
      <c r="CJ103" s="1319"/>
      <c r="CK103" s="1319"/>
      <c r="CL103" s="1319"/>
      <c r="CM103" s="1320"/>
      <c r="CN103" s="1369"/>
      <c r="CO103" s="1319"/>
      <c r="CP103" s="1319"/>
      <c r="CQ103" s="1319"/>
      <c r="CR103" s="1320"/>
      <c r="CS103" s="1369"/>
      <c r="CT103" s="1319"/>
      <c r="CU103" s="1319"/>
      <c r="CV103" s="1319"/>
      <c r="CW103" s="1320"/>
      <c r="CX103" s="1369"/>
      <c r="CY103" s="1319"/>
      <c r="CZ103" s="1319"/>
      <c r="DA103" s="1319"/>
      <c r="DB103" s="1320"/>
      <c r="DC103" s="1319"/>
      <c r="DD103" s="1319"/>
      <c r="DE103" s="1319"/>
      <c r="DF103" s="1319"/>
      <c r="DG103" s="1320"/>
      <c r="DH103" s="1369"/>
      <c r="DI103" s="1319"/>
      <c r="DJ103" s="1319"/>
      <c r="DK103" s="1319"/>
      <c r="DL103" s="1320"/>
      <c r="DM103" s="1743"/>
      <c r="DN103" s="1744"/>
      <c r="DO103" s="1744"/>
      <c r="DP103" s="1745"/>
      <c r="DQ103" s="1744"/>
      <c r="DR103" s="1744"/>
      <c r="DS103" s="1744"/>
      <c r="DT103" s="1745"/>
      <c r="DU103" s="1328"/>
      <c r="DV103" s="1664"/>
      <c r="DW103" s="1746"/>
    </row>
    <row r="104" spans="1:127" s="382" customFormat="1" ht="15.75" customHeight="1">
      <c r="A104" s="1066" t="s">
        <v>1260</v>
      </c>
      <c r="B104" s="1026">
        <v>95</v>
      </c>
      <c r="C104" s="987"/>
      <c r="D104" s="987"/>
      <c r="E104" s="987"/>
      <c r="F104" s="987"/>
      <c r="G104" s="987"/>
      <c r="H104" s="987"/>
      <c r="I104" s="987"/>
      <c r="J104" s="987"/>
      <c r="K104" s="987"/>
      <c r="L104" s="987"/>
      <c r="M104" s="1026"/>
      <c r="N104" s="987"/>
      <c r="O104" s="987"/>
      <c r="P104" s="987"/>
      <c r="Q104" s="987"/>
      <c r="R104" s="987"/>
      <c r="S104" s="987"/>
      <c r="T104" s="988"/>
      <c r="U104" s="1067" t="s">
        <v>1473</v>
      </c>
      <c r="V104" s="1068" t="s">
        <v>2505</v>
      </c>
      <c r="W104" s="1068" t="s">
        <v>2223</v>
      </c>
      <c r="X104" s="1069" t="s">
        <v>2534</v>
      </c>
      <c r="Y104" s="1070" t="s">
        <v>2535</v>
      </c>
      <c r="Z104" s="1071" t="s">
        <v>2536</v>
      </c>
      <c r="AA104" s="1072">
        <v>0.2</v>
      </c>
      <c r="AB104" s="1073">
        <v>0.8</v>
      </c>
      <c r="AC104" s="1073" t="s">
        <v>2260</v>
      </c>
      <c r="AD104" s="1073" t="s">
        <v>2260</v>
      </c>
      <c r="AE104" s="1073" t="s">
        <v>2260</v>
      </c>
      <c r="AF104" s="1073" t="s">
        <v>2260</v>
      </c>
      <c r="AG104" s="1073" t="s">
        <v>2260</v>
      </c>
      <c r="AH104" s="1073" t="s">
        <v>2260</v>
      </c>
      <c r="AI104" s="1074">
        <f t="shared" si="1"/>
        <v>1</v>
      </c>
      <c r="AJ104" s="1075" t="s">
        <v>1852</v>
      </c>
      <c r="AK104" s="1075" t="s">
        <v>1826</v>
      </c>
      <c r="AL104" s="1075" t="s">
        <v>1827</v>
      </c>
      <c r="AM104" s="1076" t="s">
        <v>2537</v>
      </c>
      <c r="AN104" s="987" t="s">
        <v>321</v>
      </c>
      <c r="AO104" s="987" t="s">
        <v>2538</v>
      </c>
      <c r="AP104" s="802">
        <v>1</v>
      </c>
      <c r="AQ104" s="1045" t="s">
        <v>1828</v>
      </c>
      <c r="AR104" s="1078" t="s">
        <v>2260</v>
      </c>
      <c r="AS104" s="1079"/>
      <c r="AT104" s="1069"/>
      <c r="AU104" s="1069"/>
      <c r="AV104" s="1069"/>
      <c r="AW104" s="1080"/>
      <c r="AX104" s="1081"/>
      <c r="AY104" s="1044"/>
      <c r="AZ104" s="1045"/>
      <c r="BA104" s="1045"/>
      <c r="BB104" s="1045"/>
      <c r="BC104" s="1045"/>
      <c r="BD104" s="1045"/>
      <c r="BE104" s="1045"/>
      <c r="BF104" s="1045"/>
      <c r="BG104" s="1045"/>
      <c r="BH104" s="1045"/>
      <c r="BI104" s="1369"/>
      <c r="BJ104" s="1319"/>
      <c r="BK104" s="1319"/>
      <c r="BL104" s="1319"/>
      <c r="BM104" s="1319"/>
      <c r="BN104" s="1044"/>
      <c r="BO104" s="1045"/>
      <c r="BP104" s="1045"/>
      <c r="BQ104" s="1045"/>
      <c r="BR104" s="1045"/>
      <c r="BS104" s="1084"/>
      <c r="BT104" s="1045"/>
      <c r="BU104" s="1045"/>
      <c r="BV104" s="1045"/>
      <c r="BW104" s="1085"/>
      <c r="BX104" s="1084"/>
      <c r="BY104" s="1045"/>
      <c r="BZ104" s="1045"/>
      <c r="CA104" s="1045"/>
      <c r="CB104" s="1085"/>
      <c r="CC104" s="1086"/>
      <c r="CD104" s="1327"/>
      <c r="CE104" s="1328"/>
      <c r="CF104" s="1328"/>
      <c r="CG104" s="1328"/>
      <c r="CH104" s="1389"/>
      <c r="CI104" s="1369"/>
      <c r="CJ104" s="1319"/>
      <c r="CK104" s="1319"/>
      <c r="CL104" s="1319"/>
      <c r="CM104" s="1320"/>
      <c r="CN104" s="1369"/>
      <c r="CO104" s="1319"/>
      <c r="CP104" s="1319"/>
      <c r="CQ104" s="1319"/>
      <c r="CR104" s="1320"/>
      <c r="CS104" s="1369"/>
      <c r="CT104" s="1319"/>
      <c r="CU104" s="1319"/>
      <c r="CV104" s="1319"/>
      <c r="CW104" s="1320"/>
      <c r="CX104" s="1369"/>
      <c r="CY104" s="1319"/>
      <c r="CZ104" s="1319"/>
      <c r="DA104" s="1319"/>
      <c r="DB104" s="1320"/>
      <c r="DC104" s="1319"/>
      <c r="DD104" s="1319"/>
      <c r="DE104" s="1319"/>
      <c r="DF104" s="1319"/>
      <c r="DG104" s="1320"/>
      <c r="DH104" s="1369"/>
      <c r="DI104" s="1319"/>
      <c r="DJ104" s="1319"/>
      <c r="DK104" s="1319"/>
      <c r="DL104" s="1320"/>
      <c r="DM104" s="1743"/>
      <c r="DN104" s="1744"/>
      <c r="DO104" s="1744"/>
      <c r="DP104" s="1745"/>
      <c r="DQ104" s="1744"/>
      <c r="DR104" s="1744"/>
      <c r="DS104" s="1744"/>
      <c r="DT104" s="1745"/>
      <c r="DU104" s="1328"/>
      <c r="DV104" s="1664"/>
      <c r="DW104" s="1746"/>
    </row>
    <row r="105" spans="1:127" s="382" customFormat="1" ht="15.75" customHeight="1">
      <c r="A105" s="1066" t="s">
        <v>1260</v>
      </c>
      <c r="B105" s="1026">
        <v>96</v>
      </c>
      <c r="C105" s="987"/>
      <c r="D105" s="987"/>
      <c r="E105" s="987"/>
      <c r="F105" s="987"/>
      <c r="G105" s="987"/>
      <c r="H105" s="987"/>
      <c r="I105" s="987"/>
      <c r="J105" s="987"/>
      <c r="K105" s="987"/>
      <c r="L105" s="987"/>
      <c r="M105" s="1026"/>
      <c r="N105" s="987"/>
      <c r="O105" s="987"/>
      <c r="P105" s="987"/>
      <c r="Q105" s="987"/>
      <c r="R105" s="987"/>
      <c r="S105" s="987"/>
      <c r="T105" s="988"/>
      <c r="U105" s="1067" t="s">
        <v>1479</v>
      </c>
      <c r="V105" s="1068" t="s">
        <v>2505</v>
      </c>
      <c r="W105" s="1068" t="s">
        <v>2231</v>
      </c>
      <c r="X105" s="1069" t="s">
        <v>2539</v>
      </c>
      <c r="Y105" s="1070" t="s">
        <v>2540</v>
      </c>
      <c r="Z105" s="1071" t="s">
        <v>2541</v>
      </c>
      <c r="AA105" s="1072">
        <v>1</v>
      </c>
      <c r="AB105" s="1073" t="s">
        <v>2260</v>
      </c>
      <c r="AC105" s="1073" t="s">
        <v>2260</v>
      </c>
      <c r="AD105" s="1073" t="s">
        <v>2260</v>
      </c>
      <c r="AE105" s="1073" t="s">
        <v>2260</v>
      </c>
      <c r="AF105" s="1073" t="s">
        <v>2260</v>
      </c>
      <c r="AG105" s="1073" t="s">
        <v>2260</v>
      </c>
      <c r="AH105" s="1073" t="s">
        <v>2260</v>
      </c>
      <c r="AI105" s="1074">
        <f t="shared" si="1"/>
        <v>1</v>
      </c>
      <c r="AJ105" s="1075" t="s">
        <v>1852</v>
      </c>
      <c r="AK105" s="1075" t="s">
        <v>1826</v>
      </c>
      <c r="AL105" s="1075" t="s">
        <v>1827</v>
      </c>
      <c r="AM105" s="1076" t="s">
        <v>2290</v>
      </c>
      <c r="AN105" s="987" t="s">
        <v>1857</v>
      </c>
      <c r="AO105" s="987" t="s">
        <v>2542</v>
      </c>
      <c r="AP105" s="802">
        <v>1</v>
      </c>
      <c r="AQ105" s="1045" t="s">
        <v>1838</v>
      </c>
      <c r="AR105" s="1078" t="s">
        <v>2260</v>
      </c>
      <c r="AS105" s="1079"/>
      <c r="AT105" s="1069"/>
      <c r="AU105" s="1069"/>
      <c r="AV105" s="1069"/>
      <c r="AW105" s="1080"/>
      <c r="AX105" s="1081"/>
      <c r="AY105" s="1044"/>
      <c r="AZ105" s="1045"/>
      <c r="BA105" s="1045"/>
      <c r="BB105" s="1045"/>
      <c r="BC105" s="1045"/>
      <c r="BD105" s="1045"/>
      <c r="BE105" s="1045"/>
      <c r="BF105" s="1045"/>
      <c r="BG105" s="1045"/>
      <c r="BH105" s="1045"/>
      <c r="BI105" s="1369"/>
      <c r="BJ105" s="1319"/>
      <c r="BK105" s="1319"/>
      <c r="BL105" s="1319"/>
      <c r="BM105" s="1319"/>
      <c r="BN105" s="1044"/>
      <c r="BO105" s="1045"/>
      <c r="BP105" s="1045"/>
      <c r="BQ105" s="1045"/>
      <c r="BR105" s="1045"/>
      <c r="BS105" s="1084"/>
      <c r="BT105" s="1045"/>
      <c r="BU105" s="1045"/>
      <c r="BV105" s="1045"/>
      <c r="BW105" s="1085"/>
      <c r="BX105" s="1084"/>
      <c r="BY105" s="1045"/>
      <c r="BZ105" s="1045"/>
      <c r="CA105" s="1045"/>
      <c r="CB105" s="1085"/>
      <c r="CC105" s="1086"/>
      <c r="CD105" s="1327"/>
      <c r="CE105" s="1328"/>
      <c r="CF105" s="1328"/>
      <c r="CG105" s="1328"/>
      <c r="CH105" s="1389"/>
      <c r="CI105" s="1369"/>
      <c r="CJ105" s="1319"/>
      <c r="CK105" s="1319"/>
      <c r="CL105" s="1319"/>
      <c r="CM105" s="1320"/>
      <c r="CN105" s="1369"/>
      <c r="CO105" s="1319"/>
      <c r="CP105" s="1319"/>
      <c r="CQ105" s="1319"/>
      <c r="CR105" s="1320"/>
      <c r="CS105" s="1369"/>
      <c r="CT105" s="1319"/>
      <c r="CU105" s="1319"/>
      <c r="CV105" s="1319"/>
      <c r="CW105" s="1320"/>
      <c r="CX105" s="1369"/>
      <c r="CY105" s="1319"/>
      <c r="CZ105" s="1319"/>
      <c r="DA105" s="1319"/>
      <c r="DB105" s="1320"/>
      <c r="DC105" s="1319"/>
      <c r="DD105" s="1319"/>
      <c r="DE105" s="1319"/>
      <c r="DF105" s="1319"/>
      <c r="DG105" s="1320"/>
      <c r="DH105" s="1369"/>
      <c r="DI105" s="1319"/>
      <c r="DJ105" s="1319"/>
      <c r="DK105" s="1319"/>
      <c r="DL105" s="1320"/>
      <c r="DM105" s="1743"/>
      <c r="DN105" s="1744"/>
      <c r="DO105" s="1744"/>
      <c r="DP105" s="1745"/>
      <c r="DQ105" s="1744"/>
      <c r="DR105" s="1744"/>
      <c r="DS105" s="1744"/>
      <c r="DT105" s="1745"/>
      <c r="DU105" s="1328"/>
      <c r="DV105" s="1664"/>
      <c r="DW105" s="1746"/>
    </row>
    <row r="106" spans="1:127" s="382" customFormat="1" ht="15.75" customHeight="1">
      <c r="A106" s="1066" t="s">
        <v>1260</v>
      </c>
      <c r="B106" s="1026">
        <v>97</v>
      </c>
      <c r="C106" s="987"/>
      <c r="D106" s="987"/>
      <c r="E106" s="987"/>
      <c r="F106" s="987"/>
      <c r="G106" s="987"/>
      <c r="H106" s="987"/>
      <c r="I106" s="987"/>
      <c r="J106" s="987"/>
      <c r="K106" s="987"/>
      <c r="L106" s="987"/>
      <c r="M106" s="1026"/>
      <c r="N106" s="987"/>
      <c r="O106" s="987"/>
      <c r="P106" s="987"/>
      <c r="Q106" s="987"/>
      <c r="R106" s="987"/>
      <c r="S106" s="987"/>
      <c r="T106" s="988"/>
      <c r="U106" s="1067" t="s">
        <v>1128</v>
      </c>
      <c r="V106" s="1068" t="s">
        <v>2484</v>
      </c>
      <c r="W106" s="1068" t="s">
        <v>2231</v>
      </c>
      <c r="X106" s="1069" t="s">
        <v>2544</v>
      </c>
      <c r="Y106" s="1070" t="s">
        <v>755</v>
      </c>
      <c r="Z106" s="1071" t="s">
        <v>2545</v>
      </c>
      <c r="AA106" s="1072" t="s">
        <v>2260</v>
      </c>
      <c r="AB106" s="1073" t="s">
        <v>2260</v>
      </c>
      <c r="AC106" s="1073" t="s">
        <v>2260</v>
      </c>
      <c r="AD106" s="1073" t="s">
        <v>2260</v>
      </c>
      <c r="AE106" s="1073">
        <v>1</v>
      </c>
      <c r="AF106" s="1073" t="s">
        <v>2260</v>
      </c>
      <c r="AG106" s="1073" t="s">
        <v>2260</v>
      </c>
      <c r="AH106" s="1073" t="s">
        <v>2260</v>
      </c>
      <c r="AI106" s="1074">
        <f t="shared" si="1"/>
        <v>1</v>
      </c>
      <c r="AJ106" s="1075" t="s">
        <v>1825</v>
      </c>
      <c r="AK106" s="1075" t="s">
        <v>2260</v>
      </c>
      <c r="AL106" s="1075" t="s">
        <v>2260</v>
      </c>
      <c r="AM106" s="1076" t="s">
        <v>2396</v>
      </c>
      <c r="AN106" s="987" t="s">
        <v>321</v>
      </c>
      <c r="AO106" s="987" t="s">
        <v>4424</v>
      </c>
      <c r="AP106" s="2042">
        <v>1</v>
      </c>
      <c r="AQ106" s="1045" t="s">
        <v>1828</v>
      </c>
      <c r="AR106" s="1078" t="s">
        <v>755</v>
      </c>
      <c r="AS106" s="1079"/>
      <c r="AT106" s="1069"/>
      <c r="AU106" s="1069"/>
      <c r="AV106" s="1069"/>
      <c r="AW106" s="1080"/>
      <c r="AX106" s="1081"/>
      <c r="AY106" s="1044"/>
      <c r="AZ106" s="1045"/>
      <c r="BA106" s="1045"/>
      <c r="BB106" s="1045"/>
      <c r="BC106" s="1045"/>
      <c r="BD106" s="1045"/>
      <c r="BE106" s="1045"/>
      <c r="BF106" s="1045"/>
      <c r="BG106" s="1045"/>
      <c r="BH106" s="1045"/>
      <c r="BI106" s="1044" t="s">
        <v>4443</v>
      </c>
      <c r="BJ106" s="1045" t="s">
        <v>4444</v>
      </c>
      <c r="BK106" s="1045" t="s">
        <v>4445</v>
      </c>
      <c r="BL106" s="1045" t="s">
        <v>4435</v>
      </c>
      <c r="BM106" s="1045" t="s">
        <v>4446</v>
      </c>
      <c r="BN106" s="1044"/>
      <c r="BO106" s="1045"/>
      <c r="BP106" s="1045"/>
      <c r="BQ106" s="1045"/>
      <c r="BR106" s="1045"/>
      <c r="BS106" s="1084"/>
      <c r="BT106" s="1045"/>
      <c r="BU106" s="1045"/>
      <c r="BV106" s="1045"/>
      <c r="BW106" s="1085"/>
      <c r="BX106" s="1084"/>
      <c r="BY106" s="1045"/>
      <c r="BZ106" s="1045"/>
      <c r="CA106" s="1045"/>
      <c r="CB106" s="1085"/>
      <c r="CC106" s="1086"/>
      <c r="CD106" s="1087" t="s">
        <v>2260</v>
      </c>
      <c r="CE106" s="1088" t="s">
        <v>2260</v>
      </c>
      <c r="CF106" s="1088" t="s">
        <v>2260</v>
      </c>
      <c r="CG106" s="1088" t="s">
        <v>2260</v>
      </c>
      <c r="CH106" s="1089" t="s">
        <v>2260</v>
      </c>
      <c r="CI106" s="1044" t="s">
        <v>2260</v>
      </c>
      <c r="CJ106" s="1045" t="s">
        <v>2260</v>
      </c>
      <c r="CK106" s="1045" t="s">
        <v>2260</v>
      </c>
      <c r="CL106" s="1045" t="s">
        <v>2260</v>
      </c>
      <c r="CM106" s="1086" t="s">
        <v>2260</v>
      </c>
      <c r="CN106" s="1044" t="s">
        <v>2260</v>
      </c>
      <c r="CO106" s="1045" t="s">
        <v>2260</v>
      </c>
      <c r="CP106" s="1045" t="s">
        <v>2260</v>
      </c>
      <c r="CQ106" s="1045" t="s">
        <v>2260</v>
      </c>
      <c r="CR106" s="1086" t="s">
        <v>2260</v>
      </c>
      <c r="CS106" s="1044" t="s">
        <v>2260</v>
      </c>
      <c r="CT106" s="1045" t="s">
        <v>2260</v>
      </c>
      <c r="CU106" s="1045" t="s">
        <v>2260</v>
      </c>
      <c r="CV106" s="1045" t="s">
        <v>2260</v>
      </c>
      <c r="CW106" s="1086" t="s">
        <v>2260</v>
      </c>
      <c r="CX106" s="1044" t="s">
        <v>2260</v>
      </c>
      <c r="CY106" s="1045" t="s">
        <v>2260</v>
      </c>
      <c r="CZ106" s="1045" t="s">
        <v>2260</v>
      </c>
      <c r="DA106" s="1045" t="s">
        <v>2260</v>
      </c>
      <c r="DB106" s="1086" t="s">
        <v>2260</v>
      </c>
      <c r="DC106" s="1045" t="s">
        <v>2260</v>
      </c>
      <c r="DD106" s="1045" t="s">
        <v>2260</v>
      </c>
      <c r="DE106" s="1045" t="s">
        <v>2260</v>
      </c>
      <c r="DF106" s="1045" t="s">
        <v>2260</v>
      </c>
      <c r="DG106" s="1086" t="s">
        <v>2260</v>
      </c>
      <c r="DH106" s="1044" t="s">
        <v>2260</v>
      </c>
      <c r="DI106" s="1045" t="s">
        <v>2260</v>
      </c>
      <c r="DJ106" s="1045" t="s">
        <v>2260</v>
      </c>
      <c r="DK106" s="1045" t="s">
        <v>2260</v>
      </c>
      <c r="DL106" s="1086" t="s">
        <v>2260</v>
      </c>
      <c r="DM106" s="1090" t="s">
        <v>2260</v>
      </c>
      <c r="DN106" s="1091" t="s">
        <v>2260</v>
      </c>
      <c r="DO106" s="1091" t="s">
        <v>2260</v>
      </c>
      <c r="DP106" s="1092" t="s">
        <v>2260</v>
      </c>
      <c r="DQ106" s="1091" t="s">
        <v>2260</v>
      </c>
      <c r="DR106" s="1091" t="s">
        <v>2260</v>
      </c>
      <c r="DS106" s="1091" t="s">
        <v>2260</v>
      </c>
      <c r="DT106" s="1092" t="s">
        <v>2260</v>
      </c>
      <c r="DU106" s="1088" t="s">
        <v>2260</v>
      </c>
      <c r="DV106" s="1093" t="s">
        <v>2260</v>
      </c>
      <c r="DW106" s="1094" t="s">
        <v>2260</v>
      </c>
    </row>
    <row r="107" spans="1:127" s="382" customFormat="1" ht="12.75">
      <c r="A107" s="1066" t="s">
        <v>1260</v>
      </c>
      <c r="B107" s="1026">
        <v>98</v>
      </c>
      <c r="C107" s="987"/>
      <c r="D107" s="987"/>
      <c r="E107" s="987"/>
      <c r="F107" s="987"/>
      <c r="G107" s="987"/>
      <c r="H107" s="987"/>
      <c r="I107" s="987"/>
      <c r="J107" s="987"/>
      <c r="K107" s="987"/>
      <c r="L107" s="987"/>
      <c r="M107" s="1026"/>
      <c r="N107" s="987"/>
      <c r="O107" s="987"/>
      <c r="P107" s="987"/>
      <c r="Q107" s="987"/>
      <c r="R107" s="987"/>
      <c r="S107" s="987"/>
      <c r="T107" s="988"/>
      <c r="U107" s="1067" t="s">
        <v>1485</v>
      </c>
      <c r="V107" s="1068" t="s">
        <v>2260</v>
      </c>
      <c r="W107" s="1068" t="s">
        <v>2260</v>
      </c>
      <c r="X107" s="1069" t="s">
        <v>2546</v>
      </c>
      <c r="Y107" s="1070" t="s">
        <v>2547</v>
      </c>
      <c r="Z107" s="1071" t="s">
        <v>2260</v>
      </c>
      <c r="AA107" s="1072" t="s">
        <v>2260</v>
      </c>
      <c r="AB107" s="1073">
        <v>1</v>
      </c>
      <c r="AC107" s="1073" t="s">
        <v>2260</v>
      </c>
      <c r="AD107" s="1073" t="s">
        <v>2260</v>
      </c>
      <c r="AE107" s="1073" t="s">
        <v>2260</v>
      </c>
      <c r="AF107" s="1073" t="s">
        <v>2260</v>
      </c>
      <c r="AG107" s="1073" t="s">
        <v>2260</v>
      </c>
      <c r="AH107" s="1073" t="s">
        <v>2260</v>
      </c>
      <c r="AI107" s="1074">
        <f t="shared" si="1"/>
        <v>1</v>
      </c>
      <c r="AJ107" s="1075" t="s">
        <v>1846</v>
      </c>
      <c r="AK107" s="1075" t="s">
        <v>1826</v>
      </c>
      <c r="AL107" s="1075" t="s">
        <v>1837</v>
      </c>
      <c r="AM107" s="1076" t="s">
        <v>2260</v>
      </c>
      <c r="AN107" s="825" t="s">
        <v>1857</v>
      </c>
      <c r="AO107" s="987" t="s">
        <v>2548</v>
      </c>
      <c r="AP107" s="802">
        <v>0</v>
      </c>
      <c r="AQ107" s="802" t="s">
        <v>1838</v>
      </c>
      <c r="AR107" s="1078" t="s">
        <v>2260</v>
      </c>
      <c r="AS107" s="1079"/>
      <c r="AT107" s="1069"/>
      <c r="AU107" s="1069"/>
      <c r="AV107" s="1069"/>
      <c r="AW107" s="1080"/>
      <c r="AX107" s="1081"/>
      <c r="AY107" s="1044"/>
      <c r="AZ107" s="1045"/>
      <c r="BA107" s="1045"/>
      <c r="BB107" s="1045"/>
      <c r="BC107" s="1045"/>
      <c r="BD107" s="1045"/>
      <c r="BE107" s="1045"/>
      <c r="BF107" s="1045"/>
      <c r="BG107" s="1045"/>
      <c r="BH107" s="1045"/>
      <c r="BI107" s="1369"/>
      <c r="BJ107" s="1319"/>
      <c r="BK107" s="1319"/>
      <c r="BL107" s="1319"/>
      <c r="BM107" s="1319"/>
      <c r="BN107" s="1044"/>
      <c r="BO107" s="1045"/>
      <c r="BP107" s="1045"/>
      <c r="BQ107" s="1045"/>
      <c r="BR107" s="1045"/>
      <c r="BS107" s="1084"/>
      <c r="BT107" s="1045"/>
      <c r="BU107" s="1045"/>
      <c r="BV107" s="1045"/>
      <c r="BW107" s="1085"/>
      <c r="BX107" s="1084"/>
      <c r="BY107" s="1045"/>
      <c r="BZ107" s="1045"/>
      <c r="CA107" s="1045"/>
      <c r="CB107" s="1085"/>
      <c r="CC107" s="1086"/>
      <c r="CD107" s="1327"/>
      <c r="CE107" s="1328"/>
      <c r="CF107" s="1328"/>
      <c r="CG107" s="1328"/>
      <c r="CH107" s="1389"/>
      <c r="CI107" s="1369"/>
      <c r="CJ107" s="1319"/>
      <c r="CK107" s="1319"/>
      <c r="CL107" s="1319"/>
      <c r="CM107" s="1320"/>
      <c r="CN107" s="1369"/>
      <c r="CO107" s="1319"/>
      <c r="CP107" s="1319"/>
      <c r="CQ107" s="1319"/>
      <c r="CR107" s="1320"/>
      <c r="CS107" s="1369"/>
      <c r="CT107" s="1319"/>
      <c r="CU107" s="1319"/>
      <c r="CV107" s="1319"/>
      <c r="CW107" s="1320"/>
      <c r="CX107" s="1369"/>
      <c r="CY107" s="1319"/>
      <c r="CZ107" s="1319"/>
      <c r="DA107" s="1319"/>
      <c r="DB107" s="1320"/>
      <c r="DC107" s="1319"/>
      <c r="DD107" s="1319"/>
      <c r="DE107" s="1319"/>
      <c r="DF107" s="1319"/>
      <c r="DG107" s="1320"/>
      <c r="DH107" s="1369"/>
      <c r="DI107" s="1319"/>
      <c r="DJ107" s="1319"/>
      <c r="DK107" s="1319"/>
      <c r="DL107" s="1320"/>
      <c r="DM107" s="1743"/>
      <c r="DN107" s="1744"/>
      <c r="DO107" s="1744"/>
      <c r="DP107" s="1745"/>
      <c r="DQ107" s="1744"/>
      <c r="DR107" s="1744"/>
      <c r="DS107" s="1744"/>
      <c r="DT107" s="1745"/>
      <c r="DU107" s="1328"/>
      <c r="DV107" s="1664"/>
      <c r="DW107" s="1746"/>
    </row>
    <row r="108" spans="1:127" s="382" customFormat="1" ht="15.75" customHeight="1">
      <c r="A108" s="1066" t="s">
        <v>1260</v>
      </c>
      <c r="B108" s="1026">
        <v>99</v>
      </c>
      <c r="C108" s="987"/>
      <c r="D108" s="987"/>
      <c r="E108" s="987"/>
      <c r="F108" s="987"/>
      <c r="G108" s="987"/>
      <c r="H108" s="987"/>
      <c r="I108" s="987"/>
      <c r="J108" s="987"/>
      <c r="K108" s="987"/>
      <c r="L108" s="987"/>
      <c r="M108" s="1026"/>
      <c r="N108" s="987"/>
      <c r="O108" s="987"/>
      <c r="P108" s="987"/>
      <c r="Q108" s="987"/>
      <c r="R108" s="987"/>
      <c r="S108" s="987"/>
      <c r="T108" s="988"/>
      <c r="U108" s="1067" t="s">
        <v>1640</v>
      </c>
      <c r="V108" s="1068" t="s">
        <v>2260</v>
      </c>
      <c r="W108" s="1068" t="s">
        <v>2260</v>
      </c>
      <c r="X108" s="1069" t="s">
        <v>2331</v>
      </c>
      <c r="Y108" s="1070" t="s">
        <v>2332</v>
      </c>
      <c r="Z108" s="1071" t="s">
        <v>2260</v>
      </c>
      <c r="AA108" s="1072" t="s">
        <v>2260</v>
      </c>
      <c r="AB108" s="1073" t="s">
        <v>2260</v>
      </c>
      <c r="AC108" s="1073" t="s">
        <v>2260</v>
      </c>
      <c r="AD108" s="1073" t="s">
        <v>2260</v>
      </c>
      <c r="AE108" s="1073" t="s">
        <v>2260</v>
      </c>
      <c r="AF108" s="1073" t="s">
        <v>2260</v>
      </c>
      <c r="AG108" s="1073" t="s">
        <v>2260</v>
      </c>
      <c r="AH108" s="1073" t="s">
        <v>2260</v>
      </c>
      <c r="AI108" s="1074">
        <f t="shared" si="1"/>
        <v>0</v>
      </c>
      <c r="AJ108" s="1075" t="s">
        <v>1825</v>
      </c>
      <c r="AK108" s="1075" t="s">
        <v>2260</v>
      </c>
      <c r="AL108" s="1075" t="s">
        <v>2260</v>
      </c>
      <c r="AM108" s="1076" t="s">
        <v>2260</v>
      </c>
      <c r="AN108" s="987" t="s">
        <v>2260</v>
      </c>
      <c r="AO108" s="987" t="s">
        <v>2333</v>
      </c>
      <c r="AP108" s="2042">
        <v>0</v>
      </c>
      <c r="AQ108" s="1045" t="s">
        <v>2260</v>
      </c>
      <c r="AR108" s="1078" t="s">
        <v>2260</v>
      </c>
      <c r="AS108" s="1079"/>
      <c r="AT108" s="1069"/>
      <c r="AU108" s="1069"/>
      <c r="AV108" s="1069"/>
      <c r="AW108" s="1080"/>
      <c r="AX108" s="1081"/>
      <c r="AY108" s="1044"/>
      <c r="AZ108" s="1045"/>
      <c r="BA108" s="1045"/>
      <c r="BB108" s="1045"/>
      <c r="BC108" s="1045"/>
      <c r="BD108" s="1045"/>
      <c r="BE108" s="1045"/>
      <c r="BF108" s="1045"/>
      <c r="BG108" s="1045"/>
      <c r="BH108" s="1045"/>
      <c r="BI108" s="1369"/>
      <c r="BJ108" s="1319"/>
      <c r="BK108" s="1319"/>
      <c r="BL108" s="1319"/>
      <c r="BM108" s="1319"/>
      <c r="BN108" s="1044"/>
      <c r="BO108" s="1045"/>
      <c r="BP108" s="1045"/>
      <c r="BQ108" s="1045"/>
      <c r="BR108" s="1045"/>
      <c r="BS108" s="1084"/>
      <c r="BT108" s="1045"/>
      <c r="BU108" s="1045"/>
      <c r="BV108" s="1045"/>
      <c r="BW108" s="1085"/>
      <c r="BX108" s="1084"/>
      <c r="BY108" s="1045"/>
      <c r="BZ108" s="1045"/>
      <c r="CA108" s="1045"/>
      <c r="CB108" s="1085"/>
      <c r="CC108" s="1086"/>
      <c r="CD108" s="1327"/>
      <c r="CE108" s="1328"/>
      <c r="CF108" s="1328"/>
      <c r="CG108" s="1328"/>
      <c r="CH108" s="1389"/>
      <c r="CI108" s="1369"/>
      <c r="CJ108" s="1319"/>
      <c r="CK108" s="1319"/>
      <c r="CL108" s="1319"/>
      <c r="CM108" s="1320"/>
      <c r="CN108" s="1369"/>
      <c r="CO108" s="1319"/>
      <c r="CP108" s="1319"/>
      <c r="CQ108" s="1319"/>
      <c r="CR108" s="1320"/>
      <c r="CS108" s="1369"/>
      <c r="CT108" s="1319"/>
      <c r="CU108" s="1319"/>
      <c r="CV108" s="1319"/>
      <c r="CW108" s="1320"/>
      <c r="CX108" s="1369"/>
      <c r="CY108" s="1319"/>
      <c r="CZ108" s="1319"/>
      <c r="DA108" s="1319"/>
      <c r="DB108" s="1320"/>
      <c r="DC108" s="1319"/>
      <c r="DD108" s="1319"/>
      <c r="DE108" s="1319"/>
      <c r="DF108" s="1319"/>
      <c r="DG108" s="1320"/>
      <c r="DH108" s="1369"/>
      <c r="DI108" s="1319"/>
      <c r="DJ108" s="1319"/>
      <c r="DK108" s="1319"/>
      <c r="DL108" s="1320"/>
      <c r="DM108" s="1743"/>
      <c r="DN108" s="1744"/>
      <c r="DO108" s="1744"/>
      <c r="DP108" s="1745"/>
      <c r="DQ108" s="1744"/>
      <c r="DR108" s="1744"/>
      <c r="DS108" s="1744"/>
      <c r="DT108" s="1745"/>
      <c r="DU108" s="1328"/>
      <c r="DV108" s="1664"/>
      <c r="DW108" s="1746"/>
    </row>
    <row r="109" spans="1:127" s="382" customFormat="1" ht="15.75" customHeight="1">
      <c r="A109" s="1066" t="s">
        <v>1260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1656</v>
      </c>
      <c r="V109" s="1068" t="s">
        <v>2260</v>
      </c>
      <c r="W109" s="1068" t="s">
        <v>2260</v>
      </c>
      <c r="X109" s="1069" t="s">
        <v>2549</v>
      </c>
      <c r="Y109" s="1070" t="s">
        <v>2550</v>
      </c>
      <c r="Z109" s="1071" t="s">
        <v>2260</v>
      </c>
      <c r="AA109" s="1072" t="s">
        <v>2260</v>
      </c>
      <c r="AB109" s="1073" t="s">
        <v>2260</v>
      </c>
      <c r="AC109" s="1073" t="s">
        <v>2260</v>
      </c>
      <c r="AD109" s="1073" t="s">
        <v>2260</v>
      </c>
      <c r="AE109" s="1073" t="s">
        <v>2260</v>
      </c>
      <c r="AF109" s="1073" t="s">
        <v>2260</v>
      </c>
      <c r="AG109" s="1073" t="s">
        <v>2260</v>
      </c>
      <c r="AH109" s="1073" t="s">
        <v>2260</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69"/>
      <c r="BJ109" s="1319"/>
      <c r="BK109" s="1319"/>
      <c r="BL109" s="1319"/>
      <c r="BM109" s="1319"/>
      <c r="BN109" s="1044"/>
      <c r="BO109" s="1045"/>
      <c r="BP109" s="1045"/>
      <c r="BQ109" s="1045"/>
      <c r="BR109" s="1045"/>
      <c r="BS109" s="1084"/>
      <c r="BT109" s="1045"/>
      <c r="BU109" s="1045"/>
      <c r="BV109" s="1045"/>
      <c r="BW109" s="1085"/>
      <c r="BX109" s="1084"/>
      <c r="BY109" s="1045"/>
      <c r="BZ109" s="1045"/>
      <c r="CA109" s="1045"/>
      <c r="CB109" s="1085"/>
      <c r="CC109" s="1086"/>
      <c r="CD109" s="1327"/>
      <c r="CE109" s="1328"/>
      <c r="CF109" s="1328"/>
      <c r="CG109" s="1328"/>
      <c r="CH109" s="1389"/>
      <c r="CI109" s="1369"/>
      <c r="CJ109" s="1319"/>
      <c r="CK109" s="1319"/>
      <c r="CL109" s="1319"/>
      <c r="CM109" s="1320"/>
      <c r="CN109" s="1369"/>
      <c r="CO109" s="1319"/>
      <c r="CP109" s="1319"/>
      <c r="CQ109" s="1319"/>
      <c r="CR109" s="1320"/>
      <c r="CS109" s="1369"/>
      <c r="CT109" s="1319"/>
      <c r="CU109" s="1319"/>
      <c r="CV109" s="1319"/>
      <c r="CW109" s="1320"/>
      <c r="CX109" s="1369"/>
      <c r="CY109" s="1319"/>
      <c r="CZ109" s="1319"/>
      <c r="DA109" s="1319"/>
      <c r="DB109" s="1320"/>
      <c r="DC109" s="1319"/>
      <c r="DD109" s="1319"/>
      <c r="DE109" s="1319"/>
      <c r="DF109" s="1319"/>
      <c r="DG109" s="1320"/>
      <c r="DH109" s="1369"/>
      <c r="DI109" s="1319"/>
      <c r="DJ109" s="1319"/>
      <c r="DK109" s="1319"/>
      <c r="DL109" s="1320"/>
      <c r="DM109" s="1743"/>
      <c r="DN109" s="1744"/>
      <c r="DO109" s="1744"/>
      <c r="DP109" s="1745"/>
      <c r="DQ109" s="1744"/>
      <c r="DR109" s="1744"/>
      <c r="DS109" s="1744"/>
      <c r="DT109" s="1745"/>
      <c r="DU109" s="1328"/>
      <c r="DV109" s="1664"/>
      <c r="DW109" s="1746"/>
    </row>
    <row r="110" spans="1:127" s="382" customFormat="1" ht="15.75" customHeight="1">
      <c r="A110" s="1066" t="s">
        <v>1130</v>
      </c>
      <c r="B110" s="1026">
        <v>101</v>
      </c>
      <c r="C110" s="987"/>
      <c r="D110" s="987"/>
      <c r="E110" s="987"/>
      <c r="F110" s="987"/>
      <c r="G110" s="987"/>
      <c r="H110" s="987"/>
      <c r="I110" s="987"/>
      <c r="J110" s="987"/>
      <c r="K110" s="987"/>
      <c r="L110" s="987"/>
      <c r="M110" s="1026"/>
      <c r="N110" s="987"/>
      <c r="O110" s="987"/>
      <c r="P110" s="987"/>
      <c r="Q110" s="987"/>
      <c r="R110" s="987"/>
      <c r="S110" s="987"/>
      <c r="T110" s="988"/>
      <c r="U110" s="1067" t="s">
        <v>1131</v>
      </c>
      <c r="V110" s="1068" t="s">
        <v>2557</v>
      </c>
      <c r="W110" s="1068" t="s">
        <v>2231</v>
      </c>
      <c r="X110" s="1069" t="s">
        <v>2558</v>
      </c>
      <c r="Y110" s="1070" t="s">
        <v>172</v>
      </c>
      <c r="Z110" s="1071" t="s">
        <v>2559</v>
      </c>
      <c r="AA110" s="1072">
        <v>0.5</v>
      </c>
      <c r="AB110" s="1073">
        <v>0.5</v>
      </c>
      <c r="AC110" s="1073" t="s">
        <v>2260</v>
      </c>
      <c r="AD110" s="1073" t="s">
        <v>2260</v>
      </c>
      <c r="AE110" s="1073" t="s">
        <v>2260</v>
      </c>
      <c r="AF110" s="1073" t="s">
        <v>2260</v>
      </c>
      <c r="AG110" s="1073" t="s">
        <v>2260</v>
      </c>
      <c r="AH110" s="1073" t="s">
        <v>2260</v>
      </c>
      <c r="AI110" s="1074">
        <f t="shared" si="1"/>
        <v>1</v>
      </c>
      <c r="AJ110" s="1075" t="s">
        <v>1846</v>
      </c>
      <c r="AK110" s="1075" t="s">
        <v>1826</v>
      </c>
      <c r="AL110" s="1075" t="s">
        <v>1827</v>
      </c>
      <c r="AM110" s="1076" t="s">
        <v>2247</v>
      </c>
      <c r="AN110" s="987" t="s">
        <v>2439</v>
      </c>
      <c r="AO110" s="987" t="s">
        <v>4420</v>
      </c>
      <c r="AP110" s="2076">
        <v>2</v>
      </c>
      <c r="AQ110" s="1045" t="s">
        <v>1838</v>
      </c>
      <c r="AR110" s="1078" t="s">
        <v>172</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210</v>
      </c>
      <c r="CE110" s="1088" t="s">
        <v>210</v>
      </c>
      <c r="CF110" s="1088" t="s">
        <v>210</v>
      </c>
      <c r="CG110" s="1088" t="s">
        <v>210</v>
      </c>
      <c r="CH110" s="1089" t="s">
        <v>210</v>
      </c>
      <c r="CI110" s="1044" t="s">
        <v>2260</v>
      </c>
      <c r="CJ110" s="1045" t="s">
        <v>2260</v>
      </c>
      <c r="CK110" s="1045" t="s">
        <v>2260</v>
      </c>
      <c r="CL110" s="1045" t="s">
        <v>2260</v>
      </c>
      <c r="CM110" s="1086" t="s">
        <v>2260</v>
      </c>
      <c r="CN110" s="1044">
        <v>9.5</v>
      </c>
      <c r="CO110" s="1045">
        <v>9.5</v>
      </c>
      <c r="CP110" s="1045">
        <v>9.5</v>
      </c>
      <c r="CQ110" s="1045">
        <v>9.5</v>
      </c>
      <c r="CR110" s="1086">
        <v>9.5</v>
      </c>
      <c r="CS110" s="1044">
        <v>2</v>
      </c>
      <c r="CT110" s="1045">
        <v>2</v>
      </c>
      <c r="CU110" s="1045">
        <v>2</v>
      </c>
      <c r="CV110" s="1045">
        <v>2</v>
      </c>
      <c r="CW110" s="1086">
        <v>2</v>
      </c>
      <c r="CX110" s="1044" t="s">
        <v>2260</v>
      </c>
      <c r="CY110" s="1045" t="s">
        <v>2260</v>
      </c>
      <c r="CZ110" s="1045" t="s">
        <v>2260</v>
      </c>
      <c r="DA110" s="1045" t="s">
        <v>2260</v>
      </c>
      <c r="DB110" s="1086" t="s">
        <v>2260</v>
      </c>
      <c r="DC110" s="1045" t="s">
        <v>2260</v>
      </c>
      <c r="DD110" s="1045" t="s">
        <v>2260</v>
      </c>
      <c r="DE110" s="1045" t="s">
        <v>2260</v>
      </c>
      <c r="DF110" s="1045" t="s">
        <v>2260</v>
      </c>
      <c r="DG110" s="1086" t="s">
        <v>2260</v>
      </c>
      <c r="DH110" s="1044" t="s">
        <v>2260</v>
      </c>
      <c r="DI110" s="1045" t="s">
        <v>2260</v>
      </c>
      <c r="DJ110" s="1045" t="s">
        <v>2260</v>
      </c>
      <c r="DK110" s="1045" t="s">
        <v>2260</v>
      </c>
      <c r="DL110" s="1086" t="s">
        <v>2260</v>
      </c>
      <c r="DM110" s="1090">
        <v>-3.3000000000000002E-2</v>
      </c>
      <c r="DN110" s="1091" t="s">
        <v>2260</v>
      </c>
      <c r="DO110" s="1091" t="s">
        <v>2260</v>
      </c>
      <c r="DP110" s="1092" t="s">
        <v>2260</v>
      </c>
      <c r="DQ110" s="1091">
        <v>0</v>
      </c>
      <c r="DR110" s="1091" t="s">
        <v>2260</v>
      </c>
      <c r="DS110" s="1091" t="s">
        <v>2260</v>
      </c>
      <c r="DT110" s="1092" t="s">
        <v>2260</v>
      </c>
      <c r="DU110" s="1088" t="s">
        <v>2260</v>
      </c>
      <c r="DV110" s="1093">
        <v>1</v>
      </c>
      <c r="DW110" s="1094" t="s">
        <v>2260</v>
      </c>
    </row>
    <row r="111" spans="1:127" s="382" customFormat="1" ht="15.75" customHeight="1">
      <c r="A111" s="1066" t="s">
        <v>1130</v>
      </c>
      <c r="B111" s="1026">
        <v>102</v>
      </c>
      <c r="C111" s="987"/>
      <c r="D111" s="987"/>
      <c r="E111" s="987"/>
      <c r="F111" s="987"/>
      <c r="G111" s="987"/>
      <c r="H111" s="987"/>
      <c r="I111" s="987"/>
      <c r="J111" s="987"/>
      <c r="K111" s="987"/>
      <c r="L111" s="987"/>
      <c r="M111" s="1026"/>
      <c r="N111" s="987"/>
      <c r="O111" s="987"/>
      <c r="P111" s="987"/>
      <c r="Q111" s="987"/>
      <c r="R111" s="987"/>
      <c r="S111" s="987"/>
      <c r="T111" s="988"/>
      <c r="U111" s="1067" t="s">
        <v>1307</v>
      </c>
      <c r="V111" s="1068" t="s">
        <v>2557</v>
      </c>
      <c r="W111" s="1068" t="s">
        <v>2217</v>
      </c>
      <c r="X111" s="1069" t="s">
        <v>2561</v>
      </c>
      <c r="Y111" s="1070" t="s">
        <v>2562</v>
      </c>
      <c r="Z111" s="1071" t="s">
        <v>2563</v>
      </c>
      <c r="AA111" s="1072">
        <v>0.5</v>
      </c>
      <c r="AB111" s="1073">
        <v>0.5</v>
      </c>
      <c r="AC111" s="1073" t="s">
        <v>2260</v>
      </c>
      <c r="AD111" s="1073" t="s">
        <v>2260</v>
      </c>
      <c r="AE111" s="1073" t="s">
        <v>2260</v>
      </c>
      <c r="AF111" s="1073" t="s">
        <v>2260</v>
      </c>
      <c r="AG111" s="1073" t="s">
        <v>2260</v>
      </c>
      <c r="AH111" s="1073" t="s">
        <v>2260</v>
      </c>
      <c r="AI111" s="1074">
        <f t="shared" si="1"/>
        <v>1</v>
      </c>
      <c r="AJ111" s="1075" t="s">
        <v>1852</v>
      </c>
      <c r="AK111" s="1075" t="s">
        <v>1826</v>
      </c>
      <c r="AL111" s="1075" t="s">
        <v>1827</v>
      </c>
      <c r="AM111" s="1076" t="s">
        <v>2421</v>
      </c>
      <c r="AN111" s="987" t="s">
        <v>439</v>
      </c>
      <c r="AO111" s="987" t="s">
        <v>4423</v>
      </c>
      <c r="AP111" s="1285">
        <v>0</v>
      </c>
      <c r="AQ111" s="1045" t="s">
        <v>1838</v>
      </c>
      <c r="AR111" s="1078"/>
      <c r="AS111" s="1079"/>
      <c r="AT111" s="1069"/>
      <c r="AU111" s="1069"/>
      <c r="AV111" s="1069"/>
      <c r="AW111" s="1080"/>
      <c r="AX111" s="1081"/>
      <c r="AY111" s="1044"/>
      <c r="AZ111" s="1045"/>
      <c r="BA111" s="1045"/>
      <c r="BB111" s="1045"/>
      <c r="BC111" s="1045"/>
      <c r="BD111" s="1045"/>
      <c r="BE111" s="1045"/>
      <c r="BF111" s="1045"/>
      <c r="BG111" s="1095"/>
      <c r="BH111" s="1095"/>
      <c r="BI111" s="1660"/>
      <c r="BJ111" s="1661"/>
      <c r="BK111" s="1661"/>
      <c r="BL111" s="1661"/>
      <c r="BM111" s="1661"/>
      <c r="BN111" s="1044"/>
      <c r="BO111" s="1045"/>
      <c r="BP111" s="1045"/>
      <c r="BQ111" s="1045"/>
      <c r="BR111" s="1045"/>
      <c r="BS111" s="1084"/>
      <c r="BT111" s="1045"/>
      <c r="BU111" s="1045"/>
      <c r="BV111" s="1045"/>
      <c r="BW111" s="1085"/>
      <c r="BX111" s="1084"/>
      <c r="BY111" s="1045"/>
      <c r="BZ111" s="1045"/>
      <c r="CA111" s="1045"/>
      <c r="CB111" s="1085"/>
      <c r="CC111" s="1086"/>
      <c r="CD111" s="1327"/>
      <c r="CE111" s="1328"/>
      <c r="CF111" s="1328"/>
      <c r="CG111" s="1328"/>
      <c r="CH111" s="1389"/>
      <c r="CI111" s="1369"/>
      <c r="CJ111" s="1319"/>
      <c r="CK111" s="1319"/>
      <c r="CL111" s="1319"/>
      <c r="CM111" s="1320"/>
      <c r="CN111" s="1369"/>
      <c r="CO111" s="1319"/>
      <c r="CP111" s="1319"/>
      <c r="CQ111" s="1319"/>
      <c r="CR111" s="1320"/>
      <c r="CS111" s="1369"/>
      <c r="CT111" s="1319"/>
      <c r="CU111" s="1319"/>
      <c r="CV111" s="1319"/>
      <c r="CW111" s="1320"/>
      <c r="CX111" s="1369"/>
      <c r="CY111" s="1319"/>
      <c r="CZ111" s="1319"/>
      <c r="DA111" s="1319"/>
      <c r="DB111" s="1320"/>
      <c r="DC111" s="1319"/>
      <c r="DD111" s="1319"/>
      <c r="DE111" s="1319"/>
      <c r="DF111" s="1319"/>
      <c r="DG111" s="1320"/>
      <c r="DH111" s="1369"/>
      <c r="DI111" s="1319"/>
      <c r="DJ111" s="1319"/>
      <c r="DK111" s="1319"/>
      <c r="DL111" s="1320"/>
      <c r="DM111" s="1743"/>
      <c r="DN111" s="1744"/>
      <c r="DO111" s="1744"/>
      <c r="DP111" s="1745"/>
      <c r="DQ111" s="1744"/>
      <c r="DR111" s="1744"/>
      <c r="DS111" s="1744"/>
      <c r="DT111" s="1745"/>
      <c r="DU111" s="1328"/>
      <c r="DV111" s="1664"/>
      <c r="DW111" s="1746"/>
    </row>
    <row r="112" spans="1:127" s="382" customFormat="1" ht="15.75" customHeight="1">
      <c r="A112" s="1066" t="s">
        <v>1130</v>
      </c>
      <c r="B112" s="1026">
        <v>103</v>
      </c>
      <c r="C112" s="987"/>
      <c r="D112" s="987"/>
      <c r="E112" s="987"/>
      <c r="F112" s="987"/>
      <c r="G112" s="987"/>
      <c r="H112" s="987"/>
      <c r="I112" s="987"/>
      <c r="J112" s="987"/>
      <c r="K112" s="987"/>
      <c r="L112" s="987"/>
      <c r="M112" s="1026"/>
      <c r="N112" s="987"/>
      <c r="O112" s="987"/>
      <c r="P112" s="987"/>
      <c r="Q112" s="987"/>
      <c r="R112" s="987"/>
      <c r="S112" s="987"/>
      <c r="T112" s="988"/>
      <c r="U112" s="1067" t="s">
        <v>1324</v>
      </c>
      <c r="V112" s="1068" t="s">
        <v>2557</v>
      </c>
      <c r="W112" s="1068" t="s">
        <v>2231</v>
      </c>
      <c r="X112" s="1069" t="s">
        <v>2565</v>
      </c>
      <c r="Y112" s="1070" t="s">
        <v>2566</v>
      </c>
      <c r="Z112" s="1071" t="s">
        <v>2567</v>
      </c>
      <c r="AA112" s="1072" t="s">
        <v>2260</v>
      </c>
      <c r="AB112" s="1073">
        <v>1</v>
      </c>
      <c r="AC112" s="1073" t="s">
        <v>2260</v>
      </c>
      <c r="AD112" s="1073" t="s">
        <v>2260</v>
      </c>
      <c r="AE112" s="1073" t="s">
        <v>2260</v>
      </c>
      <c r="AF112" s="1073" t="s">
        <v>2260</v>
      </c>
      <c r="AG112" s="1073" t="s">
        <v>2260</v>
      </c>
      <c r="AH112" s="1073" t="s">
        <v>2260</v>
      </c>
      <c r="AI112" s="1074">
        <f t="shared" si="1"/>
        <v>1</v>
      </c>
      <c r="AJ112" s="1075" t="s">
        <v>1852</v>
      </c>
      <c r="AK112" s="1075" t="s">
        <v>1826</v>
      </c>
      <c r="AL112" s="1075" t="s">
        <v>1827</v>
      </c>
      <c r="AM112" s="1076" t="s">
        <v>2568</v>
      </c>
      <c r="AN112" s="987" t="s">
        <v>1857</v>
      </c>
      <c r="AO112" s="987" t="s">
        <v>2569</v>
      </c>
      <c r="AP112" s="1285">
        <v>0</v>
      </c>
      <c r="AQ112" s="1045" t="s">
        <v>1828</v>
      </c>
      <c r="AR112" s="1078" t="s">
        <v>2260</v>
      </c>
      <c r="AS112" s="1079"/>
      <c r="AT112" s="1069"/>
      <c r="AU112" s="1069"/>
      <c r="AV112" s="1069"/>
      <c r="AW112" s="1080"/>
      <c r="AX112" s="1081"/>
      <c r="AY112" s="1044"/>
      <c r="AZ112" s="1045"/>
      <c r="BA112" s="1045"/>
      <c r="BB112" s="1045"/>
      <c r="BC112" s="1045"/>
      <c r="BD112" s="1045"/>
      <c r="BE112" s="1045"/>
      <c r="BF112" s="1045"/>
      <c r="BG112" s="1045"/>
      <c r="BH112" s="1045"/>
      <c r="BI112" s="1369"/>
      <c r="BJ112" s="1319"/>
      <c r="BK112" s="1319"/>
      <c r="BL112" s="1319"/>
      <c r="BM112" s="1319"/>
      <c r="BN112" s="1044"/>
      <c r="BO112" s="1045"/>
      <c r="BP112" s="1045"/>
      <c r="BQ112" s="1045"/>
      <c r="BR112" s="1045"/>
      <c r="BS112" s="1084"/>
      <c r="BT112" s="1045"/>
      <c r="BU112" s="1045"/>
      <c r="BV112" s="1045"/>
      <c r="BW112" s="1085"/>
      <c r="BX112" s="1084"/>
      <c r="BY112" s="1045"/>
      <c r="BZ112" s="1045"/>
      <c r="CA112" s="1045"/>
      <c r="CB112" s="1085"/>
      <c r="CC112" s="1086"/>
      <c r="CD112" s="1327"/>
      <c r="CE112" s="1328"/>
      <c r="CF112" s="1328"/>
      <c r="CG112" s="1328"/>
      <c r="CH112" s="1389"/>
      <c r="CI112" s="1369"/>
      <c r="CJ112" s="1319"/>
      <c r="CK112" s="1319"/>
      <c r="CL112" s="1319"/>
      <c r="CM112" s="1320"/>
      <c r="CN112" s="1369"/>
      <c r="CO112" s="1319"/>
      <c r="CP112" s="1319"/>
      <c r="CQ112" s="1319"/>
      <c r="CR112" s="1320"/>
      <c r="CS112" s="1369"/>
      <c r="CT112" s="1319"/>
      <c r="CU112" s="1319"/>
      <c r="CV112" s="1319"/>
      <c r="CW112" s="1320"/>
      <c r="CX112" s="1369"/>
      <c r="CY112" s="1319"/>
      <c r="CZ112" s="1319"/>
      <c r="DA112" s="1319"/>
      <c r="DB112" s="1320"/>
      <c r="DC112" s="1319"/>
      <c r="DD112" s="1319"/>
      <c r="DE112" s="1319"/>
      <c r="DF112" s="1319"/>
      <c r="DG112" s="1320"/>
      <c r="DH112" s="1369"/>
      <c r="DI112" s="1319"/>
      <c r="DJ112" s="1319"/>
      <c r="DK112" s="1319"/>
      <c r="DL112" s="1320"/>
      <c r="DM112" s="1743"/>
      <c r="DN112" s="1744"/>
      <c r="DO112" s="1744"/>
      <c r="DP112" s="1745"/>
      <c r="DQ112" s="1744"/>
      <c r="DR112" s="1744"/>
      <c r="DS112" s="1744"/>
      <c r="DT112" s="1745"/>
      <c r="DU112" s="1328"/>
      <c r="DV112" s="1664"/>
      <c r="DW112" s="1746"/>
    </row>
    <row r="113" spans="1:127" s="382" customFormat="1" ht="15.75" customHeight="1">
      <c r="A113" s="1066" t="s">
        <v>1130</v>
      </c>
      <c r="B113" s="1026">
        <v>104</v>
      </c>
      <c r="C113" s="987"/>
      <c r="D113" s="987"/>
      <c r="E113" s="987"/>
      <c r="F113" s="987"/>
      <c r="G113" s="987"/>
      <c r="H113" s="987"/>
      <c r="I113" s="987"/>
      <c r="J113" s="987"/>
      <c r="K113" s="987"/>
      <c r="L113" s="987"/>
      <c r="M113" s="1026"/>
      <c r="N113" s="987"/>
      <c r="O113" s="987"/>
      <c r="P113" s="987"/>
      <c r="Q113" s="987"/>
      <c r="R113" s="987"/>
      <c r="S113" s="987"/>
      <c r="T113" s="988"/>
      <c r="U113" s="1067" t="s">
        <v>1132</v>
      </c>
      <c r="V113" s="1068" t="s">
        <v>2570</v>
      </c>
      <c r="W113" s="1068" t="s">
        <v>2217</v>
      </c>
      <c r="X113" s="1069" t="s">
        <v>2571</v>
      </c>
      <c r="Y113" s="1070" t="s">
        <v>179</v>
      </c>
      <c r="Z113" s="1071" t="s">
        <v>2572</v>
      </c>
      <c r="AA113" s="1072">
        <v>0.5</v>
      </c>
      <c r="AB113" s="1073">
        <v>0.5</v>
      </c>
      <c r="AC113" s="1073" t="s">
        <v>2260</v>
      </c>
      <c r="AD113" s="1073" t="s">
        <v>2260</v>
      </c>
      <c r="AE113" s="1073" t="s">
        <v>2260</v>
      </c>
      <c r="AF113" s="1073" t="s">
        <v>2260</v>
      </c>
      <c r="AG113" s="1073" t="s">
        <v>2260</v>
      </c>
      <c r="AH113" s="1073" t="s">
        <v>2260</v>
      </c>
      <c r="AI113" s="1074">
        <f t="shared" si="1"/>
        <v>1</v>
      </c>
      <c r="AJ113" s="1075" t="s">
        <v>1846</v>
      </c>
      <c r="AK113" s="1075" t="s">
        <v>1826</v>
      </c>
      <c r="AL113" s="1075" t="s">
        <v>1827</v>
      </c>
      <c r="AM113" s="1076" t="s">
        <v>2220</v>
      </c>
      <c r="AN113" s="987" t="s">
        <v>4414</v>
      </c>
      <c r="AO113" s="987" t="s">
        <v>4415</v>
      </c>
      <c r="AP113" s="2076">
        <v>0</v>
      </c>
      <c r="AQ113" s="1045" t="s">
        <v>1838</v>
      </c>
      <c r="AR113" s="1078" t="s">
        <v>179</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210</v>
      </c>
      <c r="CE113" s="1088" t="s">
        <v>210</v>
      </c>
      <c r="CF113" s="1088" t="s">
        <v>210</v>
      </c>
      <c r="CG113" s="1088" t="s">
        <v>210</v>
      </c>
      <c r="CH113" s="1089" t="s">
        <v>210</v>
      </c>
      <c r="CI113" s="1118" t="s">
        <v>2260</v>
      </c>
      <c r="CJ113" s="1119" t="s">
        <v>2260</v>
      </c>
      <c r="CK113" s="1119" t="s">
        <v>2260</v>
      </c>
      <c r="CL113" s="1119" t="s">
        <v>2260</v>
      </c>
      <c r="CM113" s="1122" t="s">
        <v>2260</v>
      </c>
      <c r="CN113" s="1118">
        <v>1.5798611111111114E-2</v>
      </c>
      <c r="CO113" s="1119">
        <v>1.5798611111111114E-2</v>
      </c>
      <c r="CP113" s="1119">
        <v>1.5798611111111114E-2</v>
      </c>
      <c r="CQ113" s="1119">
        <v>1.5798611111111114E-2</v>
      </c>
      <c r="CR113" s="1122">
        <v>1.5798611111111114E-2</v>
      </c>
      <c r="CS113" s="1118" t="s">
        <v>2260</v>
      </c>
      <c r="CT113" s="1119" t="s">
        <v>2260</v>
      </c>
      <c r="CU113" s="1119" t="s">
        <v>2260</v>
      </c>
      <c r="CV113" s="1119" t="s">
        <v>2260</v>
      </c>
      <c r="CW113" s="1122" t="s">
        <v>2260</v>
      </c>
      <c r="CX113" s="1118" t="s">
        <v>2260</v>
      </c>
      <c r="CY113" s="1119" t="s">
        <v>2260</v>
      </c>
      <c r="CZ113" s="1119" t="s">
        <v>2260</v>
      </c>
      <c r="DA113" s="1119" t="s">
        <v>2260</v>
      </c>
      <c r="DB113" s="1122" t="s">
        <v>2260</v>
      </c>
      <c r="DC113" s="1119" t="s">
        <v>2260</v>
      </c>
      <c r="DD113" s="1119" t="s">
        <v>2260</v>
      </c>
      <c r="DE113" s="1119" t="s">
        <v>2260</v>
      </c>
      <c r="DF113" s="1119" t="s">
        <v>2260</v>
      </c>
      <c r="DG113" s="1122" t="s">
        <v>2260</v>
      </c>
      <c r="DH113" s="1118" t="s">
        <v>2260</v>
      </c>
      <c r="DI113" s="1119" t="s">
        <v>2260</v>
      </c>
      <c r="DJ113" s="1119" t="s">
        <v>2260</v>
      </c>
      <c r="DK113" s="1119" t="s">
        <v>2260</v>
      </c>
      <c r="DL113" s="1122" t="s">
        <v>2260</v>
      </c>
      <c r="DM113" s="1090">
        <v>-3.7999999999999999E-2</v>
      </c>
      <c r="DN113" s="1091" t="s">
        <v>2260</v>
      </c>
      <c r="DO113" s="1091" t="s">
        <v>2260</v>
      </c>
      <c r="DP113" s="1092" t="s">
        <v>2260</v>
      </c>
      <c r="DQ113" s="1091" t="s">
        <v>2260</v>
      </c>
      <c r="DR113" s="1091" t="s">
        <v>2260</v>
      </c>
      <c r="DS113" s="1091" t="s">
        <v>2260</v>
      </c>
      <c r="DT113" s="1092" t="s">
        <v>2260</v>
      </c>
      <c r="DU113" s="1088" t="s">
        <v>2260</v>
      </c>
      <c r="DV113" s="1093">
        <v>1</v>
      </c>
      <c r="DW113" s="1094" t="s">
        <v>2260</v>
      </c>
    </row>
    <row r="114" spans="1:127" s="382" customFormat="1" ht="15.75" customHeight="1">
      <c r="A114" s="1023" t="s">
        <v>1130</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1133</v>
      </c>
      <c r="V114" s="1029" t="s">
        <v>2570</v>
      </c>
      <c r="W114" s="1029" t="s">
        <v>2217</v>
      </c>
      <c r="X114" s="1030" t="s">
        <v>2574</v>
      </c>
      <c r="Y114" s="1031" t="s">
        <v>705</v>
      </c>
      <c r="Z114" s="1032" t="s">
        <v>2575</v>
      </c>
      <c r="AA114" s="1033" t="s">
        <v>2260</v>
      </c>
      <c r="AB114" s="1034">
        <v>1</v>
      </c>
      <c r="AC114" s="1034" t="s">
        <v>2260</v>
      </c>
      <c r="AD114" s="1034" t="s">
        <v>2260</v>
      </c>
      <c r="AE114" s="1034" t="s">
        <v>2260</v>
      </c>
      <c r="AF114" s="1034" t="s">
        <v>2260</v>
      </c>
      <c r="AG114" s="1034" t="s">
        <v>2260</v>
      </c>
      <c r="AH114" s="1034" t="s">
        <v>2260</v>
      </c>
      <c r="AI114" s="1035">
        <f t="shared" si="1"/>
        <v>1</v>
      </c>
      <c r="AJ114" s="1036" t="s">
        <v>1846</v>
      </c>
      <c r="AK114" s="1036" t="s">
        <v>1826</v>
      </c>
      <c r="AL114" s="1036" t="s">
        <v>1827</v>
      </c>
      <c r="AM114" s="1037" t="s">
        <v>705</v>
      </c>
      <c r="AN114" s="1031" t="s">
        <v>321</v>
      </c>
      <c r="AO114" s="1031" t="s">
        <v>4416</v>
      </c>
      <c r="AP114" s="2076">
        <v>1</v>
      </c>
      <c r="AQ114" s="802" t="s">
        <v>1828</v>
      </c>
      <c r="AR114" s="1040" t="s">
        <v>705</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210</v>
      </c>
      <c r="CE114" s="1054" t="s">
        <v>210</v>
      </c>
      <c r="CF114" s="1054" t="s">
        <v>210</v>
      </c>
      <c r="CG114" s="1054" t="s">
        <v>210</v>
      </c>
      <c r="CH114" s="1055" t="s">
        <v>210</v>
      </c>
      <c r="CI114" s="1058" t="s">
        <v>2260</v>
      </c>
      <c r="CJ114" s="1056" t="s">
        <v>2260</v>
      </c>
      <c r="CK114" s="1056" t="s">
        <v>2260</v>
      </c>
      <c r="CL114" s="1056" t="s">
        <v>2260</v>
      </c>
      <c r="CM114" s="1057" t="s">
        <v>2260</v>
      </c>
      <c r="CN114" s="1058">
        <v>-5</v>
      </c>
      <c r="CO114" s="1056">
        <v>-5</v>
      </c>
      <c r="CP114" s="1056">
        <v>-5</v>
      </c>
      <c r="CQ114" s="1056">
        <v>-5</v>
      </c>
      <c r="CR114" s="1057">
        <v>-5</v>
      </c>
      <c r="CS114" s="1048" t="s">
        <v>2260</v>
      </c>
      <c r="CT114" s="1049" t="s">
        <v>2260</v>
      </c>
      <c r="CU114" s="1049" t="s">
        <v>2260</v>
      </c>
      <c r="CV114" s="1049" t="s">
        <v>2260</v>
      </c>
      <c r="CW114" s="1052" t="s">
        <v>2260</v>
      </c>
      <c r="CX114" s="1048" t="s">
        <v>2260</v>
      </c>
      <c r="CY114" s="1049" t="s">
        <v>2260</v>
      </c>
      <c r="CZ114" s="1049" t="s">
        <v>2260</v>
      </c>
      <c r="DA114" s="1049" t="s">
        <v>2260</v>
      </c>
      <c r="DB114" s="1052" t="s">
        <v>2260</v>
      </c>
      <c r="DC114" s="1120" t="s">
        <v>2260</v>
      </c>
      <c r="DD114" s="1049" t="s">
        <v>2260</v>
      </c>
      <c r="DE114" s="1049" t="s">
        <v>2260</v>
      </c>
      <c r="DF114" s="1049" t="s">
        <v>2260</v>
      </c>
      <c r="DG114" s="1052" t="s">
        <v>2260</v>
      </c>
      <c r="DH114" s="1058" t="s">
        <v>2260</v>
      </c>
      <c r="DI114" s="1049" t="s">
        <v>2260</v>
      </c>
      <c r="DJ114" s="1049" t="s">
        <v>2260</v>
      </c>
      <c r="DK114" s="1049" t="s">
        <v>2260</v>
      </c>
      <c r="DL114" s="1052" t="s">
        <v>2260</v>
      </c>
      <c r="DM114" s="1060">
        <v>-0.10199999999999999</v>
      </c>
      <c r="DN114" s="1061" t="s">
        <v>2260</v>
      </c>
      <c r="DO114" s="1061" t="s">
        <v>2260</v>
      </c>
      <c r="DP114" s="1062" t="s">
        <v>2260</v>
      </c>
      <c r="DQ114" s="1061" t="s">
        <v>2260</v>
      </c>
      <c r="DR114" s="1061" t="s">
        <v>2260</v>
      </c>
      <c r="DS114" s="1061" t="s">
        <v>2260</v>
      </c>
      <c r="DT114" s="1062" t="s">
        <v>2260</v>
      </c>
      <c r="DU114" s="1054" t="s">
        <v>2260</v>
      </c>
      <c r="DV114" s="1063">
        <v>1</v>
      </c>
      <c r="DW114" s="1064" t="s">
        <v>2260</v>
      </c>
    </row>
    <row r="115" spans="1:127" s="382" customFormat="1" ht="15.75" customHeight="1">
      <c r="A115" s="1023" t="s">
        <v>1130</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1134</v>
      </c>
      <c r="V115" s="1029" t="s">
        <v>2570</v>
      </c>
      <c r="W115" s="1029" t="s">
        <v>2217</v>
      </c>
      <c r="X115" s="1030" t="s">
        <v>2576</v>
      </c>
      <c r="Y115" s="1031" t="s">
        <v>1084</v>
      </c>
      <c r="Z115" s="1032" t="s">
        <v>2577</v>
      </c>
      <c r="AA115" s="1033">
        <v>0.5</v>
      </c>
      <c r="AB115" s="1034">
        <v>0.5</v>
      </c>
      <c r="AC115" s="1034" t="s">
        <v>2260</v>
      </c>
      <c r="AD115" s="1034" t="s">
        <v>2260</v>
      </c>
      <c r="AE115" s="1034" t="s">
        <v>2260</v>
      </c>
      <c r="AF115" s="1034" t="s">
        <v>2260</v>
      </c>
      <c r="AG115" s="1034" t="s">
        <v>2260</v>
      </c>
      <c r="AH115" s="1034" t="s">
        <v>2260</v>
      </c>
      <c r="AI115" s="1035">
        <f t="shared" si="1"/>
        <v>1</v>
      </c>
      <c r="AJ115" s="1036" t="s">
        <v>1846</v>
      </c>
      <c r="AK115" s="1036" t="s">
        <v>1826</v>
      </c>
      <c r="AL115" s="1389" t="s">
        <v>1837</v>
      </c>
      <c r="AM115" s="1037" t="s">
        <v>2348</v>
      </c>
      <c r="AN115" s="1031" t="s">
        <v>2397</v>
      </c>
      <c r="AO115" s="1031" t="s">
        <v>4416</v>
      </c>
      <c r="AP115" s="2076">
        <v>1</v>
      </c>
      <c r="AQ115" s="802" t="s">
        <v>1828</v>
      </c>
      <c r="AR115" s="1040" t="s">
        <v>1084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210</v>
      </c>
      <c r="CE115" s="1054" t="s">
        <v>210</v>
      </c>
      <c r="CF115" s="1054" t="s">
        <v>210</v>
      </c>
      <c r="CG115" s="1054" t="s">
        <v>210</v>
      </c>
      <c r="CH115" s="1055" t="s">
        <v>210</v>
      </c>
      <c r="CI115" s="1058" t="s">
        <v>2260</v>
      </c>
      <c r="CJ115" s="1056" t="s">
        <v>2260</v>
      </c>
      <c r="CK115" s="1056" t="s">
        <v>2260</v>
      </c>
      <c r="CL115" s="1056" t="s">
        <v>2260</v>
      </c>
      <c r="CM115" s="1057" t="s">
        <v>2260</v>
      </c>
      <c r="CN115" s="1058" t="s">
        <v>2260</v>
      </c>
      <c r="CO115" s="1056" t="s">
        <v>2260</v>
      </c>
      <c r="CP115" s="1056" t="s">
        <v>2260</v>
      </c>
      <c r="CQ115" s="1056" t="s">
        <v>2260</v>
      </c>
      <c r="CR115" s="1057" t="s">
        <v>2260</v>
      </c>
      <c r="CS115" s="1048" t="s">
        <v>2260</v>
      </c>
      <c r="CT115" s="1049" t="s">
        <v>2260</v>
      </c>
      <c r="CU115" s="1049" t="s">
        <v>2260</v>
      </c>
      <c r="CV115" s="1049" t="s">
        <v>2260</v>
      </c>
      <c r="CW115" s="1052" t="s">
        <v>2260</v>
      </c>
      <c r="CX115" s="1048" t="s">
        <v>2260</v>
      </c>
      <c r="CY115" s="1049" t="s">
        <v>2260</v>
      </c>
      <c r="CZ115" s="1049" t="s">
        <v>2260</v>
      </c>
      <c r="DA115" s="1049" t="s">
        <v>2260</v>
      </c>
      <c r="DB115" s="1052" t="s">
        <v>2260</v>
      </c>
      <c r="DC115" s="1049" t="s">
        <v>2260</v>
      </c>
      <c r="DD115" s="1049" t="s">
        <v>2260</v>
      </c>
      <c r="DE115" s="1049" t="s">
        <v>2260</v>
      </c>
      <c r="DF115" s="1049" t="s">
        <v>2260</v>
      </c>
      <c r="DG115" s="1052" t="s">
        <v>2260</v>
      </c>
      <c r="DH115" s="1058" t="s">
        <v>2260</v>
      </c>
      <c r="DI115" s="1049" t="s">
        <v>2260</v>
      </c>
      <c r="DJ115" s="1049" t="s">
        <v>2260</v>
      </c>
      <c r="DK115" s="1049" t="s">
        <v>2260</v>
      </c>
      <c r="DL115" s="1052" t="s">
        <v>2260</v>
      </c>
      <c r="DM115" s="1060">
        <v>-1.4E-2</v>
      </c>
      <c r="DN115" s="1061" t="s">
        <v>2260</v>
      </c>
      <c r="DO115" s="1061" t="s">
        <v>2260</v>
      </c>
      <c r="DP115" s="1062" t="s">
        <v>2260</v>
      </c>
      <c r="DQ115" s="1061" t="s">
        <v>2260</v>
      </c>
      <c r="DR115" s="1061" t="s">
        <v>2260</v>
      </c>
      <c r="DS115" s="1061" t="s">
        <v>2260</v>
      </c>
      <c r="DT115" s="1062" t="s">
        <v>2260</v>
      </c>
      <c r="DU115" s="1054" t="s">
        <v>2260</v>
      </c>
      <c r="DV115" s="1063">
        <v>1</v>
      </c>
      <c r="DW115" s="1064" t="s">
        <v>2260</v>
      </c>
    </row>
    <row r="116" spans="1:127" s="382" customFormat="1" ht="15.75" customHeight="1">
      <c r="A116" s="1066" t="s">
        <v>1130</v>
      </c>
      <c r="B116" s="1026">
        <v>107</v>
      </c>
      <c r="C116" s="987"/>
      <c r="D116" s="987"/>
      <c r="E116" s="987"/>
      <c r="F116" s="987"/>
      <c r="G116" s="987"/>
      <c r="H116" s="987"/>
      <c r="I116" s="987"/>
      <c r="J116" s="987"/>
      <c r="K116" s="987"/>
      <c r="L116" s="987"/>
      <c r="M116" s="1026"/>
      <c r="N116" s="987"/>
      <c r="O116" s="987"/>
      <c r="P116" s="987"/>
      <c r="Q116" s="987"/>
      <c r="R116" s="987"/>
      <c r="S116" s="987"/>
      <c r="T116" s="988"/>
      <c r="U116" s="1067" t="s">
        <v>1140</v>
      </c>
      <c r="V116" s="1068" t="s">
        <v>2570</v>
      </c>
      <c r="W116" s="1068" t="s">
        <v>2231</v>
      </c>
      <c r="X116" s="1069" t="s">
        <v>2579</v>
      </c>
      <c r="Y116" s="1070" t="s">
        <v>567</v>
      </c>
      <c r="Z116" s="1071" t="s">
        <v>2580</v>
      </c>
      <c r="AA116" s="1072">
        <v>1</v>
      </c>
      <c r="AB116" s="1073" t="s">
        <v>2260</v>
      </c>
      <c r="AC116" s="1073" t="s">
        <v>2260</v>
      </c>
      <c r="AD116" s="1073" t="s">
        <v>2260</v>
      </c>
      <c r="AE116" s="1073" t="s">
        <v>2260</v>
      </c>
      <c r="AF116" s="1073" t="s">
        <v>2260</v>
      </c>
      <c r="AG116" s="1073" t="s">
        <v>2260</v>
      </c>
      <c r="AH116" s="1073" t="s">
        <v>2260</v>
      </c>
      <c r="AI116" s="1074">
        <f t="shared" si="1"/>
        <v>1</v>
      </c>
      <c r="AJ116" s="1075" t="s">
        <v>1825</v>
      </c>
      <c r="AK116" s="1075" t="s">
        <v>2260</v>
      </c>
      <c r="AL116" s="1075" t="s">
        <v>2260</v>
      </c>
      <c r="AM116" s="1076" t="s">
        <v>2234</v>
      </c>
      <c r="AN116" s="987" t="s">
        <v>321</v>
      </c>
      <c r="AO116" s="987" t="s">
        <v>4417</v>
      </c>
      <c r="AP116" s="2076">
        <v>1</v>
      </c>
      <c r="AQ116" s="1045" t="s">
        <v>1838</v>
      </c>
      <c r="AR116" s="1078" t="s">
        <v>567</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2260</v>
      </c>
      <c r="CE116" s="1088" t="s">
        <v>2260</v>
      </c>
      <c r="CF116" s="1088" t="s">
        <v>2260</v>
      </c>
      <c r="CG116" s="1088" t="s">
        <v>2260</v>
      </c>
      <c r="CH116" s="1089" t="s">
        <v>2260</v>
      </c>
      <c r="CI116" s="1044" t="s">
        <v>2260</v>
      </c>
      <c r="CJ116" s="1045" t="s">
        <v>2260</v>
      </c>
      <c r="CK116" s="1045" t="s">
        <v>2260</v>
      </c>
      <c r="CL116" s="1045" t="s">
        <v>2260</v>
      </c>
      <c r="CM116" s="1086" t="s">
        <v>2260</v>
      </c>
      <c r="CN116" s="1044" t="s">
        <v>2260</v>
      </c>
      <c r="CO116" s="1045" t="s">
        <v>2260</v>
      </c>
      <c r="CP116" s="1045" t="s">
        <v>2260</v>
      </c>
      <c r="CQ116" s="1045" t="s">
        <v>2260</v>
      </c>
      <c r="CR116" s="1086" t="s">
        <v>2260</v>
      </c>
      <c r="CS116" s="1044" t="s">
        <v>2260</v>
      </c>
      <c r="CT116" s="1045" t="s">
        <v>2260</v>
      </c>
      <c r="CU116" s="1045" t="s">
        <v>2260</v>
      </c>
      <c r="CV116" s="1045" t="s">
        <v>2260</v>
      </c>
      <c r="CW116" s="1086" t="s">
        <v>2260</v>
      </c>
      <c r="CX116" s="1044" t="s">
        <v>2260</v>
      </c>
      <c r="CY116" s="1045" t="s">
        <v>2260</v>
      </c>
      <c r="CZ116" s="1045" t="s">
        <v>2260</v>
      </c>
      <c r="DA116" s="1045" t="s">
        <v>2260</v>
      </c>
      <c r="DB116" s="1086" t="s">
        <v>2260</v>
      </c>
      <c r="DC116" s="1045" t="s">
        <v>2260</v>
      </c>
      <c r="DD116" s="1045" t="s">
        <v>2260</v>
      </c>
      <c r="DE116" s="1045" t="s">
        <v>2260</v>
      </c>
      <c r="DF116" s="1045" t="s">
        <v>2260</v>
      </c>
      <c r="DG116" s="1086" t="s">
        <v>2260</v>
      </c>
      <c r="DH116" s="1044" t="s">
        <v>2260</v>
      </c>
      <c r="DI116" s="1045" t="s">
        <v>2260</v>
      </c>
      <c r="DJ116" s="1045" t="s">
        <v>2260</v>
      </c>
      <c r="DK116" s="1045" t="s">
        <v>2260</v>
      </c>
      <c r="DL116" s="1086" t="s">
        <v>2260</v>
      </c>
      <c r="DM116" s="1090" t="s">
        <v>2260</v>
      </c>
      <c r="DN116" s="1091" t="s">
        <v>2260</v>
      </c>
      <c r="DO116" s="1091" t="s">
        <v>2260</v>
      </c>
      <c r="DP116" s="1092" t="s">
        <v>2260</v>
      </c>
      <c r="DQ116" s="1091" t="s">
        <v>2260</v>
      </c>
      <c r="DR116" s="1091" t="s">
        <v>2260</v>
      </c>
      <c r="DS116" s="1091" t="s">
        <v>2260</v>
      </c>
      <c r="DT116" s="1092" t="s">
        <v>2260</v>
      </c>
      <c r="DU116" s="1088" t="s">
        <v>2260</v>
      </c>
      <c r="DV116" s="1093">
        <v>1</v>
      </c>
      <c r="DW116" s="1094" t="s">
        <v>2260</v>
      </c>
    </row>
    <row r="117" spans="1:127" s="382" customFormat="1" ht="15.75" customHeight="1">
      <c r="A117" s="1066" t="s">
        <v>1130</v>
      </c>
      <c r="B117" s="1026">
        <v>108</v>
      </c>
      <c r="C117" s="987"/>
      <c r="D117" s="987"/>
      <c r="E117" s="987"/>
      <c r="F117" s="987"/>
      <c r="G117" s="987"/>
      <c r="H117" s="987"/>
      <c r="I117" s="987"/>
      <c r="J117" s="987"/>
      <c r="K117" s="987"/>
      <c r="L117" s="987"/>
      <c r="M117" s="1026"/>
      <c r="N117" s="987"/>
      <c r="O117" s="987"/>
      <c r="P117" s="987"/>
      <c r="Q117" s="987"/>
      <c r="R117" s="987"/>
      <c r="S117" s="987"/>
      <c r="T117" s="988"/>
      <c r="U117" s="1067" t="s">
        <v>1135</v>
      </c>
      <c r="V117" s="1068" t="s">
        <v>2570</v>
      </c>
      <c r="W117" s="1068" t="s">
        <v>2217</v>
      </c>
      <c r="X117" s="1069" t="s">
        <v>2582</v>
      </c>
      <c r="Y117" s="1070" t="s">
        <v>203</v>
      </c>
      <c r="Z117" s="1071" t="s">
        <v>2583</v>
      </c>
      <c r="AA117" s="1072" t="s">
        <v>2260</v>
      </c>
      <c r="AB117" s="1073">
        <v>1</v>
      </c>
      <c r="AC117" s="1073" t="s">
        <v>2260</v>
      </c>
      <c r="AD117" s="1073" t="s">
        <v>2260</v>
      </c>
      <c r="AE117" s="1073" t="s">
        <v>2260</v>
      </c>
      <c r="AF117" s="1073" t="s">
        <v>2260</v>
      </c>
      <c r="AG117" s="1073" t="s">
        <v>2260</v>
      </c>
      <c r="AH117" s="1073" t="s">
        <v>2260</v>
      </c>
      <c r="AI117" s="1074">
        <f t="shared" si="1"/>
        <v>1</v>
      </c>
      <c r="AJ117" s="1075" t="s">
        <v>1846</v>
      </c>
      <c r="AK117" s="1075" t="s">
        <v>1826</v>
      </c>
      <c r="AL117" s="1075" t="s">
        <v>1827</v>
      </c>
      <c r="AM117" s="1076" t="s">
        <v>2363</v>
      </c>
      <c r="AN117" s="987" t="s">
        <v>2439</v>
      </c>
      <c r="AO117" s="987" t="s">
        <v>4419</v>
      </c>
      <c r="AP117" s="2076">
        <v>1</v>
      </c>
      <c r="AQ117" s="1045" t="s">
        <v>1838</v>
      </c>
      <c r="AR117" s="1078" t="s">
        <v>203</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210</v>
      </c>
      <c r="CE117" s="1088" t="s">
        <v>210</v>
      </c>
      <c r="CF117" s="1088" t="s">
        <v>210</v>
      </c>
      <c r="CG117" s="1088" t="s">
        <v>210</v>
      </c>
      <c r="CH117" s="1089" t="s">
        <v>210</v>
      </c>
      <c r="CI117" s="1044" t="s">
        <v>2260</v>
      </c>
      <c r="CJ117" s="1045" t="s">
        <v>2260</v>
      </c>
      <c r="CK117" s="1045" t="s">
        <v>2260</v>
      </c>
      <c r="CL117" s="1045" t="s">
        <v>2260</v>
      </c>
      <c r="CM117" s="1086" t="s">
        <v>2260</v>
      </c>
      <c r="CN117" s="1044" t="s">
        <v>2260</v>
      </c>
      <c r="CO117" s="1045" t="s">
        <v>2260</v>
      </c>
      <c r="CP117" s="1045" t="s">
        <v>2260</v>
      </c>
      <c r="CQ117" s="1045" t="s">
        <v>2260</v>
      </c>
      <c r="CR117" s="1086" t="s">
        <v>2260</v>
      </c>
      <c r="CS117" s="1044" t="s">
        <v>2260</v>
      </c>
      <c r="CT117" s="1045" t="s">
        <v>2260</v>
      </c>
      <c r="CU117" s="1045" t="s">
        <v>2260</v>
      </c>
      <c r="CV117" s="1045" t="s">
        <v>2260</v>
      </c>
      <c r="CW117" s="1086" t="s">
        <v>2260</v>
      </c>
      <c r="CX117" s="1044" t="s">
        <v>2260</v>
      </c>
      <c r="CY117" s="1045" t="s">
        <v>2260</v>
      </c>
      <c r="CZ117" s="1045" t="s">
        <v>2260</v>
      </c>
      <c r="DA117" s="1045" t="s">
        <v>2260</v>
      </c>
      <c r="DB117" s="1086" t="s">
        <v>2260</v>
      </c>
      <c r="DC117" s="1045" t="s">
        <v>2260</v>
      </c>
      <c r="DD117" s="1045" t="s">
        <v>2260</v>
      </c>
      <c r="DE117" s="1045" t="s">
        <v>2260</v>
      </c>
      <c r="DF117" s="1045" t="s">
        <v>2260</v>
      </c>
      <c r="DG117" s="1086" t="s">
        <v>2260</v>
      </c>
      <c r="DH117" s="1044" t="s">
        <v>2260</v>
      </c>
      <c r="DI117" s="1045" t="s">
        <v>2260</v>
      </c>
      <c r="DJ117" s="1045" t="s">
        <v>2260</v>
      </c>
      <c r="DK117" s="1045" t="s">
        <v>2260</v>
      </c>
      <c r="DL117" s="1086" t="s">
        <v>2260</v>
      </c>
      <c r="DM117" s="1090">
        <v>-7.0000000000000001E-3</v>
      </c>
      <c r="DN117" s="1091" t="s">
        <v>2260</v>
      </c>
      <c r="DO117" s="1091" t="s">
        <v>2260</v>
      </c>
      <c r="DP117" s="1092" t="s">
        <v>2260</v>
      </c>
      <c r="DQ117" s="1091" t="s">
        <v>2260</v>
      </c>
      <c r="DR117" s="1091" t="s">
        <v>2260</v>
      </c>
      <c r="DS117" s="1091" t="s">
        <v>2260</v>
      </c>
      <c r="DT117" s="1092" t="s">
        <v>2260</v>
      </c>
      <c r="DU117" s="1088" t="s">
        <v>2260</v>
      </c>
      <c r="DV117" s="1093">
        <v>1</v>
      </c>
      <c r="DW117" s="1094" t="s">
        <v>2260</v>
      </c>
    </row>
    <row r="118" spans="1:127" s="382" customFormat="1" ht="15.75" customHeight="1">
      <c r="A118" s="1066" t="s">
        <v>1130</v>
      </c>
      <c r="B118" s="1026">
        <v>109</v>
      </c>
      <c r="C118" s="987"/>
      <c r="D118" s="987"/>
      <c r="E118" s="987"/>
      <c r="F118" s="987"/>
      <c r="G118" s="987"/>
      <c r="H118" s="987"/>
      <c r="I118" s="987"/>
      <c r="J118" s="987"/>
      <c r="K118" s="987"/>
      <c r="L118" s="987"/>
      <c r="M118" s="1026"/>
      <c r="N118" s="987"/>
      <c r="O118" s="987"/>
      <c r="P118" s="987"/>
      <c r="Q118" s="987"/>
      <c r="R118" s="987"/>
      <c r="S118" s="987"/>
      <c r="T118" s="988"/>
      <c r="U118" s="1067" t="s">
        <v>1136</v>
      </c>
      <c r="V118" s="1068" t="s">
        <v>2570</v>
      </c>
      <c r="W118" s="1068" t="s">
        <v>2231</v>
      </c>
      <c r="X118" s="1069" t="s">
        <v>2585</v>
      </c>
      <c r="Y118" s="1070" t="s">
        <v>209</v>
      </c>
      <c r="Z118" s="1071" t="s">
        <v>2586</v>
      </c>
      <c r="AA118" s="1072">
        <v>0.5</v>
      </c>
      <c r="AB118" s="1073">
        <v>0.5</v>
      </c>
      <c r="AC118" s="1073" t="s">
        <v>2260</v>
      </c>
      <c r="AD118" s="1073" t="s">
        <v>2260</v>
      </c>
      <c r="AE118" s="1073" t="s">
        <v>2260</v>
      </c>
      <c r="AF118" s="1073" t="s">
        <v>2260</v>
      </c>
      <c r="AG118" s="1073" t="s">
        <v>2260</v>
      </c>
      <c r="AH118" s="1073" t="s">
        <v>2260</v>
      </c>
      <c r="AI118" s="1074">
        <f t="shared" si="1"/>
        <v>1</v>
      </c>
      <c r="AJ118" s="1075" t="s">
        <v>1846</v>
      </c>
      <c r="AK118" s="1075" t="s">
        <v>1826</v>
      </c>
      <c r="AL118" s="1075" t="s">
        <v>1827</v>
      </c>
      <c r="AM118" s="1076" t="s">
        <v>2238</v>
      </c>
      <c r="AN118" s="987" t="s">
        <v>321</v>
      </c>
      <c r="AO118" s="987" t="s">
        <v>4418</v>
      </c>
      <c r="AP118" s="2076">
        <v>2</v>
      </c>
      <c r="AQ118" s="1045" t="s">
        <v>1838</v>
      </c>
      <c r="AR118" s="1078" t="s">
        <v>209</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210</v>
      </c>
      <c r="CE118" s="1088" t="s">
        <v>210</v>
      </c>
      <c r="CF118" s="1088" t="s">
        <v>210</v>
      </c>
      <c r="CG118" s="1088" t="s">
        <v>210</v>
      </c>
      <c r="CH118" s="1089" t="s">
        <v>210</v>
      </c>
      <c r="CI118" s="1044" t="s">
        <v>2260</v>
      </c>
      <c r="CJ118" s="1045" t="s">
        <v>2260</v>
      </c>
      <c r="CK118" s="1045" t="s">
        <v>2260</v>
      </c>
      <c r="CL118" s="1045" t="s">
        <v>2260</v>
      </c>
      <c r="CM118" s="1086" t="s">
        <v>2260</v>
      </c>
      <c r="CN118" s="1044">
        <v>4.68</v>
      </c>
      <c r="CO118" s="1045">
        <v>4.68</v>
      </c>
      <c r="CP118" s="1045">
        <v>4.68</v>
      </c>
      <c r="CQ118" s="1045">
        <v>4.68</v>
      </c>
      <c r="CR118" s="1086">
        <v>4.68</v>
      </c>
      <c r="CS118" s="1044" t="s">
        <v>2260</v>
      </c>
      <c r="CT118" s="1045" t="s">
        <v>2260</v>
      </c>
      <c r="CU118" s="1045" t="s">
        <v>2260</v>
      </c>
      <c r="CV118" s="1045" t="s">
        <v>2260</v>
      </c>
      <c r="CW118" s="1086" t="s">
        <v>2260</v>
      </c>
      <c r="CX118" s="1044" t="s">
        <v>2260</v>
      </c>
      <c r="CY118" s="1045" t="s">
        <v>2260</v>
      </c>
      <c r="CZ118" s="1045" t="s">
        <v>2260</v>
      </c>
      <c r="DA118" s="1045" t="s">
        <v>2260</v>
      </c>
      <c r="DB118" s="1086" t="s">
        <v>2260</v>
      </c>
      <c r="DC118" s="1045" t="s">
        <v>2260</v>
      </c>
      <c r="DD118" s="1045" t="s">
        <v>2260</v>
      </c>
      <c r="DE118" s="1045" t="s">
        <v>2260</v>
      </c>
      <c r="DF118" s="1045" t="s">
        <v>2260</v>
      </c>
      <c r="DG118" s="1086" t="s">
        <v>2260</v>
      </c>
      <c r="DH118" s="1044" t="s">
        <v>2260</v>
      </c>
      <c r="DI118" s="1045" t="s">
        <v>2260</v>
      </c>
      <c r="DJ118" s="1045" t="s">
        <v>2260</v>
      </c>
      <c r="DK118" s="1045" t="s">
        <v>2260</v>
      </c>
      <c r="DL118" s="1086" t="s">
        <v>2260</v>
      </c>
      <c r="DM118" s="1090">
        <v>-5.8999999999999997E-2</v>
      </c>
      <c r="DN118" s="1091" t="s">
        <v>2260</v>
      </c>
      <c r="DO118" s="1091" t="s">
        <v>2260</v>
      </c>
      <c r="DP118" s="1092" t="s">
        <v>2260</v>
      </c>
      <c r="DQ118" s="1091" t="s">
        <v>2260</v>
      </c>
      <c r="DR118" s="1091" t="s">
        <v>2260</v>
      </c>
      <c r="DS118" s="1091" t="s">
        <v>2260</v>
      </c>
      <c r="DT118" s="1092" t="s">
        <v>2260</v>
      </c>
      <c r="DU118" s="1088" t="s">
        <v>2260</v>
      </c>
      <c r="DV118" s="1093">
        <v>1</v>
      </c>
      <c r="DW118" s="1094" t="s">
        <v>2260</v>
      </c>
    </row>
    <row r="119" spans="1:127" s="382" customFormat="1" ht="15.75" customHeight="1">
      <c r="A119" s="1066" t="s">
        <v>1130</v>
      </c>
      <c r="B119" s="1026">
        <v>110</v>
      </c>
      <c r="C119" s="987"/>
      <c r="D119" s="987"/>
      <c r="E119" s="987"/>
      <c r="F119" s="987"/>
      <c r="G119" s="987"/>
      <c r="H119" s="987"/>
      <c r="I119" s="987"/>
      <c r="J119" s="987"/>
      <c r="K119" s="987"/>
      <c r="L119" s="987"/>
      <c r="M119" s="1026"/>
      <c r="N119" s="987"/>
      <c r="O119" s="987"/>
      <c r="P119" s="987"/>
      <c r="Q119" s="987"/>
      <c r="R119" s="987"/>
      <c r="S119" s="987"/>
      <c r="T119" s="988"/>
      <c r="U119" s="1067" t="s">
        <v>1341</v>
      </c>
      <c r="V119" s="1068" t="s">
        <v>2570</v>
      </c>
      <c r="W119" s="1068" t="s">
        <v>2217</v>
      </c>
      <c r="X119" s="1069" t="s">
        <v>2588</v>
      </c>
      <c r="Y119" s="1070" t="s">
        <v>2293</v>
      </c>
      <c r="Z119" s="1071" t="s">
        <v>2589</v>
      </c>
      <c r="AA119" s="1072" t="s">
        <v>2260</v>
      </c>
      <c r="AB119" s="1073">
        <v>1</v>
      </c>
      <c r="AC119" s="1073" t="s">
        <v>2260</v>
      </c>
      <c r="AD119" s="1073" t="s">
        <v>2260</v>
      </c>
      <c r="AE119" s="1073" t="s">
        <v>2260</v>
      </c>
      <c r="AF119" s="1073" t="s">
        <v>2260</v>
      </c>
      <c r="AG119" s="1073" t="s">
        <v>2260</v>
      </c>
      <c r="AH119" s="1073" t="s">
        <v>2260</v>
      </c>
      <c r="AI119" s="1074">
        <f t="shared" si="1"/>
        <v>1</v>
      </c>
      <c r="AJ119" s="1075" t="s">
        <v>1846</v>
      </c>
      <c r="AK119" s="1075" t="s">
        <v>1826</v>
      </c>
      <c r="AL119" s="1075" t="s">
        <v>1827</v>
      </c>
      <c r="AM119" s="1076" t="s">
        <v>2295</v>
      </c>
      <c r="AN119" s="987" t="s">
        <v>2439</v>
      </c>
      <c r="AO119" s="987" t="s">
        <v>4421</v>
      </c>
      <c r="AP119" s="1285">
        <v>0</v>
      </c>
      <c r="AQ119" s="1045" t="s">
        <v>1838</v>
      </c>
      <c r="AR119" s="1078"/>
      <c r="AS119" s="1079"/>
      <c r="AT119" s="1069"/>
      <c r="AU119" s="1069"/>
      <c r="AV119" s="1069"/>
      <c r="AW119" s="1080"/>
      <c r="AX119" s="1081"/>
      <c r="AY119" s="1044"/>
      <c r="AZ119" s="1045"/>
      <c r="BA119" s="1045"/>
      <c r="BB119" s="1045"/>
      <c r="BC119" s="1045"/>
      <c r="BD119" s="1045"/>
      <c r="BE119" s="1045"/>
      <c r="BF119" s="1045"/>
      <c r="BG119" s="1045"/>
      <c r="BH119" s="1045"/>
      <c r="BI119" s="1369"/>
      <c r="BJ119" s="1319"/>
      <c r="BK119" s="1319"/>
      <c r="BL119" s="1319"/>
      <c r="BM119" s="1319"/>
      <c r="BN119" s="1044"/>
      <c r="BO119" s="1045"/>
      <c r="BP119" s="1045"/>
      <c r="BQ119" s="1045"/>
      <c r="BR119" s="1045"/>
      <c r="BS119" s="1084"/>
      <c r="BT119" s="1045"/>
      <c r="BU119" s="1045"/>
      <c r="BV119" s="1045"/>
      <c r="BW119" s="1085"/>
      <c r="BX119" s="1084"/>
      <c r="BY119" s="1045"/>
      <c r="BZ119" s="1045"/>
      <c r="CA119" s="1045"/>
      <c r="CB119" s="1085"/>
      <c r="CC119" s="1086"/>
      <c r="CD119" s="1327"/>
      <c r="CE119" s="1328"/>
      <c r="CF119" s="1328"/>
      <c r="CG119" s="1328"/>
      <c r="CH119" s="1389"/>
      <c r="CI119" s="1369"/>
      <c r="CJ119" s="1319"/>
      <c r="CK119" s="1319"/>
      <c r="CL119" s="1319"/>
      <c r="CM119" s="1320"/>
      <c r="CN119" s="1369"/>
      <c r="CO119" s="1319"/>
      <c r="CP119" s="1319"/>
      <c r="CQ119" s="1319"/>
      <c r="CR119" s="1320"/>
      <c r="CS119" s="1369"/>
      <c r="CT119" s="1319"/>
      <c r="CU119" s="1319"/>
      <c r="CV119" s="1319"/>
      <c r="CW119" s="1320"/>
      <c r="CX119" s="1369"/>
      <c r="CY119" s="1319"/>
      <c r="CZ119" s="1319"/>
      <c r="DA119" s="1319"/>
      <c r="DB119" s="1320"/>
      <c r="DC119" s="1319"/>
      <c r="DD119" s="1319"/>
      <c r="DE119" s="1319"/>
      <c r="DF119" s="1319"/>
      <c r="DG119" s="1320"/>
      <c r="DH119" s="1369"/>
      <c r="DI119" s="1319"/>
      <c r="DJ119" s="1319"/>
      <c r="DK119" s="1319"/>
      <c r="DL119" s="1320"/>
      <c r="DM119" s="1743"/>
      <c r="DN119" s="1744"/>
      <c r="DO119" s="1744"/>
      <c r="DP119" s="1745"/>
      <c r="DQ119" s="1744"/>
      <c r="DR119" s="1744"/>
      <c r="DS119" s="1744"/>
      <c r="DT119" s="1745"/>
      <c r="DU119" s="1328"/>
      <c r="DV119" s="1664"/>
      <c r="DW119" s="1746"/>
    </row>
    <row r="120" spans="1:127" s="382" customFormat="1" ht="15.75" customHeight="1">
      <c r="A120" s="1066" t="s">
        <v>1130</v>
      </c>
      <c r="B120" s="1026">
        <v>111</v>
      </c>
      <c r="C120" s="987"/>
      <c r="D120" s="987"/>
      <c r="E120" s="987"/>
      <c r="F120" s="987"/>
      <c r="G120" s="987"/>
      <c r="H120" s="987"/>
      <c r="I120" s="987"/>
      <c r="J120" s="987"/>
      <c r="K120" s="987"/>
      <c r="L120" s="987"/>
      <c r="M120" s="1026"/>
      <c r="N120" s="987"/>
      <c r="O120" s="987"/>
      <c r="P120" s="987"/>
      <c r="Q120" s="987"/>
      <c r="R120" s="987"/>
      <c r="S120" s="987"/>
      <c r="T120" s="988"/>
      <c r="U120" s="1067" t="s">
        <v>1496</v>
      </c>
      <c r="V120" s="1068" t="s">
        <v>2591</v>
      </c>
      <c r="W120" s="1068" t="s">
        <v>2231</v>
      </c>
      <c r="X120" s="1069" t="s">
        <v>2592</v>
      </c>
      <c r="Y120" s="1070" t="s">
        <v>2080</v>
      </c>
      <c r="Z120" s="1071" t="s">
        <v>2593</v>
      </c>
      <c r="AA120" s="1072" t="s">
        <v>2260</v>
      </c>
      <c r="AB120" s="1073" t="s">
        <v>2260</v>
      </c>
      <c r="AC120" s="1073">
        <v>1</v>
      </c>
      <c r="AD120" s="1073" t="s">
        <v>2260</v>
      </c>
      <c r="AE120" s="1073" t="s">
        <v>2260</v>
      </c>
      <c r="AF120" s="1073" t="s">
        <v>2260</v>
      </c>
      <c r="AG120" s="1073" t="s">
        <v>2260</v>
      </c>
      <c r="AH120" s="1073" t="s">
        <v>2260</v>
      </c>
      <c r="AI120" s="1074">
        <f t="shared" si="1"/>
        <v>1</v>
      </c>
      <c r="AJ120" s="1075" t="s">
        <v>1852</v>
      </c>
      <c r="AK120" s="1075" t="s">
        <v>1826</v>
      </c>
      <c r="AL120" s="1075" t="s">
        <v>1837</v>
      </c>
      <c r="AM120" s="1076" t="s">
        <v>2387</v>
      </c>
      <c r="AN120" s="987" t="s">
        <v>1857</v>
      </c>
      <c r="AO120" s="987" t="s">
        <v>2594</v>
      </c>
      <c r="AP120" s="1285">
        <v>1</v>
      </c>
      <c r="AQ120" s="1045" t="s">
        <v>1828</v>
      </c>
      <c r="AR120" s="1078" t="s">
        <v>2260</v>
      </c>
      <c r="AS120" s="1079"/>
      <c r="AT120" s="1069"/>
      <c r="AU120" s="1069"/>
      <c r="AV120" s="1069"/>
      <c r="AW120" s="1080"/>
      <c r="AX120" s="1081"/>
      <c r="AY120" s="1044"/>
      <c r="AZ120" s="1045"/>
      <c r="BA120" s="1045"/>
      <c r="BB120" s="1045"/>
      <c r="BC120" s="1045"/>
      <c r="BD120" s="1045"/>
      <c r="BE120" s="1045"/>
      <c r="BF120" s="1045"/>
      <c r="BG120" s="1045"/>
      <c r="BH120" s="1045"/>
      <c r="BI120" s="1369"/>
      <c r="BJ120" s="1319"/>
      <c r="BK120" s="1319"/>
      <c r="BL120" s="1319"/>
      <c r="BM120" s="1319"/>
      <c r="BN120" s="1044"/>
      <c r="BO120" s="1045"/>
      <c r="BP120" s="1045"/>
      <c r="BQ120" s="1045"/>
      <c r="BR120" s="1045"/>
      <c r="BS120" s="1084"/>
      <c r="BT120" s="1045"/>
      <c r="BU120" s="1045"/>
      <c r="BV120" s="1045"/>
      <c r="BW120" s="1085"/>
      <c r="BX120" s="1084"/>
      <c r="BY120" s="1045"/>
      <c r="BZ120" s="1045"/>
      <c r="CA120" s="1045"/>
      <c r="CB120" s="1085"/>
      <c r="CC120" s="1086"/>
      <c r="CD120" s="1327"/>
      <c r="CE120" s="1328"/>
      <c r="CF120" s="1328"/>
      <c r="CG120" s="1328"/>
      <c r="CH120" s="1389"/>
      <c r="CI120" s="1369"/>
      <c r="CJ120" s="1319"/>
      <c r="CK120" s="1319"/>
      <c r="CL120" s="1319"/>
      <c r="CM120" s="1320"/>
      <c r="CN120" s="1369"/>
      <c r="CO120" s="1319"/>
      <c r="CP120" s="1319"/>
      <c r="CQ120" s="1319"/>
      <c r="CR120" s="1320"/>
      <c r="CS120" s="1369"/>
      <c r="CT120" s="1319"/>
      <c r="CU120" s="1319"/>
      <c r="CV120" s="1319"/>
      <c r="CW120" s="1320"/>
      <c r="CX120" s="1369"/>
      <c r="CY120" s="1319"/>
      <c r="CZ120" s="1319"/>
      <c r="DA120" s="1319"/>
      <c r="DB120" s="1320"/>
      <c r="DC120" s="1319"/>
      <c r="DD120" s="1319"/>
      <c r="DE120" s="1319"/>
      <c r="DF120" s="1319"/>
      <c r="DG120" s="1320"/>
      <c r="DH120" s="1369"/>
      <c r="DI120" s="1319"/>
      <c r="DJ120" s="1319"/>
      <c r="DK120" s="1319"/>
      <c r="DL120" s="1320"/>
      <c r="DM120" s="1743"/>
      <c r="DN120" s="1744"/>
      <c r="DO120" s="1744"/>
      <c r="DP120" s="1745"/>
      <c r="DQ120" s="1744"/>
      <c r="DR120" s="1744"/>
      <c r="DS120" s="1744"/>
      <c r="DT120" s="1745"/>
      <c r="DU120" s="1328"/>
      <c r="DV120" s="1664"/>
      <c r="DW120" s="1746"/>
    </row>
    <row r="121" spans="1:127" s="382" customFormat="1" ht="15.75" customHeight="1">
      <c r="A121" s="1066" t="s">
        <v>1130</v>
      </c>
      <c r="B121" s="1026">
        <v>112</v>
      </c>
      <c r="C121" s="987"/>
      <c r="D121" s="987"/>
      <c r="E121" s="987"/>
      <c r="F121" s="987"/>
      <c r="G121" s="987"/>
      <c r="H121" s="987"/>
      <c r="I121" s="987"/>
      <c r="J121" s="987"/>
      <c r="K121" s="987"/>
      <c r="L121" s="987"/>
      <c r="M121" s="1026"/>
      <c r="N121" s="987"/>
      <c r="O121" s="987"/>
      <c r="P121" s="987"/>
      <c r="Q121" s="987"/>
      <c r="R121" s="987"/>
      <c r="S121" s="987"/>
      <c r="T121" s="988"/>
      <c r="U121" s="1067" t="s">
        <v>1358</v>
      </c>
      <c r="V121" s="1068" t="s">
        <v>2591</v>
      </c>
      <c r="W121" s="1068" t="s">
        <v>2231</v>
      </c>
      <c r="X121" s="1069" t="s">
        <v>2595</v>
      </c>
      <c r="Y121" s="1070" t="s">
        <v>2596</v>
      </c>
      <c r="Z121" s="1071" t="s">
        <v>2597</v>
      </c>
      <c r="AA121" s="1072">
        <v>0.5</v>
      </c>
      <c r="AB121" s="1073" t="s">
        <v>2260</v>
      </c>
      <c r="AC121" s="1073">
        <v>0.5</v>
      </c>
      <c r="AD121" s="1073" t="s">
        <v>2260</v>
      </c>
      <c r="AE121" s="1073" t="s">
        <v>2260</v>
      </c>
      <c r="AF121" s="1073" t="s">
        <v>2260</v>
      </c>
      <c r="AG121" s="1073" t="s">
        <v>2260</v>
      </c>
      <c r="AH121" s="1073" t="s">
        <v>2260</v>
      </c>
      <c r="AI121" s="1074">
        <f t="shared" si="1"/>
        <v>1</v>
      </c>
      <c r="AJ121" s="1075" t="s">
        <v>1852</v>
      </c>
      <c r="AK121" s="1075" t="s">
        <v>1826</v>
      </c>
      <c r="AL121" s="1075" t="s">
        <v>1827</v>
      </c>
      <c r="AM121" s="1076" t="s">
        <v>2523</v>
      </c>
      <c r="AN121" s="987" t="s">
        <v>1857</v>
      </c>
      <c r="AO121" s="987" t="s">
        <v>2598</v>
      </c>
      <c r="AP121" s="1285">
        <v>2</v>
      </c>
      <c r="AQ121" s="1045" t="s">
        <v>1828</v>
      </c>
      <c r="AR121" s="1078" t="s">
        <v>2260</v>
      </c>
      <c r="AS121" s="1079"/>
      <c r="AT121" s="1069"/>
      <c r="AU121" s="1069"/>
      <c r="AV121" s="1069"/>
      <c r="AW121" s="1080"/>
      <c r="AX121" s="1081"/>
      <c r="AY121" s="1044"/>
      <c r="AZ121" s="1045"/>
      <c r="BA121" s="1045"/>
      <c r="BB121" s="1045"/>
      <c r="BC121" s="1045"/>
      <c r="BD121" s="1045"/>
      <c r="BE121" s="1045"/>
      <c r="BF121" s="1045"/>
      <c r="BG121" s="1045"/>
      <c r="BH121" s="1045"/>
      <c r="BI121" s="1369"/>
      <c r="BJ121" s="1319"/>
      <c r="BK121" s="1319"/>
      <c r="BL121" s="1319"/>
      <c r="BM121" s="1319"/>
      <c r="BN121" s="1044"/>
      <c r="BO121" s="1045"/>
      <c r="BP121" s="1045"/>
      <c r="BQ121" s="1045"/>
      <c r="BR121" s="1045"/>
      <c r="BS121" s="1084"/>
      <c r="BT121" s="1045"/>
      <c r="BU121" s="1045"/>
      <c r="BV121" s="1045"/>
      <c r="BW121" s="1085"/>
      <c r="BX121" s="1084"/>
      <c r="BY121" s="1045"/>
      <c r="BZ121" s="1045"/>
      <c r="CA121" s="1045"/>
      <c r="CB121" s="1085"/>
      <c r="CC121" s="1086"/>
      <c r="CD121" s="1327"/>
      <c r="CE121" s="1328"/>
      <c r="CF121" s="1328"/>
      <c r="CG121" s="1328"/>
      <c r="CH121" s="1389"/>
      <c r="CI121" s="1369"/>
      <c r="CJ121" s="1319"/>
      <c r="CK121" s="1319"/>
      <c r="CL121" s="1319"/>
      <c r="CM121" s="1320"/>
      <c r="CN121" s="1369"/>
      <c r="CO121" s="1319"/>
      <c r="CP121" s="1319"/>
      <c r="CQ121" s="1319"/>
      <c r="CR121" s="1320"/>
      <c r="CS121" s="1369"/>
      <c r="CT121" s="1319"/>
      <c r="CU121" s="1319"/>
      <c r="CV121" s="1319"/>
      <c r="CW121" s="1320"/>
      <c r="CX121" s="1369"/>
      <c r="CY121" s="1319"/>
      <c r="CZ121" s="1319"/>
      <c r="DA121" s="1319"/>
      <c r="DB121" s="1320"/>
      <c r="DC121" s="1319"/>
      <c r="DD121" s="1319"/>
      <c r="DE121" s="1319"/>
      <c r="DF121" s="1319"/>
      <c r="DG121" s="1320"/>
      <c r="DH121" s="1369"/>
      <c r="DI121" s="1319"/>
      <c r="DJ121" s="1319"/>
      <c r="DK121" s="1319"/>
      <c r="DL121" s="1320"/>
      <c r="DM121" s="1743"/>
      <c r="DN121" s="1744"/>
      <c r="DO121" s="1744"/>
      <c r="DP121" s="1745"/>
      <c r="DQ121" s="1744"/>
      <c r="DR121" s="1744"/>
      <c r="DS121" s="1744"/>
      <c r="DT121" s="1745"/>
      <c r="DU121" s="1328"/>
      <c r="DV121" s="1664"/>
      <c r="DW121" s="1746"/>
    </row>
    <row r="122" spans="1:127" s="382" customFormat="1" ht="15.75" customHeight="1">
      <c r="A122" s="1066" t="s">
        <v>1130</v>
      </c>
      <c r="B122" s="1026">
        <v>113</v>
      </c>
      <c r="C122" s="987"/>
      <c r="D122" s="987"/>
      <c r="E122" s="987"/>
      <c r="F122" s="987"/>
      <c r="G122" s="987"/>
      <c r="H122" s="987"/>
      <c r="I122" s="987"/>
      <c r="J122" s="987"/>
      <c r="K122" s="987"/>
      <c r="L122" s="987"/>
      <c r="M122" s="1026"/>
      <c r="N122" s="987"/>
      <c r="O122" s="987"/>
      <c r="P122" s="987"/>
      <c r="Q122" s="987"/>
      <c r="R122" s="987"/>
      <c r="S122" s="987"/>
      <c r="T122" s="988"/>
      <c r="U122" s="1067" t="s">
        <v>1507</v>
      </c>
      <c r="V122" s="1068" t="s">
        <v>2591</v>
      </c>
      <c r="W122" s="1068" t="s">
        <v>2231</v>
      </c>
      <c r="X122" s="1069" t="s">
        <v>2599</v>
      </c>
      <c r="Y122" s="1070" t="s">
        <v>2600</v>
      </c>
      <c r="Z122" s="1071" t="s">
        <v>2601</v>
      </c>
      <c r="AA122" s="1072" t="s">
        <v>2260</v>
      </c>
      <c r="AB122" s="1073" t="s">
        <v>2260</v>
      </c>
      <c r="AC122" s="1073" t="s">
        <v>2260</v>
      </c>
      <c r="AD122" s="1073">
        <v>1</v>
      </c>
      <c r="AE122" s="1073" t="s">
        <v>2260</v>
      </c>
      <c r="AF122" s="1073" t="s">
        <v>2260</v>
      </c>
      <c r="AG122" s="1073" t="s">
        <v>2260</v>
      </c>
      <c r="AH122" s="1073" t="s">
        <v>2260</v>
      </c>
      <c r="AI122" s="1074">
        <f t="shared" si="1"/>
        <v>1</v>
      </c>
      <c r="AJ122" s="1075" t="s">
        <v>1846</v>
      </c>
      <c r="AK122" s="1075" t="s">
        <v>1826</v>
      </c>
      <c r="AL122" s="1075" t="s">
        <v>1827</v>
      </c>
      <c r="AM122" s="1076" t="s">
        <v>815</v>
      </c>
      <c r="AN122" s="987" t="s">
        <v>321</v>
      </c>
      <c r="AO122" s="987" t="s">
        <v>2602</v>
      </c>
      <c r="AP122" s="1285">
        <v>2</v>
      </c>
      <c r="AQ122" s="1045" t="s">
        <v>1828</v>
      </c>
      <c r="AR122" s="1078" t="s">
        <v>2260</v>
      </c>
      <c r="AS122" s="1079"/>
      <c r="AT122" s="1069"/>
      <c r="AU122" s="1069"/>
      <c r="AV122" s="1069"/>
      <c r="AW122" s="1080"/>
      <c r="AX122" s="1081"/>
      <c r="AY122" s="1044"/>
      <c r="AZ122" s="1045"/>
      <c r="BA122" s="1045"/>
      <c r="BB122" s="1045"/>
      <c r="BC122" s="1045"/>
      <c r="BD122" s="1045"/>
      <c r="BE122" s="1045"/>
      <c r="BF122" s="1045"/>
      <c r="BG122" s="1045"/>
      <c r="BH122" s="1045"/>
      <c r="BI122" s="1369"/>
      <c r="BJ122" s="1319"/>
      <c r="BK122" s="1319"/>
      <c r="BL122" s="1319"/>
      <c r="BM122" s="1319"/>
      <c r="BN122" s="1044"/>
      <c r="BO122" s="1045"/>
      <c r="BP122" s="1045"/>
      <c r="BQ122" s="1045"/>
      <c r="BR122" s="1045"/>
      <c r="BS122" s="1084"/>
      <c r="BT122" s="1045"/>
      <c r="BU122" s="1045"/>
      <c r="BV122" s="1045"/>
      <c r="BW122" s="1085"/>
      <c r="BX122" s="1084"/>
      <c r="BY122" s="1045"/>
      <c r="BZ122" s="1045"/>
      <c r="CA122" s="1045"/>
      <c r="CB122" s="1085"/>
      <c r="CC122" s="1086"/>
      <c r="CD122" s="1327"/>
      <c r="CE122" s="1328"/>
      <c r="CF122" s="1328"/>
      <c r="CG122" s="1328"/>
      <c r="CH122" s="1389"/>
      <c r="CI122" s="1369"/>
      <c r="CJ122" s="1319"/>
      <c r="CK122" s="1319"/>
      <c r="CL122" s="1319"/>
      <c r="CM122" s="1320"/>
      <c r="CN122" s="1369"/>
      <c r="CO122" s="1319"/>
      <c r="CP122" s="1319"/>
      <c r="CQ122" s="1319"/>
      <c r="CR122" s="1320"/>
      <c r="CS122" s="1369"/>
      <c r="CT122" s="1319"/>
      <c r="CU122" s="1319"/>
      <c r="CV122" s="1319"/>
      <c r="CW122" s="1320"/>
      <c r="CX122" s="1369"/>
      <c r="CY122" s="1319"/>
      <c r="CZ122" s="1319"/>
      <c r="DA122" s="1319"/>
      <c r="DB122" s="1320"/>
      <c r="DC122" s="1319"/>
      <c r="DD122" s="1319"/>
      <c r="DE122" s="1319"/>
      <c r="DF122" s="1319"/>
      <c r="DG122" s="1320"/>
      <c r="DH122" s="1369"/>
      <c r="DI122" s="1319"/>
      <c r="DJ122" s="1319"/>
      <c r="DK122" s="1319"/>
      <c r="DL122" s="1320"/>
      <c r="DM122" s="1743"/>
      <c r="DN122" s="1744"/>
      <c r="DO122" s="1744"/>
      <c r="DP122" s="1745"/>
      <c r="DQ122" s="1744"/>
      <c r="DR122" s="1744"/>
      <c r="DS122" s="1744"/>
      <c r="DT122" s="1745"/>
      <c r="DU122" s="1328"/>
      <c r="DV122" s="1664"/>
      <c r="DW122" s="1746"/>
    </row>
    <row r="123" spans="1:127" s="382" customFormat="1" ht="15.75" customHeight="1">
      <c r="A123" s="1066" t="s">
        <v>1130</v>
      </c>
      <c r="B123" s="1026">
        <v>114</v>
      </c>
      <c r="C123" s="987"/>
      <c r="D123" s="987"/>
      <c r="E123" s="987"/>
      <c r="F123" s="987"/>
      <c r="G123" s="987"/>
      <c r="H123" s="987"/>
      <c r="I123" s="987"/>
      <c r="J123" s="987"/>
      <c r="K123" s="987"/>
      <c r="L123" s="987"/>
      <c r="M123" s="1026"/>
      <c r="N123" s="987"/>
      <c r="O123" s="987"/>
      <c r="P123" s="987"/>
      <c r="Q123" s="987"/>
      <c r="R123" s="987"/>
      <c r="S123" s="987"/>
      <c r="T123" s="988"/>
      <c r="U123" s="1067" t="s">
        <v>1112</v>
      </c>
      <c r="V123" s="1068" t="s">
        <v>2591</v>
      </c>
      <c r="W123" s="1068" t="s">
        <v>2231</v>
      </c>
      <c r="X123" s="1069" t="s">
        <v>2603</v>
      </c>
      <c r="Y123" s="1070" t="s">
        <v>1085</v>
      </c>
      <c r="Z123" s="1071" t="s">
        <v>2604</v>
      </c>
      <c r="AA123" s="1072" t="s">
        <v>2260</v>
      </c>
      <c r="AB123" s="1073">
        <v>0.5</v>
      </c>
      <c r="AC123" s="1073">
        <v>0.5</v>
      </c>
      <c r="AD123" s="1073" t="s">
        <v>2260</v>
      </c>
      <c r="AE123" s="1073" t="s">
        <v>2260</v>
      </c>
      <c r="AF123" s="1073" t="s">
        <v>2260</v>
      </c>
      <c r="AG123" s="1073" t="s">
        <v>2260</v>
      </c>
      <c r="AH123" s="1073" t="s">
        <v>2260</v>
      </c>
      <c r="AI123" s="1074">
        <f t="shared" si="1"/>
        <v>1</v>
      </c>
      <c r="AJ123" s="1075" t="s">
        <v>1846</v>
      </c>
      <c r="AK123" s="1075" t="s">
        <v>1826</v>
      </c>
      <c r="AL123" s="1075" t="s">
        <v>1827</v>
      </c>
      <c r="AM123" s="1076" t="s">
        <v>2371</v>
      </c>
      <c r="AN123" s="987" t="s">
        <v>321</v>
      </c>
      <c r="AO123" s="987" t="s">
        <v>2649</v>
      </c>
      <c r="AP123" s="2076">
        <v>2</v>
      </c>
      <c r="AQ123" s="1045" t="s">
        <v>1828</v>
      </c>
      <c r="AR123" s="1078" t="s">
        <v>1085</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210</v>
      </c>
      <c r="CE123" s="1088" t="s">
        <v>210</v>
      </c>
      <c r="CF123" s="1088" t="s">
        <v>210</v>
      </c>
      <c r="CG123" s="1088" t="s">
        <v>210</v>
      </c>
      <c r="CH123" s="1089" t="s">
        <v>210</v>
      </c>
      <c r="CI123" s="1044" t="s">
        <v>2260</v>
      </c>
      <c r="CJ123" s="1045" t="s">
        <v>2260</v>
      </c>
      <c r="CK123" s="1045" t="s">
        <v>2260</v>
      </c>
      <c r="CL123" s="1045" t="s">
        <v>2260</v>
      </c>
      <c r="CM123" s="1086" t="s">
        <v>2260</v>
      </c>
      <c r="CN123" s="1044" t="s">
        <v>2260</v>
      </c>
      <c r="CO123" s="1045" t="s">
        <v>2260</v>
      </c>
      <c r="CP123" s="1045" t="s">
        <v>2260</v>
      </c>
      <c r="CQ123" s="1045" t="s">
        <v>2260</v>
      </c>
      <c r="CR123" s="1086" t="s">
        <v>2260</v>
      </c>
      <c r="CS123" s="1044">
        <v>97.9</v>
      </c>
      <c r="CT123" s="1045">
        <v>97.9</v>
      </c>
      <c r="CU123" s="1045">
        <v>97.9</v>
      </c>
      <c r="CV123" s="1045">
        <v>97.9</v>
      </c>
      <c r="CW123" s="1086">
        <v>97.9</v>
      </c>
      <c r="CX123" s="1044" t="s">
        <v>2260</v>
      </c>
      <c r="CY123" s="1045" t="s">
        <v>2260</v>
      </c>
      <c r="CZ123" s="1045" t="s">
        <v>2260</v>
      </c>
      <c r="DA123" s="1045" t="s">
        <v>2260</v>
      </c>
      <c r="DB123" s="1086" t="s">
        <v>2260</v>
      </c>
      <c r="DC123" s="1045" t="s">
        <v>2260</v>
      </c>
      <c r="DD123" s="1045" t="s">
        <v>2260</v>
      </c>
      <c r="DE123" s="1045" t="s">
        <v>2260</v>
      </c>
      <c r="DF123" s="1045" t="s">
        <v>2260</v>
      </c>
      <c r="DG123" s="1086" t="s">
        <v>2260</v>
      </c>
      <c r="DH123" s="1044" t="s">
        <v>2260</v>
      </c>
      <c r="DI123" s="1045" t="s">
        <v>2260</v>
      </c>
      <c r="DJ123" s="1045" t="s">
        <v>2260</v>
      </c>
      <c r="DK123" s="1045" t="s">
        <v>2260</v>
      </c>
      <c r="DL123" s="1086" t="s">
        <v>2260</v>
      </c>
      <c r="DM123" s="1090">
        <v>-7.7000000000000002E-3</v>
      </c>
      <c r="DN123" s="1091" t="s">
        <v>2260</v>
      </c>
      <c r="DO123" s="1091" t="s">
        <v>2260</v>
      </c>
      <c r="DP123" s="1092" t="s">
        <v>2260</v>
      </c>
      <c r="DQ123" s="1091" t="s">
        <v>2260</v>
      </c>
      <c r="DR123" s="1091" t="s">
        <v>2260</v>
      </c>
      <c r="DS123" s="1091" t="s">
        <v>2260</v>
      </c>
      <c r="DT123" s="1092" t="s">
        <v>2260</v>
      </c>
      <c r="DU123" s="1088" t="s">
        <v>2260</v>
      </c>
      <c r="DV123" s="1093">
        <v>1</v>
      </c>
      <c r="DW123" s="1094" t="s">
        <v>2260</v>
      </c>
    </row>
    <row r="124" spans="1:127" s="382" customFormat="1" ht="15.75" customHeight="1">
      <c r="A124" s="1066" t="s">
        <v>1130</v>
      </c>
      <c r="B124" s="1026">
        <v>115</v>
      </c>
      <c r="C124" s="987"/>
      <c r="D124" s="987"/>
      <c r="E124" s="987"/>
      <c r="F124" s="987"/>
      <c r="G124" s="987"/>
      <c r="H124" s="987"/>
      <c r="I124" s="987"/>
      <c r="J124" s="987"/>
      <c r="K124" s="987"/>
      <c r="L124" s="987"/>
      <c r="M124" s="1026"/>
      <c r="N124" s="987"/>
      <c r="O124" s="987"/>
      <c r="P124" s="987"/>
      <c r="Q124" s="987"/>
      <c r="R124" s="987"/>
      <c r="S124" s="987"/>
      <c r="T124" s="988"/>
      <c r="U124" s="1067" t="s">
        <v>1590</v>
      </c>
      <c r="V124" s="1068" t="s">
        <v>2606</v>
      </c>
      <c r="W124" s="1068" t="s">
        <v>2231</v>
      </c>
      <c r="X124" s="1069" t="s">
        <v>2607</v>
      </c>
      <c r="Y124" s="1070" t="s">
        <v>2608</v>
      </c>
      <c r="Z124" s="1071" t="s">
        <v>2609</v>
      </c>
      <c r="AA124" s="1072">
        <v>0.35</v>
      </c>
      <c r="AB124" s="1073">
        <v>0.35</v>
      </c>
      <c r="AC124" s="1073">
        <v>0.3</v>
      </c>
      <c r="AD124" s="1073" t="s">
        <v>2260</v>
      </c>
      <c r="AE124" s="1073" t="s">
        <v>2260</v>
      </c>
      <c r="AF124" s="1073" t="s">
        <v>2260</v>
      </c>
      <c r="AG124" s="1073" t="s">
        <v>2260</v>
      </c>
      <c r="AH124" s="1073" t="s">
        <v>2260</v>
      </c>
      <c r="AI124" s="1074">
        <f t="shared" si="1"/>
        <v>1</v>
      </c>
      <c r="AJ124" s="1075" t="s">
        <v>1825</v>
      </c>
      <c r="AK124" s="1075" t="s">
        <v>2260</v>
      </c>
      <c r="AL124" s="1075" t="s">
        <v>2260</v>
      </c>
      <c r="AM124" s="1076" t="s">
        <v>2610</v>
      </c>
      <c r="AN124" s="987" t="s">
        <v>1857</v>
      </c>
      <c r="AO124" s="987" t="s">
        <v>2611</v>
      </c>
      <c r="AP124" s="1285">
        <v>0</v>
      </c>
      <c r="AQ124" s="1045" t="s">
        <v>1828</v>
      </c>
      <c r="AR124" s="1078" t="s">
        <v>2260</v>
      </c>
      <c r="AS124" s="1079"/>
      <c r="AT124" s="1069"/>
      <c r="AU124" s="1069"/>
      <c r="AV124" s="1069"/>
      <c r="AW124" s="1080"/>
      <c r="AX124" s="1081"/>
      <c r="AY124" s="1044"/>
      <c r="AZ124" s="1045"/>
      <c r="BA124" s="1045"/>
      <c r="BB124" s="1045"/>
      <c r="BC124" s="1045"/>
      <c r="BD124" s="1045"/>
      <c r="BE124" s="1045"/>
      <c r="BF124" s="1045"/>
      <c r="BG124" s="1045"/>
      <c r="BH124" s="1045"/>
      <c r="BI124" s="1369"/>
      <c r="BJ124" s="1319"/>
      <c r="BK124" s="1319"/>
      <c r="BL124" s="1319"/>
      <c r="BM124" s="1319"/>
      <c r="BN124" s="1044"/>
      <c r="BO124" s="1045"/>
      <c r="BP124" s="1045"/>
      <c r="BQ124" s="1045"/>
      <c r="BR124" s="1045"/>
      <c r="BS124" s="1084"/>
      <c r="BT124" s="1045"/>
      <c r="BU124" s="1045"/>
      <c r="BV124" s="1045"/>
      <c r="BW124" s="1085"/>
      <c r="BX124" s="1084"/>
      <c r="BY124" s="1045"/>
      <c r="BZ124" s="1045"/>
      <c r="CA124" s="1045"/>
      <c r="CB124" s="1085"/>
      <c r="CC124" s="1086"/>
      <c r="CD124" s="1327"/>
      <c r="CE124" s="1328"/>
      <c r="CF124" s="1328"/>
      <c r="CG124" s="1328"/>
      <c r="CH124" s="1389"/>
      <c r="CI124" s="1369"/>
      <c r="CJ124" s="1319"/>
      <c r="CK124" s="1319"/>
      <c r="CL124" s="1319"/>
      <c r="CM124" s="1320"/>
      <c r="CN124" s="1369"/>
      <c r="CO124" s="1319"/>
      <c r="CP124" s="1319"/>
      <c r="CQ124" s="1319"/>
      <c r="CR124" s="1320"/>
      <c r="CS124" s="1369"/>
      <c r="CT124" s="1319"/>
      <c r="CU124" s="1319"/>
      <c r="CV124" s="1319"/>
      <c r="CW124" s="1320"/>
      <c r="CX124" s="1369"/>
      <c r="CY124" s="1319"/>
      <c r="CZ124" s="1319"/>
      <c r="DA124" s="1319"/>
      <c r="DB124" s="1320"/>
      <c r="DC124" s="1319"/>
      <c r="DD124" s="1319"/>
      <c r="DE124" s="1319"/>
      <c r="DF124" s="1319"/>
      <c r="DG124" s="1320"/>
      <c r="DH124" s="1369"/>
      <c r="DI124" s="1319"/>
      <c r="DJ124" s="1319"/>
      <c r="DK124" s="1319"/>
      <c r="DL124" s="1320"/>
      <c r="DM124" s="1743"/>
      <c r="DN124" s="1744"/>
      <c r="DO124" s="1744"/>
      <c r="DP124" s="1745"/>
      <c r="DQ124" s="1744"/>
      <c r="DR124" s="1744"/>
      <c r="DS124" s="1744"/>
      <c r="DT124" s="1745"/>
      <c r="DU124" s="1328"/>
      <c r="DV124" s="1664"/>
      <c r="DW124" s="1746"/>
    </row>
    <row r="125" spans="1:127" s="382" customFormat="1" ht="15.75" customHeight="1">
      <c r="A125" s="1066" t="s">
        <v>1130</v>
      </c>
      <c r="B125" s="1026">
        <v>116</v>
      </c>
      <c r="C125" s="987"/>
      <c r="D125" s="987"/>
      <c r="E125" s="987"/>
      <c r="F125" s="987"/>
      <c r="G125" s="987"/>
      <c r="H125" s="987"/>
      <c r="I125" s="987"/>
      <c r="J125" s="987"/>
      <c r="K125" s="987"/>
      <c r="L125" s="987"/>
      <c r="M125" s="1026"/>
      <c r="N125" s="987"/>
      <c r="O125" s="987"/>
      <c r="P125" s="987"/>
      <c r="Q125" s="987"/>
      <c r="R125" s="987"/>
      <c r="S125" s="987"/>
      <c r="T125" s="988"/>
      <c r="U125" s="1067" t="s">
        <v>1109</v>
      </c>
      <c r="V125" s="1068" t="s">
        <v>2612</v>
      </c>
      <c r="W125" s="1068" t="s">
        <v>2217</v>
      </c>
      <c r="X125" s="1069" t="s">
        <v>2613</v>
      </c>
      <c r="Y125" s="1070" t="s">
        <v>784</v>
      </c>
      <c r="Z125" s="1071" t="s">
        <v>2614</v>
      </c>
      <c r="AA125" s="1072" t="s">
        <v>2260</v>
      </c>
      <c r="AB125" s="1073" t="s">
        <v>2260</v>
      </c>
      <c r="AC125" s="1073">
        <v>1</v>
      </c>
      <c r="AD125" s="1073" t="s">
        <v>2260</v>
      </c>
      <c r="AE125" s="1073" t="s">
        <v>2260</v>
      </c>
      <c r="AF125" s="1073" t="s">
        <v>2260</v>
      </c>
      <c r="AG125" s="1073" t="s">
        <v>2260</v>
      </c>
      <c r="AH125" s="1073" t="s">
        <v>2260</v>
      </c>
      <c r="AI125" s="1074">
        <f t="shared" si="1"/>
        <v>1</v>
      </c>
      <c r="AJ125" s="1075" t="s">
        <v>1852</v>
      </c>
      <c r="AK125" s="1075" t="s">
        <v>1826</v>
      </c>
      <c r="AL125" s="1075" t="s">
        <v>1827</v>
      </c>
      <c r="AM125" s="1076" t="s">
        <v>2351</v>
      </c>
      <c r="AN125" s="987" t="s">
        <v>2439</v>
      </c>
      <c r="AO125" s="987" t="s">
        <v>4197</v>
      </c>
      <c r="AP125" s="2076">
        <v>2</v>
      </c>
      <c r="AQ125" s="1045" t="s">
        <v>1838</v>
      </c>
      <c r="AR125" s="1078" t="s">
        <v>784</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210</v>
      </c>
      <c r="CE125" s="1088" t="s">
        <v>210</v>
      </c>
      <c r="CF125" s="1088" t="s">
        <v>210</v>
      </c>
      <c r="CG125" s="1088" t="s">
        <v>210</v>
      </c>
      <c r="CH125" s="1089" t="s">
        <v>210</v>
      </c>
      <c r="CI125" s="1044" t="s">
        <v>2260</v>
      </c>
      <c r="CJ125" s="1045" t="s">
        <v>2260</v>
      </c>
      <c r="CK125" s="1045" t="s">
        <v>2260</v>
      </c>
      <c r="CL125" s="1045" t="s">
        <v>2260</v>
      </c>
      <c r="CM125" s="1086" t="s">
        <v>2260</v>
      </c>
      <c r="CN125" s="1044">
        <v>3.35</v>
      </c>
      <c r="CO125" s="1045">
        <v>3.35</v>
      </c>
      <c r="CP125" s="1045">
        <v>3.35</v>
      </c>
      <c r="CQ125" s="1045">
        <v>3.35</v>
      </c>
      <c r="CR125" s="1086">
        <v>3.35</v>
      </c>
      <c r="CS125" s="1044" t="s">
        <v>2260</v>
      </c>
      <c r="CT125" s="1045" t="s">
        <v>2260</v>
      </c>
      <c r="CU125" s="1045" t="s">
        <v>2260</v>
      </c>
      <c r="CV125" s="1045" t="s">
        <v>2260</v>
      </c>
      <c r="CW125" s="1086" t="s">
        <v>2260</v>
      </c>
      <c r="CX125" s="1044" t="s">
        <v>2260</v>
      </c>
      <c r="CY125" s="1045" t="s">
        <v>2260</v>
      </c>
      <c r="CZ125" s="1045" t="s">
        <v>2260</v>
      </c>
      <c r="DA125" s="1045" t="s">
        <v>2260</v>
      </c>
      <c r="DB125" s="1086" t="s">
        <v>2260</v>
      </c>
      <c r="DC125" s="1045">
        <v>1.1499999999999999</v>
      </c>
      <c r="DD125" s="1045">
        <v>1.1100000000000001</v>
      </c>
      <c r="DE125" s="1045">
        <v>1.06</v>
      </c>
      <c r="DF125" s="1045">
        <v>1.06</v>
      </c>
      <c r="DG125" s="1086">
        <v>1.05</v>
      </c>
      <c r="DH125" s="1044" t="s">
        <v>2260</v>
      </c>
      <c r="DI125" s="1045" t="s">
        <v>2260</v>
      </c>
      <c r="DJ125" s="1045" t="s">
        <v>2260</v>
      </c>
      <c r="DK125" s="1045" t="s">
        <v>2260</v>
      </c>
      <c r="DL125" s="1086" t="s">
        <v>2260</v>
      </c>
      <c r="DM125" s="1090">
        <v>-3.5000000000000003E-2</v>
      </c>
      <c r="DN125" s="1091" t="s">
        <v>2260</v>
      </c>
      <c r="DO125" s="1091" t="s">
        <v>2260</v>
      </c>
      <c r="DP125" s="1092" t="s">
        <v>2260</v>
      </c>
      <c r="DQ125" s="1091">
        <v>3.5000000000000003E-2</v>
      </c>
      <c r="DR125" s="1091" t="s">
        <v>2260</v>
      </c>
      <c r="DS125" s="1091" t="s">
        <v>2260</v>
      </c>
      <c r="DT125" s="1092" t="s">
        <v>2260</v>
      </c>
      <c r="DU125" s="1088" t="s">
        <v>2260</v>
      </c>
      <c r="DV125" s="1093">
        <v>1</v>
      </c>
      <c r="DW125" s="1094" t="s">
        <v>2260</v>
      </c>
    </row>
    <row r="126" spans="1:127" s="382" customFormat="1" ht="15.75" customHeight="1">
      <c r="A126" s="1066" t="s">
        <v>1130</v>
      </c>
      <c r="B126" s="1026">
        <v>117</v>
      </c>
      <c r="C126" s="987"/>
      <c r="D126" s="987"/>
      <c r="E126" s="987"/>
      <c r="F126" s="987"/>
      <c r="G126" s="987"/>
      <c r="H126" s="987"/>
      <c r="I126" s="987"/>
      <c r="J126" s="987"/>
      <c r="K126" s="987"/>
      <c r="L126" s="987"/>
      <c r="M126" s="1026"/>
      <c r="N126" s="987"/>
      <c r="O126" s="987"/>
      <c r="P126" s="987"/>
      <c r="Q126" s="987"/>
      <c r="R126" s="987"/>
      <c r="S126" s="987"/>
      <c r="T126" s="988"/>
      <c r="U126" s="1067" t="s">
        <v>1110</v>
      </c>
      <c r="V126" s="1068" t="s">
        <v>2612</v>
      </c>
      <c r="W126" s="1068" t="s">
        <v>2217</v>
      </c>
      <c r="X126" s="1069" t="s">
        <v>2616</v>
      </c>
      <c r="Y126" s="1070" t="s">
        <v>788</v>
      </c>
      <c r="Z126" s="1071" t="s">
        <v>2617</v>
      </c>
      <c r="AA126" s="1072" t="s">
        <v>2260</v>
      </c>
      <c r="AB126" s="1073" t="s">
        <v>2260</v>
      </c>
      <c r="AC126" s="1073">
        <v>1</v>
      </c>
      <c r="AD126" s="1073" t="s">
        <v>2260</v>
      </c>
      <c r="AE126" s="1073" t="s">
        <v>2260</v>
      </c>
      <c r="AF126" s="1073" t="s">
        <v>2260</v>
      </c>
      <c r="AG126" s="1073" t="s">
        <v>2260</v>
      </c>
      <c r="AH126" s="1073" t="s">
        <v>2260</v>
      </c>
      <c r="AI126" s="1074">
        <f t="shared" si="1"/>
        <v>1</v>
      </c>
      <c r="AJ126" s="1075" t="s">
        <v>1846</v>
      </c>
      <c r="AK126" s="1075" t="s">
        <v>1826</v>
      </c>
      <c r="AL126" s="1075" t="s">
        <v>1827</v>
      </c>
      <c r="AM126" s="1076" t="s">
        <v>788</v>
      </c>
      <c r="AN126" s="987" t="s">
        <v>2439</v>
      </c>
      <c r="AO126" s="987" t="s">
        <v>4431</v>
      </c>
      <c r="AP126" s="2076">
        <v>2</v>
      </c>
      <c r="AQ126" s="1045" t="s">
        <v>1838</v>
      </c>
      <c r="AR126" s="1078" t="s">
        <v>788</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210</v>
      </c>
      <c r="CE126" s="1088" t="s">
        <v>210</v>
      </c>
      <c r="CF126" s="1088" t="s">
        <v>210</v>
      </c>
      <c r="CG126" s="1088" t="s">
        <v>210</v>
      </c>
      <c r="CH126" s="1089" t="s">
        <v>210</v>
      </c>
      <c r="CI126" s="1044" t="s">
        <v>2260</v>
      </c>
      <c r="CJ126" s="1045" t="s">
        <v>2260</v>
      </c>
      <c r="CK126" s="1045" t="s">
        <v>2260</v>
      </c>
      <c r="CL126" s="1045" t="s">
        <v>2260</v>
      </c>
      <c r="CM126" s="1086" t="s">
        <v>2260</v>
      </c>
      <c r="CN126" s="1044">
        <v>207</v>
      </c>
      <c r="CO126" s="1045">
        <v>207</v>
      </c>
      <c r="CP126" s="1045">
        <v>207</v>
      </c>
      <c r="CQ126" s="1045">
        <v>207</v>
      </c>
      <c r="CR126" s="1086">
        <v>207</v>
      </c>
      <c r="CS126" s="1044" t="s">
        <v>2260</v>
      </c>
      <c r="CT126" s="1045" t="s">
        <v>2260</v>
      </c>
      <c r="CU126" s="1045" t="s">
        <v>2260</v>
      </c>
      <c r="CV126" s="1045" t="s">
        <v>2260</v>
      </c>
      <c r="CW126" s="1086" t="s">
        <v>2260</v>
      </c>
      <c r="CX126" s="1044" t="s">
        <v>2260</v>
      </c>
      <c r="CY126" s="1045" t="s">
        <v>2260</v>
      </c>
      <c r="CZ126" s="1045" t="s">
        <v>2260</v>
      </c>
      <c r="DA126" s="1045" t="s">
        <v>2260</v>
      </c>
      <c r="DB126" s="1086" t="s">
        <v>2260</v>
      </c>
      <c r="DC126" s="1045" t="s">
        <v>2260</v>
      </c>
      <c r="DD126" s="1045" t="s">
        <v>2260</v>
      </c>
      <c r="DE126" s="1045" t="s">
        <v>2260</v>
      </c>
      <c r="DF126" s="1045" t="s">
        <v>2260</v>
      </c>
      <c r="DG126" s="1086" t="s">
        <v>2260</v>
      </c>
      <c r="DH126" s="1044" t="s">
        <v>2260</v>
      </c>
      <c r="DI126" s="1045" t="s">
        <v>2260</v>
      </c>
      <c r="DJ126" s="1045" t="s">
        <v>2260</v>
      </c>
      <c r="DK126" s="1045" t="s">
        <v>2260</v>
      </c>
      <c r="DL126" s="1086" t="s">
        <v>2260</v>
      </c>
      <c r="DM126" s="1090">
        <v>-2E-3</v>
      </c>
      <c r="DN126" s="1091" t="s">
        <v>2260</v>
      </c>
      <c r="DO126" s="1091" t="s">
        <v>2260</v>
      </c>
      <c r="DP126" s="1092" t="s">
        <v>2260</v>
      </c>
      <c r="DQ126" s="1091" t="s">
        <v>2260</v>
      </c>
      <c r="DR126" s="1091" t="s">
        <v>2260</v>
      </c>
      <c r="DS126" s="1091" t="s">
        <v>2260</v>
      </c>
      <c r="DT126" s="1092" t="s">
        <v>2260</v>
      </c>
      <c r="DU126" s="1088" t="s">
        <v>2260</v>
      </c>
      <c r="DV126" s="1093">
        <v>1</v>
      </c>
      <c r="DW126" s="1094" t="s">
        <v>2260</v>
      </c>
    </row>
    <row r="127" spans="1:127" s="382" customFormat="1" ht="15.75" customHeight="1">
      <c r="A127" s="1066" t="s">
        <v>1130</v>
      </c>
      <c r="B127" s="1026">
        <v>118</v>
      </c>
      <c r="C127" s="987"/>
      <c r="D127" s="987"/>
      <c r="E127" s="987"/>
      <c r="F127" s="987"/>
      <c r="G127" s="987"/>
      <c r="H127" s="987"/>
      <c r="I127" s="987"/>
      <c r="J127" s="987"/>
      <c r="K127" s="987"/>
      <c r="L127" s="987"/>
      <c r="M127" s="1026"/>
      <c r="N127" s="987"/>
      <c r="O127" s="987"/>
      <c r="P127" s="987"/>
      <c r="Q127" s="987"/>
      <c r="R127" s="987"/>
      <c r="S127" s="987"/>
      <c r="T127" s="988"/>
      <c r="U127" s="1067" t="s">
        <v>1518</v>
      </c>
      <c r="V127" s="1068" t="s">
        <v>2612</v>
      </c>
      <c r="W127" s="1068" t="s">
        <v>2223</v>
      </c>
      <c r="X127" s="1069" t="s">
        <v>2619</v>
      </c>
      <c r="Y127" s="1070" t="s">
        <v>2620</v>
      </c>
      <c r="Z127" s="1071" t="s">
        <v>2621</v>
      </c>
      <c r="AA127" s="1072" t="s">
        <v>2260</v>
      </c>
      <c r="AB127" s="1073" t="s">
        <v>2260</v>
      </c>
      <c r="AC127" s="1073">
        <v>1</v>
      </c>
      <c r="AD127" s="1073" t="s">
        <v>2260</v>
      </c>
      <c r="AE127" s="1073" t="s">
        <v>2260</v>
      </c>
      <c r="AF127" s="1073" t="s">
        <v>2260</v>
      </c>
      <c r="AG127" s="1073" t="s">
        <v>2260</v>
      </c>
      <c r="AH127" s="1073" t="s">
        <v>2260</v>
      </c>
      <c r="AI127" s="1074">
        <f t="shared" si="1"/>
        <v>1</v>
      </c>
      <c r="AJ127" s="1075" t="s">
        <v>1852</v>
      </c>
      <c r="AK127" s="1075" t="s">
        <v>1826</v>
      </c>
      <c r="AL127" s="1075" t="s">
        <v>1827</v>
      </c>
      <c r="AM127" s="1076" t="s">
        <v>2368</v>
      </c>
      <c r="AN127" s="987" t="s">
        <v>2439</v>
      </c>
      <c r="AO127" s="987" t="s">
        <v>4447</v>
      </c>
      <c r="AP127" s="1285">
        <v>0</v>
      </c>
      <c r="AQ127" s="1045" t="s">
        <v>1838</v>
      </c>
      <c r="AR127" s="1078"/>
      <c r="AS127" s="1079"/>
      <c r="AT127" s="1069"/>
      <c r="AU127" s="1069"/>
      <c r="AV127" s="1069"/>
      <c r="AW127" s="1080"/>
      <c r="AX127" s="1081"/>
      <c r="AY127" s="1044"/>
      <c r="AZ127" s="1045"/>
      <c r="BA127" s="1045"/>
      <c r="BB127" s="1045"/>
      <c r="BC127" s="1045"/>
      <c r="BD127" s="1045"/>
      <c r="BE127" s="1045"/>
      <c r="BF127" s="1045"/>
      <c r="BG127" s="1045"/>
      <c r="BH127" s="1045"/>
      <c r="BI127" s="1369"/>
      <c r="BJ127" s="1319"/>
      <c r="BK127" s="1319"/>
      <c r="BL127" s="1319"/>
      <c r="BM127" s="1319"/>
      <c r="BN127" s="1044"/>
      <c r="BO127" s="1045"/>
      <c r="BP127" s="1045"/>
      <c r="BQ127" s="1045"/>
      <c r="BR127" s="1045"/>
      <c r="BS127" s="1084"/>
      <c r="BT127" s="1045"/>
      <c r="BU127" s="1045"/>
      <c r="BV127" s="1045"/>
      <c r="BW127" s="1085"/>
      <c r="BX127" s="1084"/>
      <c r="BY127" s="1045"/>
      <c r="BZ127" s="1045"/>
      <c r="CA127" s="1045"/>
      <c r="CB127" s="1085"/>
      <c r="CC127" s="1086"/>
      <c r="CD127" s="1327"/>
      <c r="CE127" s="1328"/>
      <c r="CF127" s="1328"/>
      <c r="CG127" s="1328"/>
      <c r="CH127" s="1389"/>
      <c r="CI127" s="1369"/>
      <c r="CJ127" s="1319"/>
      <c r="CK127" s="1319"/>
      <c r="CL127" s="1319"/>
      <c r="CM127" s="1320"/>
      <c r="CN127" s="1369"/>
      <c r="CO127" s="1319"/>
      <c r="CP127" s="1319"/>
      <c r="CQ127" s="1319"/>
      <c r="CR127" s="1320"/>
      <c r="CS127" s="1369"/>
      <c r="CT127" s="1319"/>
      <c r="CU127" s="1319"/>
      <c r="CV127" s="1319"/>
      <c r="CW127" s="1320"/>
      <c r="CX127" s="1369"/>
      <c r="CY127" s="1319"/>
      <c r="CZ127" s="1319"/>
      <c r="DA127" s="1319"/>
      <c r="DB127" s="1320"/>
      <c r="DC127" s="1319"/>
      <c r="DD127" s="1319"/>
      <c r="DE127" s="1319"/>
      <c r="DF127" s="1319"/>
      <c r="DG127" s="1320"/>
      <c r="DH127" s="1369"/>
      <c r="DI127" s="1319"/>
      <c r="DJ127" s="1319"/>
      <c r="DK127" s="1319"/>
      <c r="DL127" s="1320"/>
      <c r="DM127" s="1743"/>
      <c r="DN127" s="1744"/>
      <c r="DO127" s="1744"/>
      <c r="DP127" s="1745"/>
      <c r="DQ127" s="1744"/>
      <c r="DR127" s="1744"/>
      <c r="DS127" s="1744"/>
      <c r="DT127" s="1745"/>
      <c r="DU127" s="1328"/>
      <c r="DV127" s="1664"/>
      <c r="DW127" s="1746"/>
    </row>
    <row r="128" spans="1:127" s="382" customFormat="1" ht="15.75" customHeight="1">
      <c r="A128" s="1066" t="s">
        <v>1130</v>
      </c>
      <c r="B128" s="1026">
        <v>119</v>
      </c>
      <c r="C128" s="987"/>
      <c r="D128" s="987"/>
      <c r="E128" s="987"/>
      <c r="F128" s="987"/>
      <c r="G128" s="987"/>
      <c r="H128" s="987"/>
      <c r="I128" s="987"/>
      <c r="J128" s="987"/>
      <c r="K128" s="987"/>
      <c r="L128" s="987"/>
      <c r="M128" s="1026"/>
      <c r="N128" s="987"/>
      <c r="O128" s="987"/>
      <c r="P128" s="987"/>
      <c r="Q128" s="987"/>
      <c r="R128" s="987"/>
      <c r="S128" s="987"/>
      <c r="T128" s="988"/>
      <c r="U128" s="1067" t="s">
        <v>1115</v>
      </c>
      <c r="V128" s="1068" t="s">
        <v>2612</v>
      </c>
      <c r="W128" s="1068" t="s">
        <v>2231</v>
      </c>
      <c r="X128" s="1069" t="s">
        <v>2624</v>
      </c>
      <c r="Y128" s="1070" t="s">
        <v>891</v>
      </c>
      <c r="Z128" s="1071" t="s">
        <v>2625</v>
      </c>
      <c r="AA128" s="1072" t="s">
        <v>2260</v>
      </c>
      <c r="AB128" s="1073" t="s">
        <v>2260</v>
      </c>
      <c r="AC128" s="1073">
        <v>1</v>
      </c>
      <c r="AD128" s="1073" t="s">
        <v>2260</v>
      </c>
      <c r="AE128" s="1073" t="s">
        <v>2260</v>
      </c>
      <c r="AF128" s="1073" t="s">
        <v>2260</v>
      </c>
      <c r="AG128" s="1073" t="s">
        <v>2260</v>
      </c>
      <c r="AH128" s="1073" t="s">
        <v>2260</v>
      </c>
      <c r="AI128" s="1074">
        <f t="shared" si="1"/>
        <v>1</v>
      </c>
      <c r="AJ128" s="1075" t="s">
        <v>1825</v>
      </c>
      <c r="AK128" s="1075" t="s">
        <v>2260</v>
      </c>
      <c r="AL128" s="1075" t="s">
        <v>2260</v>
      </c>
      <c r="AM128" s="1076" t="s">
        <v>2234</v>
      </c>
      <c r="AN128" s="987" t="s">
        <v>321</v>
      </c>
      <c r="AO128" s="987" t="s">
        <v>4417</v>
      </c>
      <c r="AP128" s="2076">
        <v>2</v>
      </c>
      <c r="AQ128" s="1045" t="s">
        <v>1828</v>
      </c>
      <c r="AR128" s="1078" t="s">
        <v>891</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2260</v>
      </c>
      <c r="CE128" s="1088" t="s">
        <v>2260</v>
      </c>
      <c r="CF128" s="1088" t="s">
        <v>2260</v>
      </c>
      <c r="CG128" s="1088" t="s">
        <v>2260</v>
      </c>
      <c r="CH128" s="1089" t="s">
        <v>2260</v>
      </c>
      <c r="CI128" s="1044" t="s">
        <v>2260</v>
      </c>
      <c r="CJ128" s="1045" t="s">
        <v>2260</v>
      </c>
      <c r="CK128" s="1045" t="s">
        <v>2260</v>
      </c>
      <c r="CL128" s="1045" t="s">
        <v>2260</v>
      </c>
      <c r="CM128" s="1086" t="s">
        <v>2260</v>
      </c>
      <c r="CN128" s="1044" t="s">
        <v>2260</v>
      </c>
      <c r="CO128" s="1045" t="s">
        <v>2260</v>
      </c>
      <c r="CP128" s="1045" t="s">
        <v>2260</v>
      </c>
      <c r="CQ128" s="1045" t="s">
        <v>2260</v>
      </c>
      <c r="CR128" s="1086" t="s">
        <v>2260</v>
      </c>
      <c r="CS128" s="1044" t="s">
        <v>2260</v>
      </c>
      <c r="CT128" s="1045" t="s">
        <v>2260</v>
      </c>
      <c r="CU128" s="1045" t="s">
        <v>2260</v>
      </c>
      <c r="CV128" s="1045" t="s">
        <v>2260</v>
      </c>
      <c r="CW128" s="1086" t="s">
        <v>2260</v>
      </c>
      <c r="CX128" s="1044" t="s">
        <v>2260</v>
      </c>
      <c r="CY128" s="1045" t="s">
        <v>2260</v>
      </c>
      <c r="CZ128" s="1045" t="s">
        <v>2260</v>
      </c>
      <c r="DA128" s="1045" t="s">
        <v>2260</v>
      </c>
      <c r="DB128" s="1086" t="s">
        <v>2260</v>
      </c>
      <c r="DC128" s="1045" t="s">
        <v>2260</v>
      </c>
      <c r="DD128" s="1045" t="s">
        <v>2260</v>
      </c>
      <c r="DE128" s="1045" t="s">
        <v>2260</v>
      </c>
      <c r="DF128" s="1045" t="s">
        <v>2260</v>
      </c>
      <c r="DG128" s="1086" t="s">
        <v>2260</v>
      </c>
      <c r="DH128" s="1044" t="s">
        <v>2260</v>
      </c>
      <c r="DI128" s="1045" t="s">
        <v>2260</v>
      </c>
      <c r="DJ128" s="1045" t="s">
        <v>2260</v>
      </c>
      <c r="DK128" s="1045" t="s">
        <v>2260</v>
      </c>
      <c r="DL128" s="1086" t="s">
        <v>2260</v>
      </c>
      <c r="DM128" s="1090" t="s">
        <v>2260</v>
      </c>
      <c r="DN128" s="1091" t="s">
        <v>2260</v>
      </c>
      <c r="DO128" s="1091" t="s">
        <v>2260</v>
      </c>
      <c r="DP128" s="1092" t="s">
        <v>2260</v>
      </c>
      <c r="DQ128" s="1091" t="s">
        <v>2260</v>
      </c>
      <c r="DR128" s="1091" t="s">
        <v>2260</v>
      </c>
      <c r="DS128" s="1091" t="s">
        <v>2260</v>
      </c>
      <c r="DT128" s="1092" t="s">
        <v>2260</v>
      </c>
      <c r="DU128" s="1088" t="s">
        <v>2260</v>
      </c>
      <c r="DV128" s="1093">
        <v>1</v>
      </c>
      <c r="DW128" s="1094" t="s">
        <v>2260</v>
      </c>
    </row>
    <row r="129" spans="1:127" s="382" customFormat="1" ht="15.75" customHeight="1">
      <c r="A129" s="1066" t="s">
        <v>1130</v>
      </c>
      <c r="B129" s="1026">
        <v>120</v>
      </c>
      <c r="C129" s="987"/>
      <c r="D129" s="987"/>
      <c r="E129" s="987"/>
      <c r="F129" s="987"/>
      <c r="G129" s="987"/>
      <c r="H129" s="987"/>
      <c r="I129" s="987"/>
      <c r="J129" s="987"/>
      <c r="K129" s="987"/>
      <c r="L129" s="987"/>
      <c r="M129" s="1026"/>
      <c r="N129" s="987"/>
      <c r="O129" s="987"/>
      <c r="P129" s="987"/>
      <c r="Q129" s="987"/>
      <c r="R129" s="987"/>
      <c r="S129" s="987"/>
      <c r="T129" s="988"/>
      <c r="U129" s="1067" t="s">
        <v>1111</v>
      </c>
      <c r="V129" s="1068" t="s">
        <v>2612</v>
      </c>
      <c r="W129" s="1068" t="s">
        <v>2231</v>
      </c>
      <c r="X129" s="1069" t="s">
        <v>2627</v>
      </c>
      <c r="Y129" s="1070" t="s">
        <v>795</v>
      </c>
      <c r="Z129" s="1071" t="s">
        <v>2628</v>
      </c>
      <c r="AA129" s="1072" t="s">
        <v>2260</v>
      </c>
      <c r="AB129" s="1073" t="s">
        <v>2260</v>
      </c>
      <c r="AC129" s="1073">
        <v>1</v>
      </c>
      <c r="AD129" s="1073" t="s">
        <v>2260</v>
      </c>
      <c r="AE129" s="1073" t="s">
        <v>2260</v>
      </c>
      <c r="AF129" s="1073" t="s">
        <v>2260</v>
      </c>
      <c r="AG129" s="1073" t="s">
        <v>2260</v>
      </c>
      <c r="AH129" s="1073" t="s">
        <v>2260</v>
      </c>
      <c r="AI129" s="1074">
        <f t="shared" si="1"/>
        <v>1</v>
      </c>
      <c r="AJ129" s="1075" t="s">
        <v>1846</v>
      </c>
      <c r="AK129" s="1075" t="s">
        <v>1826</v>
      </c>
      <c r="AL129" s="1075" t="s">
        <v>1827</v>
      </c>
      <c r="AM129" s="1076" t="s">
        <v>2368</v>
      </c>
      <c r="AN129" s="987" t="s">
        <v>2439</v>
      </c>
      <c r="AO129" s="987" t="s">
        <v>4432</v>
      </c>
      <c r="AP129" s="2076">
        <v>2</v>
      </c>
      <c r="AQ129" s="1045" t="s">
        <v>1838</v>
      </c>
      <c r="AR129" s="1078" t="s">
        <v>795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210</v>
      </c>
      <c r="CE129" s="1088" t="s">
        <v>210</v>
      </c>
      <c r="CF129" s="1088" t="s">
        <v>210</v>
      </c>
      <c r="CG129" s="1088" t="s">
        <v>210</v>
      </c>
      <c r="CH129" s="1089" t="s">
        <v>210</v>
      </c>
      <c r="CI129" s="1044" t="s">
        <v>2260</v>
      </c>
      <c r="CJ129" s="1045" t="s">
        <v>2260</v>
      </c>
      <c r="CK129" s="1045" t="s">
        <v>2260</v>
      </c>
      <c r="CL129" s="1045" t="s">
        <v>2260</v>
      </c>
      <c r="CM129" s="1086" t="s">
        <v>2260</v>
      </c>
      <c r="CN129" s="1044" t="s">
        <v>2260</v>
      </c>
      <c r="CO129" s="1045" t="s">
        <v>2260</v>
      </c>
      <c r="CP129" s="1045" t="s">
        <v>2260</v>
      </c>
      <c r="CQ129" s="1045" t="s">
        <v>2260</v>
      </c>
      <c r="CR129" s="1086" t="s">
        <v>2260</v>
      </c>
      <c r="CS129" s="1044" t="s">
        <v>2260</v>
      </c>
      <c r="CT129" s="1045" t="s">
        <v>2260</v>
      </c>
      <c r="CU129" s="1045" t="s">
        <v>2260</v>
      </c>
      <c r="CV129" s="1045" t="s">
        <v>2260</v>
      </c>
      <c r="CW129" s="1086" t="s">
        <v>2260</v>
      </c>
      <c r="CX129" s="1044" t="s">
        <v>2260</v>
      </c>
      <c r="CY129" s="1045" t="s">
        <v>2260</v>
      </c>
      <c r="CZ129" s="1045" t="s">
        <v>2260</v>
      </c>
      <c r="DA129" s="1045" t="s">
        <v>2260</v>
      </c>
      <c r="DB129" s="1086" t="s">
        <v>2260</v>
      </c>
      <c r="DC129" s="1045" t="s">
        <v>2260</v>
      </c>
      <c r="DD129" s="1045" t="s">
        <v>2260</v>
      </c>
      <c r="DE129" s="1045" t="s">
        <v>2260</v>
      </c>
      <c r="DF129" s="1045" t="s">
        <v>2260</v>
      </c>
      <c r="DG129" s="1086" t="s">
        <v>2260</v>
      </c>
      <c r="DH129" s="1044" t="s">
        <v>2260</v>
      </c>
      <c r="DI129" s="1045" t="s">
        <v>2260</v>
      </c>
      <c r="DJ129" s="1045" t="s">
        <v>2260</v>
      </c>
      <c r="DK129" s="1045" t="s">
        <v>2260</v>
      </c>
      <c r="DL129" s="1086" t="s">
        <v>2260</v>
      </c>
      <c r="DM129" s="1090">
        <v>-1.534E-3</v>
      </c>
      <c r="DN129" s="1091" t="s">
        <v>2260</v>
      </c>
      <c r="DO129" s="1091" t="s">
        <v>2260</v>
      </c>
      <c r="DP129" s="1092" t="s">
        <v>2260</v>
      </c>
      <c r="DQ129" s="1091" t="s">
        <v>2260</v>
      </c>
      <c r="DR129" s="1091" t="s">
        <v>2260</v>
      </c>
      <c r="DS129" s="1091" t="s">
        <v>2260</v>
      </c>
      <c r="DT129" s="1092" t="s">
        <v>2260</v>
      </c>
      <c r="DU129" s="1088" t="s">
        <v>2260</v>
      </c>
      <c r="DV129" s="1093">
        <v>1</v>
      </c>
      <c r="DW129" s="1094" t="s">
        <v>2260</v>
      </c>
    </row>
    <row r="130" spans="1:127" s="382" customFormat="1" ht="15.75" customHeight="1">
      <c r="A130" s="1066" t="s">
        <v>1130</v>
      </c>
      <c r="B130" s="1026">
        <v>121</v>
      </c>
      <c r="C130" s="987"/>
      <c r="D130" s="987"/>
      <c r="E130" s="987"/>
      <c r="F130" s="987"/>
      <c r="G130" s="987"/>
      <c r="H130" s="987"/>
      <c r="I130" s="987"/>
      <c r="J130" s="987"/>
      <c r="K130" s="987"/>
      <c r="L130" s="987"/>
      <c r="M130" s="1026"/>
      <c r="N130" s="987"/>
      <c r="O130" s="987"/>
      <c r="P130" s="987"/>
      <c r="Q130" s="987"/>
      <c r="R130" s="987"/>
      <c r="S130" s="987"/>
      <c r="T130" s="988"/>
      <c r="U130" s="1067" t="s">
        <v>1375</v>
      </c>
      <c r="V130" s="1068" t="s">
        <v>2630</v>
      </c>
      <c r="W130" s="1068" t="s">
        <v>2231</v>
      </c>
      <c r="X130" s="1069" t="s">
        <v>2631</v>
      </c>
      <c r="Y130" s="1070" t="s">
        <v>2632</v>
      </c>
      <c r="Z130" s="1071" t="s">
        <v>2633</v>
      </c>
      <c r="AA130" s="1072" t="s">
        <v>2260</v>
      </c>
      <c r="AB130" s="1073" t="s">
        <v>2260</v>
      </c>
      <c r="AC130" s="1073" t="s">
        <v>2260</v>
      </c>
      <c r="AD130" s="1073" t="s">
        <v>2260</v>
      </c>
      <c r="AE130" s="1073">
        <v>1</v>
      </c>
      <c r="AF130" s="1073" t="s">
        <v>2260</v>
      </c>
      <c r="AG130" s="1073" t="s">
        <v>2260</v>
      </c>
      <c r="AH130" s="1073" t="s">
        <v>2260</v>
      </c>
      <c r="AI130" s="1074">
        <f t="shared" si="1"/>
        <v>1</v>
      </c>
      <c r="AJ130" s="1075" t="s">
        <v>1852</v>
      </c>
      <c r="AK130" s="1075" t="s">
        <v>1826</v>
      </c>
      <c r="AL130" s="1075" t="s">
        <v>1827</v>
      </c>
      <c r="AM130" s="1076" t="s">
        <v>2396</v>
      </c>
      <c r="AN130" s="987" t="s">
        <v>2397</v>
      </c>
      <c r="AO130" s="987" t="s">
        <v>2634</v>
      </c>
      <c r="AP130" s="1285">
        <v>2</v>
      </c>
      <c r="AQ130" s="1045" t="s">
        <v>1838</v>
      </c>
      <c r="AR130" s="1078" t="s">
        <v>2260</v>
      </c>
      <c r="AS130" s="1079"/>
      <c r="AT130" s="1069"/>
      <c r="AU130" s="1069"/>
      <c r="AV130" s="1069"/>
      <c r="AW130" s="1080"/>
      <c r="AX130" s="1081"/>
      <c r="AY130" s="1044"/>
      <c r="AZ130" s="1045"/>
      <c r="BA130" s="1045"/>
      <c r="BB130" s="1045"/>
      <c r="BC130" s="1045"/>
      <c r="BD130" s="1045"/>
      <c r="BE130" s="1045"/>
      <c r="BF130" s="1045"/>
      <c r="BG130" s="1045"/>
      <c r="BH130" s="1045"/>
      <c r="BI130" s="1369"/>
      <c r="BJ130" s="1319"/>
      <c r="BK130" s="1319"/>
      <c r="BL130" s="1319"/>
      <c r="BM130" s="1319"/>
      <c r="BN130" s="1044"/>
      <c r="BO130" s="1045"/>
      <c r="BP130" s="1045"/>
      <c r="BQ130" s="1045"/>
      <c r="BR130" s="1045"/>
      <c r="BS130" s="1084"/>
      <c r="BT130" s="1045"/>
      <c r="BU130" s="1045"/>
      <c r="BV130" s="1045"/>
      <c r="BW130" s="1085"/>
      <c r="BX130" s="1084"/>
      <c r="BY130" s="1045"/>
      <c r="BZ130" s="1045"/>
      <c r="CA130" s="1045"/>
      <c r="CB130" s="1085"/>
      <c r="CC130" s="1086"/>
      <c r="CD130" s="1327"/>
      <c r="CE130" s="1328"/>
      <c r="CF130" s="1328"/>
      <c r="CG130" s="1328"/>
      <c r="CH130" s="1389"/>
      <c r="CI130" s="1369"/>
      <c r="CJ130" s="1319"/>
      <c r="CK130" s="1319"/>
      <c r="CL130" s="1319"/>
      <c r="CM130" s="1320"/>
      <c r="CN130" s="1369"/>
      <c r="CO130" s="1319"/>
      <c r="CP130" s="1319"/>
      <c r="CQ130" s="1319"/>
      <c r="CR130" s="1320"/>
      <c r="CS130" s="1369"/>
      <c r="CT130" s="1319"/>
      <c r="CU130" s="1319"/>
      <c r="CV130" s="1319"/>
      <c r="CW130" s="1320"/>
      <c r="CX130" s="1369"/>
      <c r="CY130" s="1319"/>
      <c r="CZ130" s="1319"/>
      <c r="DA130" s="1319"/>
      <c r="DB130" s="1320"/>
      <c r="DC130" s="1319"/>
      <c r="DD130" s="1319"/>
      <c r="DE130" s="1319"/>
      <c r="DF130" s="1319"/>
      <c r="DG130" s="1320"/>
      <c r="DH130" s="1369"/>
      <c r="DI130" s="1319"/>
      <c r="DJ130" s="1319"/>
      <c r="DK130" s="1319"/>
      <c r="DL130" s="1320"/>
      <c r="DM130" s="1743"/>
      <c r="DN130" s="1744"/>
      <c r="DO130" s="1744"/>
      <c r="DP130" s="1745"/>
      <c r="DQ130" s="1744"/>
      <c r="DR130" s="1744"/>
      <c r="DS130" s="1744"/>
      <c r="DT130" s="1745"/>
      <c r="DU130" s="1328"/>
      <c r="DV130" s="1664"/>
      <c r="DW130" s="1746"/>
    </row>
    <row r="131" spans="1:127" s="382" customFormat="1" ht="15.75" customHeight="1">
      <c r="A131" s="1066" t="s">
        <v>1130</v>
      </c>
      <c r="B131" s="1026">
        <v>122</v>
      </c>
      <c r="C131" s="987"/>
      <c r="D131" s="987"/>
      <c r="E131" s="987"/>
      <c r="F131" s="987"/>
      <c r="G131" s="987"/>
      <c r="H131" s="987"/>
      <c r="I131" s="987"/>
      <c r="J131" s="987"/>
      <c r="K131" s="987"/>
      <c r="L131" s="987"/>
      <c r="M131" s="1026"/>
      <c r="N131" s="987"/>
      <c r="O131" s="987"/>
      <c r="P131" s="987"/>
      <c r="Q131" s="987"/>
      <c r="R131" s="987"/>
      <c r="S131" s="987"/>
      <c r="T131" s="988"/>
      <c r="U131" s="1067" t="s">
        <v>1762</v>
      </c>
      <c r="V131" s="1068" t="s">
        <v>2635</v>
      </c>
      <c r="W131" s="1068" t="s">
        <v>2231</v>
      </c>
      <c r="X131" s="1069" t="s">
        <v>2636</v>
      </c>
      <c r="Y131" s="1070" t="s">
        <v>2251</v>
      </c>
      <c r="Z131" s="1071" t="s">
        <v>2637</v>
      </c>
      <c r="AA131" s="1072" t="s">
        <v>2260</v>
      </c>
      <c r="AB131" s="1073" t="s">
        <v>2260</v>
      </c>
      <c r="AC131" s="1073" t="s">
        <v>2260</v>
      </c>
      <c r="AD131" s="1073" t="s">
        <v>2260</v>
      </c>
      <c r="AE131" s="1073">
        <v>1</v>
      </c>
      <c r="AF131" s="1073" t="s">
        <v>2260</v>
      </c>
      <c r="AG131" s="1073" t="s">
        <v>2260</v>
      </c>
      <c r="AH131" s="1073" t="s">
        <v>2260</v>
      </c>
      <c r="AI131" s="1074">
        <f t="shared" si="1"/>
        <v>1</v>
      </c>
      <c r="AJ131" s="1075" t="s">
        <v>1852</v>
      </c>
      <c r="AK131" s="1075" t="s">
        <v>1826</v>
      </c>
      <c r="AL131" s="1075" t="s">
        <v>1827</v>
      </c>
      <c r="AM131" s="1076" t="s">
        <v>1888</v>
      </c>
      <c r="AN131" s="987" t="s">
        <v>1897</v>
      </c>
      <c r="AO131" s="987" t="s">
        <v>2638</v>
      </c>
      <c r="AP131" s="1285">
        <v>2</v>
      </c>
      <c r="AQ131" s="1045" t="s">
        <v>1828</v>
      </c>
      <c r="AR131" s="1078" t="s">
        <v>2251</v>
      </c>
      <c r="AS131" s="1079"/>
      <c r="AT131" s="1069"/>
      <c r="AU131" s="1069"/>
      <c r="AV131" s="1069"/>
      <c r="AW131" s="1080"/>
      <c r="AX131" s="1081"/>
      <c r="AY131" s="1044"/>
      <c r="AZ131" s="1045"/>
      <c r="BA131" s="1045"/>
      <c r="BB131" s="1045"/>
      <c r="BC131" s="1045"/>
      <c r="BD131" s="1045"/>
      <c r="BE131" s="1045"/>
      <c r="BF131" s="1045"/>
      <c r="BG131" s="1045"/>
      <c r="BH131" s="1045"/>
      <c r="BI131" s="1044" t="s">
        <v>4448</v>
      </c>
      <c r="BJ131" s="1045" t="s">
        <v>4448</v>
      </c>
      <c r="BK131" s="1045" t="s">
        <v>4448</v>
      </c>
      <c r="BL131" s="1045" t="s">
        <v>4448</v>
      </c>
      <c r="BM131" s="1045" t="s">
        <v>4448</v>
      </c>
      <c r="BN131" s="1044"/>
      <c r="BO131" s="1045"/>
      <c r="BP131" s="1045"/>
      <c r="BQ131" s="1045"/>
      <c r="BR131" s="1045"/>
      <c r="BS131" s="1084"/>
      <c r="BT131" s="1045"/>
      <c r="BU131" s="1045"/>
      <c r="BV131" s="1045"/>
      <c r="BW131" s="1085"/>
      <c r="BX131" s="1084"/>
      <c r="BY131" s="1045"/>
      <c r="BZ131" s="1045"/>
      <c r="CA131" s="1045"/>
      <c r="CB131" s="1085"/>
      <c r="CC131" s="1086"/>
      <c r="CD131" s="1087" t="s">
        <v>210</v>
      </c>
      <c r="CE131" s="1088" t="s">
        <v>210</v>
      </c>
      <c r="CF131" s="1088" t="s">
        <v>210</v>
      </c>
      <c r="CG131" s="1088" t="s">
        <v>210</v>
      </c>
      <c r="CH131" s="1089" t="s">
        <v>210</v>
      </c>
      <c r="CI131" s="1044" t="s">
        <v>2260</v>
      </c>
      <c r="CJ131" s="1045" t="s">
        <v>2260</v>
      </c>
      <c r="CK131" s="1045" t="s">
        <v>2260</v>
      </c>
      <c r="CL131" s="1045" t="s">
        <v>2260</v>
      </c>
      <c r="CM131" s="1086" t="s">
        <v>2260</v>
      </c>
      <c r="CN131" s="1044" t="s">
        <v>2260</v>
      </c>
      <c r="CO131" s="1045" t="s">
        <v>2260</v>
      </c>
      <c r="CP131" s="1045" t="s">
        <v>2260</v>
      </c>
      <c r="CQ131" s="1045" t="s">
        <v>2260</v>
      </c>
      <c r="CR131" s="1086" t="s">
        <v>2260</v>
      </c>
      <c r="CS131" s="1044" t="s">
        <v>2260</v>
      </c>
      <c r="CT131" s="1045" t="s">
        <v>2260</v>
      </c>
      <c r="CU131" s="1045" t="s">
        <v>2260</v>
      </c>
      <c r="CV131" s="1045" t="s">
        <v>2260</v>
      </c>
      <c r="CW131" s="1086" t="s">
        <v>2260</v>
      </c>
      <c r="CX131" s="1044" t="s">
        <v>2260</v>
      </c>
      <c r="CY131" s="1045" t="s">
        <v>2260</v>
      </c>
      <c r="CZ131" s="1045" t="s">
        <v>2260</v>
      </c>
      <c r="DA131" s="1045" t="s">
        <v>2260</v>
      </c>
      <c r="DB131" s="1086" t="s">
        <v>2260</v>
      </c>
      <c r="DC131" s="1045" t="s">
        <v>2260</v>
      </c>
      <c r="DD131" s="1045" t="s">
        <v>2260</v>
      </c>
      <c r="DE131" s="1045" t="s">
        <v>2260</v>
      </c>
      <c r="DF131" s="1045" t="s">
        <v>2260</v>
      </c>
      <c r="DG131" s="1086" t="s">
        <v>2260</v>
      </c>
      <c r="DH131" s="1044" t="s">
        <v>2260</v>
      </c>
      <c r="DI131" s="1045" t="s">
        <v>2260</v>
      </c>
      <c r="DJ131" s="1045" t="s">
        <v>2260</v>
      </c>
      <c r="DK131" s="1045" t="s">
        <v>2260</v>
      </c>
      <c r="DL131" s="1086" t="s">
        <v>2260</v>
      </c>
      <c r="DM131" s="1090" t="s">
        <v>2260</v>
      </c>
      <c r="DN131" s="1091" t="s">
        <v>2260</v>
      </c>
      <c r="DO131" s="1091" t="s">
        <v>2260</v>
      </c>
      <c r="DP131" s="1092" t="s">
        <v>2260</v>
      </c>
      <c r="DQ131" s="1091" t="s">
        <v>2260</v>
      </c>
      <c r="DR131" s="1091" t="s">
        <v>2260</v>
      </c>
      <c r="DS131" s="1091" t="s">
        <v>2260</v>
      </c>
      <c r="DT131" s="1092" t="s">
        <v>2260</v>
      </c>
      <c r="DU131" s="1088" t="s">
        <v>2260</v>
      </c>
      <c r="DV131" s="1093">
        <v>1</v>
      </c>
      <c r="DW131" s="1094" t="s">
        <v>2260</v>
      </c>
    </row>
    <row r="132" spans="1:127" s="382" customFormat="1" ht="15.75" customHeight="1">
      <c r="A132" s="1066" t="s">
        <v>1130</v>
      </c>
      <c r="B132" s="1026">
        <v>123</v>
      </c>
      <c r="C132" s="987"/>
      <c r="D132" s="987"/>
      <c r="E132" s="987"/>
      <c r="F132" s="987"/>
      <c r="G132" s="987"/>
      <c r="H132" s="987"/>
      <c r="I132" s="987"/>
      <c r="J132" s="987"/>
      <c r="K132" s="987"/>
      <c r="L132" s="987"/>
      <c r="M132" s="1026"/>
      <c r="N132" s="987"/>
      <c r="O132" s="987"/>
      <c r="P132" s="987"/>
      <c r="Q132" s="987"/>
      <c r="R132" s="987"/>
      <c r="S132" s="987"/>
      <c r="T132" s="988"/>
      <c r="U132" s="1067" t="s">
        <v>1779</v>
      </c>
      <c r="V132" s="1068" t="s">
        <v>2635</v>
      </c>
      <c r="W132" s="1068" t="s">
        <v>2231</v>
      </c>
      <c r="X132" s="1069" t="s">
        <v>2639</v>
      </c>
      <c r="Y132" s="1070" t="s">
        <v>2254</v>
      </c>
      <c r="Z132" s="1071" t="s">
        <v>2640</v>
      </c>
      <c r="AA132" s="1072" t="s">
        <v>2260</v>
      </c>
      <c r="AB132" s="1073">
        <v>0.5</v>
      </c>
      <c r="AC132" s="1073">
        <v>0.5</v>
      </c>
      <c r="AD132" s="1073" t="s">
        <v>2260</v>
      </c>
      <c r="AE132" s="1073" t="s">
        <v>2260</v>
      </c>
      <c r="AF132" s="1073" t="s">
        <v>2260</v>
      </c>
      <c r="AG132" s="1073" t="s">
        <v>2260</v>
      </c>
      <c r="AH132" s="1073" t="s">
        <v>2260</v>
      </c>
      <c r="AI132" s="1074">
        <f t="shared" si="1"/>
        <v>1</v>
      </c>
      <c r="AJ132" s="1075" t="s">
        <v>1852</v>
      </c>
      <c r="AK132" s="1075" t="s">
        <v>1826</v>
      </c>
      <c r="AL132" s="1075" t="s">
        <v>1827</v>
      </c>
      <c r="AM132" s="1076" t="s">
        <v>1891</v>
      </c>
      <c r="AN132" s="987" t="s">
        <v>1897</v>
      </c>
      <c r="AO132" s="987" t="s">
        <v>2641</v>
      </c>
      <c r="AP132" s="1285">
        <v>2</v>
      </c>
      <c r="AQ132" s="1045" t="s">
        <v>1828</v>
      </c>
      <c r="AR132" s="1078" t="s">
        <v>2254</v>
      </c>
      <c r="AS132" s="1079"/>
      <c r="AT132" s="1069"/>
      <c r="AU132" s="1069"/>
      <c r="AV132" s="1069"/>
      <c r="AW132" s="1080"/>
      <c r="AX132" s="1081"/>
      <c r="AY132" s="1044"/>
      <c r="AZ132" s="1045"/>
      <c r="BA132" s="1045"/>
      <c r="BB132" s="1045"/>
      <c r="BC132" s="1045"/>
      <c r="BD132" s="1045"/>
      <c r="BE132" s="1045"/>
      <c r="BF132" s="1045"/>
      <c r="BG132" s="1045"/>
      <c r="BH132" s="1045"/>
      <c r="BI132" s="1044" t="s">
        <v>4448</v>
      </c>
      <c r="BJ132" s="1045" t="s">
        <v>4448</v>
      </c>
      <c r="BK132" s="1045" t="s">
        <v>4448</v>
      </c>
      <c r="BL132" s="1045" t="s">
        <v>4448</v>
      </c>
      <c r="BM132" s="1045" t="s">
        <v>4448</v>
      </c>
      <c r="BN132" s="1044"/>
      <c r="BO132" s="1045"/>
      <c r="BP132" s="1045"/>
      <c r="BQ132" s="1045"/>
      <c r="BR132" s="1045"/>
      <c r="BS132" s="1084"/>
      <c r="BT132" s="1045"/>
      <c r="BU132" s="1045"/>
      <c r="BV132" s="1045"/>
      <c r="BW132" s="1085"/>
      <c r="BX132" s="1084"/>
      <c r="BY132" s="1045"/>
      <c r="BZ132" s="1045"/>
      <c r="CA132" s="1045"/>
      <c r="CB132" s="1085"/>
      <c r="CC132" s="1086"/>
      <c r="CD132" s="1087" t="s">
        <v>210</v>
      </c>
      <c r="CE132" s="1088" t="s">
        <v>210</v>
      </c>
      <c r="CF132" s="1088" t="s">
        <v>210</v>
      </c>
      <c r="CG132" s="1088" t="s">
        <v>210</v>
      </c>
      <c r="CH132" s="1089" t="s">
        <v>210</v>
      </c>
      <c r="CI132" s="1044" t="s">
        <v>2260</v>
      </c>
      <c r="CJ132" s="1045" t="s">
        <v>2260</v>
      </c>
      <c r="CK132" s="1045" t="s">
        <v>2260</v>
      </c>
      <c r="CL132" s="1045" t="s">
        <v>2260</v>
      </c>
      <c r="CM132" s="1086" t="s">
        <v>2260</v>
      </c>
      <c r="CN132" s="1044" t="s">
        <v>2260</v>
      </c>
      <c r="CO132" s="1045" t="s">
        <v>2260</v>
      </c>
      <c r="CP132" s="1045" t="s">
        <v>2260</v>
      </c>
      <c r="CQ132" s="1045" t="s">
        <v>2260</v>
      </c>
      <c r="CR132" s="1086" t="s">
        <v>2260</v>
      </c>
      <c r="CS132" s="1044" t="s">
        <v>2260</v>
      </c>
      <c r="CT132" s="1045" t="s">
        <v>2260</v>
      </c>
      <c r="CU132" s="1045" t="s">
        <v>2260</v>
      </c>
      <c r="CV132" s="1045" t="s">
        <v>2260</v>
      </c>
      <c r="CW132" s="1086" t="s">
        <v>2260</v>
      </c>
      <c r="CX132" s="1044" t="s">
        <v>2260</v>
      </c>
      <c r="CY132" s="1045" t="s">
        <v>2260</v>
      </c>
      <c r="CZ132" s="1045" t="s">
        <v>2260</v>
      </c>
      <c r="DA132" s="1045" t="s">
        <v>2260</v>
      </c>
      <c r="DB132" s="1086" t="s">
        <v>2260</v>
      </c>
      <c r="DC132" s="1045" t="s">
        <v>2260</v>
      </c>
      <c r="DD132" s="1045" t="s">
        <v>2260</v>
      </c>
      <c r="DE132" s="1045" t="s">
        <v>2260</v>
      </c>
      <c r="DF132" s="1045" t="s">
        <v>2260</v>
      </c>
      <c r="DG132" s="1086" t="s">
        <v>2260</v>
      </c>
      <c r="DH132" s="1044" t="s">
        <v>2260</v>
      </c>
      <c r="DI132" s="1045" t="s">
        <v>2260</v>
      </c>
      <c r="DJ132" s="1045" t="s">
        <v>2260</v>
      </c>
      <c r="DK132" s="1045" t="s">
        <v>2260</v>
      </c>
      <c r="DL132" s="1086" t="s">
        <v>2260</v>
      </c>
      <c r="DM132" s="1090" t="s">
        <v>2260</v>
      </c>
      <c r="DN132" s="1091" t="s">
        <v>2260</v>
      </c>
      <c r="DO132" s="1091" t="s">
        <v>2260</v>
      </c>
      <c r="DP132" s="1092" t="s">
        <v>2260</v>
      </c>
      <c r="DQ132" s="1091" t="s">
        <v>2260</v>
      </c>
      <c r="DR132" s="1091" t="s">
        <v>2260</v>
      </c>
      <c r="DS132" s="1091" t="s">
        <v>2260</v>
      </c>
      <c r="DT132" s="1092" t="s">
        <v>2260</v>
      </c>
      <c r="DU132" s="1088" t="s">
        <v>2260</v>
      </c>
      <c r="DV132" s="1093">
        <v>1</v>
      </c>
      <c r="DW132" s="1094" t="s">
        <v>2260</v>
      </c>
    </row>
    <row r="133" spans="1:127" s="382" customFormat="1" ht="15.75" customHeight="1">
      <c r="A133" s="1066" t="s">
        <v>1130</v>
      </c>
      <c r="B133" s="1026">
        <v>124</v>
      </c>
      <c r="C133" s="987"/>
      <c r="D133" s="987"/>
      <c r="E133" s="987"/>
      <c r="F133" s="987"/>
      <c r="G133" s="987"/>
      <c r="H133" s="987"/>
      <c r="I133" s="987"/>
      <c r="J133" s="987"/>
      <c r="K133" s="987"/>
      <c r="L133" s="987"/>
      <c r="M133" s="1026"/>
      <c r="N133" s="987"/>
      <c r="O133" s="987"/>
      <c r="P133" s="987"/>
      <c r="Q133" s="987"/>
      <c r="R133" s="987"/>
      <c r="S133" s="987"/>
      <c r="T133" s="988"/>
      <c r="U133" s="1067" t="s">
        <v>1392</v>
      </c>
      <c r="V133" s="1068" t="s">
        <v>2635</v>
      </c>
      <c r="W133" s="1068" t="s">
        <v>2231</v>
      </c>
      <c r="X133" s="1069" t="s">
        <v>2642</v>
      </c>
      <c r="Y133" s="1070" t="s">
        <v>2643</v>
      </c>
      <c r="Z133" s="1071" t="s">
        <v>2644</v>
      </c>
      <c r="AA133" s="1072" t="s">
        <v>2260</v>
      </c>
      <c r="AB133" s="1073" t="s">
        <v>2260</v>
      </c>
      <c r="AC133" s="1073" t="s">
        <v>2260</v>
      </c>
      <c r="AD133" s="1073" t="s">
        <v>2260</v>
      </c>
      <c r="AE133" s="1073" t="s">
        <v>2260</v>
      </c>
      <c r="AF133" s="1073">
        <v>1</v>
      </c>
      <c r="AG133" s="1073" t="s">
        <v>2260</v>
      </c>
      <c r="AH133" s="1073" t="s">
        <v>2260</v>
      </c>
      <c r="AI133" s="1074">
        <f t="shared" si="1"/>
        <v>1</v>
      </c>
      <c r="AJ133" s="1075" t="s">
        <v>1852</v>
      </c>
      <c r="AK133" s="1075" t="s">
        <v>1826</v>
      </c>
      <c r="AL133" s="1075" t="s">
        <v>1827</v>
      </c>
      <c r="AM133" s="1076" t="s">
        <v>2264</v>
      </c>
      <c r="AN133" s="987" t="s">
        <v>1897</v>
      </c>
      <c r="AO133" s="987" t="s">
        <v>2645</v>
      </c>
      <c r="AP133" s="1285">
        <v>1</v>
      </c>
      <c r="AQ133" s="1045" t="s">
        <v>1828</v>
      </c>
      <c r="AR133" s="1078" t="s">
        <v>2260</v>
      </c>
      <c r="AS133" s="1079"/>
      <c r="AT133" s="1069"/>
      <c r="AU133" s="1069"/>
      <c r="AV133" s="1069"/>
      <c r="AW133" s="1080"/>
      <c r="AX133" s="1081"/>
      <c r="AY133" s="1044"/>
      <c r="AZ133" s="1045"/>
      <c r="BA133" s="1045"/>
      <c r="BB133" s="1045"/>
      <c r="BC133" s="1045"/>
      <c r="BD133" s="1045"/>
      <c r="BE133" s="1045"/>
      <c r="BF133" s="1045"/>
      <c r="BG133" s="1045"/>
      <c r="BH133" s="1045"/>
      <c r="BI133" s="1369"/>
      <c r="BJ133" s="1319"/>
      <c r="BK133" s="1319"/>
      <c r="BL133" s="1319"/>
      <c r="BM133" s="1319"/>
      <c r="BN133" s="1044"/>
      <c r="BO133" s="1045"/>
      <c r="BP133" s="1045"/>
      <c r="BQ133" s="1045"/>
      <c r="BR133" s="1045"/>
      <c r="BS133" s="1084"/>
      <c r="BT133" s="1045"/>
      <c r="BU133" s="1045"/>
      <c r="BV133" s="1045"/>
      <c r="BW133" s="1085"/>
      <c r="BX133" s="1084"/>
      <c r="BY133" s="1045"/>
      <c r="BZ133" s="1045"/>
      <c r="CA133" s="1045"/>
      <c r="CB133" s="1085"/>
      <c r="CC133" s="1086"/>
      <c r="CD133" s="1327"/>
      <c r="CE133" s="1328"/>
      <c r="CF133" s="1328"/>
      <c r="CG133" s="1328"/>
      <c r="CH133" s="1389"/>
      <c r="CI133" s="1369"/>
      <c r="CJ133" s="1319"/>
      <c r="CK133" s="1319"/>
      <c r="CL133" s="1319"/>
      <c r="CM133" s="1320"/>
      <c r="CN133" s="1369"/>
      <c r="CO133" s="1319"/>
      <c r="CP133" s="1319"/>
      <c r="CQ133" s="1319"/>
      <c r="CR133" s="1320"/>
      <c r="CS133" s="1369"/>
      <c r="CT133" s="1319"/>
      <c r="CU133" s="1319"/>
      <c r="CV133" s="1319"/>
      <c r="CW133" s="1320"/>
      <c r="CX133" s="1369"/>
      <c r="CY133" s="1319"/>
      <c r="CZ133" s="1319"/>
      <c r="DA133" s="1319"/>
      <c r="DB133" s="1320"/>
      <c r="DC133" s="1319"/>
      <c r="DD133" s="1319"/>
      <c r="DE133" s="1319"/>
      <c r="DF133" s="1319"/>
      <c r="DG133" s="1320"/>
      <c r="DH133" s="1369"/>
      <c r="DI133" s="1319"/>
      <c r="DJ133" s="1319"/>
      <c r="DK133" s="1319"/>
      <c r="DL133" s="1320"/>
      <c r="DM133" s="1743"/>
      <c r="DN133" s="1744"/>
      <c r="DO133" s="1744"/>
      <c r="DP133" s="1745"/>
      <c r="DQ133" s="1744"/>
      <c r="DR133" s="1744"/>
      <c r="DS133" s="1744"/>
      <c r="DT133" s="1745"/>
      <c r="DU133" s="1328"/>
      <c r="DV133" s="1664"/>
      <c r="DW133" s="1746"/>
    </row>
    <row r="134" spans="1:127" s="382" customFormat="1" ht="15.75" customHeight="1">
      <c r="A134" s="1066" t="s">
        <v>1130</v>
      </c>
      <c r="B134" s="1026">
        <v>125</v>
      </c>
      <c r="C134" s="987"/>
      <c r="D134" s="987"/>
      <c r="E134" s="987"/>
      <c r="F134" s="987"/>
      <c r="G134" s="987"/>
      <c r="H134" s="987"/>
      <c r="I134" s="987"/>
      <c r="J134" s="987"/>
      <c r="K134" s="987"/>
      <c r="L134" s="987"/>
      <c r="M134" s="1026"/>
      <c r="N134" s="987"/>
      <c r="O134" s="987"/>
      <c r="P134" s="987"/>
      <c r="Q134" s="987"/>
      <c r="R134" s="987"/>
      <c r="S134" s="987"/>
      <c r="T134" s="988"/>
      <c r="U134" s="1067" t="s">
        <v>1607</v>
      </c>
      <c r="V134" s="1068" t="s">
        <v>2635</v>
      </c>
      <c r="W134" s="1068" t="s">
        <v>2231</v>
      </c>
      <c r="X134" s="1069" t="s">
        <v>2646</v>
      </c>
      <c r="Y134" s="1070" t="s">
        <v>2647</v>
      </c>
      <c r="Z134" s="1071" t="s">
        <v>2648</v>
      </c>
      <c r="AA134" s="1072" t="s">
        <v>2260</v>
      </c>
      <c r="AB134" s="1073" t="s">
        <v>2260</v>
      </c>
      <c r="AC134" s="1073" t="s">
        <v>2260</v>
      </c>
      <c r="AD134" s="1073" t="s">
        <v>2260</v>
      </c>
      <c r="AE134" s="1073">
        <v>0.9</v>
      </c>
      <c r="AF134" s="1073">
        <v>0.1</v>
      </c>
      <c r="AG134" s="1073" t="s">
        <v>2260</v>
      </c>
      <c r="AH134" s="1073" t="s">
        <v>2260</v>
      </c>
      <c r="AI134" s="1074">
        <f t="shared" si="1"/>
        <v>1</v>
      </c>
      <c r="AJ134" s="1075" t="s">
        <v>1825</v>
      </c>
      <c r="AK134" s="1075" t="s">
        <v>2260</v>
      </c>
      <c r="AL134" s="1075" t="s">
        <v>2260</v>
      </c>
      <c r="AM134" s="1076" t="s">
        <v>2264</v>
      </c>
      <c r="AN134" s="987" t="s">
        <v>321</v>
      </c>
      <c r="AO134" s="987" t="s">
        <v>2649</v>
      </c>
      <c r="AP134" s="1285">
        <v>1</v>
      </c>
      <c r="AQ134" s="1045" t="s">
        <v>1828</v>
      </c>
      <c r="AR134" s="1078" t="s">
        <v>2260</v>
      </c>
      <c r="AS134" s="1079"/>
      <c r="AT134" s="1069"/>
      <c r="AU134" s="1069"/>
      <c r="AV134" s="1069"/>
      <c r="AW134" s="1080"/>
      <c r="AX134" s="1081"/>
      <c r="AY134" s="1044"/>
      <c r="AZ134" s="1045"/>
      <c r="BA134" s="1045"/>
      <c r="BB134" s="1045"/>
      <c r="BC134" s="1045"/>
      <c r="BD134" s="1045"/>
      <c r="BE134" s="1045"/>
      <c r="BF134" s="1045"/>
      <c r="BG134" s="1045"/>
      <c r="BH134" s="1045"/>
      <c r="BI134" s="1369"/>
      <c r="BJ134" s="1319"/>
      <c r="BK134" s="1319"/>
      <c r="BL134" s="1319"/>
      <c r="BM134" s="1319"/>
      <c r="BN134" s="1044"/>
      <c r="BO134" s="1045"/>
      <c r="BP134" s="1045"/>
      <c r="BQ134" s="1045"/>
      <c r="BR134" s="1045"/>
      <c r="BS134" s="1084"/>
      <c r="BT134" s="1045"/>
      <c r="BU134" s="1045"/>
      <c r="BV134" s="1045"/>
      <c r="BW134" s="1085"/>
      <c r="BX134" s="1084"/>
      <c r="BY134" s="1045"/>
      <c r="BZ134" s="1045"/>
      <c r="CA134" s="1045"/>
      <c r="CB134" s="1085"/>
      <c r="CC134" s="1086"/>
      <c r="CD134" s="1327"/>
      <c r="CE134" s="1328"/>
      <c r="CF134" s="1328"/>
      <c r="CG134" s="1328"/>
      <c r="CH134" s="1389"/>
      <c r="CI134" s="1369"/>
      <c r="CJ134" s="1319"/>
      <c r="CK134" s="1319"/>
      <c r="CL134" s="1319"/>
      <c r="CM134" s="1320"/>
      <c r="CN134" s="1369"/>
      <c r="CO134" s="1319"/>
      <c r="CP134" s="1319"/>
      <c r="CQ134" s="1319"/>
      <c r="CR134" s="1320"/>
      <c r="CS134" s="1369"/>
      <c r="CT134" s="1319"/>
      <c r="CU134" s="1319"/>
      <c r="CV134" s="1319"/>
      <c r="CW134" s="1320"/>
      <c r="CX134" s="1369"/>
      <c r="CY134" s="1319"/>
      <c r="CZ134" s="1319"/>
      <c r="DA134" s="1319"/>
      <c r="DB134" s="1320"/>
      <c r="DC134" s="1319"/>
      <c r="DD134" s="1319"/>
      <c r="DE134" s="1319"/>
      <c r="DF134" s="1319"/>
      <c r="DG134" s="1320"/>
      <c r="DH134" s="1369"/>
      <c r="DI134" s="1319"/>
      <c r="DJ134" s="1319"/>
      <c r="DK134" s="1319"/>
      <c r="DL134" s="1320"/>
      <c r="DM134" s="1743"/>
      <c r="DN134" s="1744"/>
      <c r="DO134" s="1744"/>
      <c r="DP134" s="1745"/>
      <c r="DQ134" s="1744"/>
      <c r="DR134" s="1744"/>
      <c r="DS134" s="1744"/>
      <c r="DT134" s="1745"/>
      <c r="DU134" s="1328"/>
      <c r="DV134" s="1664"/>
      <c r="DW134" s="1746"/>
    </row>
    <row r="135" spans="1:127" s="382" customFormat="1" ht="15.75" customHeight="1">
      <c r="A135" s="1066" t="s">
        <v>1130</v>
      </c>
      <c r="B135" s="1026">
        <v>126</v>
      </c>
      <c r="C135" s="987"/>
      <c r="D135" s="987"/>
      <c r="E135" s="987"/>
      <c r="F135" s="987"/>
      <c r="G135" s="987"/>
      <c r="H135" s="987"/>
      <c r="I135" s="987"/>
      <c r="J135" s="987"/>
      <c r="K135" s="987"/>
      <c r="L135" s="987"/>
      <c r="M135" s="1026"/>
      <c r="N135" s="987"/>
      <c r="O135" s="987"/>
      <c r="P135" s="987"/>
      <c r="Q135" s="987"/>
      <c r="R135" s="987"/>
      <c r="S135" s="987"/>
      <c r="T135" s="988"/>
      <c r="U135" s="1067" t="s">
        <v>1141</v>
      </c>
      <c r="V135" s="1068" t="s">
        <v>2650</v>
      </c>
      <c r="W135" s="1068" t="s">
        <v>2231</v>
      </c>
      <c r="X135" s="1069" t="s">
        <v>2651</v>
      </c>
      <c r="Y135" s="1070" t="s">
        <v>755</v>
      </c>
      <c r="Z135" s="1071" t="s">
        <v>2652</v>
      </c>
      <c r="AA135" s="1072" t="s">
        <v>2260</v>
      </c>
      <c r="AB135" s="1073" t="s">
        <v>2260</v>
      </c>
      <c r="AC135" s="1073" t="s">
        <v>2260</v>
      </c>
      <c r="AD135" s="1073" t="s">
        <v>2260</v>
      </c>
      <c r="AE135" s="1073">
        <v>1</v>
      </c>
      <c r="AF135" s="1073" t="s">
        <v>2260</v>
      </c>
      <c r="AG135" s="1073" t="s">
        <v>2260</v>
      </c>
      <c r="AH135" s="1073" t="s">
        <v>2260</v>
      </c>
      <c r="AI135" s="1074">
        <f t="shared" si="1"/>
        <v>1</v>
      </c>
      <c r="AJ135" s="1075" t="s">
        <v>1825</v>
      </c>
      <c r="AK135" s="1075" t="s">
        <v>2260</v>
      </c>
      <c r="AL135" s="1075" t="s">
        <v>2260</v>
      </c>
      <c r="AM135" s="1076" t="s">
        <v>2329</v>
      </c>
      <c r="AN135" s="987" t="s">
        <v>321</v>
      </c>
      <c r="AO135" s="987" t="s">
        <v>4424</v>
      </c>
      <c r="AP135" s="2076">
        <v>1</v>
      </c>
      <c r="AQ135" s="1045" t="s">
        <v>1828</v>
      </c>
      <c r="AR135" s="1078" t="s">
        <v>755</v>
      </c>
      <c r="AS135" s="1079"/>
      <c r="AT135" s="1069"/>
      <c r="AU135" s="1069"/>
      <c r="AV135" s="1069"/>
      <c r="AW135" s="1080"/>
      <c r="AX135" s="1081"/>
      <c r="AY135" s="1044"/>
      <c r="AZ135" s="1045"/>
      <c r="BA135" s="1045"/>
      <c r="BB135" s="1045"/>
      <c r="BC135" s="1045"/>
      <c r="BD135" s="1045"/>
      <c r="BE135" s="1045"/>
      <c r="BF135" s="1045"/>
      <c r="BG135" s="1045"/>
      <c r="BH135" s="1045"/>
      <c r="BI135" s="1044" t="s">
        <v>4449</v>
      </c>
      <c r="BJ135" s="1045" t="s">
        <v>4450</v>
      </c>
      <c r="BK135" s="1045" t="s">
        <v>4451</v>
      </c>
      <c r="BL135" s="1045" t="s">
        <v>4452</v>
      </c>
      <c r="BM135" s="1045" t="s">
        <v>4446</v>
      </c>
      <c r="BN135" s="1044"/>
      <c r="BO135" s="1045"/>
      <c r="BP135" s="1045"/>
      <c r="BQ135" s="1045"/>
      <c r="BR135" s="1045"/>
      <c r="BS135" s="1084"/>
      <c r="BT135" s="1045"/>
      <c r="BU135" s="1045"/>
      <c r="BV135" s="1045"/>
      <c r="BW135" s="1085"/>
      <c r="BX135" s="1084"/>
      <c r="BY135" s="1045"/>
      <c r="BZ135" s="1045"/>
      <c r="CA135" s="1045"/>
      <c r="CB135" s="1085"/>
      <c r="CC135" s="1086"/>
      <c r="CD135" s="1087" t="s">
        <v>2260</v>
      </c>
      <c r="CE135" s="1088" t="s">
        <v>2260</v>
      </c>
      <c r="CF135" s="1088" t="s">
        <v>2260</v>
      </c>
      <c r="CG135" s="1088" t="s">
        <v>2260</v>
      </c>
      <c r="CH135" s="1089" t="s">
        <v>2260</v>
      </c>
      <c r="CI135" s="1044" t="s">
        <v>2260</v>
      </c>
      <c r="CJ135" s="1045" t="s">
        <v>2260</v>
      </c>
      <c r="CK135" s="1045" t="s">
        <v>2260</v>
      </c>
      <c r="CL135" s="1045" t="s">
        <v>2260</v>
      </c>
      <c r="CM135" s="1086" t="s">
        <v>2260</v>
      </c>
      <c r="CN135" s="1044" t="s">
        <v>2260</v>
      </c>
      <c r="CO135" s="1045" t="s">
        <v>2260</v>
      </c>
      <c r="CP135" s="1045" t="s">
        <v>2260</v>
      </c>
      <c r="CQ135" s="1045" t="s">
        <v>2260</v>
      </c>
      <c r="CR135" s="1086" t="s">
        <v>2260</v>
      </c>
      <c r="CS135" s="1044" t="s">
        <v>2260</v>
      </c>
      <c r="CT135" s="1045" t="s">
        <v>2260</v>
      </c>
      <c r="CU135" s="1045" t="s">
        <v>2260</v>
      </c>
      <c r="CV135" s="1045" t="s">
        <v>2260</v>
      </c>
      <c r="CW135" s="1086" t="s">
        <v>2260</v>
      </c>
      <c r="CX135" s="1044" t="s">
        <v>2260</v>
      </c>
      <c r="CY135" s="1045" t="s">
        <v>2260</v>
      </c>
      <c r="CZ135" s="1045" t="s">
        <v>2260</v>
      </c>
      <c r="DA135" s="1045" t="s">
        <v>2260</v>
      </c>
      <c r="DB135" s="1086" t="s">
        <v>2260</v>
      </c>
      <c r="DC135" s="1045" t="s">
        <v>2260</v>
      </c>
      <c r="DD135" s="1045" t="s">
        <v>2260</v>
      </c>
      <c r="DE135" s="1045" t="s">
        <v>2260</v>
      </c>
      <c r="DF135" s="1045" t="s">
        <v>2260</v>
      </c>
      <c r="DG135" s="1086" t="s">
        <v>2260</v>
      </c>
      <c r="DH135" s="1044" t="s">
        <v>2260</v>
      </c>
      <c r="DI135" s="1045" t="s">
        <v>2260</v>
      </c>
      <c r="DJ135" s="1045" t="s">
        <v>2260</v>
      </c>
      <c r="DK135" s="1045" t="s">
        <v>2260</v>
      </c>
      <c r="DL135" s="1086" t="s">
        <v>2260</v>
      </c>
      <c r="DM135" s="1090" t="s">
        <v>2260</v>
      </c>
      <c r="DN135" s="1091" t="s">
        <v>2260</v>
      </c>
      <c r="DO135" s="1091" t="s">
        <v>2260</v>
      </c>
      <c r="DP135" s="1092" t="s">
        <v>2260</v>
      </c>
      <c r="DQ135" s="1091" t="s">
        <v>2260</v>
      </c>
      <c r="DR135" s="1091" t="s">
        <v>2260</v>
      </c>
      <c r="DS135" s="1091" t="s">
        <v>2260</v>
      </c>
      <c r="DT135" s="1092" t="s">
        <v>2260</v>
      </c>
      <c r="DU135" s="1088" t="s">
        <v>2260</v>
      </c>
      <c r="DV135" s="1093">
        <v>1</v>
      </c>
      <c r="DW135" s="1094" t="s">
        <v>2260</v>
      </c>
    </row>
    <row r="136" spans="1:127" s="382" customFormat="1" ht="15.75" customHeight="1">
      <c r="A136" s="1066" t="s">
        <v>1130</v>
      </c>
      <c r="B136" s="1026">
        <v>127</v>
      </c>
      <c r="C136" s="987"/>
      <c r="D136" s="987"/>
      <c r="E136" s="987"/>
      <c r="F136" s="987"/>
      <c r="G136" s="987"/>
      <c r="H136" s="987"/>
      <c r="I136" s="987"/>
      <c r="J136" s="987"/>
      <c r="K136" s="987"/>
      <c r="L136" s="987"/>
      <c r="M136" s="1026"/>
      <c r="N136" s="987"/>
      <c r="O136" s="987"/>
      <c r="P136" s="987"/>
      <c r="Q136" s="987"/>
      <c r="R136" s="987"/>
      <c r="S136" s="987"/>
      <c r="T136" s="988"/>
      <c r="U136" s="1067" t="s">
        <v>1624</v>
      </c>
      <c r="V136" s="1068" t="s">
        <v>2650</v>
      </c>
      <c r="W136" s="1068" t="s">
        <v>2231</v>
      </c>
      <c r="X136" s="1069" t="s">
        <v>2654</v>
      </c>
      <c r="Y136" s="1070" t="s">
        <v>2655</v>
      </c>
      <c r="Z136" s="1071" t="s">
        <v>2656</v>
      </c>
      <c r="AA136" s="1072" t="s">
        <v>2260</v>
      </c>
      <c r="AB136" s="1073" t="s">
        <v>2260</v>
      </c>
      <c r="AC136" s="1073" t="s">
        <v>2260</v>
      </c>
      <c r="AD136" s="1073" t="s">
        <v>2260</v>
      </c>
      <c r="AE136" s="1073">
        <v>1</v>
      </c>
      <c r="AF136" s="1073" t="s">
        <v>2260</v>
      </c>
      <c r="AG136" s="1073" t="s">
        <v>2260</v>
      </c>
      <c r="AH136" s="1073" t="s">
        <v>2260</v>
      </c>
      <c r="AI136" s="1074">
        <f t="shared" si="1"/>
        <v>1</v>
      </c>
      <c r="AJ136" s="1075" t="s">
        <v>1825</v>
      </c>
      <c r="AK136" s="1075" t="s">
        <v>2260</v>
      </c>
      <c r="AL136" s="1075" t="s">
        <v>2260</v>
      </c>
      <c r="AM136" s="1076" t="s">
        <v>2329</v>
      </c>
      <c r="AN136" s="987" t="s">
        <v>321</v>
      </c>
      <c r="AO136" s="987" t="s">
        <v>2657</v>
      </c>
      <c r="AP136" s="1285">
        <v>0</v>
      </c>
      <c r="AQ136" s="1045" t="s">
        <v>1828</v>
      </c>
      <c r="AR136" s="1078" t="s">
        <v>2260</v>
      </c>
      <c r="AS136" s="1079"/>
      <c r="AT136" s="1069"/>
      <c r="AU136" s="1069"/>
      <c r="AV136" s="1069"/>
      <c r="AW136" s="1080"/>
      <c r="AX136" s="1081"/>
      <c r="AY136" s="1044"/>
      <c r="AZ136" s="1045"/>
      <c r="BA136" s="1045"/>
      <c r="BB136" s="1045"/>
      <c r="BC136" s="1045"/>
      <c r="BD136" s="1045"/>
      <c r="BE136" s="1045"/>
      <c r="BF136" s="1045"/>
      <c r="BG136" s="1045"/>
      <c r="BH136" s="1045"/>
      <c r="BI136" s="1369"/>
      <c r="BJ136" s="1319"/>
      <c r="BK136" s="1319"/>
      <c r="BL136" s="1319"/>
      <c r="BM136" s="1319"/>
      <c r="BN136" s="1044"/>
      <c r="BO136" s="1045"/>
      <c r="BP136" s="1045"/>
      <c r="BQ136" s="1045"/>
      <c r="BR136" s="1045"/>
      <c r="BS136" s="1084"/>
      <c r="BT136" s="1045"/>
      <c r="BU136" s="1045"/>
      <c r="BV136" s="1045"/>
      <c r="BW136" s="1085"/>
      <c r="BX136" s="1084"/>
      <c r="BY136" s="1045"/>
      <c r="BZ136" s="1045"/>
      <c r="CA136" s="1045"/>
      <c r="CB136" s="1085"/>
      <c r="CC136" s="1086"/>
      <c r="CD136" s="1327"/>
      <c r="CE136" s="1328"/>
      <c r="CF136" s="1328"/>
      <c r="CG136" s="1328"/>
      <c r="CH136" s="1389"/>
      <c r="CI136" s="1369"/>
      <c r="CJ136" s="1319"/>
      <c r="CK136" s="1319"/>
      <c r="CL136" s="1319"/>
      <c r="CM136" s="1320"/>
      <c r="CN136" s="1369"/>
      <c r="CO136" s="1319"/>
      <c r="CP136" s="1319"/>
      <c r="CQ136" s="1319"/>
      <c r="CR136" s="1320"/>
      <c r="CS136" s="1369"/>
      <c r="CT136" s="1319"/>
      <c r="CU136" s="1319"/>
      <c r="CV136" s="1319"/>
      <c r="CW136" s="1320"/>
      <c r="CX136" s="1369"/>
      <c r="CY136" s="1319"/>
      <c r="CZ136" s="1319"/>
      <c r="DA136" s="1319"/>
      <c r="DB136" s="1320"/>
      <c r="DC136" s="1319"/>
      <c r="DD136" s="1319"/>
      <c r="DE136" s="1319"/>
      <c r="DF136" s="1319"/>
      <c r="DG136" s="1320"/>
      <c r="DH136" s="1369"/>
      <c r="DI136" s="1319"/>
      <c r="DJ136" s="1319"/>
      <c r="DK136" s="1319"/>
      <c r="DL136" s="1320"/>
      <c r="DM136" s="1743"/>
      <c r="DN136" s="1744"/>
      <c r="DO136" s="1744"/>
      <c r="DP136" s="1745"/>
      <c r="DQ136" s="1744"/>
      <c r="DR136" s="1744"/>
      <c r="DS136" s="1744"/>
      <c r="DT136" s="1745"/>
      <c r="DU136" s="1328"/>
      <c r="DV136" s="1664"/>
      <c r="DW136" s="1746"/>
    </row>
    <row r="137" spans="1:127" s="382" customFormat="1" ht="15.75" customHeight="1">
      <c r="A137" s="1066" t="s">
        <v>1130</v>
      </c>
      <c r="B137" s="1026">
        <v>128</v>
      </c>
      <c r="C137" s="987"/>
      <c r="D137" s="987"/>
      <c r="E137" s="987"/>
      <c r="F137" s="987"/>
      <c r="G137" s="987"/>
      <c r="H137" s="987"/>
      <c r="I137" s="987"/>
      <c r="J137" s="987"/>
      <c r="K137" s="987"/>
      <c r="L137" s="987"/>
      <c r="M137" s="1026"/>
      <c r="N137" s="987"/>
      <c r="O137" s="987"/>
      <c r="P137" s="987"/>
      <c r="Q137" s="987"/>
      <c r="R137" s="987"/>
      <c r="S137" s="987"/>
      <c r="T137" s="988"/>
      <c r="U137" s="1067" t="s">
        <v>1641</v>
      </c>
      <c r="V137" s="1068" t="s">
        <v>2650</v>
      </c>
      <c r="W137" s="1068" t="s">
        <v>2231</v>
      </c>
      <c r="X137" s="1069" t="s">
        <v>2658</v>
      </c>
      <c r="Y137" s="1070" t="s">
        <v>2659</v>
      </c>
      <c r="Z137" s="1071" t="s">
        <v>2660</v>
      </c>
      <c r="AA137" s="1072" t="s">
        <v>2260</v>
      </c>
      <c r="AB137" s="1073" t="s">
        <v>2260</v>
      </c>
      <c r="AC137" s="1073" t="s">
        <v>2260</v>
      </c>
      <c r="AD137" s="1073" t="s">
        <v>2260</v>
      </c>
      <c r="AE137" s="1073">
        <v>1</v>
      </c>
      <c r="AF137" s="1073" t="s">
        <v>2260</v>
      </c>
      <c r="AG137" s="1073" t="s">
        <v>2260</v>
      </c>
      <c r="AH137" s="1073" t="s">
        <v>2260</v>
      </c>
      <c r="AI137" s="1074">
        <f t="shared" si="1"/>
        <v>1</v>
      </c>
      <c r="AJ137" s="1075" t="s">
        <v>1825</v>
      </c>
      <c r="AK137" s="1075" t="s">
        <v>2260</v>
      </c>
      <c r="AL137" s="1075" t="s">
        <v>2260</v>
      </c>
      <c r="AM137" s="1076" t="s">
        <v>2329</v>
      </c>
      <c r="AN137" s="987" t="s">
        <v>321</v>
      </c>
      <c r="AO137" s="987" t="s">
        <v>2661</v>
      </c>
      <c r="AP137" s="1285">
        <v>1</v>
      </c>
      <c r="AQ137" s="1045" t="s">
        <v>1828</v>
      </c>
      <c r="AR137" s="1078" t="s">
        <v>2260</v>
      </c>
      <c r="AS137" s="1079"/>
      <c r="AT137" s="1069"/>
      <c r="AU137" s="1069"/>
      <c r="AV137" s="1069"/>
      <c r="AW137" s="1080"/>
      <c r="AX137" s="1081"/>
      <c r="AY137" s="1044"/>
      <c r="AZ137" s="1045"/>
      <c r="BA137" s="1045"/>
      <c r="BB137" s="1045"/>
      <c r="BC137" s="1045"/>
      <c r="BD137" s="1045"/>
      <c r="BE137" s="1045"/>
      <c r="BF137" s="1045"/>
      <c r="BG137" s="1045"/>
      <c r="BH137" s="1045"/>
      <c r="BI137" s="1369"/>
      <c r="BJ137" s="1319"/>
      <c r="BK137" s="1319"/>
      <c r="BL137" s="1319"/>
      <c r="BM137" s="1319"/>
      <c r="BN137" s="1044"/>
      <c r="BO137" s="1045"/>
      <c r="BP137" s="1045"/>
      <c r="BQ137" s="1045"/>
      <c r="BR137" s="1045"/>
      <c r="BS137" s="1084"/>
      <c r="BT137" s="1045"/>
      <c r="BU137" s="1045"/>
      <c r="BV137" s="1045"/>
      <c r="BW137" s="1085"/>
      <c r="BX137" s="1084"/>
      <c r="BY137" s="1045"/>
      <c r="BZ137" s="1045"/>
      <c r="CA137" s="1045"/>
      <c r="CB137" s="1085"/>
      <c r="CC137" s="1086"/>
      <c r="CD137" s="1327"/>
      <c r="CE137" s="1328"/>
      <c r="CF137" s="1328"/>
      <c r="CG137" s="1328"/>
      <c r="CH137" s="1389"/>
      <c r="CI137" s="1369"/>
      <c r="CJ137" s="1319"/>
      <c r="CK137" s="1319"/>
      <c r="CL137" s="1319"/>
      <c r="CM137" s="1320"/>
      <c r="CN137" s="1369"/>
      <c r="CO137" s="1319"/>
      <c r="CP137" s="1319"/>
      <c r="CQ137" s="1319"/>
      <c r="CR137" s="1320"/>
      <c r="CS137" s="1369"/>
      <c r="CT137" s="1319"/>
      <c r="CU137" s="1319"/>
      <c r="CV137" s="1319"/>
      <c r="CW137" s="1320"/>
      <c r="CX137" s="1369"/>
      <c r="CY137" s="1319"/>
      <c r="CZ137" s="1319"/>
      <c r="DA137" s="1319"/>
      <c r="DB137" s="1320"/>
      <c r="DC137" s="1319"/>
      <c r="DD137" s="1319"/>
      <c r="DE137" s="1319"/>
      <c r="DF137" s="1319"/>
      <c r="DG137" s="1320"/>
      <c r="DH137" s="1369"/>
      <c r="DI137" s="1319"/>
      <c r="DJ137" s="1319"/>
      <c r="DK137" s="1319"/>
      <c r="DL137" s="1320"/>
      <c r="DM137" s="1743"/>
      <c r="DN137" s="1744"/>
      <c r="DO137" s="1744"/>
      <c r="DP137" s="1745"/>
      <c r="DQ137" s="1744"/>
      <c r="DR137" s="1744"/>
      <c r="DS137" s="1744"/>
      <c r="DT137" s="1745"/>
      <c r="DU137" s="1328"/>
      <c r="DV137" s="1664"/>
      <c r="DW137" s="1746"/>
    </row>
    <row r="138" spans="1:127" s="382" customFormat="1" ht="15.75" customHeight="1">
      <c r="A138" s="1066" t="s">
        <v>1130</v>
      </c>
      <c r="B138" s="1026">
        <v>129</v>
      </c>
      <c r="C138" s="987"/>
      <c r="D138" s="987"/>
      <c r="E138" s="987"/>
      <c r="F138" s="987"/>
      <c r="G138" s="987"/>
      <c r="H138" s="987"/>
      <c r="I138" s="987"/>
      <c r="J138" s="987"/>
      <c r="K138" s="987"/>
      <c r="L138" s="987"/>
      <c r="M138" s="1026"/>
      <c r="N138" s="987"/>
      <c r="O138" s="987"/>
      <c r="P138" s="987"/>
      <c r="Q138" s="987"/>
      <c r="R138" s="987"/>
      <c r="S138" s="987"/>
      <c r="T138" s="988"/>
      <c r="U138" s="1067" t="s">
        <v>1657</v>
      </c>
      <c r="V138" s="1068" t="s">
        <v>2260</v>
      </c>
      <c r="W138" s="1068" t="s">
        <v>2260</v>
      </c>
      <c r="X138" s="1069" t="s">
        <v>2662</v>
      </c>
      <c r="Y138" s="1070" t="s">
        <v>2663</v>
      </c>
      <c r="Z138" s="1071" t="s">
        <v>2260</v>
      </c>
      <c r="AA138" s="1072" t="s">
        <v>2260</v>
      </c>
      <c r="AB138" s="1073" t="s">
        <v>2260</v>
      </c>
      <c r="AC138" s="1073" t="s">
        <v>2260</v>
      </c>
      <c r="AD138" s="1073" t="s">
        <v>2260</v>
      </c>
      <c r="AE138" s="1073" t="s">
        <v>2260</v>
      </c>
      <c r="AF138" s="1073" t="s">
        <v>2260</v>
      </c>
      <c r="AG138" s="1073" t="s">
        <v>2260</v>
      </c>
      <c r="AH138" s="1073" t="s">
        <v>2260</v>
      </c>
      <c r="AI138" s="1074">
        <f t="shared" ref="AI138:AI201" si="2">SUM(AA138:AH138)</f>
        <v>0</v>
      </c>
      <c r="AJ138" s="1075" t="s">
        <v>1825</v>
      </c>
      <c r="AK138" s="1075" t="s">
        <v>2260</v>
      </c>
      <c r="AL138" s="1075" t="s">
        <v>2260</v>
      </c>
      <c r="AM138" s="1076" t="s">
        <v>2260</v>
      </c>
      <c r="AN138" s="987" t="s">
        <v>2260</v>
      </c>
      <c r="AO138" s="987" t="s">
        <v>2260</v>
      </c>
      <c r="AP138" s="1285">
        <v>0</v>
      </c>
      <c r="AQ138" s="1045" t="s">
        <v>2260</v>
      </c>
      <c r="AR138" s="1078" t="s">
        <v>2260</v>
      </c>
      <c r="AS138" s="1079"/>
      <c r="AT138" s="1069"/>
      <c r="AU138" s="1069"/>
      <c r="AV138" s="1069"/>
      <c r="AW138" s="1080"/>
      <c r="AX138" s="1081"/>
      <c r="AY138" s="1044"/>
      <c r="AZ138" s="1045"/>
      <c r="BA138" s="1045"/>
      <c r="BB138" s="1045"/>
      <c r="BC138" s="1045"/>
      <c r="BD138" s="1045"/>
      <c r="BE138" s="1045"/>
      <c r="BF138" s="1045"/>
      <c r="BG138" s="1045"/>
      <c r="BH138" s="1045"/>
      <c r="BI138" s="1369"/>
      <c r="BJ138" s="1319"/>
      <c r="BK138" s="1319"/>
      <c r="BL138" s="1319"/>
      <c r="BM138" s="1319"/>
      <c r="BN138" s="1044"/>
      <c r="BO138" s="1045"/>
      <c r="BP138" s="1045"/>
      <c r="BQ138" s="1045"/>
      <c r="BR138" s="1045"/>
      <c r="BS138" s="1084"/>
      <c r="BT138" s="1045"/>
      <c r="BU138" s="1045"/>
      <c r="BV138" s="1045"/>
      <c r="BW138" s="1085"/>
      <c r="BX138" s="1084"/>
      <c r="BY138" s="1045"/>
      <c r="BZ138" s="1045"/>
      <c r="CA138" s="1045"/>
      <c r="CB138" s="1085"/>
      <c r="CC138" s="1086"/>
      <c r="CD138" s="1327"/>
      <c r="CE138" s="1328"/>
      <c r="CF138" s="1328"/>
      <c r="CG138" s="1328"/>
      <c r="CH138" s="1389"/>
      <c r="CI138" s="1369"/>
      <c r="CJ138" s="1319"/>
      <c r="CK138" s="1319"/>
      <c r="CL138" s="1319"/>
      <c r="CM138" s="1320"/>
      <c r="CN138" s="1369"/>
      <c r="CO138" s="1319"/>
      <c r="CP138" s="1319"/>
      <c r="CQ138" s="1319"/>
      <c r="CR138" s="1320"/>
      <c r="CS138" s="1369"/>
      <c r="CT138" s="1319"/>
      <c r="CU138" s="1319"/>
      <c r="CV138" s="1319"/>
      <c r="CW138" s="1320"/>
      <c r="CX138" s="1369"/>
      <c r="CY138" s="1319"/>
      <c r="CZ138" s="1319"/>
      <c r="DA138" s="1319"/>
      <c r="DB138" s="1320"/>
      <c r="DC138" s="1319"/>
      <c r="DD138" s="1319"/>
      <c r="DE138" s="1319"/>
      <c r="DF138" s="1319"/>
      <c r="DG138" s="1320"/>
      <c r="DH138" s="1369"/>
      <c r="DI138" s="1319"/>
      <c r="DJ138" s="1319"/>
      <c r="DK138" s="1319"/>
      <c r="DL138" s="1320"/>
      <c r="DM138" s="1743"/>
      <c r="DN138" s="1744"/>
      <c r="DO138" s="1744"/>
      <c r="DP138" s="1745"/>
      <c r="DQ138" s="1744"/>
      <c r="DR138" s="1744"/>
      <c r="DS138" s="1744"/>
      <c r="DT138" s="1745"/>
      <c r="DU138" s="1328"/>
      <c r="DV138" s="1664"/>
      <c r="DW138" s="1746"/>
    </row>
    <row r="139" spans="1:127" s="382" customFormat="1" ht="15.75" customHeight="1">
      <c r="A139" s="1066" t="s">
        <v>1130</v>
      </c>
      <c r="B139" s="1026">
        <v>130</v>
      </c>
      <c r="C139" s="987"/>
      <c r="D139" s="987"/>
      <c r="E139" s="987"/>
      <c r="F139" s="987"/>
      <c r="G139" s="987"/>
      <c r="H139" s="987"/>
      <c r="I139" s="987"/>
      <c r="J139" s="987"/>
      <c r="K139" s="987"/>
      <c r="L139" s="987"/>
      <c r="M139" s="1026"/>
      <c r="N139" s="987"/>
      <c r="O139" s="987"/>
      <c r="P139" s="987"/>
      <c r="Q139" s="987"/>
      <c r="R139" s="987"/>
      <c r="S139" s="987"/>
      <c r="T139" s="988"/>
      <c r="U139" s="1067" t="s">
        <v>1671</v>
      </c>
      <c r="V139" s="1068" t="s">
        <v>2260</v>
      </c>
      <c r="W139" s="1068" t="s">
        <v>2260</v>
      </c>
      <c r="X139" s="1069" t="s">
        <v>2331</v>
      </c>
      <c r="Y139" s="1070" t="s">
        <v>2332</v>
      </c>
      <c r="Z139" s="1071" t="s">
        <v>2260</v>
      </c>
      <c r="AA139" s="1072" t="s">
        <v>2260</v>
      </c>
      <c r="AB139" s="1073" t="s">
        <v>2260</v>
      </c>
      <c r="AC139" s="1073" t="s">
        <v>2260</v>
      </c>
      <c r="AD139" s="1073" t="s">
        <v>2260</v>
      </c>
      <c r="AE139" s="1073" t="s">
        <v>2260</v>
      </c>
      <c r="AF139" s="1073" t="s">
        <v>2260</v>
      </c>
      <c r="AG139" s="1073" t="s">
        <v>2260</v>
      </c>
      <c r="AH139" s="1073" t="s">
        <v>2260</v>
      </c>
      <c r="AI139" s="1074">
        <f t="shared" si="2"/>
        <v>0</v>
      </c>
      <c r="AJ139" s="1075" t="s">
        <v>1825</v>
      </c>
      <c r="AK139" s="1075" t="s">
        <v>2260</v>
      </c>
      <c r="AL139" s="1075" t="s">
        <v>2260</v>
      </c>
      <c r="AM139" s="1076" t="s">
        <v>2260</v>
      </c>
      <c r="AN139" s="987" t="s">
        <v>2260</v>
      </c>
      <c r="AO139" s="987" t="s">
        <v>2333</v>
      </c>
      <c r="AP139" s="1285">
        <v>0</v>
      </c>
      <c r="AQ139" s="1045" t="s">
        <v>2260</v>
      </c>
      <c r="AR139" s="1078" t="s">
        <v>2260</v>
      </c>
      <c r="AS139" s="1079"/>
      <c r="AT139" s="1069"/>
      <c r="AU139" s="1069"/>
      <c r="AV139" s="1069"/>
      <c r="AW139" s="1080"/>
      <c r="AX139" s="1081"/>
      <c r="AY139" s="1044"/>
      <c r="AZ139" s="1045"/>
      <c r="BA139" s="1045"/>
      <c r="BB139" s="1045"/>
      <c r="BC139" s="1045"/>
      <c r="BD139" s="1045"/>
      <c r="BE139" s="1045"/>
      <c r="BF139" s="1045"/>
      <c r="BG139" s="1045"/>
      <c r="BH139" s="1045"/>
      <c r="BI139" s="1369"/>
      <c r="BJ139" s="1319"/>
      <c r="BK139" s="1319"/>
      <c r="BL139" s="1319"/>
      <c r="BM139" s="1319"/>
      <c r="BN139" s="1044"/>
      <c r="BO139" s="1045"/>
      <c r="BP139" s="1045"/>
      <c r="BQ139" s="1045"/>
      <c r="BR139" s="1045"/>
      <c r="BS139" s="1084"/>
      <c r="BT139" s="1045"/>
      <c r="BU139" s="1045"/>
      <c r="BV139" s="1045"/>
      <c r="BW139" s="1085"/>
      <c r="BX139" s="1084"/>
      <c r="BY139" s="1045"/>
      <c r="BZ139" s="1045"/>
      <c r="CA139" s="1045"/>
      <c r="CB139" s="1085"/>
      <c r="CC139" s="1086"/>
      <c r="CD139" s="1327"/>
      <c r="CE139" s="1328"/>
      <c r="CF139" s="1328"/>
      <c r="CG139" s="1328"/>
      <c r="CH139" s="1389"/>
      <c r="CI139" s="1369"/>
      <c r="CJ139" s="1319"/>
      <c r="CK139" s="1319"/>
      <c r="CL139" s="1319"/>
      <c r="CM139" s="1320"/>
      <c r="CN139" s="1369"/>
      <c r="CO139" s="1319"/>
      <c r="CP139" s="1319"/>
      <c r="CQ139" s="1319"/>
      <c r="CR139" s="1320"/>
      <c r="CS139" s="1369"/>
      <c r="CT139" s="1319"/>
      <c r="CU139" s="1319"/>
      <c r="CV139" s="1319"/>
      <c r="CW139" s="1320"/>
      <c r="CX139" s="1369"/>
      <c r="CY139" s="1319"/>
      <c r="CZ139" s="1319"/>
      <c r="DA139" s="1319"/>
      <c r="DB139" s="1320"/>
      <c r="DC139" s="1319"/>
      <c r="DD139" s="1319"/>
      <c r="DE139" s="1319"/>
      <c r="DF139" s="1319"/>
      <c r="DG139" s="1320"/>
      <c r="DH139" s="1369"/>
      <c r="DI139" s="1319"/>
      <c r="DJ139" s="1319"/>
      <c r="DK139" s="1319"/>
      <c r="DL139" s="1320"/>
      <c r="DM139" s="1743"/>
      <c r="DN139" s="1744"/>
      <c r="DO139" s="1744"/>
      <c r="DP139" s="1745"/>
      <c r="DQ139" s="1744"/>
      <c r="DR139" s="1744"/>
      <c r="DS139" s="1744"/>
      <c r="DT139" s="1745"/>
      <c r="DU139" s="1328"/>
      <c r="DV139" s="1664"/>
      <c r="DW139" s="1746"/>
    </row>
    <row r="140" spans="1:127" s="382" customFormat="1" ht="15.75" customHeight="1">
      <c r="A140" s="1066" t="s">
        <v>1130</v>
      </c>
      <c r="B140" s="1026">
        <v>131</v>
      </c>
      <c r="C140" s="987"/>
      <c r="D140" s="987"/>
      <c r="E140" s="987"/>
      <c r="F140" s="987"/>
      <c r="G140" s="987"/>
      <c r="H140" s="987"/>
      <c r="I140" s="987"/>
      <c r="J140" s="987"/>
      <c r="K140" s="987"/>
      <c r="L140" s="987"/>
      <c r="M140" s="1026"/>
      <c r="N140" s="987"/>
      <c r="O140" s="987"/>
      <c r="P140" s="987"/>
      <c r="Q140" s="987"/>
      <c r="R140" s="987"/>
      <c r="S140" s="987"/>
      <c r="T140" s="988"/>
      <c r="U140" s="1067" t="s">
        <v>1409</v>
      </c>
      <c r="V140" s="1068" t="s">
        <v>2260</v>
      </c>
      <c r="W140" s="1068" t="s">
        <v>2260</v>
      </c>
      <c r="X140" s="1069" t="s">
        <v>2664</v>
      </c>
      <c r="Y140" s="1070" t="s">
        <v>2665</v>
      </c>
      <c r="Z140" s="1071" t="s">
        <v>2260</v>
      </c>
      <c r="AA140" s="1072">
        <v>1</v>
      </c>
      <c r="AB140" s="1073" t="s">
        <v>2260</v>
      </c>
      <c r="AC140" s="1073" t="s">
        <v>2260</v>
      </c>
      <c r="AD140" s="1073" t="s">
        <v>2260</v>
      </c>
      <c r="AE140" s="1073" t="s">
        <v>2260</v>
      </c>
      <c r="AF140" s="1073" t="s">
        <v>2260</v>
      </c>
      <c r="AG140" s="1073" t="s">
        <v>2260</v>
      </c>
      <c r="AH140" s="1073" t="s">
        <v>2260</v>
      </c>
      <c r="AI140" s="1074">
        <f t="shared" si="2"/>
        <v>1</v>
      </c>
      <c r="AJ140" s="1075" t="s">
        <v>1846</v>
      </c>
      <c r="AK140" s="1075" t="s">
        <v>1826</v>
      </c>
      <c r="AL140" s="1075" t="s">
        <v>4453</v>
      </c>
      <c r="AM140" s="1076" t="s">
        <v>2260</v>
      </c>
      <c r="AN140" s="987"/>
      <c r="AO140" s="987"/>
      <c r="AP140" s="1285">
        <v>1</v>
      </c>
      <c r="AQ140" s="1045"/>
      <c r="AR140" s="1078" t="s">
        <v>2260</v>
      </c>
      <c r="AS140" s="1079"/>
      <c r="AT140" s="1069"/>
      <c r="AU140" s="1069"/>
      <c r="AV140" s="1069"/>
      <c r="AW140" s="1080"/>
      <c r="AX140" s="1081"/>
      <c r="AY140" s="1044"/>
      <c r="AZ140" s="1045"/>
      <c r="BA140" s="1045"/>
      <c r="BB140" s="1045"/>
      <c r="BC140" s="1045"/>
      <c r="BD140" s="1045"/>
      <c r="BE140" s="1045"/>
      <c r="BF140" s="1045"/>
      <c r="BG140" s="1045"/>
      <c r="BH140" s="1045"/>
      <c r="BI140" s="1369"/>
      <c r="BJ140" s="1319"/>
      <c r="BK140" s="1319"/>
      <c r="BL140" s="1319"/>
      <c r="BM140" s="1319"/>
      <c r="BN140" s="1044"/>
      <c r="BO140" s="1045"/>
      <c r="BP140" s="1045"/>
      <c r="BQ140" s="1045"/>
      <c r="BR140" s="1045"/>
      <c r="BS140" s="1084"/>
      <c r="BT140" s="1045"/>
      <c r="BU140" s="1045"/>
      <c r="BV140" s="1045"/>
      <c r="BW140" s="1085"/>
      <c r="BX140" s="1084"/>
      <c r="BY140" s="1045"/>
      <c r="BZ140" s="1045"/>
      <c r="CA140" s="1045"/>
      <c r="CB140" s="1085"/>
      <c r="CC140" s="1086"/>
      <c r="CD140" s="1327"/>
      <c r="CE140" s="1328"/>
      <c r="CF140" s="1328"/>
      <c r="CG140" s="1328"/>
      <c r="CH140" s="1389"/>
      <c r="CI140" s="1369"/>
      <c r="CJ140" s="1319"/>
      <c r="CK140" s="1319"/>
      <c r="CL140" s="1319"/>
      <c r="CM140" s="1320"/>
      <c r="CN140" s="1369"/>
      <c r="CO140" s="1319"/>
      <c r="CP140" s="1319"/>
      <c r="CQ140" s="1319"/>
      <c r="CR140" s="1320"/>
      <c r="CS140" s="1369"/>
      <c r="CT140" s="1319"/>
      <c r="CU140" s="1319"/>
      <c r="CV140" s="1319"/>
      <c r="CW140" s="1320"/>
      <c r="CX140" s="1369"/>
      <c r="CY140" s="1319"/>
      <c r="CZ140" s="1319"/>
      <c r="DA140" s="1319"/>
      <c r="DB140" s="1320"/>
      <c r="DC140" s="1319"/>
      <c r="DD140" s="1319"/>
      <c r="DE140" s="1319"/>
      <c r="DF140" s="1319"/>
      <c r="DG140" s="1320"/>
      <c r="DH140" s="1369"/>
      <c r="DI140" s="1319"/>
      <c r="DJ140" s="1319"/>
      <c r="DK140" s="1319"/>
      <c r="DL140" s="1320"/>
      <c r="DM140" s="1743"/>
      <c r="DN140" s="1744"/>
      <c r="DO140" s="1744"/>
      <c r="DP140" s="1745"/>
      <c r="DQ140" s="1744"/>
      <c r="DR140" s="1744"/>
      <c r="DS140" s="1744"/>
      <c r="DT140" s="1745"/>
      <c r="DU140" s="1328"/>
      <c r="DV140" s="1664"/>
      <c r="DW140" s="1746"/>
    </row>
    <row r="141" spans="1:127" s="382" customFormat="1" ht="15.75" customHeight="1">
      <c r="A141" s="1066" t="s">
        <v>1143</v>
      </c>
      <c r="B141" s="1026">
        <v>132</v>
      </c>
      <c r="C141" s="987"/>
      <c r="D141" s="987"/>
      <c r="E141" s="987"/>
      <c r="F141" s="987"/>
      <c r="G141" s="987"/>
      <c r="H141" s="987"/>
      <c r="I141" s="987"/>
      <c r="J141" s="987"/>
      <c r="K141" s="987"/>
      <c r="L141" s="987"/>
      <c r="M141" s="1026"/>
      <c r="N141" s="987"/>
      <c r="O141" s="987"/>
      <c r="P141" s="987"/>
      <c r="Q141" s="987"/>
      <c r="R141" s="987"/>
      <c r="S141" s="987"/>
      <c r="T141" s="988"/>
      <c r="U141" s="1067" t="s">
        <v>1763</v>
      </c>
      <c r="V141" s="1068" t="s">
        <v>2667</v>
      </c>
      <c r="W141" s="1068" t="s">
        <v>2231</v>
      </c>
      <c r="X141" s="1069" t="s">
        <v>2668</v>
      </c>
      <c r="Y141" s="1070" t="s">
        <v>2251</v>
      </c>
      <c r="Z141" s="1071" t="s">
        <v>2669</v>
      </c>
      <c r="AA141" s="1072" t="s">
        <v>2260</v>
      </c>
      <c r="AB141" s="1073" t="s">
        <v>2260</v>
      </c>
      <c r="AC141" s="1073" t="s">
        <v>2260</v>
      </c>
      <c r="AD141" s="1073" t="s">
        <v>2260</v>
      </c>
      <c r="AE141" s="1073">
        <v>1</v>
      </c>
      <c r="AF141" s="1073" t="s">
        <v>2260</v>
      </c>
      <c r="AG141" s="1073" t="s">
        <v>2260</v>
      </c>
      <c r="AH141" s="1073" t="s">
        <v>2260</v>
      </c>
      <c r="AI141" s="1074">
        <f t="shared" si="2"/>
        <v>1</v>
      </c>
      <c r="AJ141" s="1075" t="s">
        <v>1852</v>
      </c>
      <c r="AK141" s="1075" t="s">
        <v>1826</v>
      </c>
      <c r="AL141" s="1075" t="s">
        <v>1827</v>
      </c>
      <c r="AM141" s="1076" t="s">
        <v>1888</v>
      </c>
      <c r="AN141" s="987" t="s">
        <v>1897</v>
      </c>
      <c r="AO141" s="987" t="s">
        <v>2337</v>
      </c>
      <c r="AP141" s="802">
        <v>2</v>
      </c>
      <c r="AQ141" s="1045" t="s">
        <v>1828</v>
      </c>
      <c r="AR141" s="1078" t="s">
        <v>2251</v>
      </c>
      <c r="AS141" s="1079"/>
      <c r="AT141" s="1069"/>
      <c r="AU141" s="1069"/>
      <c r="AV141" s="1069"/>
      <c r="AW141" s="1080"/>
      <c r="AX141" s="1081"/>
      <c r="AY141" s="1044"/>
      <c r="AZ141" s="1045"/>
      <c r="BA141" s="1045"/>
      <c r="BB141" s="1045"/>
      <c r="BC141" s="1045"/>
      <c r="BD141" s="1045"/>
      <c r="BE141" s="1045"/>
      <c r="BF141" s="1045"/>
      <c r="BG141" s="1045"/>
      <c r="BH141" s="1045"/>
      <c r="BI141" s="1044" t="s">
        <v>2260</v>
      </c>
      <c r="BJ141" s="1045" t="s">
        <v>2260</v>
      </c>
      <c r="BK141" s="1045" t="s">
        <v>2260</v>
      </c>
      <c r="BL141" s="1045" t="s">
        <v>2260</v>
      </c>
      <c r="BM141" s="1045" t="s">
        <v>2260</v>
      </c>
      <c r="BN141" s="1044"/>
      <c r="BO141" s="1045"/>
      <c r="BP141" s="1045"/>
      <c r="BQ141" s="1045"/>
      <c r="BR141" s="1045"/>
      <c r="BS141" s="1084"/>
      <c r="BT141" s="1045"/>
      <c r="BU141" s="1045"/>
      <c r="BV141" s="1045"/>
      <c r="BW141" s="1085"/>
      <c r="BX141" s="1084"/>
      <c r="BY141" s="1045"/>
      <c r="BZ141" s="1045"/>
      <c r="CA141" s="1045"/>
      <c r="CB141" s="1085"/>
      <c r="CC141" s="1086"/>
      <c r="CD141" s="1087" t="s">
        <v>210</v>
      </c>
      <c r="CE141" s="1088" t="s">
        <v>210</v>
      </c>
      <c r="CF141" s="1088" t="s">
        <v>210</v>
      </c>
      <c r="CG141" s="1088" t="s">
        <v>210</v>
      </c>
      <c r="CH141" s="1089" t="s">
        <v>210</v>
      </c>
      <c r="CI141" s="1044" t="s">
        <v>2260</v>
      </c>
      <c r="CJ141" s="1045" t="s">
        <v>2260</v>
      </c>
      <c r="CK141" s="1045" t="s">
        <v>2260</v>
      </c>
      <c r="CL141" s="1045" t="s">
        <v>2260</v>
      </c>
      <c r="CM141" s="1086" t="s">
        <v>2260</v>
      </c>
      <c r="CN141" s="1044" t="s">
        <v>2260</v>
      </c>
      <c r="CO141" s="1045" t="s">
        <v>2260</v>
      </c>
      <c r="CP141" s="1045" t="s">
        <v>2260</v>
      </c>
      <c r="CQ141" s="1045" t="s">
        <v>2260</v>
      </c>
      <c r="CR141" s="1086" t="s">
        <v>2260</v>
      </c>
      <c r="CS141" s="1044" t="s">
        <v>2260</v>
      </c>
      <c r="CT141" s="1045" t="s">
        <v>2260</v>
      </c>
      <c r="CU141" s="1045" t="s">
        <v>2260</v>
      </c>
      <c r="CV141" s="1045" t="s">
        <v>2260</v>
      </c>
      <c r="CW141" s="1086" t="s">
        <v>2260</v>
      </c>
      <c r="CX141" s="1044" t="s">
        <v>2260</v>
      </c>
      <c r="CY141" s="1045" t="s">
        <v>2260</v>
      </c>
      <c r="CZ141" s="1045" t="s">
        <v>2260</v>
      </c>
      <c r="DA141" s="1045" t="s">
        <v>2260</v>
      </c>
      <c r="DB141" s="1086" t="s">
        <v>2260</v>
      </c>
      <c r="DC141" s="1045" t="s">
        <v>2260</v>
      </c>
      <c r="DD141" s="1045" t="s">
        <v>2260</v>
      </c>
      <c r="DE141" s="1045" t="s">
        <v>2260</v>
      </c>
      <c r="DF141" s="1045" t="s">
        <v>2260</v>
      </c>
      <c r="DG141" s="1086" t="s">
        <v>2260</v>
      </c>
      <c r="DH141" s="1044" t="s">
        <v>2260</v>
      </c>
      <c r="DI141" s="1045" t="s">
        <v>2260</v>
      </c>
      <c r="DJ141" s="1045" t="s">
        <v>2260</v>
      </c>
      <c r="DK141" s="1045" t="s">
        <v>2260</v>
      </c>
      <c r="DL141" s="1086" t="s">
        <v>2260</v>
      </c>
      <c r="DM141" s="1090" t="s">
        <v>2260</v>
      </c>
      <c r="DN141" s="1091" t="s">
        <v>2260</v>
      </c>
      <c r="DO141" s="1091" t="s">
        <v>2260</v>
      </c>
      <c r="DP141" s="1092" t="s">
        <v>2260</v>
      </c>
      <c r="DQ141" s="1091" t="s">
        <v>2260</v>
      </c>
      <c r="DR141" s="1091" t="s">
        <v>2260</v>
      </c>
      <c r="DS141" s="1091" t="s">
        <v>2260</v>
      </c>
      <c r="DT141" s="1092" t="s">
        <v>2260</v>
      </c>
      <c r="DU141" s="1088" t="s">
        <v>2260</v>
      </c>
      <c r="DV141" s="1093">
        <v>1</v>
      </c>
      <c r="DW141" s="1094" t="s">
        <v>2260</v>
      </c>
    </row>
    <row r="142" spans="1:127" s="382" customFormat="1" ht="15.75" customHeight="1">
      <c r="A142" s="1066" t="s">
        <v>1143</v>
      </c>
      <c r="B142" s="1026">
        <v>133</v>
      </c>
      <c r="C142" s="987"/>
      <c r="D142" s="987"/>
      <c r="E142" s="987"/>
      <c r="F142" s="987"/>
      <c r="G142" s="987"/>
      <c r="H142" s="987"/>
      <c r="I142" s="987"/>
      <c r="J142" s="987"/>
      <c r="K142" s="987"/>
      <c r="L142" s="987"/>
      <c r="M142" s="1026"/>
      <c r="N142" s="987"/>
      <c r="O142" s="987"/>
      <c r="P142" s="987"/>
      <c r="Q142" s="987"/>
      <c r="R142" s="987"/>
      <c r="S142" s="987"/>
      <c r="T142" s="988"/>
      <c r="U142" s="1067" t="s">
        <v>1780</v>
      </c>
      <c r="V142" s="1068" t="s">
        <v>2667</v>
      </c>
      <c r="W142" s="1068" t="s">
        <v>2231</v>
      </c>
      <c r="X142" s="1069" t="s">
        <v>2670</v>
      </c>
      <c r="Y142" s="1070" t="s">
        <v>2254</v>
      </c>
      <c r="Z142" s="1071" t="s">
        <v>2669</v>
      </c>
      <c r="AA142" s="1072" t="s">
        <v>2260</v>
      </c>
      <c r="AB142" s="1073">
        <v>0.63500000000000001</v>
      </c>
      <c r="AC142" s="1073">
        <v>0.36499999999999999</v>
      </c>
      <c r="AD142" s="1073" t="s">
        <v>2260</v>
      </c>
      <c r="AE142" s="1073" t="s">
        <v>2260</v>
      </c>
      <c r="AF142" s="1073" t="s">
        <v>2260</v>
      </c>
      <c r="AG142" s="1073" t="s">
        <v>2260</v>
      </c>
      <c r="AH142" s="1073" t="s">
        <v>2260</v>
      </c>
      <c r="AI142" s="1074">
        <f t="shared" si="2"/>
        <v>1</v>
      </c>
      <c r="AJ142" s="1075" t="s">
        <v>1852</v>
      </c>
      <c r="AK142" s="1075" t="s">
        <v>1826</v>
      </c>
      <c r="AL142" s="1075" t="s">
        <v>1827</v>
      </c>
      <c r="AM142" s="1076" t="s">
        <v>1891</v>
      </c>
      <c r="AN142" s="987" t="s">
        <v>1897</v>
      </c>
      <c r="AO142" s="987" t="s">
        <v>470</v>
      </c>
      <c r="AP142" s="802">
        <v>2</v>
      </c>
      <c r="AQ142" s="1045" t="s">
        <v>1828</v>
      </c>
      <c r="AR142" s="1078" t="s">
        <v>2254</v>
      </c>
      <c r="AS142" s="1079"/>
      <c r="AT142" s="1069"/>
      <c r="AU142" s="1069"/>
      <c r="AV142" s="1069"/>
      <c r="AW142" s="1080"/>
      <c r="AX142" s="1081"/>
      <c r="AY142" s="1044"/>
      <c r="AZ142" s="1045"/>
      <c r="BA142" s="1045"/>
      <c r="BB142" s="1045"/>
      <c r="BC142" s="1045"/>
      <c r="BD142" s="1045"/>
      <c r="BE142" s="1045"/>
      <c r="BF142" s="1045"/>
      <c r="BG142" s="1045"/>
      <c r="BH142" s="1045"/>
      <c r="BI142" s="1044" t="s">
        <v>2260</v>
      </c>
      <c r="BJ142" s="1045" t="s">
        <v>2260</v>
      </c>
      <c r="BK142" s="1045" t="s">
        <v>2260</v>
      </c>
      <c r="BL142" s="1045" t="s">
        <v>2260</v>
      </c>
      <c r="BM142" s="1045" t="s">
        <v>2260</v>
      </c>
      <c r="BN142" s="1044"/>
      <c r="BO142" s="1045"/>
      <c r="BP142" s="1045"/>
      <c r="BQ142" s="1045"/>
      <c r="BR142" s="1045"/>
      <c r="BS142" s="1084"/>
      <c r="BT142" s="1045"/>
      <c r="BU142" s="1045"/>
      <c r="BV142" s="1045"/>
      <c r="BW142" s="1085"/>
      <c r="BX142" s="1084"/>
      <c r="BY142" s="1045"/>
      <c r="BZ142" s="1045"/>
      <c r="CA142" s="1045"/>
      <c r="CB142" s="1085"/>
      <c r="CC142" s="1086"/>
      <c r="CD142" s="1087" t="s">
        <v>210</v>
      </c>
      <c r="CE142" s="1088" t="s">
        <v>210</v>
      </c>
      <c r="CF142" s="1088" t="s">
        <v>210</v>
      </c>
      <c r="CG142" s="1088" t="s">
        <v>210</v>
      </c>
      <c r="CH142" s="1089" t="s">
        <v>210</v>
      </c>
      <c r="CI142" s="1044" t="s">
        <v>2260</v>
      </c>
      <c r="CJ142" s="1045" t="s">
        <v>2260</v>
      </c>
      <c r="CK142" s="1045" t="s">
        <v>2260</v>
      </c>
      <c r="CL142" s="1045" t="s">
        <v>2260</v>
      </c>
      <c r="CM142" s="1086" t="s">
        <v>2260</v>
      </c>
      <c r="CN142" s="1044" t="s">
        <v>2260</v>
      </c>
      <c r="CO142" s="1045" t="s">
        <v>2260</v>
      </c>
      <c r="CP142" s="1045" t="s">
        <v>2260</v>
      </c>
      <c r="CQ142" s="1045" t="s">
        <v>2260</v>
      </c>
      <c r="CR142" s="1086" t="s">
        <v>2260</v>
      </c>
      <c r="CS142" s="1044" t="s">
        <v>2260</v>
      </c>
      <c r="CT142" s="1045" t="s">
        <v>2260</v>
      </c>
      <c r="CU142" s="1045" t="s">
        <v>2260</v>
      </c>
      <c r="CV142" s="1045" t="s">
        <v>2260</v>
      </c>
      <c r="CW142" s="1086" t="s">
        <v>2260</v>
      </c>
      <c r="CX142" s="1044" t="s">
        <v>2260</v>
      </c>
      <c r="CY142" s="1045" t="s">
        <v>2260</v>
      </c>
      <c r="CZ142" s="1045" t="s">
        <v>2260</v>
      </c>
      <c r="DA142" s="1045" t="s">
        <v>2260</v>
      </c>
      <c r="DB142" s="1086" t="s">
        <v>2260</v>
      </c>
      <c r="DC142" s="1045" t="s">
        <v>2260</v>
      </c>
      <c r="DD142" s="1045" t="s">
        <v>2260</v>
      </c>
      <c r="DE142" s="1045" t="s">
        <v>2260</v>
      </c>
      <c r="DF142" s="1045" t="s">
        <v>2260</v>
      </c>
      <c r="DG142" s="1086" t="s">
        <v>2260</v>
      </c>
      <c r="DH142" s="1044" t="s">
        <v>2260</v>
      </c>
      <c r="DI142" s="1045" t="s">
        <v>2260</v>
      </c>
      <c r="DJ142" s="1045" t="s">
        <v>2260</v>
      </c>
      <c r="DK142" s="1045" t="s">
        <v>2260</v>
      </c>
      <c r="DL142" s="1086" t="s">
        <v>2260</v>
      </c>
      <c r="DM142" s="1090" t="s">
        <v>2260</v>
      </c>
      <c r="DN142" s="1091" t="s">
        <v>2260</v>
      </c>
      <c r="DO142" s="1091" t="s">
        <v>2260</v>
      </c>
      <c r="DP142" s="1092" t="s">
        <v>2260</v>
      </c>
      <c r="DQ142" s="1091" t="s">
        <v>2260</v>
      </c>
      <c r="DR142" s="1091" t="s">
        <v>2260</v>
      </c>
      <c r="DS142" s="1091" t="s">
        <v>2260</v>
      </c>
      <c r="DT142" s="1092" t="s">
        <v>2260</v>
      </c>
      <c r="DU142" s="1088" t="s">
        <v>2260</v>
      </c>
      <c r="DV142" s="1093">
        <v>1</v>
      </c>
      <c r="DW142" s="1094" t="s">
        <v>2260</v>
      </c>
    </row>
    <row r="143" spans="1:127" s="382" customFormat="1" ht="15.75" customHeight="1">
      <c r="A143" s="1066" t="s">
        <v>1143</v>
      </c>
      <c r="B143" s="1026">
        <v>134</v>
      </c>
      <c r="C143" s="987"/>
      <c r="D143" s="987"/>
      <c r="E143" s="987"/>
      <c r="F143" s="987"/>
      <c r="G143" s="987"/>
      <c r="H143" s="987"/>
      <c r="I143" s="987"/>
      <c r="J143" s="987"/>
      <c r="K143" s="987"/>
      <c r="L143" s="987"/>
      <c r="M143" s="1026"/>
      <c r="N143" s="987"/>
      <c r="O143" s="987"/>
      <c r="P143" s="987"/>
      <c r="Q143" s="987"/>
      <c r="R143" s="987"/>
      <c r="S143" s="987"/>
      <c r="T143" s="988"/>
      <c r="U143" s="1067" t="s">
        <v>1144</v>
      </c>
      <c r="V143" s="1068" t="s">
        <v>2671</v>
      </c>
      <c r="W143" s="1068" t="s">
        <v>2231</v>
      </c>
      <c r="X143" s="1069" t="s">
        <v>2672</v>
      </c>
      <c r="Y143" s="1070" t="s">
        <v>172</v>
      </c>
      <c r="Z143" s="1071" t="s">
        <v>2673</v>
      </c>
      <c r="AA143" s="1072" t="s">
        <v>2260</v>
      </c>
      <c r="AB143" s="1073">
        <v>1</v>
      </c>
      <c r="AC143" s="1073" t="s">
        <v>2260</v>
      </c>
      <c r="AD143" s="1073" t="s">
        <v>2260</v>
      </c>
      <c r="AE143" s="1073" t="s">
        <v>2260</v>
      </c>
      <c r="AF143" s="1073" t="s">
        <v>2260</v>
      </c>
      <c r="AG143" s="1073" t="s">
        <v>2260</v>
      </c>
      <c r="AH143" s="1073" t="s">
        <v>2260</v>
      </c>
      <c r="AI143" s="1074">
        <f t="shared" si="2"/>
        <v>1</v>
      </c>
      <c r="AJ143" s="1075" t="s">
        <v>1846</v>
      </c>
      <c r="AK143" s="1075" t="s">
        <v>1826</v>
      </c>
      <c r="AL143" s="1075" t="s">
        <v>1827</v>
      </c>
      <c r="AM143" s="1076" t="s">
        <v>2247</v>
      </c>
      <c r="AN143" s="987" t="s">
        <v>2439</v>
      </c>
      <c r="AO143" s="987" t="s">
        <v>4420</v>
      </c>
      <c r="AP143" s="2042">
        <v>2</v>
      </c>
      <c r="AQ143" s="1045" t="s">
        <v>1838</v>
      </c>
      <c r="AR143" s="1078" t="s">
        <v>172</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210</v>
      </c>
      <c r="CE143" s="1088" t="s">
        <v>210</v>
      </c>
      <c r="CF143" s="1088" t="s">
        <v>210</v>
      </c>
      <c r="CG143" s="1088" t="s">
        <v>210</v>
      </c>
      <c r="CH143" s="1089" t="s">
        <v>210</v>
      </c>
      <c r="CI143" s="1044" t="s">
        <v>2260</v>
      </c>
      <c r="CJ143" s="1045" t="s">
        <v>2260</v>
      </c>
      <c r="CK143" s="1045" t="s">
        <v>2260</v>
      </c>
      <c r="CL143" s="1045" t="s">
        <v>2260</v>
      </c>
      <c r="CM143" s="1086" t="s">
        <v>2260</v>
      </c>
      <c r="CN143" s="1044">
        <v>9.5</v>
      </c>
      <c r="CO143" s="1045">
        <v>9.5</v>
      </c>
      <c r="CP143" s="1045">
        <v>9.5</v>
      </c>
      <c r="CQ143" s="1045">
        <v>9.5</v>
      </c>
      <c r="CR143" s="1086">
        <v>9.5</v>
      </c>
      <c r="CS143" s="1044">
        <v>2</v>
      </c>
      <c r="CT143" s="1045">
        <v>2</v>
      </c>
      <c r="CU143" s="1179">
        <v>1.5</v>
      </c>
      <c r="CV143" s="1179">
        <v>1.5</v>
      </c>
      <c r="CW143" s="1180">
        <v>1.5</v>
      </c>
      <c r="CX143" s="1044" t="s">
        <v>2260</v>
      </c>
      <c r="CY143" s="1045" t="s">
        <v>2260</v>
      </c>
      <c r="CZ143" s="1045" t="s">
        <v>2260</v>
      </c>
      <c r="DA143" s="1045" t="s">
        <v>2260</v>
      </c>
      <c r="DB143" s="1086" t="s">
        <v>2260</v>
      </c>
      <c r="DC143" s="1045" t="s">
        <v>2260</v>
      </c>
      <c r="DD143" s="1045" t="s">
        <v>2260</v>
      </c>
      <c r="DE143" s="1045" t="s">
        <v>2260</v>
      </c>
      <c r="DF143" s="1045" t="s">
        <v>2260</v>
      </c>
      <c r="DG143" s="1086" t="s">
        <v>2260</v>
      </c>
      <c r="DH143" s="1044" t="s">
        <v>2260</v>
      </c>
      <c r="DI143" s="1045" t="s">
        <v>2260</v>
      </c>
      <c r="DJ143" s="1045" t="s">
        <v>2260</v>
      </c>
      <c r="DK143" s="1045" t="s">
        <v>2260</v>
      </c>
      <c r="DL143" s="1086" t="s">
        <v>2260</v>
      </c>
      <c r="DM143" s="1090">
        <v>-1.3939999999999999</v>
      </c>
      <c r="DN143" s="1091" t="s">
        <v>2260</v>
      </c>
      <c r="DO143" s="1091" t="s">
        <v>2260</v>
      </c>
      <c r="DP143" s="1092" t="s">
        <v>2260</v>
      </c>
      <c r="DQ143" s="1091">
        <v>0</v>
      </c>
      <c r="DR143" s="1091" t="s">
        <v>2260</v>
      </c>
      <c r="DS143" s="1091" t="s">
        <v>2260</v>
      </c>
      <c r="DT143" s="1092" t="s">
        <v>2260</v>
      </c>
      <c r="DU143" s="1088" t="s">
        <v>2260</v>
      </c>
      <c r="DV143" s="1093">
        <v>1</v>
      </c>
      <c r="DW143" s="1094" t="s">
        <v>2260</v>
      </c>
    </row>
    <row r="144" spans="1:127" s="382" customFormat="1" ht="15.75" customHeight="1">
      <c r="A144" s="1066" t="s">
        <v>1143</v>
      </c>
      <c r="B144" s="1026">
        <v>135</v>
      </c>
      <c r="C144" s="987"/>
      <c r="D144" s="987"/>
      <c r="E144" s="987"/>
      <c r="F144" s="987"/>
      <c r="G144" s="987"/>
      <c r="H144" s="987"/>
      <c r="I144" s="987"/>
      <c r="J144" s="987"/>
      <c r="K144" s="987"/>
      <c r="L144" s="987"/>
      <c r="M144" s="1026"/>
      <c r="N144" s="987"/>
      <c r="O144" s="987"/>
      <c r="P144" s="987"/>
      <c r="Q144" s="987"/>
      <c r="R144" s="987"/>
      <c r="S144" s="987"/>
      <c r="T144" s="988"/>
      <c r="U144" s="1067" t="s">
        <v>1145</v>
      </c>
      <c r="V144" s="1068" t="s">
        <v>2675</v>
      </c>
      <c r="W144" s="1068" t="s">
        <v>2217</v>
      </c>
      <c r="X144" s="1069" t="s">
        <v>2676</v>
      </c>
      <c r="Y144" s="1070" t="s">
        <v>179</v>
      </c>
      <c r="Z144" s="1071" t="s">
        <v>2221</v>
      </c>
      <c r="AA144" s="1072" t="s">
        <v>2260</v>
      </c>
      <c r="AB144" s="1073">
        <v>1</v>
      </c>
      <c r="AC144" s="1073" t="s">
        <v>2260</v>
      </c>
      <c r="AD144" s="1073" t="s">
        <v>2260</v>
      </c>
      <c r="AE144" s="1073" t="s">
        <v>2260</v>
      </c>
      <c r="AF144" s="1073" t="s">
        <v>2260</v>
      </c>
      <c r="AG144" s="1073" t="s">
        <v>2260</v>
      </c>
      <c r="AH144" s="1073" t="s">
        <v>2260</v>
      </c>
      <c r="AI144" s="1074">
        <f t="shared" si="2"/>
        <v>1</v>
      </c>
      <c r="AJ144" s="1075" t="s">
        <v>1852</v>
      </c>
      <c r="AK144" s="1075" t="s">
        <v>1826</v>
      </c>
      <c r="AL144" s="1075" t="s">
        <v>1827</v>
      </c>
      <c r="AM144" s="1076" t="s">
        <v>2220</v>
      </c>
      <c r="AN144" s="987" t="s">
        <v>4414</v>
      </c>
      <c r="AO144" s="987" t="s">
        <v>4415</v>
      </c>
      <c r="AP144" s="2042">
        <v>0</v>
      </c>
      <c r="AQ144" s="1045" t="s">
        <v>1838</v>
      </c>
      <c r="AR144" s="1078" t="s">
        <v>179</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210</v>
      </c>
      <c r="CE144" s="1088" t="s">
        <v>210</v>
      </c>
      <c r="CF144" s="1088" t="s">
        <v>210</v>
      </c>
      <c r="CG144" s="1088" t="s">
        <v>210</v>
      </c>
      <c r="CH144" s="1089" t="s">
        <v>210</v>
      </c>
      <c r="CI144" s="1321">
        <v>1.3391203703703704E-2</v>
      </c>
      <c r="CJ144" s="1322">
        <v>1.3391203703703704E-2</v>
      </c>
      <c r="CK144" s="1322">
        <v>1.3391203703703704E-2</v>
      </c>
      <c r="CL144" s="1322">
        <v>1.3391203703703704E-2</v>
      </c>
      <c r="CM144" s="1323">
        <v>1.3391203703703704E-2</v>
      </c>
      <c r="CN144" s="1321">
        <v>1.1793981481481482E-2</v>
      </c>
      <c r="CO144" s="1322">
        <v>1.1793981481481482E-2</v>
      </c>
      <c r="CP144" s="1322">
        <v>1.1793981481481482E-2</v>
      </c>
      <c r="CQ144" s="1322">
        <v>1.1793981481481482E-2</v>
      </c>
      <c r="CR144" s="1323">
        <v>1.1793981481481482E-2</v>
      </c>
      <c r="CS144" s="1118" t="s">
        <v>2260</v>
      </c>
      <c r="CT144" s="1119" t="s">
        <v>2260</v>
      </c>
      <c r="CU144" s="1119" t="s">
        <v>2260</v>
      </c>
      <c r="CV144" s="1119" t="s">
        <v>2260</v>
      </c>
      <c r="CW144" s="1122" t="s">
        <v>2260</v>
      </c>
      <c r="CX144" s="1118" t="s">
        <v>2260</v>
      </c>
      <c r="CY144" s="1119" t="s">
        <v>2260</v>
      </c>
      <c r="CZ144" s="1119" t="s">
        <v>2260</v>
      </c>
      <c r="DA144" s="1119" t="s">
        <v>2260</v>
      </c>
      <c r="DB144" s="1122" t="s">
        <v>2260</v>
      </c>
      <c r="DC144" s="1322">
        <v>1.8287037037037037E-3</v>
      </c>
      <c r="DD144" s="1322">
        <v>1.689814814814815E-3</v>
      </c>
      <c r="DE144" s="1322">
        <v>1.5624999999999999E-3</v>
      </c>
      <c r="DF144" s="1322">
        <v>1.4351851851851854E-3</v>
      </c>
      <c r="DG144" s="1122">
        <v>1.25E-3</v>
      </c>
      <c r="DH144" s="1118" t="s">
        <v>4430</v>
      </c>
      <c r="DI144" s="1119" t="s">
        <v>4430</v>
      </c>
      <c r="DJ144" s="1119" t="s">
        <v>4430</v>
      </c>
      <c r="DK144" s="1119" t="s">
        <v>4430</v>
      </c>
      <c r="DL144" s="1122" t="s">
        <v>4430</v>
      </c>
      <c r="DM144" s="1090">
        <v>-1.028</v>
      </c>
      <c r="DN144" s="1091" t="s">
        <v>2260</v>
      </c>
      <c r="DO144" s="1091" t="s">
        <v>2260</v>
      </c>
      <c r="DP144" s="1092">
        <v>-2.9660000000000002</v>
      </c>
      <c r="DQ144" s="1091">
        <v>1.028</v>
      </c>
      <c r="DR144" s="1091" t="s">
        <v>2260</v>
      </c>
      <c r="DS144" s="1091" t="s">
        <v>2260</v>
      </c>
      <c r="DT144" s="1092">
        <v>2.9660000000000002</v>
      </c>
      <c r="DU144" s="1088" t="s">
        <v>2260</v>
      </c>
      <c r="DV144" s="1093">
        <v>1</v>
      </c>
      <c r="DW144" s="1094" t="s">
        <v>2260</v>
      </c>
    </row>
    <row r="145" spans="1:127" s="382" customFormat="1" ht="15.75" customHeight="1">
      <c r="A145" s="1023" t="s">
        <v>1143</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1146</v>
      </c>
      <c r="V145" s="1029" t="s">
        <v>2675</v>
      </c>
      <c r="W145" s="1029" t="s">
        <v>2217</v>
      </c>
      <c r="X145" s="1030" t="s">
        <v>2678</v>
      </c>
      <c r="Y145" s="1031" t="s">
        <v>2679</v>
      </c>
      <c r="Z145" s="1032" t="s">
        <v>2680</v>
      </c>
      <c r="AA145" s="1033" t="s">
        <v>2260</v>
      </c>
      <c r="AB145" s="1034">
        <v>1</v>
      </c>
      <c r="AC145" s="1034" t="s">
        <v>2260</v>
      </c>
      <c r="AD145" s="1034" t="s">
        <v>2260</v>
      </c>
      <c r="AE145" s="1034" t="s">
        <v>2260</v>
      </c>
      <c r="AF145" s="1034" t="s">
        <v>2260</v>
      </c>
      <c r="AG145" s="1034" t="s">
        <v>2260</v>
      </c>
      <c r="AH145" s="1034" t="s">
        <v>2260</v>
      </c>
      <c r="AI145" s="1035">
        <f t="shared" si="2"/>
        <v>1</v>
      </c>
      <c r="AJ145" s="1036" t="s">
        <v>1852</v>
      </c>
      <c r="AK145" s="1036" t="s">
        <v>1826</v>
      </c>
      <c r="AL145" s="1036" t="s">
        <v>1827</v>
      </c>
      <c r="AM145" s="1037" t="s">
        <v>705</v>
      </c>
      <c r="AN145" s="1031" t="s">
        <v>321</v>
      </c>
      <c r="AO145" s="1031" t="s">
        <v>4416</v>
      </c>
      <c r="AP145" s="1049">
        <v>1</v>
      </c>
      <c r="AQ145" s="802" t="s">
        <v>1828</v>
      </c>
      <c r="AR145" s="1040" t="s">
        <v>705</v>
      </c>
      <c r="AS145" s="1041"/>
      <c r="AT145" s="1030"/>
      <c r="AU145" s="1030"/>
      <c r="AV145" s="1030"/>
      <c r="AW145" s="1042"/>
      <c r="AX145" s="1043"/>
      <c r="AY145" s="1048"/>
      <c r="AZ145" s="1049"/>
      <c r="BA145" s="1049"/>
      <c r="BB145" s="1049"/>
      <c r="BC145" s="1049"/>
      <c r="BD145" s="1049"/>
      <c r="BE145" s="1049"/>
      <c r="BF145" s="1049"/>
      <c r="BG145" s="1046"/>
      <c r="BH145" s="1046"/>
      <c r="BI145" s="1187">
        <v>1</v>
      </c>
      <c r="BJ145" s="1304">
        <v>3</v>
      </c>
      <c r="BK145" s="1304">
        <v>6</v>
      </c>
      <c r="BL145" s="1304">
        <v>9</v>
      </c>
      <c r="BM145" s="1304">
        <v>12</v>
      </c>
      <c r="BN145" s="1048"/>
      <c r="BO145" s="1049"/>
      <c r="BP145" s="1049"/>
      <c r="BQ145" s="1049"/>
      <c r="BR145" s="1049"/>
      <c r="BS145" s="1050"/>
      <c r="BT145" s="1049"/>
      <c r="BU145" s="1049"/>
      <c r="BV145" s="1049"/>
      <c r="BW145" s="1051"/>
      <c r="BX145" s="1050"/>
      <c r="BY145" s="1049"/>
      <c r="BZ145" s="1049"/>
      <c r="CA145" s="1049"/>
      <c r="CB145" s="1051"/>
      <c r="CC145" s="1052"/>
      <c r="CD145" s="1053" t="s">
        <v>210</v>
      </c>
      <c r="CE145" s="1054" t="s">
        <v>210</v>
      </c>
      <c r="CF145" s="1054" t="s">
        <v>210</v>
      </c>
      <c r="CG145" s="1054" t="s">
        <v>210</v>
      </c>
      <c r="CH145" s="1055" t="s">
        <v>210</v>
      </c>
      <c r="CI145" s="1181" t="s">
        <v>2260</v>
      </c>
      <c r="CJ145" s="1182" t="s">
        <v>2260</v>
      </c>
      <c r="CK145" s="1182" t="s">
        <v>2260</v>
      </c>
      <c r="CL145" s="1182" t="s">
        <v>2260</v>
      </c>
      <c r="CM145" s="1184" t="s">
        <v>2260</v>
      </c>
      <c r="CN145" s="1181">
        <v>-38</v>
      </c>
      <c r="CO145" s="1182">
        <v>-38</v>
      </c>
      <c r="CP145" s="1182">
        <v>-38</v>
      </c>
      <c r="CQ145" s="1182">
        <v>-38</v>
      </c>
      <c r="CR145" s="1182">
        <v>-38</v>
      </c>
      <c r="CS145" s="1048" t="s">
        <v>2260</v>
      </c>
      <c r="CT145" s="1049" t="s">
        <v>2260</v>
      </c>
      <c r="CU145" s="1049" t="s">
        <v>2260</v>
      </c>
      <c r="CV145" s="1049" t="s">
        <v>2260</v>
      </c>
      <c r="CW145" s="1052" t="s">
        <v>2260</v>
      </c>
      <c r="CX145" s="1048" t="s">
        <v>2260</v>
      </c>
      <c r="CY145" s="1049" t="s">
        <v>2260</v>
      </c>
      <c r="CZ145" s="1049" t="s">
        <v>2260</v>
      </c>
      <c r="DA145" s="1049" t="s">
        <v>2260</v>
      </c>
      <c r="DB145" s="1052" t="s">
        <v>2260</v>
      </c>
      <c r="DC145" s="1370" t="s">
        <v>4430</v>
      </c>
      <c r="DD145" s="1370" t="s">
        <v>4430</v>
      </c>
      <c r="DE145" s="1370" t="s">
        <v>4430</v>
      </c>
      <c r="DF145" s="1370" t="s">
        <v>4430</v>
      </c>
      <c r="DG145" s="1370" t="s">
        <v>4430</v>
      </c>
      <c r="DH145" s="1181"/>
      <c r="DI145" s="1182" t="s">
        <v>2260</v>
      </c>
      <c r="DJ145" s="1182" t="s">
        <v>2260</v>
      </c>
      <c r="DK145" s="1182" t="s">
        <v>2260</v>
      </c>
      <c r="DL145" s="1184" t="s">
        <v>2260</v>
      </c>
      <c r="DM145" s="1060">
        <v>-0.17499999999999999</v>
      </c>
      <c r="DN145" s="1191">
        <v>-0.17499999999999999</v>
      </c>
      <c r="DO145" s="1061" t="s">
        <v>2260</v>
      </c>
      <c r="DP145" s="1188" t="s">
        <v>2260</v>
      </c>
      <c r="DQ145" s="1061">
        <v>0.15</v>
      </c>
      <c r="DR145" s="1061" t="s">
        <v>2260</v>
      </c>
      <c r="DS145" s="1061" t="s">
        <v>2260</v>
      </c>
      <c r="DT145" s="1188" t="s">
        <v>2260</v>
      </c>
      <c r="DU145" s="1054" t="s">
        <v>2260</v>
      </c>
      <c r="DV145" s="1063">
        <v>1</v>
      </c>
      <c r="DW145" s="1064" t="s">
        <v>2260</v>
      </c>
    </row>
    <row r="146" spans="1:127" s="382" customFormat="1" ht="15.75" customHeight="1">
      <c r="A146" s="1023" t="s">
        <v>1143</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1160</v>
      </c>
      <c r="V146" s="1029" t="s">
        <v>2675</v>
      </c>
      <c r="W146" s="1029" t="s">
        <v>2217</v>
      </c>
      <c r="X146" s="1030" t="s">
        <v>2682</v>
      </c>
      <c r="Y146" s="1031" t="s">
        <v>2683</v>
      </c>
      <c r="Z146" s="1032" t="s">
        <v>2680</v>
      </c>
      <c r="AA146" s="1033" t="s">
        <v>2260</v>
      </c>
      <c r="AB146" s="1034">
        <v>1</v>
      </c>
      <c r="AC146" s="1034" t="s">
        <v>2260</v>
      </c>
      <c r="AD146" s="1034" t="s">
        <v>2260</v>
      </c>
      <c r="AE146" s="1034" t="s">
        <v>2260</v>
      </c>
      <c r="AF146" s="1034" t="s">
        <v>2260</v>
      </c>
      <c r="AG146" s="1034" t="s">
        <v>2260</v>
      </c>
      <c r="AH146" s="1034" t="s">
        <v>2260</v>
      </c>
      <c r="AI146" s="1035">
        <f t="shared" si="2"/>
        <v>1</v>
      </c>
      <c r="AJ146" s="1036" t="s">
        <v>1852</v>
      </c>
      <c r="AK146" s="1036" t="s">
        <v>1826</v>
      </c>
      <c r="AL146" s="1036" t="s">
        <v>1827</v>
      </c>
      <c r="AM146" s="1037" t="s">
        <v>705</v>
      </c>
      <c r="AN146" s="1031" t="s">
        <v>321</v>
      </c>
      <c r="AO146" s="1031" t="s">
        <v>4416</v>
      </c>
      <c r="AP146" s="1049">
        <v>1</v>
      </c>
      <c r="AQ146" s="802" t="s">
        <v>1828</v>
      </c>
      <c r="AR146" s="1040" t="s">
        <v>705</v>
      </c>
      <c r="AS146" s="1041"/>
      <c r="AT146" s="1030"/>
      <c r="AU146" s="1030"/>
      <c r="AV146" s="1030"/>
      <c r="AW146" s="1042"/>
      <c r="AX146" s="1043"/>
      <c r="AY146" s="1048"/>
      <c r="AZ146" s="1049"/>
      <c r="BA146" s="1049"/>
      <c r="BB146" s="1049"/>
      <c r="BC146" s="1049"/>
      <c r="BD146" s="1049"/>
      <c r="BE146" s="1049"/>
      <c r="BF146" s="1049"/>
      <c r="BG146" s="1046"/>
      <c r="BH146" s="1046"/>
      <c r="BI146" s="1187">
        <v>1.3</v>
      </c>
      <c r="BJ146" s="1304">
        <v>3.7</v>
      </c>
      <c r="BK146" s="1304">
        <v>7.2</v>
      </c>
      <c r="BL146" s="1304">
        <v>10.5</v>
      </c>
      <c r="BM146" s="1304">
        <v>14.1</v>
      </c>
      <c r="BN146" s="1048"/>
      <c r="BO146" s="1049"/>
      <c r="BP146" s="1049"/>
      <c r="BQ146" s="1049"/>
      <c r="BR146" s="1049"/>
      <c r="BS146" s="1050"/>
      <c r="BT146" s="1049"/>
      <c r="BU146" s="1049"/>
      <c r="BV146" s="1049"/>
      <c r="BW146" s="1051"/>
      <c r="BX146" s="1050"/>
      <c r="BY146" s="1049"/>
      <c r="BZ146" s="1049"/>
      <c r="CA146" s="1049"/>
      <c r="CB146" s="1051"/>
      <c r="CC146" s="1052"/>
      <c r="CD146" s="1053" t="s">
        <v>210</v>
      </c>
      <c r="CE146" s="1054" t="s">
        <v>210</v>
      </c>
      <c r="CF146" s="1054" t="s">
        <v>210</v>
      </c>
      <c r="CG146" s="1054" t="s">
        <v>210</v>
      </c>
      <c r="CH146" s="1055" t="s">
        <v>210</v>
      </c>
      <c r="CI146" s="1181" t="s">
        <v>2260</v>
      </c>
      <c r="CJ146" s="1182" t="s">
        <v>2260</v>
      </c>
      <c r="CK146" s="1182" t="s">
        <v>2260</v>
      </c>
      <c r="CL146" s="1182" t="s">
        <v>2260</v>
      </c>
      <c r="CM146" s="1184" t="s">
        <v>2260</v>
      </c>
      <c r="CN146" s="1181">
        <v>-77.3</v>
      </c>
      <c r="CO146" s="1182">
        <v>-77.3</v>
      </c>
      <c r="CP146" s="1182">
        <v>-77.3</v>
      </c>
      <c r="CQ146" s="1182">
        <v>-77.3</v>
      </c>
      <c r="CR146" s="1182">
        <v>-77.3</v>
      </c>
      <c r="CS146" s="1048" t="s">
        <v>2260</v>
      </c>
      <c r="CT146" s="1049" t="s">
        <v>2260</v>
      </c>
      <c r="CU146" s="1049" t="s">
        <v>2260</v>
      </c>
      <c r="CV146" s="1049" t="s">
        <v>2260</v>
      </c>
      <c r="CW146" s="1052" t="s">
        <v>2260</v>
      </c>
      <c r="CX146" s="1048" t="s">
        <v>2260</v>
      </c>
      <c r="CY146" s="1049" t="s">
        <v>2260</v>
      </c>
      <c r="CZ146" s="1049" t="s">
        <v>2260</v>
      </c>
      <c r="DA146" s="1049" t="s">
        <v>2260</v>
      </c>
      <c r="DB146" s="1052" t="s">
        <v>2260</v>
      </c>
      <c r="DC146" s="1370" t="s">
        <v>4430</v>
      </c>
      <c r="DD146" s="1370" t="s">
        <v>4430</v>
      </c>
      <c r="DE146" s="1370" t="s">
        <v>4430</v>
      </c>
      <c r="DF146" s="1370" t="s">
        <v>4430</v>
      </c>
      <c r="DG146" s="1370" t="s">
        <v>4430</v>
      </c>
      <c r="DH146" s="1181" t="s">
        <v>2260</v>
      </c>
      <c r="DI146" s="1182" t="s">
        <v>2260</v>
      </c>
      <c r="DJ146" s="1182" t="s">
        <v>2260</v>
      </c>
      <c r="DK146" s="1182" t="s">
        <v>2260</v>
      </c>
      <c r="DL146" s="1184" t="s">
        <v>2260</v>
      </c>
      <c r="DM146" s="1060">
        <v>-0.18</v>
      </c>
      <c r="DN146" s="1191">
        <v>-0.18</v>
      </c>
      <c r="DO146" s="1061" t="s">
        <v>2260</v>
      </c>
      <c r="DP146" s="1188" t="s">
        <v>2260</v>
      </c>
      <c r="DQ146" s="1061">
        <v>0.154</v>
      </c>
      <c r="DR146" s="1061" t="s">
        <v>2260</v>
      </c>
      <c r="DS146" s="1061" t="s">
        <v>2260</v>
      </c>
      <c r="DT146" s="1188" t="s">
        <v>2260</v>
      </c>
      <c r="DU146" s="1054" t="s">
        <v>2260</v>
      </c>
      <c r="DV146" s="1063">
        <v>1</v>
      </c>
      <c r="DW146" s="1064" t="s">
        <v>2260</v>
      </c>
    </row>
    <row r="147" spans="1:127" s="382" customFormat="1" ht="15.75" customHeight="1">
      <c r="A147" s="1023" t="s">
        <v>1143</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1147</v>
      </c>
      <c r="V147" s="1029" t="s">
        <v>2675</v>
      </c>
      <c r="W147" s="1029" t="s">
        <v>2231</v>
      </c>
      <c r="X147" s="1030" t="s">
        <v>2684</v>
      </c>
      <c r="Y147" s="1031" t="s">
        <v>1084</v>
      </c>
      <c r="Z147" s="1032" t="s">
        <v>2685</v>
      </c>
      <c r="AA147" s="1033" t="s">
        <v>2260</v>
      </c>
      <c r="AB147" s="1034">
        <v>1</v>
      </c>
      <c r="AC147" s="1034" t="s">
        <v>2260</v>
      </c>
      <c r="AD147" s="1034" t="s">
        <v>2260</v>
      </c>
      <c r="AE147" s="1034" t="s">
        <v>2260</v>
      </c>
      <c r="AF147" s="1034" t="s">
        <v>2260</v>
      </c>
      <c r="AG147" s="1034" t="s">
        <v>2260</v>
      </c>
      <c r="AH147" s="1034" t="s">
        <v>2260</v>
      </c>
      <c r="AI147" s="1035">
        <f t="shared" si="2"/>
        <v>1</v>
      </c>
      <c r="AJ147" s="1036" t="s">
        <v>1852</v>
      </c>
      <c r="AK147" s="1036" t="s">
        <v>1826</v>
      </c>
      <c r="AL147" s="1389" t="s">
        <v>1837</v>
      </c>
      <c r="AM147" s="1037" t="s">
        <v>2348</v>
      </c>
      <c r="AN147" s="1031" t="s">
        <v>2397</v>
      </c>
      <c r="AO147" s="1031" t="s">
        <v>4416</v>
      </c>
      <c r="AP147" s="1049">
        <v>1</v>
      </c>
      <c r="AQ147" s="802" t="s">
        <v>1828</v>
      </c>
      <c r="AR147" s="1040" t="s">
        <v>1084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210</v>
      </c>
      <c r="CE147" s="1054" t="s">
        <v>210</v>
      </c>
      <c r="CF147" s="1054" t="s">
        <v>210</v>
      </c>
      <c r="CG147" s="1054" t="s">
        <v>210</v>
      </c>
      <c r="CH147" s="1055" t="s">
        <v>210</v>
      </c>
      <c r="CI147" s="1058" t="s">
        <v>2260</v>
      </c>
      <c r="CJ147" s="1056" t="s">
        <v>2260</v>
      </c>
      <c r="CK147" s="1056" t="s">
        <v>2260</v>
      </c>
      <c r="CL147" s="1056" t="s">
        <v>2260</v>
      </c>
      <c r="CM147" s="1057" t="s">
        <v>2260</v>
      </c>
      <c r="CN147" s="1058" t="s">
        <v>2260</v>
      </c>
      <c r="CO147" s="1056" t="s">
        <v>2260</v>
      </c>
      <c r="CP147" s="1056" t="s">
        <v>2260</v>
      </c>
      <c r="CQ147" s="1056" t="s">
        <v>2260</v>
      </c>
      <c r="CR147" s="1057" t="s">
        <v>2260</v>
      </c>
      <c r="CS147" s="1048" t="s">
        <v>2260</v>
      </c>
      <c r="CT147" s="1049" t="s">
        <v>2260</v>
      </c>
      <c r="CU147" s="1049" t="s">
        <v>2260</v>
      </c>
      <c r="CV147" s="1049" t="s">
        <v>2260</v>
      </c>
      <c r="CW147" s="1052" t="s">
        <v>2260</v>
      </c>
      <c r="CX147" s="1048" t="s">
        <v>2260</v>
      </c>
      <c r="CY147" s="1049" t="s">
        <v>2260</v>
      </c>
      <c r="CZ147" s="1049" t="s">
        <v>2260</v>
      </c>
      <c r="DA147" s="1049" t="s">
        <v>2260</v>
      </c>
      <c r="DB147" s="1052" t="s">
        <v>2260</v>
      </c>
      <c r="DC147" s="1056" t="s">
        <v>2260</v>
      </c>
      <c r="DD147" s="1056" t="s">
        <v>2260</v>
      </c>
      <c r="DE147" s="1056" t="s">
        <v>2260</v>
      </c>
      <c r="DF147" s="1056" t="s">
        <v>2260</v>
      </c>
      <c r="DG147" s="1057" t="s">
        <v>2260</v>
      </c>
      <c r="DH147" s="1058" t="s">
        <v>2260</v>
      </c>
      <c r="DI147" s="1049" t="s">
        <v>2260</v>
      </c>
      <c r="DJ147" s="1049" t="s">
        <v>2260</v>
      </c>
      <c r="DK147" s="1049" t="s">
        <v>2260</v>
      </c>
      <c r="DL147" s="1052" t="s">
        <v>2260</v>
      </c>
      <c r="DM147" s="1060">
        <v>-0.19800000000000001</v>
      </c>
      <c r="DN147" s="1061" t="s">
        <v>2260</v>
      </c>
      <c r="DO147" s="1061" t="s">
        <v>2260</v>
      </c>
      <c r="DP147" s="1062" t="s">
        <v>2260</v>
      </c>
      <c r="DQ147" s="1061">
        <v>0.17499999999999999</v>
      </c>
      <c r="DR147" s="1061" t="s">
        <v>2260</v>
      </c>
      <c r="DS147" s="1061" t="s">
        <v>2260</v>
      </c>
      <c r="DT147" s="1062" t="s">
        <v>2260</v>
      </c>
      <c r="DU147" s="1054" t="s">
        <v>2260</v>
      </c>
      <c r="DV147" s="1063">
        <v>1</v>
      </c>
      <c r="DW147" s="1064" t="s">
        <v>2260</v>
      </c>
    </row>
    <row r="148" spans="1:127" s="382" customFormat="1" ht="15.75" customHeight="1">
      <c r="A148" s="1066" t="s">
        <v>1143</v>
      </c>
      <c r="B148" s="1026">
        <v>139</v>
      </c>
      <c r="C148" s="987"/>
      <c r="D148" s="987"/>
      <c r="E148" s="987"/>
      <c r="F148" s="987"/>
      <c r="G148" s="987"/>
      <c r="H148" s="987"/>
      <c r="I148" s="987"/>
      <c r="J148" s="987"/>
      <c r="K148" s="987"/>
      <c r="L148" s="987"/>
      <c r="M148" s="1026"/>
      <c r="N148" s="987"/>
      <c r="O148" s="987"/>
      <c r="P148" s="987"/>
      <c r="Q148" s="987"/>
      <c r="R148" s="987"/>
      <c r="S148" s="987"/>
      <c r="T148" s="988"/>
      <c r="U148" s="1067" t="s">
        <v>1123</v>
      </c>
      <c r="V148" s="1068" t="s">
        <v>2687</v>
      </c>
      <c r="W148" s="1068" t="s">
        <v>2217</v>
      </c>
      <c r="X148" s="1069" t="s">
        <v>2688</v>
      </c>
      <c r="Y148" s="1070" t="s">
        <v>784</v>
      </c>
      <c r="Z148" s="1071" t="s">
        <v>2689</v>
      </c>
      <c r="AA148" s="1072" t="s">
        <v>2260</v>
      </c>
      <c r="AB148" s="1073" t="s">
        <v>2260</v>
      </c>
      <c r="AC148" s="1073">
        <v>1</v>
      </c>
      <c r="AD148" s="1073" t="s">
        <v>2260</v>
      </c>
      <c r="AE148" s="1073" t="s">
        <v>2260</v>
      </c>
      <c r="AF148" s="1073" t="s">
        <v>2260</v>
      </c>
      <c r="AG148" s="1073" t="s">
        <v>2260</v>
      </c>
      <c r="AH148" s="1073" t="s">
        <v>2260</v>
      </c>
      <c r="AI148" s="1074">
        <f t="shared" si="2"/>
        <v>1</v>
      </c>
      <c r="AJ148" s="1075" t="s">
        <v>1852</v>
      </c>
      <c r="AK148" s="1075" t="s">
        <v>1826</v>
      </c>
      <c r="AL148" s="1075" t="s">
        <v>1827</v>
      </c>
      <c r="AM148" s="1076" t="s">
        <v>2351</v>
      </c>
      <c r="AN148" s="987" t="s">
        <v>2439</v>
      </c>
      <c r="AO148" s="987" t="s">
        <v>4197</v>
      </c>
      <c r="AP148" s="2042">
        <v>2</v>
      </c>
      <c r="AQ148" s="1045" t="s">
        <v>1838</v>
      </c>
      <c r="AR148" s="1078" t="s">
        <v>784</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210</v>
      </c>
      <c r="CE148" s="1088" t="s">
        <v>210</v>
      </c>
      <c r="CF148" s="1088" t="s">
        <v>210</v>
      </c>
      <c r="CG148" s="1088" t="s">
        <v>210</v>
      </c>
      <c r="CH148" s="1089" t="s">
        <v>210</v>
      </c>
      <c r="CI148" s="1044" t="s">
        <v>2260</v>
      </c>
      <c r="CJ148" s="1045" t="s">
        <v>2260</v>
      </c>
      <c r="CK148" s="1045" t="s">
        <v>2260</v>
      </c>
      <c r="CL148" s="1045" t="s">
        <v>2260</v>
      </c>
      <c r="CM148" s="1086" t="s">
        <v>2260</v>
      </c>
      <c r="CN148" s="1044">
        <v>2.75</v>
      </c>
      <c r="CO148" s="1045">
        <v>3</v>
      </c>
      <c r="CP148" s="1045">
        <v>3.4</v>
      </c>
      <c r="CQ148" s="1045">
        <v>3.6</v>
      </c>
      <c r="CR148" s="1086">
        <v>4</v>
      </c>
      <c r="CS148" s="1044" t="s">
        <v>2260</v>
      </c>
      <c r="CT148" s="1045" t="s">
        <v>2260</v>
      </c>
      <c r="CU148" s="1045" t="s">
        <v>2260</v>
      </c>
      <c r="CV148" s="1045" t="s">
        <v>2260</v>
      </c>
      <c r="CW148" s="1086" t="s">
        <v>2260</v>
      </c>
      <c r="CX148" s="1044" t="s">
        <v>2260</v>
      </c>
      <c r="CY148" s="1045" t="s">
        <v>2260</v>
      </c>
      <c r="CZ148" s="1045" t="s">
        <v>2260</v>
      </c>
      <c r="DA148" s="1045" t="s">
        <v>2260</v>
      </c>
      <c r="DB148" s="1086" t="s">
        <v>2260</v>
      </c>
      <c r="DC148" s="1045">
        <v>1.3</v>
      </c>
      <c r="DD148" s="1045">
        <v>1.25</v>
      </c>
      <c r="DE148" s="1045">
        <v>1.2</v>
      </c>
      <c r="DF148" s="1045">
        <v>1.17</v>
      </c>
      <c r="DG148" s="1086">
        <v>1.1499999999999999</v>
      </c>
      <c r="DH148" s="1044" t="s">
        <v>2260</v>
      </c>
      <c r="DI148" s="1045" t="s">
        <v>2260</v>
      </c>
      <c r="DJ148" s="1045" t="s">
        <v>2260</v>
      </c>
      <c r="DK148" s="1045" t="s">
        <v>2260</v>
      </c>
      <c r="DL148" s="1086" t="s">
        <v>2260</v>
      </c>
      <c r="DM148" s="1090">
        <v>-2.5230000000000001</v>
      </c>
      <c r="DN148" s="1091" t="s">
        <v>2260</v>
      </c>
      <c r="DO148" s="1091" t="s">
        <v>2260</v>
      </c>
      <c r="DP148" s="1092" t="s">
        <v>2260</v>
      </c>
      <c r="DQ148" s="1091">
        <v>2.5230000000000001</v>
      </c>
      <c r="DR148" s="1091" t="s">
        <v>2260</v>
      </c>
      <c r="DS148" s="1091" t="s">
        <v>2260</v>
      </c>
      <c r="DT148" s="1092" t="s">
        <v>2260</v>
      </c>
      <c r="DU148" s="1088" t="s">
        <v>2260</v>
      </c>
      <c r="DV148" s="1093">
        <v>1</v>
      </c>
      <c r="DW148" s="1094" t="s">
        <v>2260</v>
      </c>
    </row>
    <row r="149" spans="1:127" s="382" customFormat="1" ht="15.75" customHeight="1">
      <c r="A149" s="1066" t="s">
        <v>1143</v>
      </c>
      <c r="B149" s="1026">
        <v>140</v>
      </c>
      <c r="C149" s="987"/>
      <c r="D149" s="987"/>
      <c r="E149" s="987"/>
      <c r="F149" s="987"/>
      <c r="G149" s="987"/>
      <c r="H149" s="987"/>
      <c r="I149" s="987"/>
      <c r="J149" s="987"/>
      <c r="K149" s="987"/>
      <c r="L149" s="987"/>
      <c r="M149" s="1026"/>
      <c r="N149" s="987"/>
      <c r="O149" s="987"/>
      <c r="P149" s="987"/>
      <c r="Q149" s="987"/>
      <c r="R149" s="987"/>
      <c r="S149" s="987"/>
      <c r="T149" s="988"/>
      <c r="U149" s="1067" t="s">
        <v>1124</v>
      </c>
      <c r="V149" s="1068" t="s">
        <v>2691</v>
      </c>
      <c r="W149" s="1068" t="s">
        <v>2217</v>
      </c>
      <c r="X149" s="1069" t="s">
        <v>2692</v>
      </c>
      <c r="Y149" s="1070" t="s">
        <v>788</v>
      </c>
      <c r="Z149" s="1071" t="s">
        <v>2693</v>
      </c>
      <c r="AA149" s="1072" t="s">
        <v>2260</v>
      </c>
      <c r="AB149" s="1073" t="s">
        <v>2260</v>
      </c>
      <c r="AC149" s="1073">
        <v>1</v>
      </c>
      <c r="AD149" s="1073" t="s">
        <v>2260</v>
      </c>
      <c r="AE149" s="1073" t="s">
        <v>2260</v>
      </c>
      <c r="AF149" s="1073" t="s">
        <v>2260</v>
      </c>
      <c r="AG149" s="1073" t="s">
        <v>2260</v>
      </c>
      <c r="AH149" s="1073" t="s">
        <v>2260</v>
      </c>
      <c r="AI149" s="1074">
        <f t="shared" si="2"/>
        <v>1</v>
      </c>
      <c r="AJ149" s="1075" t="s">
        <v>1852</v>
      </c>
      <c r="AK149" s="1075" t="s">
        <v>1826</v>
      </c>
      <c r="AL149" s="1075" t="s">
        <v>1827</v>
      </c>
      <c r="AM149" s="1076" t="s">
        <v>788</v>
      </c>
      <c r="AN149" s="987" t="s">
        <v>2439</v>
      </c>
      <c r="AO149" s="987" t="s">
        <v>4431</v>
      </c>
      <c r="AP149" s="2042">
        <v>2</v>
      </c>
      <c r="AQ149" s="1045" t="s">
        <v>1838</v>
      </c>
      <c r="AR149" s="1078" t="s">
        <v>788</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210</v>
      </c>
      <c r="CE149" s="1088" t="s">
        <v>210</v>
      </c>
      <c r="CF149" s="1088" t="s">
        <v>210</v>
      </c>
      <c r="CG149" s="1088" t="s">
        <v>210</v>
      </c>
      <c r="CH149" s="1089" t="s">
        <v>210</v>
      </c>
      <c r="CI149" s="1044">
        <v>98</v>
      </c>
      <c r="CJ149" s="1045">
        <v>98</v>
      </c>
      <c r="CK149" s="1045">
        <v>98</v>
      </c>
      <c r="CL149" s="1045">
        <v>98</v>
      </c>
      <c r="CM149" s="1086">
        <v>98</v>
      </c>
      <c r="CN149" s="1044">
        <v>41.6</v>
      </c>
      <c r="CO149" s="1045">
        <v>41.6</v>
      </c>
      <c r="CP149" s="1045">
        <v>41.6</v>
      </c>
      <c r="CQ149" s="1045">
        <v>41.6</v>
      </c>
      <c r="CR149" s="1086">
        <v>41.6</v>
      </c>
      <c r="CS149" s="1044" t="s">
        <v>2260</v>
      </c>
      <c r="CT149" s="1045" t="s">
        <v>2260</v>
      </c>
      <c r="CU149" s="1045" t="s">
        <v>2260</v>
      </c>
      <c r="CV149" s="1045" t="s">
        <v>2260</v>
      </c>
      <c r="CW149" s="1086" t="s">
        <v>2260</v>
      </c>
      <c r="CX149" s="1044" t="s">
        <v>2260</v>
      </c>
      <c r="CY149" s="1045" t="s">
        <v>2260</v>
      </c>
      <c r="CZ149" s="1045" t="s">
        <v>2260</v>
      </c>
      <c r="DA149" s="1045" t="s">
        <v>2260</v>
      </c>
      <c r="DB149" s="1086" t="s">
        <v>2260</v>
      </c>
      <c r="DC149" s="1045">
        <v>11.83</v>
      </c>
      <c r="DD149" s="1045">
        <v>11.46</v>
      </c>
      <c r="DE149" s="1045">
        <v>11.11</v>
      </c>
      <c r="DF149" s="1045">
        <v>10.82</v>
      </c>
      <c r="DG149" s="1086">
        <v>9.42</v>
      </c>
      <c r="DH149" s="1044" t="s">
        <v>4430</v>
      </c>
      <c r="DI149" s="1045" t="s">
        <v>4430</v>
      </c>
      <c r="DJ149" s="1045" t="s">
        <v>4430</v>
      </c>
      <c r="DK149" s="1045" t="s">
        <v>4430</v>
      </c>
      <c r="DL149" s="1086" t="s">
        <v>4430</v>
      </c>
      <c r="DM149" s="1090">
        <v>-0.36499999999999999</v>
      </c>
      <c r="DN149" s="1091" t="s">
        <v>2260</v>
      </c>
      <c r="DO149" s="1091" t="s">
        <v>2260</v>
      </c>
      <c r="DP149" s="1092">
        <v>-0.877</v>
      </c>
      <c r="DQ149" s="1091">
        <v>0.29899999999999999</v>
      </c>
      <c r="DR149" s="1091" t="s">
        <v>2260</v>
      </c>
      <c r="DS149" s="1091" t="s">
        <v>2260</v>
      </c>
      <c r="DT149" s="1092">
        <v>0.874</v>
      </c>
      <c r="DU149" s="1088" t="s">
        <v>2260</v>
      </c>
      <c r="DV149" s="1093">
        <v>1</v>
      </c>
      <c r="DW149" s="1094" t="s">
        <v>2260</v>
      </c>
    </row>
    <row r="150" spans="1:127" s="382" customFormat="1" ht="15.75" customHeight="1">
      <c r="A150" s="1066" t="s">
        <v>1143</v>
      </c>
      <c r="B150" s="1026">
        <v>141</v>
      </c>
      <c r="C150" s="987"/>
      <c r="D150" s="987"/>
      <c r="E150" s="987"/>
      <c r="F150" s="987"/>
      <c r="G150" s="987"/>
      <c r="H150" s="987"/>
      <c r="I150" s="987"/>
      <c r="J150" s="987"/>
      <c r="K150" s="987"/>
      <c r="L150" s="987"/>
      <c r="M150" s="1026"/>
      <c r="N150" s="987"/>
      <c r="O150" s="987"/>
      <c r="P150" s="987"/>
      <c r="Q150" s="987"/>
      <c r="R150" s="987"/>
      <c r="S150" s="987"/>
      <c r="T150" s="988"/>
      <c r="U150" s="1067" t="s">
        <v>1154</v>
      </c>
      <c r="V150" s="1068" t="s">
        <v>2695</v>
      </c>
      <c r="W150" s="1068" t="s">
        <v>2231</v>
      </c>
      <c r="X150" s="1069" t="s">
        <v>2696</v>
      </c>
      <c r="Y150" s="1070" t="s">
        <v>567</v>
      </c>
      <c r="Z150" s="1071" t="s">
        <v>2697</v>
      </c>
      <c r="AA150" s="1072">
        <v>1</v>
      </c>
      <c r="AB150" s="1073" t="s">
        <v>2260</v>
      </c>
      <c r="AC150" s="1073" t="s">
        <v>2260</v>
      </c>
      <c r="AD150" s="1073" t="s">
        <v>2260</v>
      </c>
      <c r="AE150" s="1073" t="s">
        <v>2260</v>
      </c>
      <c r="AF150" s="1073" t="s">
        <v>2260</v>
      </c>
      <c r="AG150" s="1073" t="s">
        <v>2260</v>
      </c>
      <c r="AH150" s="1073" t="s">
        <v>2260</v>
      </c>
      <c r="AI150" s="1074">
        <f t="shared" si="2"/>
        <v>1</v>
      </c>
      <c r="AJ150" s="1075" t="s">
        <v>1825</v>
      </c>
      <c r="AK150" s="1075" t="s">
        <v>2260</v>
      </c>
      <c r="AL150" s="1075" t="s">
        <v>2260</v>
      </c>
      <c r="AM150" s="1076" t="s">
        <v>2698</v>
      </c>
      <c r="AN150" s="987" t="s">
        <v>321</v>
      </c>
      <c r="AO150" s="987" t="s">
        <v>4417</v>
      </c>
      <c r="AP150" s="2042">
        <v>1</v>
      </c>
      <c r="AQ150" s="1045" t="s">
        <v>1838</v>
      </c>
      <c r="AR150" s="1078" t="s">
        <v>567</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2260</v>
      </c>
      <c r="CE150" s="1088" t="s">
        <v>2260</v>
      </c>
      <c r="CF150" s="1088" t="s">
        <v>2260</v>
      </c>
      <c r="CG150" s="1088" t="s">
        <v>2260</v>
      </c>
      <c r="CH150" s="1089" t="s">
        <v>2260</v>
      </c>
      <c r="CI150" s="1044" t="s">
        <v>2260</v>
      </c>
      <c r="CJ150" s="1045" t="s">
        <v>2260</v>
      </c>
      <c r="CK150" s="1045" t="s">
        <v>2260</v>
      </c>
      <c r="CL150" s="1045" t="s">
        <v>2260</v>
      </c>
      <c r="CM150" s="1086" t="s">
        <v>2260</v>
      </c>
      <c r="CN150" s="1044" t="s">
        <v>2260</v>
      </c>
      <c r="CO150" s="1045" t="s">
        <v>2260</v>
      </c>
      <c r="CP150" s="1045" t="s">
        <v>2260</v>
      </c>
      <c r="CQ150" s="1045" t="s">
        <v>2260</v>
      </c>
      <c r="CR150" s="1086" t="s">
        <v>2260</v>
      </c>
      <c r="CS150" s="1044" t="s">
        <v>2260</v>
      </c>
      <c r="CT150" s="1045" t="s">
        <v>2260</v>
      </c>
      <c r="CU150" s="1045" t="s">
        <v>2260</v>
      </c>
      <c r="CV150" s="1045" t="s">
        <v>2260</v>
      </c>
      <c r="CW150" s="1086" t="s">
        <v>2260</v>
      </c>
      <c r="CX150" s="1044" t="s">
        <v>2260</v>
      </c>
      <c r="CY150" s="1045" t="s">
        <v>2260</v>
      </c>
      <c r="CZ150" s="1045" t="s">
        <v>2260</v>
      </c>
      <c r="DA150" s="1045" t="s">
        <v>2260</v>
      </c>
      <c r="DB150" s="1086" t="s">
        <v>2260</v>
      </c>
      <c r="DC150" s="1045" t="s">
        <v>2260</v>
      </c>
      <c r="DD150" s="1045" t="s">
        <v>2260</v>
      </c>
      <c r="DE150" s="1045" t="s">
        <v>2260</v>
      </c>
      <c r="DF150" s="1045" t="s">
        <v>2260</v>
      </c>
      <c r="DG150" s="1086" t="s">
        <v>2260</v>
      </c>
      <c r="DH150" s="1044" t="s">
        <v>2260</v>
      </c>
      <c r="DI150" s="1045" t="s">
        <v>2260</v>
      </c>
      <c r="DJ150" s="1045" t="s">
        <v>2260</v>
      </c>
      <c r="DK150" s="1045" t="s">
        <v>2260</v>
      </c>
      <c r="DL150" s="1086" t="s">
        <v>2260</v>
      </c>
      <c r="DM150" s="1090" t="s">
        <v>2260</v>
      </c>
      <c r="DN150" s="1091" t="s">
        <v>2260</v>
      </c>
      <c r="DO150" s="1091" t="s">
        <v>2260</v>
      </c>
      <c r="DP150" s="1092" t="s">
        <v>2260</v>
      </c>
      <c r="DQ150" s="1091" t="s">
        <v>2260</v>
      </c>
      <c r="DR150" s="1091" t="s">
        <v>2260</v>
      </c>
      <c r="DS150" s="1091" t="s">
        <v>2260</v>
      </c>
      <c r="DT150" s="1092" t="s">
        <v>2260</v>
      </c>
      <c r="DU150" s="1088" t="s">
        <v>2260</v>
      </c>
      <c r="DV150" s="1093">
        <v>1</v>
      </c>
      <c r="DW150" s="1094" t="s">
        <v>2260</v>
      </c>
    </row>
    <row r="151" spans="1:127" s="382" customFormat="1" ht="15.75" customHeight="1">
      <c r="A151" s="1066" t="s">
        <v>1143</v>
      </c>
      <c r="B151" s="1026">
        <v>142</v>
      </c>
      <c r="C151" s="987"/>
      <c r="D151" s="987"/>
      <c r="E151" s="987"/>
      <c r="F151" s="987"/>
      <c r="G151" s="987"/>
      <c r="H151" s="987"/>
      <c r="I151" s="987"/>
      <c r="J151" s="987"/>
      <c r="K151" s="987"/>
      <c r="L151" s="987"/>
      <c r="M151" s="1026"/>
      <c r="N151" s="987"/>
      <c r="O151" s="987"/>
      <c r="P151" s="987"/>
      <c r="Q151" s="987"/>
      <c r="R151" s="987"/>
      <c r="S151" s="987"/>
      <c r="T151" s="988"/>
      <c r="U151" s="1067" t="s">
        <v>1129</v>
      </c>
      <c r="V151" s="1068" t="s">
        <v>2695</v>
      </c>
      <c r="W151" s="1068" t="s">
        <v>2231</v>
      </c>
      <c r="X151" s="1069" t="s">
        <v>2700</v>
      </c>
      <c r="Y151" s="1070" t="s">
        <v>891</v>
      </c>
      <c r="Z151" s="1071" t="s">
        <v>2701</v>
      </c>
      <c r="AA151" s="1072" t="s">
        <v>2260</v>
      </c>
      <c r="AB151" s="1073" t="s">
        <v>2260</v>
      </c>
      <c r="AC151" s="1073">
        <v>1</v>
      </c>
      <c r="AD151" s="1073" t="s">
        <v>2260</v>
      </c>
      <c r="AE151" s="1073" t="s">
        <v>2260</v>
      </c>
      <c r="AF151" s="1073" t="s">
        <v>2260</v>
      </c>
      <c r="AG151" s="1073" t="s">
        <v>2260</v>
      </c>
      <c r="AH151" s="1073" t="s">
        <v>2260</v>
      </c>
      <c r="AI151" s="1074">
        <f t="shared" si="2"/>
        <v>1</v>
      </c>
      <c r="AJ151" s="1075" t="s">
        <v>1825</v>
      </c>
      <c r="AK151" s="1075" t="s">
        <v>2260</v>
      </c>
      <c r="AL151" s="1075" t="s">
        <v>2260</v>
      </c>
      <c r="AM151" s="1076" t="s">
        <v>2351</v>
      </c>
      <c r="AN151" s="987" t="s">
        <v>321</v>
      </c>
      <c r="AO151" s="987" t="s">
        <v>4417</v>
      </c>
      <c r="AP151" s="2042">
        <v>2</v>
      </c>
      <c r="AQ151" s="1045" t="s">
        <v>1838</v>
      </c>
      <c r="AR151" s="1078" t="s">
        <v>891</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2260</v>
      </c>
      <c r="CE151" s="1088" t="s">
        <v>2260</v>
      </c>
      <c r="CF151" s="1088" t="s">
        <v>2260</v>
      </c>
      <c r="CG151" s="1088" t="s">
        <v>2260</v>
      </c>
      <c r="CH151" s="1089" t="s">
        <v>2260</v>
      </c>
      <c r="CI151" s="1044" t="s">
        <v>2260</v>
      </c>
      <c r="CJ151" s="1045" t="s">
        <v>2260</v>
      </c>
      <c r="CK151" s="1045" t="s">
        <v>2260</v>
      </c>
      <c r="CL151" s="1045" t="s">
        <v>2260</v>
      </c>
      <c r="CM151" s="1086" t="s">
        <v>2260</v>
      </c>
      <c r="CN151" s="1044" t="s">
        <v>2260</v>
      </c>
      <c r="CO151" s="1045" t="s">
        <v>2260</v>
      </c>
      <c r="CP151" s="1045" t="s">
        <v>2260</v>
      </c>
      <c r="CQ151" s="1045" t="s">
        <v>2260</v>
      </c>
      <c r="CR151" s="1086" t="s">
        <v>2260</v>
      </c>
      <c r="CS151" s="1044" t="s">
        <v>2260</v>
      </c>
      <c r="CT151" s="1045" t="s">
        <v>2260</v>
      </c>
      <c r="CU151" s="1045" t="s">
        <v>2260</v>
      </c>
      <c r="CV151" s="1045" t="s">
        <v>2260</v>
      </c>
      <c r="CW151" s="1086" t="s">
        <v>2260</v>
      </c>
      <c r="CX151" s="1044" t="s">
        <v>2260</v>
      </c>
      <c r="CY151" s="1045" t="s">
        <v>2260</v>
      </c>
      <c r="CZ151" s="1045" t="s">
        <v>2260</v>
      </c>
      <c r="DA151" s="1045" t="s">
        <v>2260</v>
      </c>
      <c r="DB151" s="1086" t="s">
        <v>2260</v>
      </c>
      <c r="DC151" s="1045" t="s">
        <v>2260</v>
      </c>
      <c r="DD151" s="1045" t="s">
        <v>2260</v>
      </c>
      <c r="DE151" s="1045" t="s">
        <v>2260</v>
      </c>
      <c r="DF151" s="1045" t="s">
        <v>2260</v>
      </c>
      <c r="DG151" s="1086" t="s">
        <v>2260</v>
      </c>
      <c r="DH151" s="1044" t="s">
        <v>2260</v>
      </c>
      <c r="DI151" s="1045" t="s">
        <v>2260</v>
      </c>
      <c r="DJ151" s="1045" t="s">
        <v>2260</v>
      </c>
      <c r="DK151" s="1045" t="s">
        <v>2260</v>
      </c>
      <c r="DL151" s="1086" t="s">
        <v>2260</v>
      </c>
      <c r="DM151" s="1090" t="s">
        <v>2260</v>
      </c>
      <c r="DN151" s="1091" t="s">
        <v>2260</v>
      </c>
      <c r="DO151" s="1091" t="s">
        <v>2260</v>
      </c>
      <c r="DP151" s="1092" t="s">
        <v>2260</v>
      </c>
      <c r="DQ151" s="1091" t="s">
        <v>2260</v>
      </c>
      <c r="DR151" s="1091" t="s">
        <v>2260</v>
      </c>
      <c r="DS151" s="1091" t="s">
        <v>2260</v>
      </c>
      <c r="DT151" s="1092" t="s">
        <v>2260</v>
      </c>
      <c r="DU151" s="1088" t="s">
        <v>2260</v>
      </c>
      <c r="DV151" s="1093">
        <v>1</v>
      </c>
      <c r="DW151" s="1094" t="s">
        <v>2260</v>
      </c>
    </row>
    <row r="152" spans="1:127" s="382" customFormat="1" ht="15.75" customHeight="1">
      <c r="A152" s="1066" t="s">
        <v>1143</v>
      </c>
      <c r="B152" s="1026">
        <v>143</v>
      </c>
      <c r="C152" s="987"/>
      <c r="D152" s="987"/>
      <c r="E152" s="987"/>
      <c r="F152" s="987"/>
      <c r="G152" s="987"/>
      <c r="H152" s="987"/>
      <c r="I152" s="987"/>
      <c r="J152" s="987"/>
      <c r="K152" s="987"/>
      <c r="L152" s="987"/>
      <c r="M152" s="1026"/>
      <c r="N152" s="987"/>
      <c r="O152" s="987"/>
      <c r="P152" s="987"/>
      <c r="Q152" s="987"/>
      <c r="R152" s="987"/>
      <c r="S152" s="987"/>
      <c r="T152" s="988"/>
      <c r="U152" s="1067" t="s">
        <v>1148</v>
      </c>
      <c r="V152" s="1068" t="s">
        <v>2675</v>
      </c>
      <c r="W152" s="1068" t="s">
        <v>2217</v>
      </c>
      <c r="X152" s="1069" t="s">
        <v>2703</v>
      </c>
      <c r="Y152" s="1070" t="s">
        <v>203</v>
      </c>
      <c r="Z152" s="1071" t="s">
        <v>2704</v>
      </c>
      <c r="AA152" s="1072" t="s">
        <v>2260</v>
      </c>
      <c r="AB152" s="1073">
        <v>1</v>
      </c>
      <c r="AC152" s="1073" t="s">
        <v>2260</v>
      </c>
      <c r="AD152" s="1073" t="s">
        <v>2260</v>
      </c>
      <c r="AE152" s="1073" t="s">
        <v>2260</v>
      </c>
      <c r="AF152" s="1073" t="s">
        <v>2260</v>
      </c>
      <c r="AG152" s="1073" t="s">
        <v>2260</v>
      </c>
      <c r="AH152" s="1073" t="s">
        <v>2260</v>
      </c>
      <c r="AI152" s="1074">
        <f t="shared" si="2"/>
        <v>1</v>
      </c>
      <c r="AJ152" s="1075" t="s">
        <v>1852</v>
      </c>
      <c r="AK152" s="1075" t="s">
        <v>1826</v>
      </c>
      <c r="AL152" s="1075" t="s">
        <v>1827</v>
      </c>
      <c r="AM152" s="1076" t="s">
        <v>2242</v>
      </c>
      <c r="AN152" s="987" t="s">
        <v>2439</v>
      </c>
      <c r="AO152" s="987" t="s">
        <v>4419</v>
      </c>
      <c r="AP152" s="2042">
        <v>1</v>
      </c>
      <c r="AQ152" s="1045" t="s">
        <v>1838</v>
      </c>
      <c r="AR152" s="1078" t="s">
        <v>203</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210</v>
      </c>
      <c r="CE152" s="1088" t="s">
        <v>210</v>
      </c>
      <c r="CF152" s="1088" t="s">
        <v>210</v>
      </c>
      <c r="CG152" s="1088" t="s">
        <v>210</v>
      </c>
      <c r="CH152" s="1089" t="s">
        <v>210</v>
      </c>
      <c r="CI152" s="1044" t="s">
        <v>2260</v>
      </c>
      <c r="CJ152" s="1045" t="s">
        <v>2260</v>
      </c>
      <c r="CK152" s="1045" t="s">
        <v>2260</v>
      </c>
      <c r="CL152" s="1045" t="s">
        <v>2260</v>
      </c>
      <c r="CM152" s="1086" t="s">
        <v>2260</v>
      </c>
      <c r="CN152" s="1044">
        <v>198.6</v>
      </c>
      <c r="CO152" s="1045">
        <v>198.6</v>
      </c>
      <c r="CP152" s="1045">
        <v>198.6</v>
      </c>
      <c r="CQ152" s="1045">
        <v>198.6</v>
      </c>
      <c r="CR152" s="1086">
        <v>198.6</v>
      </c>
      <c r="CS152" s="1183">
        <v>151.9</v>
      </c>
      <c r="CT152" s="1185">
        <v>147.1</v>
      </c>
      <c r="CU152" s="1185">
        <v>142.4</v>
      </c>
      <c r="CV152" s="1185">
        <v>137.9</v>
      </c>
      <c r="CW152" s="1186">
        <v>133.4</v>
      </c>
      <c r="CX152" s="1044" t="s">
        <v>2260</v>
      </c>
      <c r="CY152" s="1045" t="s">
        <v>2260</v>
      </c>
      <c r="CZ152" s="1045" t="s">
        <v>2260</v>
      </c>
      <c r="DA152" s="1045" t="s">
        <v>2260</v>
      </c>
      <c r="DB152" s="1086" t="s">
        <v>2260</v>
      </c>
      <c r="DC152" s="1045">
        <v>127.1</v>
      </c>
      <c r="DD152" s="1045">
        <v>122.7</v>
      </c>
      <c r="DE152" s="1045">
        <v>118.7</v>
      </c>
      <c r="DF152" s="1045">
        <v>114.3</v>
      </c>
      <c r="DG152" s="1086">
        <v>110</v>
      </c>
      <c r="DH152" s="1044" t="s">
        <v>2260</v>
      </c>
      <c r="DI152" s="1045" t="s">
        <v>2260</v>
      </c>
      <c r="DJ152" s="1045" t="s">
        <v>2260</v>
      </c>
      <c r="DK152" s="1045" t="s">
        <v>2260</v>
      </c>
      <c r="DL152" s="1086" t="s">
        <v>2260</v>
      </c>
      <c r="DM152" s="1090">
        <v>-0.14899999999999999</v>
      </c>
      <c r="DN152" s="1091" t="s">
        <v>2260</v>
      </c>
      <c r="DO152" s="1091" t="s">
        <v>2260</v>
      </c>
      <c r="DP152" s="1092" t="s">
        <v>2260</v>
      </c>
      <c r="DQ152" s="1091">
        <v>9.8000000000000004E-2</v>
      </c>
      <c r="DR152" s="1091" t="s">
        <v>2260</v>
      </c>
      <c r="DS152" s="1091" t="s">
        <v>2260</v>
      </c>
      <c r="DT152" s="1092" t="s">
        <v>2260</v>
      </c>
      <c r="DU152" s="1088" t="s">
        <v>2260</v>
      </c>
      <c r="DV152" s="1093">
        <v>1</v>
      </c>
      <c r="DW152" s="1094" t="s">
        <v>2260</v>
      </c>
    </row>
    <row r="153" spans="1:127" s="382" customFormat="1" ht="15.75" customHeight="1">
      <c r="A153" s="1066" t="s">
        <v>1143</v>
      </c>
      <c r="B153" s="1026">
        <v>144</v>
      </c>
      <c r="C153" s="987"/>
      <c r="D153" s="987"/>
      <c r="E153" s="987"/>
      <c r="F153" s="987"/>
      <c r="G153" s="987"/>
      <c r="H153" s="987"/>
      <c r="I153" s="987"/>
      <c r="J153" s="987"/>
      <c r="K153" s="987"/>
      <c r="L153" s="987"/>
      <c r="M153" s="1026"/>
      <c r="N153" s="987"/>
      <c r="O153" s="987"/>
      <c r="P153" s="987"/>
      <c r="Q153" s="987"/>
      <c r="R153" s="987"/>
      <c r="S153" s="987"/>
      <c r="T153" s="988"/>
      <c r="U153" s="1067" t="s">
        <v>1149</v>
      </c>
      <c r="V153" s="1068" t="s">
        <v>2675</v>
      </c>
      <c r="W153" s="1068" t="s">
        <v>2231</v>
      </c>
      <c r="X153" s="1069" t="s">
        <v>2706</v>
      </c>
      <c r="Y153" s="1070" t="s">
        <v>209</v>
      </c>
      <c r="Z153" s="1071" t="s">
        <v>2707</v>
      </c>
      <c r="AA153" s="1072" t="s">
        <v>2260</v>
      </c>
      <c r="AB153" s="1073">
        <v>1</v>
      </c>
      <c r="AC153" s="1073" t="s">
        <v>2260</v>
      </c>
      <c r="AD153" s="1073" t="s">
        <v>2260</v>
      </c>
      <c r="AE153" s="1073" t="s">
        <v>2260</v>
      </c>
      <c r="AF153" s="1073" t="s">
        <v>2260</v>
      </c>
      <c r="AG153" s="1073" t="s">
        <v>2260</v>
      </c>
      <c r="AH153" s="1073" t="s">
        <v>2260</v>
      </c>
      <c r="AI153" s="1074">
        <f t="shared" si="2"/>
        <v>1</v>
      </c>
      <c r="AJ153" s="1075" t="s">
        <v>1846</v>
      </c>
      <c r="AK153" s="1075" t="s">
        <v>1826</v>
      </c>
      <c r="AL153" s="1075" t="s">
        <v>1827</v>
      </c>
      <c r="AM153" s="1076" t="s">
        <v>2238</v>
      </c>
      <c r="AN153" s="987" t="s">
        <v>321</v>
      </c>
      <c r="AO153" s="987" t="s">
        <v>4418</v>
      </c>
      <c r="AP153" s="2042">
        <v>2</v>
      </c>
      <c r="AQ153" s="1045" t="s">
        <v>1838</v>
      </c>
      <c r="AR153" s="1078" t="s">
        <v>209</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210</v>
      </c>
      <c r="CE153" s="1088" t="s">
        <v>210</v>
      </c>
      <c r="CF153" s="1088" t="s">
        <v>210</v>
      </c>
      <c r="CG153" s="1088" t="s">
        <v>210</v>
      </c>
      <c r="CH153" s="1089" t="s">
        <v>210</v>
      </c>
      <c r="CI153" s="1044" t="s">
        <v>2260</v>
      </c>
      <c r="CJ153" s="1045" t="s">
        <v>2260</v>
      </c>
      <c r="CK153" s="1045" t="s">
        <v>2260</v>
      </c>
      <c r="CL153" s="1045" t="s">
        <v>2260</v>
      </c>
      <c r="CM153" s="1086" t="s">
        <v>2260</v>
      </c>
      <c r="CN153" s="1044">
        <v>12.74</v>
      </c>
      <c r="CO153" s="1045">
        <v>12.74</v>
      </c>
      <c r="CP153" s="1045">
        <v>12.74</v>
      </c>
      <c r="CQ153" s="1045">
        <v>12.74</v>
      </c>
      <c r="CR153" s="1086">
        <v>12.74</v>
      </c>
      <c r="CS153" s="1181">
        <v>7.64</v>
      </c>
      <c r="CT153" s="1182">
        <v>6.43</v>
      </c>
      <c r="CU153" s="1182">
        <v>5.23</v>
      </c>
      <c r="CV153" s="1182">
        <v>4.0199999999999996</v>
      </c>
      <c r="CW153" s="1184">
        <v>2.81</v>
      </c>
      <c r="CX153" s="1044" t="s">
        <v>2260</v>
      </c>
      <c r="CY153" s="1045" t="s">
        <v>2260</v>
      </c>
      <c r="CZ153" s="1045" t="s">
        <v>2260</v>
      </c>
      <c r="DA153" s="1045" t="s">
        <v>2260</v>
      </c>
      <c r="DB153" s="1086" t="s">
        <v>2260</v>
      </c>
      <c r="DC153" s="1045" t="s">
        <v>2260</v>
      </c>
      <c r="DD153" s="1045" t="s">
        <v>2260</v>
      </c>
      <c r="DE153" s="1045" t="s">
        <v>2260</v>
      </c>
      <c r="DF153" s="1045" t="s">
        <v>2260</v>
      </c>
      <c r="DG153" s="1086" t="s">
        <v>2260</v>
      </c>
      <c r="DH153" s="1044" t="s">
        <v>2260</v>
      </c>
      <c r="DI153" s="1045" t="s">
        <v>2260</v>
      </c>
      <c r="DJ153" s="1045" t="s">
        <v>2260</v>
      </c>
      <c r="DK153" s="1045" t="s">
        <v>2260</v>
      </c>
      <c r="DL153" s="1086" t="s">
        <v>2260</v>
      </c>
      <c r="DM153" s="1090">
        <v>-1.72</v>
      </c>
      <c r="DN153" s="1091" t="s">
        <v>2260</v>
      </c>
      <c r="DO153" s="1091" t="s">
        <v>2260</v>
      </c>
      <c r="DP153" s="1092" t="s">
        <v>2260</v>
      </c>
      <c r="DQ153" s="1091" t="s">
        <v>2260</v>
      </c>
      <c r="DR153" s="1091" t="s">
        <v>2260</v>
      </c>
      <c r="DS153" s="1091" t="s">
        <v>2260</v>
      </c>
      <c r="DT153" s="1092" t="s">
        <v>2260</v>
      </c>
      <c r="DU153" s="1088" t="s">
        <v>2260</v>
      </c>
      <c r="DV153" s="1093">
        <v>1</v>
      </c>
      <c r="DW153" s="1094" t="s">
        <v>2260</v>
      </c>
    </row>
    <row r="154" spans="1:127" s="382" customFormat="1" ht="15.75" customHeight="1">
      <c r="A154" s="1066" t="s">
        <v>1143</v>
      </c>
      <c r="B154" s="1026">
        <v>145</v>
      </c>
      <c r="C154" s="987"/>
      <c r="D154" s="987"/>
      <c r="E154" s="987"/>
      <c r="F154" s="987"/>
      <c r="G154" s="987"/>
      <c r="H154" s="987"/>
      <c r="I154" s="987"/>
      <c r="J154" s="987"/>
      <c r="K154" s="987"/>
      <c r="L154" s="987"/>
      <c r="M154" s="1026"/>
      <c r="N154" s="987"/>
      <c r="O154" s="987"/>
      <c r="P154" s="987"/>
      <c r="Q154" s="987"/>
      <c r="R154" s="987"/>
      <c r="S154" s="987"/>
      <c r="T154" s="988"/>
      <c r="U154" s="1067" t="s">
        <v>1125</v>
      </c>
      <c r="V154" s="1068" t="s">
        <v>2687</v>
      </c>
      <c r="W154" s="1068" t="s">
        <v>2217</v>
      </c>
      <c r="X154" s="1069" t="s">
        <v>2709</v>
      </c>
      <c r="Y154" s="1070" t="s">
        <v>795</v>
      </c>
      <c r="Z154" s="1071" t="s">
        <v>2710</v>
      </c>
      <c r="AA154" s="1072" t="s">
        <v>2260</v>
      </c>
      <c r="AB154" s="1073" t="s">
        <v>2260</v>
      </c>
      <c r="AC154" s="1073">
        <v>1</v>
      </c>
      <c r="AD154" s="1073" t="s">
        <v>2260</v>
      </c>
      <c r="AE154" s="1073" t="s">
        <v>2260</v>
      </c>
      <c r="AF154" s="1073" t="s">
        <v>2260</v>
      </c>
      <c r="AG154" s="1073" t="s">
        <v>2260</v>
      </c>
      <c r="AH154" s="1073" t="s">
        <v>2260</v>
      </c>
      <c r="AI154" s="1074">
        <f t="shared" si="2"/>
        <v>1</v>
      </c>
      <c r="AJ154" s="1075" t="s">
        <v>1846</v>
      </c>
      <c r="AK154" s="1075" t="s">
        <v>1826</v>
      </c>
      <c r="AL154" s="1075" t="s">
        <v>1827</v>
      </c>
      <c r="AM154" s="1076" t="s">
        <v>2242</v>
      </c>
      <c r="AN154" s="987" t="s">
        <v>2439</v>
      </c>
      <c r="AO154" s="987" t="s">
        <v>4432</v>
      </c>
      <c r="AP154" s="2042">
        <v>2</v>
      </c>
      <c r="AQ154" s="1045" t="s">
        <v>1838</v>
      </c>
      <c r="AR154" s="1078" t="s">
        <v>795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210</v>
      </c>
      <c r="CE154" s="1088" t="s">
        <v>210</v>
      </c>
      <c r="CF154" s="1088" t="s">
        <v>210</v>
      </c>
      <c r="CG154" s="1088" t="s">
        <v>210</v>
      </c>
      <c r="CH154" s="1089" t="s">
        <v>210</v>
      </c>
      <c r="CI154" s="1044" t="s">
        <v>2260</v>
      </c>
      <c r="CJ154" s="1045" t="s">
        <v>2260</v>
      </c>
      <c r="CK154" s="1045" t="s">
        <v>2260</v>
      </c>
      <c r="CL154" s="1045" t="s">
        <v>2260</v>
      </c>
      <c r="CM154" s="1086" t="s">
        <v>2260</v>
      </c>
      <c r="CN154" s="1044" t="s">
        <v>2260</v>
      </c>
      <c r="CO154" s="1045" t="s">
        <v>2260</v>
      </c>
      <c r="CP154" s="1045" t="s">
        <v>2260</v>
      </c>
      <c r="CQ154" s="1045" t="s">
        <v>2260</v>
      </c>
      <c r="CR154" s="1086" t="s">
        <v>2260</v>
      </c>
      <c r="CS154" s="1044" t="s">
        <v>2260</v>
      </c>
      <c r="CT154" s="1045" t="s">
        <v>2260</v>
      </c>
      <c r="CU154" s="1045" t="s">
        <v>2260</v>
      </c>
      <c r="CV154" s="1045" t="s">
        <v>2260</v>
      </c>
      <c r="CW154" s="1086" t="s">
        <v>2260</v>
      </c>
      <c r="CX154" s="1044" t="s">
        <v>2260</v>
      </c>
      <c r="CY154" s="1045" t="s">
        <v>2260</v>
      </c>
      <c r="CZ154" s="1045" t="s">
        <v>2260</v>
      </c>
      <c r="DA154" s="1045" t="s">
        <v>2260</v>
      </c>
      <c r="DB154" s="1086" t="s">
        <v>2260</v>
      </c>
      <c r="DC154" s="1045" t="s">
        <v>2260</v>
      </c>
      <c r="DD154" s="1045" t="s">
        <v>2260</v>
      </c>
      <c r="DE154" s="1045" t="s">
        <v>2260</v>
      </c>
      <c r="DF154" s="1045" t="s">
        <v>2260</v>
      </c>
      <c r="DG154" s="1086" t="s">
        <v>2260</v>
      </c>
      <c r="DH154" s="1044" t="s">
        <v>2260</v>
      </c>
      <c r="DI154" s="1045" t="s">
        <v>2260</v>
      </c>
      <c r="DJ154" s="1045" t="s">
        <v>2260</v>
      </c>
      <c r="DK154" s="1045" t="s">
        <v>2260</v>
      </c>
      <c r="DL154" s="1086" t="s">
        <v>2260</v>
      </c>
      <c r="DM154" s="1090">
        <v>-0.32200000000000001</v>
      </c>
      <c r="DN154" s="1091" t="s">
        <v>2260</v>
      </c>
      <c r="DO154" s="1091" t="s">
        <v>2260</v>
      </c>
      <c r="DP154" s="1092" t="s">
        <v>2260</v>
      </c>
      <c r="DQ154" s="1091" t="s">
        <v>2260</v>
      </c>
      <c r="DR154" s="1091" t="s">
        <v>2260</v>
      </c>
      <c r="DS154" s="1091" t="s">
        <v>2260</v>
      </c>
      <c r="DT154" s="1092" t="s">
        <v>2260</v>
      </c>
      <c r="DU154" s="1088" t="s">
        <v>2260</v>
      </c>
      <c r="DV154" s="1093">
        <v>1</v>
      </c>
      <c r="DW154" s="1094" t="s">
        <v>2260</v>
      </c>
    </row>
    <row r="155" spans="1:127" s="382" customFormat="1" ht="15.75" customHeight="1">
      <c r="A155" s="1066" t="s">
        <v>1143</v>
      </c>
      <c r="B155" s="1026">
        <v>146</v>
      </c>
      <c r="C155" s="987"/>
      <c r="D155" s="987"/>
      <c r="E155" s="987"/>
      <c r="F155" s="987"/>
      <c r="G155" s="987"/>
      <c r="H155" s="987"/>
      <c r="I155" s="987"/>
      <c r="J155" s="987"/>
      <c r="K155" s="987"/>
      <c r="L155" s="987"/>
      <c r="M155" s="1026"/>
      <c r="N155" s="987"/>
      <c r="O155" s="987"/>
      <c r="P155" s="987"/>
      <c r="Q155" s="987"/>
      <c r="R155" s="987"/>
      <c r="S155" s="987"/>
      <c r="T155" s="988"/>
      <c r="U155" s="1067" t="s">
        <v>1126</v>
      </c>
      <c r="V155" s="1068" t="s">
        <v>2691</v>
      </c>
      <c r="W155" s="1068" t="s">
        <v>2217</v>
      </c>
      <c r="X155" s="1069" t="s">
        <v>2712</v>
      </c>
      <c r="Y155" s="1070" t="s">
        <v>1085</v>
      </c>
      <c r="Z155" s="1071" t="s">
        <v>2713</v>
      </c>
      <c r="AA155" s="1072" t="s">
        <v>2260</v>
      </c>
      <c r="AB155" s="1073">
        <v>0.16</v>
      </c>
      <c r="AC155" s="1073">
        <v>0.84</v>
      </c>
      <c r="AD155" s="1073" t="s">
        <v>2260</v>
      </c>
      <c r="AE155" s="1073" t="s">
        <v>2260</v>
      </c>
      <c r="AF155" s="1073" t="s">
        <v>2260</v>
      </c>
      <c r="AG155" s="1073" t="s">
        <v>2260</v>
      </c>
      <c r="AH155" s="1073" t="s">
        <v>2260</v>
      </c>
      <c r="AI155" s="1074">
        <f t="shared" si="2"/>
        <v>1</v>
      </c>
      <c r="AJ155" s="1075" t="s">
        <v>1846</v>
      </c>
      <c r="AK155" s="1075" t="s">
        <v>1826</v>
      </c>
      <c r="AL155" s="1075" t="s">
        <v>1827</v>
      </c>
      <c r="AM155" s="1076" t="s">
        <v>2714</v>
      </c>
      <c r="AN155" s="987" t="s">
        <v>321</v>
      </c>
      <c r="AO155" s="987" t="s">
        <v>2649</v>
      </c>
      <c r="AP155" s="2042">
        <v>2</v>
      </c>
      <c r="AQ155" s="1045" t="s">
        <v>1828</v>
      </c>
      <c r="AR155" s="1078" t="s">
        <v>1085</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210</v>
      </c>
      <c r="CE155" s="1088" t="s">
        <v>210</v>
      </c>
      <c r="CF155" s="1088" t="s">
        <v>210</v>
      </c>
      <c r="CG155" s="1088" t="s">
        <v>210</v>
      </c>
      <c r="CH155" s="1089" t="s">
        <v>210</v>
      </c>
      <c r="CI155" s="1044" t="s">
        <v>2260</v>
      </c>
      <c r="CJ155" s="1045" t="s">
        <v>2260</v>
      </c>
      <c r="CK155" s="1045" t="s">
        <v>2260</v>
      </c>
      <c r="CL155" s="1045" t="s">
        <v>2260</v>
      </c>
      <c r="CM155" s="1086" t="s">
        <v>2260</v>
      </c>
      <c r="CN155" s="1044" t="s">
        <v>2260</v>
      </c>
      <c r="CO155" s="1045" t="s">
        <v>2260</v>
      </c>
      <c r="CP155" s="1045" t="s">
        <v>2260</v>
      </c>
      <c r="CQ155" s="1045" t="s">
        <v>2260</v>
      </c>
      <c r="CR155" s="1086" t="s">
        <v>2260</v>
      </c>
      <c r="CS155" s="1044">
        <v>99</v>
      </c>
      <c r="CT155" s="1045">
        <v>99</v>
      </c>
      <c r="CU155" s="1045">
        <v>99</v>
      </c>
      <c r="CV155" s="1045">
        <v>99</v>
      </c>
      <c r="CW155" s="1086">
        <v>99</v>
      </c>
      <c r="CX155" s="1044" t="s">
        <v>2260</v>
      </c>
      <c r="CY155" s="1045" t="s">
        <v>2260</v>
      </c>
      <c r="CZ155" s="1045" t="s">
        <v>2260</v>
      </c>
      <c r="DA155" s="1045" t="s">
        <v>2260</v>
      </c>
      <c r="DB155" s="1086" t="s">
        <v>2260</v>
      </c>
      <c r="DC155" s="1045" t="s">
        <v>2260</v>
      </c>
      <c r="DD155" s="1045" t="s">
        <v>2260</v>
      </c>
      <c r="DE155" s="1045" t="s">
        <v>2260</v>
      </c>
      <c r="DF155" s="1045" t="s">
        <v>2260</v>
      </c>
      <c r="DG155" s="1086" t="s">
        <v>2260</v>
      </c>
      <c r="DH155" s="1044" t="s">
        <v>2260</v>
      </c>
      <c r="DI155" s="1045" t="s">
        <v>2260</v>
      </c>
      <c r="DJ155" s="1045" t="s">
        <v>2260</v>
      </c>
      <c r="DK155" s="1045" t="s">
        <v>2260</v>
      </c>
      <c r="DL155" s="1086" t="s">
        <v>2260</v>
      </c>
      <c r="DM155" s="1090">
        <v>-0.59699999999999998</v>
      </c>
      <c r="DN155" s="1091" t="s">
        <v>2260</v>
      </c>
      <c r="DO155" s="1091" t="s">
        <v>2260</v>
      </c>
      <c r="DP155" s="1092" t="s">
        <v>2260</v>
      </c>
      <c r="DQ155" s="1091" t="s">
        <v>2260</v>
      </c>
      <c r="DR155" s="1091" t="s">
        <v>2260</v>
      </c>
      <c r="DS155" s="1091" t="s">
        <v>2260</v>
      </c>
      <c r="DT155" s="1092" t="s">
        <v>2260</v>
      </c>
      <c r="DU155" s="1088" t="s">
        <v>2260</v>
      </c>
      <c r="DV155" s="1093">
        <v>1</v>
      </c>
      <c r="DW155" s="1094" t="s">
        <v>2260</v>
      </c>
    </row>
    <row r="156" spans="1:127" s="382" customFormat="1" ht="15.75" customHeight="1">
      <c r="A156" s="1066" t="s">
        <v>1143</v>
      </c>
      <c r="B156" s="1026">
        <v>147</v>
      </c>
      <c r="C156" s="987"/>
      <c r="D156" s="987"/>
      <c r="E156" s="987"/>
      <c r="F156" s="987"/>
      <c r="G156" s="987"/>
      <c r="H156" s="987"/>
      <c r="I156" s="987"/>
      <c r="J156" s="987"/>
      <c r="K156" s="987"/>
      <c r="L156" s="987"/>
      <c r="M156" s="1026"/>
      <c r="N156" s="987"/>
      <c r="O156" s="987"/>
      <c r="P156" s="987"/>
      <c r="Q156" s="987"/>
      <c r="R156" s="987"/>
      <c r="S156" s="987"/>
      <c r="T156" s="988"/>
      <c r="U156" s="1067" t="s">
        <v>1591</v>
      </c>
      <c r="V156" s="1068" t="s">
        <v>2716</v>
      </c>
      <c r="W156" s="1068" t="s">
        <v>2231</v>
      </c>
      <c r="X156" s="1069" t="s">
        <v>2717</v>
      </c>
      <c r="Y156" s="1070" t="s">
        <v>2718</v>
      </c>
      <c r="Z156" s="1071" t="s">
        <v>2719</v>
      </c>
      <c r="AA156" s="1072" t="s">
        <v>2260</v>
      </c>
      <c r="AB156" s="1073" t="s">
        <v>2260</v>
      </c>
      <c r="AC156" s="1073" t="s">
        <v>2260</v>
      </c>
      <c r="AD156" s="1073" t="s">
        <v>2260</v>
      </c>
      <c r="AE156" s="1073">
        <v>1</v>
      </c>
      <c r="AF156" s="1073" t="s">
        <v>2260</v>
      </c>
      <c r="AG156" s="1073" t="s">
        <v>2260</v>
      </c>
      <c r="AH156" s="1073" t="s">
        <v>2260</v>
      </c>
      <c r="AI156" s="1074">
        <f t="shared" si="2"/>
        <v>1</v>
      </c>
      <c r="AJ156" s="1075" t="s">
        <v>1825</v>
      </c>
      <c r="AK156" s="1075" t="s">
        <v>2260</v>
      </c>
      <c r="AL156" s="1075" t="s">
        <v>2260</v>
      </c>
      <c r="AM156" s="1076" t="s">
        <v>2396</v>
      </c>
      <c r="AN156" s="987" t="s">
        <v>1857</v>
      </c>
      <c r="AO156" s="987" t="s">
        <v>2720</v>
      </c>
      <c r="AP156" s="802">
        <v>1</v>
      </c>
      <c r="AQ156" s="1045" t="s">
        <v>1828</v>
      </c>
      <c r="AR156" s="1078" t="s">
        <v>2260</v>
      </c>
      <c r="AS156" s="1079"/>
      <c r="AT156" s="1069"/>
      <c r="AU156" s="1069"/>
      <c r="AV156" s="1069"/>
      <c r="AW156" s="1080"/>
      <c r="AX156" s="1081"/>
      <c r="AY156" s="1044"/>
      <c r="AZ156" s="1045"/>
      <c r="BA156" s="1045"/>
      <c r="BB156" s="1045"/>
      <c r="BC156" s="1045"/>
      <c r="BD156" s="1045"/>
      <c r="BE156" s="1045"/>
      <c r="BF156" s="1045"/>
      <c r="BG156" s="1045"/>
      <c r="BH156" s="1045"/>
      <c r="BI156" s="1369"/>
      <c r="BJ156" s="1319"/>
      <c r="BK156" s="1319"/>
      <c r="BL156" s="1319"/>
      <c r="BM156" s="1319"/>
      <c r="BN156" s="1044"/>
      <c r="BO156" s="1045"/>
      <c r="BP156" s="1045"/>
      <c r="BQ156" s="1045"/>
      <c r="BR156" s="1045"/>
      <c r="BS156" s="1084"/>
      <c r="BT156" s="1045"/>
      <c r="BU156" s="1045"/>
      <c r="BV156" s="1045"/>
      <c r="BW156" s="1085"/>
      <c r="BX156" s="1084"/>
      <c r="BY156" s="1045"/>
      <c r="BZ156" s="1045"/>
      <c r="CA156" s="1045"/>
      <c r="CB156" s="1085"/>
      <c r="CC156" s="1086"/>
      <c r="CD156" s="1327"/>
      <c r="CE156" s="1328"/>
      <c r="CF156" s="1328"/>
      <c r="CG156" s="1328"/>
      <c r="CH156" s="1389"/>
      <c r="CI156" s="1369"/>
      <c r="CJ156" s="1319"/>
      <c r="CK156" s="1319"/>
      <c r="CL156" s="1319"/>
      <c r="CM156" s="1320"/>
      <c r="CN156" s="1369"/>
      <c r="CO156" s="1319"/>
      <c r="CP156" s="1319"/>
      <c r="CQ156" s="1319"/>
      <c r="CR156" s="1320"/>
      <c r="CS156" s="1369"/>
      <c r="CT156" s="1319"/>
      <c r="CU156" s="1319"/>
      <c r="CV156" s="1319"/>
      <c r="CW156" s="1320"/>
      <c r="CX156" s="1369"/>
      <c r="CY156" s="1319"/>
      <c r="CZ156" s="1319"/>
      <c r="DA156" s="1319"/>
      <c r="DB156" s="1320"/>
      <c r="DC156" s="1319"/>
      <c r="DD156" s="1319"/>
      <c r="DE156" s="1319"/>
      <c r="DF156" s="1319"/>
      <c r="DG156" s="1320"/>
      <c r="DH156" s="1369"/>
      <c r="DI156" s="1319"/>
      <c r="DJ156" s="1319"/>
      <c r="DK156" s="1319"/>
      <c r="DL156" s="1320"/>
      <c r="DM156" s="1743"/>
      <c r="DN156" s="1744"/>
      <c r="DO156" s="1744"/>
      <c r="DP156" s="1745"/>
      <c r="DQ156" s="1744"/>
      <c r="DR156" s="1744"/>
      <c r="DS156" s="1744"/>
      <c r="DT156" s="1745"/>
      <c r="DU156" s="1328"/>
      <c r="DV156" s="1664"/>
      <c r="DW156" s="1746"/>
    </row>
    <row r="157" spans="1:127" s="382" customFormat="1" ht="15.75" customHeight="1">
      <c r="A157" s="1066" t="s">
        <v>1143</v>
      </c>
      <c r="B157" s="1026">
        <v>148</v>
      </c>
      <c r="C157" s="987"/>
      <c r="D157" s="987"/>
      <c r="E157" s="987"/>
      <c r="F157" s="987"/>
      <c r="G157" s="987"/>
      <c r="H157" s="987"/>
      <c r="I157" s="987"/>
      <c r="J157" s="987"/>
      <c r="K157" s="987"/>
      <c r="L157" s="987"/>
      <c r="M157" s="1026"/>
      <c r="N157" s="987"/>
      <c r="O157" s="987"/>
      <c r="P157" s="987"/>
      <c r="Q157" s="987"/>
      <c r="R157" s="987"/>
      <c r="S157" s="987"/>
      <c r="T157" s="988"/>
      <c r="U157" s="1067" t="s">
        <v>1608</v>
      </c>
      <c r="V157" s="1068" t="s">
        <v>2716</v>
      </c>
      <c r="W157" s="1068" t="s">
        <v>2231</v>
      </c>
      <c r="X157" s="1069" t="s">
        <v>2721</v>
      </c>
      <c r="Y157" s="1070" t="s">
        <v>2722</v>
      </c>
      <c r="Z157" s="1071" t="s">
        <v>2723</v>
      </c>
      <c r="AA157" s="1072" t="s">
        <v>2260</v>
      </c>
      <c r="AB157" s="1073" t="s">
        <v>2260</v>
      </c>
      <c r="AC157" s="1073" t="s">
        <v>2260</v>
      </c>
      <c r="AD157" s="1073" t="s">
        <v>2260</v>
      </c>
      <c r="AE157" s="1073">
        <v>1</v>
      </c>
      <c r="AF157" s="1073" t="s">
        <v>2260</v>
      </c>
      <c r="AG157" s="1073" t="s">
        <v>2260</v>
      </c>
      <c r="AH157" s="1073" t="s">
        <v>2260</v>
      </c>
      <c r="AI157" s="1074">
        <f t="shared" si="2"/>
        <v>1</v>
      </c>
      <c r="AJ157" s="1075" t="s">
        <v>1825</v>
      </c>
      <c r="AK157" s="1075" t="s">
        <v>2260</v>
      </c>
      <c r="AL157" s="1075" t="s">
        <v>2260</v>
      </c>
      <c r="AM157" s="1076" t="s">
        <v>2610</v>
      </c>
      <c r="AN157" s="987" t="s">
        <v>321</v>
      </c>
      <c r="AO157" s="987" t="s">
        <v>2724</v>
      </c>
      <c r="AP157" s="802">
        <v>1</v>
      </c>
      <c r="AQ157" s="1045" t="s">
        <v>1828</v>
      </c>
      <c r="AR157" s="1078" t="s">
        <v>2260</v>
      </c>
      <c r="AS157" s="1079"/>
      <c r="AT157" s="1069"/>
      <c r="AU157" s="1069"/>
      <c r="AV157" s="1069"/>
      <c r="AW157" s="1080"/>
      <c r="AX157" s="1081"/>
      <c r="AY157" s="1044"/>
      <c r="AZ157" s="1045"/>
      <c r="BA157" s="1045"/>
      <c r="BB157" s="1045"/>
      <c r="BC157" s="1045"/>
      <c r="BD157" s="1045"/>
      <c r="BE157" s="1045"/>
      <c r="BF157" s="1045"/>
      <c r="BG157" s="1045"/>
      <c r="BH157" s="1045"/>
      <c r="BI157" s="1369"/>
      <c r="BJ157" s="1319"/>
      <c r="BK157" s="1319"/>
      <c r="BL157" s="1319"/>
      <c r="BM157" s="1319"/>
      <c r="BN157" s="1044"/>
      <c r="BO157" s="1045"/>
      <c r="BP157" s="1045"/>
      <c r="BQ157" s="1045"/>
      <c r="BR157" s="1045"/>
      <c r="BS157" s="1084"/>
      <c r="BT157" s="1045"/>
      <c r="BU157" s="1045"/>
      <c r="BV157" s="1045"/>
      <c r="BW157" s="1085"/>
      <c r="BX157" s="1084"/>
      <c r="BY157" s="1045"/>
      <c r="BZ157" s="1045"/>
      <c r="CA157" s="1045"/>
      <c r="CB157" s="1085"/>
      <c r="CC157" s="1086"/>
      <c r="CD157" s="1327"/>
      <c r="CE157" s="1328"/>
      <c r="CF157" s="1328"/>
      <c r="CG157" s="1328"/>
      <c r="CH157" s="1389"/>
      <c r="CI157" s="1369"/>
      <c r="CJ157" s="1319"/>
      <c r="CK157" s="1319"/>
      <c r="CL157" s="1319"/>
      <c r="CM157" s="1320"/>
      <c r="CN157" s="1369"/>
      <c r="CO157" s="1319"/>
      <c r="CP157" s="1319"/>
      <c r="CQ157" s="1319"/>
      <c r="CR157" s="1320"/>
      <c r="CS157" s="1369"/>
      <c r="CT157" s="1319"/>
      <c r="CU157" s="1319"/>
      <c r="CV157" s="1319"/>
      <c r="CW157" s="1320"/>
      <c r="CX157" s="1369"/>
      <c r="CY157" s="1319"/>
      <c r="CZ157" s="1319"/>
      <c r="DA157" s="1319"/>
      <c r="DB157" s="1320"/>
      <c r="DC157" s="1319"/>
      <c r="DD157" s="1319"/>
      <c r="DE157" s="1319"/>
      <c r="DF157" s="1319"/>
      <c r="DG157" s="1320"/>
      <c r="DH157" s="1369"/>
      <c r="DI157" s="1319"/>
      <c r="DJ157" s="1319"/>
      <c r="DK157" s="1319"/>
      <c r="DL157" s="1320"/>
      <c r="DM157" s="1743"/>
      <c r="DN157" s="1744"/>
      <c r="DO157" s="1744"/>
      <c r="DP157" s="1745"/>
      <c r="DQ157" s="1744"/>
      <c r="DR157" s="1744"/>
      <c r="DS157" s="1744"/>
      <c r="DT157" s="1745"/>
      <c r="DU157" s="1328"/>
      <c r="DV157" s="1664"/>
      <c r="DW157" s="1746"/>
    </row>
    <row r="158" spans="1:127" s="382" customFormat="1" ht="15.75" customHeight="1">
      <c r="A158" s="1066" t="s">
        <v>1143</v>
      </c>
      <c r="B158" s="1026">
        <v>149</v>
      </c>
      <c r="C158" s="987"/>
      <c r="D158" s="987"/>
      <c r="E158" s="987"/>
      <c r="F158" s="987"/>
      <c r="G158" s="987"/>
      <c r="H158" s="987"/>
      <c r="I158" s="987"/>
      <c r="J158" s="987"/>
      <c r="K158" s="987"/>
      <c r="L158" s="987"/>
      <c r="M158" s="1026"/>
      <c r="N158" s="987"/>
      <c r="O158" s="987"/>
      <c r="P158" s="987"/>
      <c r="Q158" s="987"/>
      <c r="R158" s="987"/>
      <c r="S158" s="987"/>
      <c r="T158" s="988"/>
      <c r="U158" s="1067" t="s">
        <v>1625</v>
      </c>
      <c r="V158" s="1068" t="s">
        <v>2725</v>
      </c>
      <c r="W158" s="1068" t="s">
        <v>2231</v>
      </c>
      <c r="X158" s="1069" t="s">
        <v>2726</v>
      </c>
      <c r="Y158" s="1070" t="s">
        <v>2727</v>
      </c>
      <c r="Z158" s="1071" t="s">
        <v>2728</v>
      </c>
      <c r="AA158" s="1072" t="s">
        <v>2260</v>
      </c>
      <c r="AB158" s="1073" t="s">
        <v>2260</v>
      </c>
      <c r="AC158" s="1073" t="s">
        <v>2260</v>
      </c>
      <c r="AD158" s="1073" t="s">
        <v>2260</v>
      </c>
      <c r="AE158" s="1073">
        <v>1</v>
      </c>
      <c r="AF158" s="1073" t="s">
        <v>2260</v>
      </c>
      <c r="AG158" s="1073" t="s">
        <v>2260</v>
      </c>
      <c r="AH158" s="1073" t="s">
        <v>2260</v>
      </c>
      <c r="AI158" s="1074">
        <f t="shared" si="2"/>
        <v>1</v>
      </c>
      <c r="AJ158" s="1075" t="s">
        <v>1825</v>
      </c>
      <c r="AK158" s="1075" t="s">
        <v>2260</v>
      </c>
      <c r="AL158" s="1075" t="s">
        <v>2260</v>
      </c>
      <c r="AM158" s="1076" t="s">
        <v>2264</v>
      </c>
      <c r="AN158" s="987" t="s">
        <v>1857</v>
      </c>
      <c r="AO158" s="987" t="s">
        <v>2729</v>
      </c>
      <c r="AP158" s="802">
        <v>2</v>
      </c>
      <c r="AQ158" s="1045" t="s">
        <v>1838</v>
      </c>
      <c r="AR158" s="1078" t="s">
        <v>2260</v>
      </c>
      <c r="AS158" s="1079"/>
      <c r="AT158" s="1069"/>
      <c r="AU158" s="1069"/>
      <c r="AV158" s="1069"/>
      <c r="AW158" s="1080"/>
      <c r="AX158" s="1081"/>
      <c r="AY158" s="1044"/>
      <c r="AZ158" s="1045"/>
      <c r="BA158" s="1045"/>
      <c r="BB158" s="1045"/>
      <c r="BC158" s="1045"/>
      <c r="BD158" s="1045"/>
      <c r="BE158" s="1045"/>
      <c r="BF158" s="1045"/>
      <c r="BG158" s="1045"/>
      <c r="BH158" s="1045"/>
      <c r="BI158" s="1369"/>
      <c r="BJ158" s="1319"/>
      <c r="BK158" s="1319"/>
      <c r="BL158" s="1319"/>
      <c r="BM158" s="1319"/>
      <c r="BN158" s="1044"/>
      <c r="BO158" s="1045"/>
      <c r="BP158" s="1045"/>
      <c r="BQ158" s="1045"/>
      <c r="BR158" s="1045"/>
      <c r="BS158" s="1084"/>
      <c r="BT158" s="1045"/>
      <c r="BU158" s="1045"/>
      <c r="BV158" s="1045"/>
      <c r="BW158" s="1085"/>
      <c r="BX158" s="1084"/>
      <c r="BY158" s="1045"/>
      <c r="BZ158" s="1045"/>
      <c r="CA158" s="1045"/>
      <c r="CB158" s="1085"/>
      <c r="CC158" s="1086"/>
      <c r="CD158" s="1327"/>
      <c r="CE158" s="1328"/>
      <c r="CF158" s="1328"/>
      <c r="CG158" s="1328"/>
      <c r="CH158" s="1389"/>
      <c r="CI158" s="1369"/>
      <c r="CJ158" s="1319"/>
      <c r="CK158" s="1319"/>
      <c r="CL158" s="1319"/>
      <c r="CM158" s="1320"/>
      <c r="CN158" s="1369"/>
      <c r="CO158" s="1319"/>
      <c r="CP158" s="1319"/>
      <c r="CQ158" s="1319"/>
      <c r="CR158" s="1320"/>
      <c r="CS158" s="1369"/>
      <c r="CT158" s="1319"/>
      <c r="CU158" s="1319"/>
      <c r="CV158" s="1319"/>
      <c r="CW158" s="1320"/>
      <c r="CX158" s="1369"/>
      <c r="CY158" s="1319"/>
      <c r="CZ158" s="1319"/>
      <c r="DA158" s="1319"/>
      <c r="DB158" s="1320"/>
      <c r="DC158" s="1319"/>
      <c r="DD158" s="1319"/>
      <c r="DE158" s="1319"/>
      <c r="DF158" s="1319"/>
      <c r="DG158" s="1320"/>
      <c r="DH158" s="1369"/>
      <c r="DI158" s="1319"/>
      <c r="DJ158" s="1319"/>
      <c r="DK158" s="1319"/>
      <c r="DL158" s="1320"/>
      <c r="DM158" s="1743"/>
      <c r="DN158" s="1744"/>
      <c r="DO158" s="1744"/>
      <c r="DP158" s="1745"/>
      <c r="DQ158" s="1744"/>
      <c r="DR158" s="1744"/>
      <c r="DS158" s="1744"/>
      <c r="DT158" s="1745"/>
      <c r="DU158" s="1328"/>
      <c r="DV158" s="1664"/>
      <c r="DW158" s="1746"/>
    </row>
    <row r="159" spans="1:127" s="382" customFormat="1" ht="15.75" customHeight="1">
      <c r="A159" s="1066" t="s">
        <v>1143</v>
      </c>
      <c r="B159" s="1026">
        <v>150</v>
      </c>
      <c r="C159" s="987"/>
      <c r="D159" s="987"/>
      <c r="E159" s="987"/>
      <c r="F159" s="987"/>
      <c r="G159" s="987"/>
      <c r="H159" s="987"/>
      <c r="I159" s="987"/>
      <c r="J159" s="987"/>
      <c r="K159" s="987"/>
      <c r="L159" s="987"/>
      <c r="M159" s="1026"/>
      <c r="N159" s="987"/>
      <c r="O159" s="987"/>
      <c r="P159" s="987"/>
      <c r="Q159" s="987"/>
      <c r="R159" s="987"/>
      <c r="S159" s="987"/>
      <c r="T159" s="988"/>
      <c r="U159" s="1067" t="s">
        <v>1308</v>
      </c>
      <c r="V159" s="1068" t="s">
        <v>2675</v>
      </c>
      <c r="W159" s="1068" t="s">
        <v>2231</v>
      </c>
      <c r="X159" s="1069" t="s">
        <v>2730</v>
      </c>
      <c r="Y159" s="1070" t="s">
        <v>2731</v>
      </c>
      <c r="Z159" s="1071" t="s">
        <v>4454</v>
      </c>
      <c r="AA159" s="1072" t="s">
        <v>2260</v>
      </c>
      <c r="AB159" s="1073">
        <v>1</v>
      </c>
      <c r="AC159" s="1073" t="s">
        <v>2260</v>
      </c>
      <c r="AD159" s="1073" t="s">
        <v>2260</v>
      </c>
      <c r="AE159" s="1073" t="s">
        <v>2260</v>
      </c>
      <c r="AF159" s="1073" t="s">
        <v>2260</v>
      </c>
      <c r="AG159" s="1073" t="s">
        <v>2260</v>
      </c>
      <c r="AH159" s="1073" t="s">
        <v>2260</v>
      </c>
      <c r="AI159" s="1074">
        <f t="shared" si="2"/>
        <v>1</v>
      </c>
      <c r="AJ159" s="1075" t="s">
        <v>1852</v>
      </c>
      <c r="AK159" s="1075" t="s">
        <v>1826</v>
      </c>
      <c r="AL159" s="1075" t="s">
        <v>1827</v>
      </c>
      <c r="AM159" s="1076" t="s">
        <v>2482</v>
      </c>
      <c r="AN159" s="987" t="s">
        <v>1857</v>
      </c>
      <c r="AO159" s="987" t="s">
        <v>2733</v>
      </c>
      <c r="AP159" s="802">
        <v>1</v>
      </c>
      <c r="AQ159" s="1045" t="s">
        <v>1838</v>
      </c>
      <c r="AR159" s="1078" t="s">
        <v>2260</v>
      </c>
      <c r="AS159" s="1079"/>
      <c r="AT159" s="1069"/>
      <c r="AU159" s="1069"/>
      <c r="AV159" s="1069"/>
      <c r="AW159" s="1080"/>
      <c r="AX159" s="1081"/>
      <c r="AY159" s="1044"/>
      <c r="AZ159" s="1045"/>
      <c r="BA159" s="1045"/>
      <c r="BB159" s="1045"/>
      <c r="BC159" s="1045"/>
      <c r="BD159" s="1045"/>
      <c r="BE159" s="1045"/>
      <c r="BF159" s="1045"/>
      <c r="BG159" s="1045"/>
      <c r="BH159" s="1045"/>
      <c r="BI159" s="1369"/>
      <c r="BJ159" s="1319"/>
      <c r="BK159" s="1319"/>
      <c r="BL159" s="1319"/>
      <c r="BM159" s="1319"/>
      <c r="BN159" s="1044"/>
      <c r="BO159" s="1045"/>
      <c r="BP159" s="1045"/>
      <c r="BQ159" s="1045"/>
      <c r="BR159" s="1045"/>
      <c r="BS159" s="1084"/>
      <c r="BT159" s="1045"/>
      <c r="BU159" s="1045"/>
      <c r="BV159" s="1045"/>
      <c r="BW159" s="1085"/>
      <c r="BX159" s="1084"/>
      <c r="BY159" s="1045"/>
      <c r="BZ159" s="1045"/>
      <c r="CA159" s="1045"/>
      <c r="CB159" s="1085"/>
      <c r="CC159" s="1086"/>
      <c r="CD159" s="1327"/>
      <c r="CE159" s="1328"/>
      <c r="CF159" s="1328"/>
      <c r="CG159" s="1328"/>
      <c r="CH159" s="1389"/>
      <c r="CI159" s="1369"/>
      <c r="CJ159" s="1319"/>
      <c r="CK159" s="1319"/>
      <c r="CL159" s="1319"/>
      <c r="CM159" s="1320"/>
      <c r="CN159" s="1369"/>
      <c r="CO159" s="1319"/>
      <c r="CP159" s="1319"/>
      <c r="CQ159" s="1319"/>
      <c r="CR159" s="1320"/>
      <c r="CS159" s="1369"/>
      <c r="CT159" s="1319"/>
      <c r="CU159" s="1319"/>
      <c r="CV159" s="1319"/>
      <c r="CW159" s="1320"/>
      <c r="CX159" s="1369"/>
      <c r="CY159" s="1319"/>
      <c r="CZ159" s="1319"/>
      <c r="DA159" s="1319"/>
      <c r="DB159" s="1320"/>
      <c r="DC159" s="1319"/>
      <c r="DD159" s="1319"/>
      <c r="DE159" s="1319"/>
      <c r="DF159" s="1319"/>
      <c r="DG159" s="1320"/>
      <c r="DH159" s="1369"/>
      <c r="DI159" s="1319"/>
      <c r="DJ159" s="1319"/>
      <c r="DK159" s="1319"/>
      <c r="DL159" s="1320"/>
      <c r="DM159" s="1743"/>
      <c r="DN159" s="1744"/>
      <c r="DO159" s="1744"/>
      <c r="DP159" s="1745"/>
      <c r="DQ159" s="1744"/>
      <c r="DR159" s="1744"/>
      <c r="DS159" s="1744"/>
      <c r="DT159" s="1745"/>
      <c r="DU159" s="1328"/>
      <c r="DV159" s="1664"/>
      <c r="DW159" s="1746"/>
    </row>
    <row r="160" spans="1:127" s="382" customFormat="1" ht="15.75" customHeight="1">
      <c r="A160" s="1066" t="s">
        <v>1143</v>
      </c>
      <c r="B160" s="1026">
        <v>151</v>
      </c>
      <c r="C160" s="987"/>
      <c r="D160" s="987"/>
      <c r="E160" s="987"/>
      <c r="F160" s="987"/>
      <c r="G160" s="987"/>
      <c r="H160" s="987"/>
      <c r="I160" s="987"/>
      <c r="J160" s="987"/>
      <c r="K160" s="987"/>
      <c r="L160" s="987"/>
      <c r="M160" s="1026"/>
      <c r="N160" s="987"/>
      <c r="O160" s="987"/>
      <c r="P160" s="987"/>
      <c r="Q160" s="987"/>
      <c r="R160" s="987"/>
      <c r="S160" s="987"/>
      <c r="T160" s="988"/>
      <c r="U160" s="1067" t="s">
        <v>1642</v>
      </c>
      <c r="V160" s="1068" t="s">
        <v>2734</v>
      </c>
      <c r="W160" s="1068" t="s">
        <v>2231</v>
      </c>
      <c r="X160" s="1069" t="s">
        <v>2735</v>
      </c>
      <c r="Y160" s="1070" t="s">
        <v>2736</v>
      </c>
      <c r="Z160" s="1071" t="s">
        <v>2737</v>
      </c>
      <c r="AA160" s="1072" t="s">
        <v>2260</v>
      </c>
      <c r="AB160" s="1073" t="s">
        <v>2260</v>
      </c>
      <c r="AC160" s="1073" t="s">
        <v>2260</v>
      </c>
      <c r="AD160" s="1073" t="s">
        <v>2260</v>
      </c>
      <c r="AE160" s="1073">
        <v>1</v>
      </c>
      <c r="AF160" s="1073" t="s">
        <v>2260</v>
      </c>
      <c r="AG160" s="1073" t="s">
        <v>2260</v>
      </c>
      <c r="AH160" s="1073" t="s">
        <v>2260</v>
      </c>
      <c r="AI160" s="1074">
        <f t="shared" si="2"/>
        <v>1</v>
      </c>
      <c r="AJ160" s="1075" t="s">
        <v>1825</v>
      </c>
      <c r="AK160" s="1075" t="s">
        <v>2260</v>
      </c>
      <c r="AL160" s="1075" t="s">
        <v>2260</v>
      </c>
      <c r="AM160" s="1076" t="s">
        <v>2396</v>
      </c>
      <c r="AN160" s="987" t="s">
        <v>1857</v>
      </c>
      <c r="AO160" s="987" t="s">
        <v>2738</v>
      </c>
      <c r="AP160" s="802">
        <v>1</v>
      </c>
      <c r="AQ160" s="1045" t="s">
        <v>1828</v>
      </c>
      <c r="AR160" s="1078" t="s">
        <v>2260</v>
      </c>
      <c r="AS160" s="1079"/>
      <c r="AT160" s="1069"/>
      <c r="AU160" s="1069"/>
      <c r="AV160" s="1069"/>
      <c r="AW160" s="1080"/>
      <c r="AX160" s="1081"/>
      <c r="AY160" s="1044"/>
      <c r="AZ160" s="1045"/>
      <c r="BA160" s="1045"/>
      <c r="BB160" s="1045"/>
      <c r="BC160" s="1045"/>
      <c r="BD160" s="1045"/>
      <c r="BE160" s="1045"/>
      <c r="BF160" s="1045"/>
      <c r="BG160" s="1045"/>
      <c r="BH160" s="1045"/>
      <c r="BI160" s="1369"/>
      <c r="BJ160" s="1319"/>
      <c r="BK160" s="1319"/>
      <c r="BL160" s="1319"/>
      <c r="BM160" s="1319"/>
      <c r="BN160" s="1044"/>
      <c r="BO160" s="1045"/>
      <c r="BP160" s="1045"/>
      <c r="BQ160" s="1045"/>
      <c r="BR160" s="1045"/>
      <c r="BS160" s="1084"/>
      <c r="BT160" s="1045"/>
      <c r="BU160" s="1045"/>
      <c r="BV160" s="1045"/>
      <c r="BW160" s="1085"/>
      <c r="BX160" s="1084"/>
      <c r="BY160" s="1045"/>
      <c r="BZ160" s="1045"/>
      <c r="CA160" s="1045"/>
      <c r="CB160" s="1085"/>
      <c r="CC160" s="1086"/>
      <c r="CD160" s="1327"/>
      <c r="CE160" s="1328"/>
      <c r="CF160" s="1328"/>
      <c r="CG160" s="1328"/>
      <c r="CH160" s="1389"/>
      <c r="CI160" s="1369"/>
      <c r="CJ160" s="1319"/>
      <c r="CK160" s="1319"/>
      <c r="CL160" s="1319"/>
      <c r="CM160" s="1320"/>
      <c r="CN160" s="1369"/>
      <c r="CO160" s="1319"/>
      <c r="CP160" s="1319"/>
      <c r="CQ160" s="1319"/>
      <c r="CR160" s="1320"/>
      <c r="CS160" s="1369"/>
      <c r="CT160" s="1319"/>
      <c r="CU160" s="1319"/>
      <c r="CV160" s="1319"/>
      <c r="CW160" s="1320"/>
      <c r="CX160" s="1369"/>
      <c r="CY160" s="1319"/>
      <c r="CZ160" s="1319"/>
      <c r="DA160" s="1319"/>
      <c r="DB160" s="1320"/>
      <c r="DC160" s="1319"/>
      <c r="DD160" s="1319"/>
      <c r="DE160" s="1319"/>
      <c r="DF160" s="1319"/>
      <c r="DG160" s="1320"/>
      <c r="DH160" s="1369"/>
      <c r="DI160" s="1319"/>
      <c r="DJ160" s="1319"/>
      <c r="DK160" s="1319"/>
      <c r="DL160" s="1320"/>
      <c r="DM160" s="1743"/>
      <c r="DN160" s="1744"/>
      <c r="DO160" s="1744"/>
      <c r="DP160" s="1745"/>
      <c r="DQ160" s="1744"/>
      <c r="DR160" s="1744"/>
      <c r="DS160" s="1744"/>
      <c r="DT160" s="1745"/>
      <c r="DU160" s="1328"/>
      <c r="DV160" s="1664"/>
      <c r="DW160" s="1746"/>
    </row>
    <row r="161" spans="1:127" s="382" customFormat="1" ht="15.75" customHeight="1">
      <c r="A161" s="1066" t="s">
        <v>1143</v>
      </c>
      <c r="B161" s="1026">
        <v>152</v>
      </c>
      <c r="C161" s="987"/>
      <c r="D161" s="987"/>
      <c r="E161" s="987"/>
      <c r="F161" s="987"/>
      <c r="G161" s="987"/>
      <c r="H161" s="987"/>
      <c r="I161" s="987"/>
      <c r="J161" s="987"/>
      <c r="K161" s="987"/>
      <c r="L161" s="987"/>
      <c r="M161" s="1026"/>
      <c r="N161" s="987"/>
      <c r="O161" s="987"/>
      <c r="P161" s="987"/>
      <c r="Q161" s="987"/>
      <c r="R161" s="987"/>
      <c r="S161" s="987"/>
      <c r="T161" s="988"/>
      <c r="U161" s="1067" t="s">
        <v>1658</v>
      </c>
      <c r="V161" s="1068" t="s">
        <v>2716</v>
      </c>
      <c r="W161" s="1068" t="s">
        <v>2231</v>
      </c>
      <c r="X161" s="1069" t="s">
        <v>2739</v>
      </c>
      <c r="Y161" s="1070" t="s">
        <v>2740</v>
      </c>
      <c r="Z161" s="1071" t="s">
        <v>2741</v>
      </c>
      <c r="AA161" s="1072" t="s">
        <v>2260</v>
      </c>
      <c r="AB161" s="1073" t="s">
        <v>2260</v>
      </c>
      <c r="AC161" s="1073" t="s">
        <v>2260</v>
      </c>
      <c r="AD161" s="1073" t="s">
        <v>2260</v>
      </c>
      <c r="AE161" s="1073">
        <v>1</v>
      </c>
      <c r="AF161" s="1073" t="s">
        <v>2260</v>
      </c>
      <c r="AG161" s="1073" t="s">
        <v>2260</v>
      </c>
      <c r="AH161" s="1073" t="s">
        <v>2260</v>
      </c>
      <c r="AI161" s="1074">
        <f t="shared" si="2"/>
        <v>1</v>
      </c>
      <c r="AJ161" s="1075" t="s">
        <v>1825</v>
      </c>
      <c r="AK161" s="1075" t="s">
        <v>2260</v>
      </c>
      <c r="AL161" s="1075" t="s">
        <v>2260</v>
      </c>
      <c r="AM161" s="1076" t="s">
        <v>2396</v>
      </c>
      <c r="AN161" s="987" t="s">
        <v>321</v>
      </c>
      <c r="AO161" s="987" t="s">
        <v>2742</v>
      </c>
      <c r="AP161" s="802">
        <v>2</v>
      </c>
      <c r="AQ161" s="1045" t="s">
        <v>1838</v>
      </c>
      <c r="AR161" s="1078" t="s">
        <v>2260</v>
      </c>
      <c r="AS161" s="1079"/>
      <c r="AT161" s="1069"/>
      <c r="AU161" s="1069"/>
      <c r="AV161" s="1069"/>
      <c r="AW161" s="1080"/>
      <c r="AX161" s="1081"/>
      <c r="AY161" s="1044"/>
      <c r="AZ161" s="1045"/>
      <c r="BA161" s="1045"/>
      <c r="BB161" s="1045"/>
      <c r="BC161" s="1045"/>
      <c r="BD161" s="1045"/>
      <c r="BE161" s="1045"/>
      <c r="BF161" s="1045"/>
      <c r="BG161" s="1045"/>
      <c r="BH161" s="1045"/>
      <c r="BI161" s="1369"/>
      <c r="BJ161" s="1319"/>
      <c r="BK161" s="1319"/>
      <c r="BL161" s="1319"/>
      <c r="BM161" s="1319"/>
      <c r="BN161" s="1044"/>
      <c r="BO161" s="1045"/>
      <c r="BP161" s="1045"/>
      <c r="BQ161" s="1045"/>
      <c r="BR161" s="1045"/>
      <c r="BS161" s="1084"/>
      <c r="BT161" s="1045"/>
      <c r="BU161" s="1045"/>
      <c r="BV161" s="1045"/>
      <c r="BW161" s="1085"/>
      <c r="BX161" s="1084"/>
      <c r="BY161" s="1045"/>
      <c r="BZ161" s="1045"/>
      <c r="CA161" s="1045"/>
      <c r="CB161" s="1085"/>
      <c r="CC161" s="1086"/>
      <c r="CD161" s="1327"/>
      <c r="CE161" s="1328"/>
      <c r="CF161" s="1328"/>
      <c r="CG161" s="1328"/>
      <c r="CH161" s="1389"/>
      <c r="CI161" s="1369"/>
      <c r="CJ161" s="1319"/>
      <c r="CK161" s="1319"/>
      <c r="CL161" s="1319"/>
      <c r="CM161" s="1320"/>
      <c r="CN161" s="1369"/>
      <c r="CO161" s="1319"/>
      <c r="CP161" s="1319"/>
      <c r="CQ161" s="1319"/>
      <c r="CR161" s="1320"/>
      <c r="CS161" s="1369"/>
      <c r="CT161" s="1319"/>
      <c r="CU161" s="1319"/>
      <c r="CV161" s="1319"/>
      <c r="CW161" s="1320"/>
      <c r="CX161" s="1369"/>
      <c r="CY161" s="1319"/>
      <c r="CZ161" s="1319"/>
      <c r="DA161" s="1319"/>
      <c r="DB161" s="1320"/>
      <c r="DC161" s="1319"/>
      <c r="DD161" s="1319"/>
      <c r="DE161" s="1319"/>
      <c r="DF161" s="1319"/>
      <c r="DG161" s="1320"/>
      <c r="DH161" s="1369"/>
      <c r="DI161" s="1319"/>
      <c r="DJ161" s="1319"/>
      <c r="DK161" s="1319"/>
      <c r="DL161" s="1320"/>
      <c r="DM161" s="1743"/>
      <c r="DN161" s="1744"/>
      <c r="DO161" s="1744"/>
      <c r="DP161" s="1745"/>
      <c r="DQ161" s="1744"/>
      <c r="DR161" s="1744"/>
      <c r="DS161" s="1744"/>
      <c r="DT161" s="1745"/>
      <c r="DU161" s="1328"/>
      <c r="DV161" s="1664"/>
      <c r="DW161" s="1746"/>
    </row>
    <row r="162" spans="1:127" s="382" customFormat="1" ht="15.75" customHeight="1">
      <c r="A162" s="1066" t="s">
        <v>1143</v>
      </c>
      <c r="B162" s="1026">
        <v>153</v>
      </c>
      <c r="C162" s="987"/>
      <c r="D162" s="987" t="s">
        <v>2381</v>
      </c>
      <c r="E162" s="987"/>
      <c r="F162" s="987"/>
      <c r="G162" s="987"/>
      <c r="H162" s="987"/>
      <c r="I162" s="987"/>
      <c r="J162" s="987"/>
      <c r="K162" s="987"/>
      <c r="L162" s="987"/>
      <c r="M162" s="1026"/>
      <c r="N162" s="987"/>
      <c r="O162" s="987"/>
      <c r="P162" s="987"/>
      <c r="Q162" s="987"/>
      <c r="R162" s="987"/>
      <c r="S162" s="987"/>
      <c r="T162" s="988"/>
      <c r="U162" s="1067" t="s">
        <v>1672</v>
      </c>
      <c r="V162" s="1068" t="s">
        <v>2743</v>
      </c>
      <c r="W162" s="1068" t="s">
        <v>2231</v>
      </c>
      <c r="X162" s="1069" t="s">
        <v>2744</v>
      </c>
      <c r="Y162" s="1070" t="s">
        <v>2745</v>
      </c>
      <c r="Z162" s="1071" t="s">
        <v>2746</v>
      </c>
      <c r="AA162" s="1072" t="s">
        <v>2260</v>
      </c>
      <c r="AB162" s="1073">
        <v>0.56999999999999995</v>
      </c>
      <c r="AC162" s="1073">
        <v>0.43</v>
      </c>
      <c r="AD162" s="1073" t="s">
        <v>2260</v>
      </c>
      <c r="AE162" s="1073" t="s">
        <v>2260</v>
      </c>
      <c r="AF162" s="1073" t="s">
        <v>2260</v>
      </c>
      <c r="AG162" s="1073" t="s">
        <v>2260</v>
      </c>
      <c r="AH162" s="1073" t="s">
        <v>2260</v>
      </c>
      <c r="AI162" s="1074">
        <f t="shared" si="2"/>
        <v>1</v>
      </c>
      <c r="AJ162" s="1075" t="s">
        <v>1825</v>
      </c>
      <c r="AK162" s="1075" t="s">
        <v>2260</v>
      </c>
      <c r="AL162" s="1075" t="s">
        <v>2260</v>
      </c>
      <c r="AM162" s="1076" t="s">
        <v>2396</v>
      </c>
      <c r="AN162" s="987" t="s">
        <v>321</v>
      </c>
      <c r="AO162" s="987" t="s">
        <v>2747</v>
      </c>
      <c r="AP162" s="802">
        <v>1</v>
      </c>
      <c r="AQ162" s="1045" t="s">
        <v>1828</v>
      </c>
      <c r="AR162" s="1078" t="s">
        <v>2260</v>
      </c>
      <c r="AS162" s="1079"/>
      <c r="AT162" s="1069"/>
      <c r="AU162" s="1069"/>
      <c r="AV162" s="1069"/>
      <c r="AW162" s="1080"/>
      <c r="AX162" s="1081"/>
      <c r="AY162" s="1044"/>
      <c r="AZ162" s="1045"/>
      <c r="BA162" s="1045"/>
      <c r="BB162" s="1045"/>
      <c r="BC162" s="1045"/>
      <c r="BD162" s="1045"/>
      <c r="BE162" s="1045"/>
      <c r="BF162" s="1045"/>
      <c r="BG162" s="1045"/>
      <c r="BH162" s="1045"/>
      <c r="BI162" s="1369"/>
      <c r="BJ162" s="1319"/>
      <c r="BK162" s="1319"/>
      <c r="BL162" s="1319"/>
      <c r="BM162" s="1319"/>
      <c r="BN162" s="1044"/>
      <c r="BO162" s="1045"/>
      <c r="BP162" s="1045"/>
      <c r="BQ162" s="1045"/>
      <c r="BR162" s="1045"/>
      <c r="BS162" s="1084"/>
      <c r="BT162" s="1045"/>
      <c r="BU162" s="1045"/>
      <c r="BV162" s="1045"/>
      <c r="BW162" s="1085"/>
      <c r="BX162" s="1084"/>
      <c r="BY162" s="1045"/>
      <c r="BZ162" s="1045"/>
      <c r="CA162" s="1045"/>
      <c r="CB162" s="1085"/>
      <c r="CC162" s="1086"/>
      <c r="CD162" s="1327"/>
      <c r="CE162" s="1328"/>
      <c r="CF162" s="1328"/>
      <c r="CG162" s="1328"/>
      <c r="CH162" s="1389"/>
      <c r="CI162" s="1369"/>
      <c r="CJ162" s="1319"/>
      <c r="CK162" s="1319"/>
      <c r="CL162" s="1319"/>
      <c r="CM162" s="1320"/>
      <c r="CN162" s="1369"/>
      <c r="CO162" s="1319"/>
      <c r="CP162" s="1319"/>
      <c r="CQ162" s="1319"/>
      <c r="CR162" s="1320"/>
      <c r="CS162" s="1369"/>
      <c r="CT162" s="1319"/>
      <c r="CU162" s="1319"/>
      <c r="CV162" s="1319"/>
      <c r="CW162" s="1320"/>
      <c r="CX162" s="1369"/>
      <c r="CY162" s="1319"/>
      <c r="CZ162" s="1319"/>
      <c r="DA162" s="1319"/>
      <c r="DB162" s="1320"/>
      <c r="DC162" s="1319"/>
      <c r="DD162" s="1319"/>
      <c r="DE162" s="1319"/>
      <c r="DF162" s="1319"/>
      <c r="DG162" s="1320"/>
      <c r="DH162" s="1369"/>
      <c r="DI162" s="1319"/>
      <c r="DJ162" s="1319"/>
      <c r="DK162" s="1319"/>
      <c r="DL162" s="1320"/>
      <c r="DM162" s="1743"/>
      <c r="DN162" s="1744"/>
      <c r="DO162" s="1744"/>
      <c r="DP162" s="1745"/>
      <c r="DQ162" s="1744"/>
      <c r="DR162" s="1744"/>
      <c r="DS162" s="1744"/>
      <c r="DT162" s="1745"/>
      <c r="DU162" s="1328"/>
      <c r="DV162" s="1664"/>
      <c r="DW162" s="1746"/>
    </row>
    <row r="163" spans="1:127" s="382" customFormat="1" ht="15.75" customHeight="1">
      <c r="A163" s="1066" t="s">
        <v>1143</v>
      </c>
      <c r="B163" s="1026">
        <v>154</v>
      </c>
      <c r="C163" s="987"/>
      <c r="D163" s="987"/>
      <c r="E163" s="987"/>
      <c r="F163" s="987"/>
      <c r="G163" s="987"/>
      <c r="H163" s="987"/>
      <c r="I163" s="987"/>
      <c r="J163" s="987"/>
      <c r="K163" s="987"/>
      <c r="L163" s="987"/>
      <c r="M163" s="1026"/>
      <c r="N163" s="987"/>
      <c r="O163" s="987"/>
      <c r="P163" s="987"/>
      <c r="Q163" s="987"/>
      <c r="R163" s="987"/>
      <c r="S163" s="987"/>
      <c r="T163" s="988"/>
      <c r="U163" s="1067" t="s">
        <v>1325</v>
      </c>
      <c r="V163" s="1068" t="s">
        <v>2716</v>
      </c>
      <c r="W163" s="1068" t="s">
        <v>2231</v>
      </c>
      <c r="X163" s="1069" t="s">
        <v>2748</v>
      </c>
      <c r="Y163" s="1070" t="s">
        <v>2749</v>
      </c>
      <c r="Z163" s="1071" t="s">
        <v>2750</v>
      </c>
      <c r="AA163" s="1072" t="s">
        <v>2260</v>
      </c>
      <c r="AB163" s="1073" t="s">
        <v>2260</v>
      </c>
      <c r="AC163" s="1073" t="s">
        <v>2260</v>
      </c>
      <c r="AD163" s="1073" t="s">
        <v>2260</v>
      </c>
      <c r="AE163" s="1073">
        <v>1</v>
      </c>
      <c r="AF163" s="1073" t="s">
        <v>2260</v>
      </c>
      <c r="AG163" s="1073" t="s">
        <v>2260</v>
      </c>
      <c r="AH163" s="1073" t="s">
        <v>2260</v>
      </c>
      <c r="AI163" s="1074">
        <f t="shared" si="2"/>
        <v>1</v>
      </c>
      <c r="AJ163" s="1075" t="s">
        <v>1852</v>
      </c>
      <c r="AK163" s="1075" t="s">
        <v>1826</v>
      </c>
      <c r="AL163" s="1075" t="s">
        <v>1827</v>
      </c>
      <c r="AM163" s="1076" t="s">
        <v>2396</v>
      </c>
      <c r="AN163" s="987" t="s">
        <v>321</v>
      </c>
      <c r="AO163" s="987" t="s">
        <v>2751</v>
      </c>
      <c r="AP163" s="802">
        <v>2</v>
      </c>
      <c r="AQ163" s="1045" t="s">
        <v>1838</v>
      </c>
      <c r="AR163" s="1078" t="s">
        <v>2260</v>
      </c>
      <c r="AS163" s="1079"/>
      <c r="AT163" s="1069"/>
      <c r="AU163" s="1069"/>
      <c r="AV163" s="1069"/>
      <c r="AW163" s="1080"/>
      <c r="AX163" s="1081"/>
      <c r="AY163" s="1044"/>
      <c r="AZ163" s="1045"/>
      <c r="BA163" s="1045"/>
      <c r="BB163" s="1045"/>
      <c r="BC163" s="1045"/>
      <c r="BD163" s="1045"/>
      <c r="BE163" s="1045"/>
      <c r="BF163" s="1045"/>
      <c r="BG163" s="1045"/>
      <c r="BH163" s="1045"/>
      <c r="BI163" s="1369"/>
      <c r="BJ163" s="1319"/>
      <c r="BK163" s="1319"/>
      <c r="BL163" s="1319"/>
      <c r="BM163" s="1319"/>
      <c r="BN163" s="1044"/>
      <c r="BO163" s="1045"/>
      <c r="BP163" s="1045"/>
      <c r="BQ163" s="1045"/>
      <c r="BR163" s="1045"/>
      <c r="BS163" s="1084"/>
      <c r="BT163" s="1045"/>
      <c r="BU163" s="1045"/>
      <c r="BV163" s="1045"/>
      <c r="BW163" s="1085"/>
      <c r="BX163" s="1084"/>
      <c r="BY163" s="1045"/>
      <c r="BZ163" s="1045"/>
      <c r="CA163" s="1045"/>
      <c r="CB163" s="1085"/>
      <c r="CC163" s="1086"/>
      <c r="CD163" s="1327"/>
      <c r="CE163" s="1328"/>
      <c r="CF163" s="1328"/>
      <c r="CG163" s="1328"/>
      <c r="CH163" s="1389"/>
      <c r="CI163" s="1369"/>
      <c r="CJ163" s="1319"/>
      <c r="CK163" s="1319"/>
      <c r="CL163" s="1319"/>
      <c r="CM163" s="1320"/>
      <c r="CN163" s="1369"/>
      <c r="CO163" s="1319"/>
      <c r="CP163" s="1319"/>
      <c r="CQ163" s="1319"/>
      <c r="CR163" s="1320"/>
      <c r="CS163" s="1369"/>
      <c r="CT163" s="1319"/>
      <c r="CU163" s="1319"/>
      <c r="CV163" s="1319"/>
      <c r="CW163" s="1320"/>
      <c r="CX163" s="1369"/>
      <c r="CY163" s="1319"/>
      <c r="CZ163" s="1319"/>
      <c r="DA163" s="1319"/>
      <c r="DB163" s="1320"/>
      <c r="DC163" s="1319"/>
      <c r="DD163" s="1319"/>
      <c r="DE163" s="1319"/>
      <c r="DF163" s="1319"/>
      <c r="DG163" s="1320"/>
      <c r="DH163" s="1369"/>
      <c r="DI163" s="1319"/>
      <c r="DJ163" s="1319"/>
      <c r="DK163" s="1319"/>
      <c r="DL163" s="1320"/>
      <c r="DM163" s="1743"/>
      <c r="DN163" s="1744"/>
      <c r="DO163" s="1744"/>
      <c r="DP163" s="1745"/>
      <c r="DQ163" s="1744"/>
      <c r="DR163" s="1744"/>
      <c r="DS163" s="1744"/>
      <c r="DT163" s="1745"/>
      <c r="DU163" s="1328"/>
      <c r="DV163" s="1664"/>
      <c r="DW163" s="1746"/>
    </row>
    <row r="164" spans="1:127" s="382" customFormat="1" ht="15.75" customHeight="1">
      <c r="A164" s="1066" t="s">
        <v>1143</v>
      </c>
      <c r="B164" s="1026">
        <v>155</v>
      </c>
      <c r="C164" s="987"/>
      <c r="D164" s="987"/>
      <c r="E164" s="987"/>
      <c r="F164" s="987"/>
      <c r="G164" s="987"/>
      <c r="H164" s="987"/>
      <c r="I164" s="987"/>
      <c r="J164" s="987"/>
      <c r="K164" s="987"/>
      <c r="L164" s="987"/>
      <c r="M164" s="1026"/>
      <c r="N164" s="987"/>
      <c r="O164" s="987"/>
      <c r="P164" s="987"/>
      <c r="Q164" s="987"/>
      <c r="R164" s="987"/>
      <c r="S164" s="987"/>
      <c r="T164" s="988"/>
      <c r="U164" s="1067" t="s">
        <v>1342</v>
      </c>
      <c r="V164" s="1068" t="s">
        <v>2695</v>
      </c>
      <c r="W164" s="1068" t="s">
        <v>2231</v>
      </c>
      <c r="X164" s="1069" t="s">
        <v>2752</v>
      </c>
      <c r="Y164" s="1070" t="s">
        <v>2753</v>
      </c>
      <c r="Z164" s="1071" t="s">
        <v>2754</v>
      </c>
      <c r="AA164" s="1072" t="s">
        <v>2260</v>
      </c>
      <c r="AB164" s="1073">
        <v>1</v>
      </c>
      <c r="AC164" s="1073" t="s">
        <v>2260</v>
      </c>
      <c r="AD164" s="1073" t="s">
        <v>2260</v>
      </c>
      <c r="AE164" s="1073" t="s">
        <v>2260</v>
      </c>
      <c r="AF164" s="1073" t="s">
        <v>2260</v>
      </c>
      <c r="AG164" s="1073" t="s">
        <v>2260</v>
      </c>
      <c r="AH164" s="1073" t="s">
        <v>2260</v>
      </c>
      <c r="AI164" s="1074">
        <f t="shared" si="2"/>
        <v>1</v>
      </c>
      <c r="AJ164" s="1075" t="s">
        <v>1852</v>
      </c>
      <c r="AK164" s="1075" t="s">
        <v>1826</v>
      </c>
      <c r="AL164" s="1075" t="s">
        <v>1827</v>
      </c>
      <c r="AM164" s="1076" t="s">
        <v>2220</v>
      </c>
      <c r="AN164" s="987" t="s">
        <v>1857</v>
      </c>
      <c r="AO164" s="987" t="s">
        <v>2755</v>
      </c>
      <c r="AP164" s="802">
        <v>0</v>
      </c>
      <c r="AQ164" s="1045" t="s">
        <v>1838</v>
      </c>
      <c r="AR164" s="1078" t="s">
        <v>2260</v>
      </c>
      <c r="AS164" s="1079"/>
      <c r="AT164" s="1069"/>
      <c r="AU164" s="1069"/>
      <c r="AV164" s="1069"/>
      <c r="AW164" s="1080"/>
      <c r="AX164" s="1081"/>
      <c r="AY164" s="1044"/>
      <c r="AZ164" s="1045"/>
      <c r="BA164" s="1045"/>
      <c r="BB164" s="1045"/>
      <c r="BC164" s="1045"/>
      <c r="BD164" s="1045"/>
      <c r="BE164" s="1045"/>
      <c r="BF164" s="1045"/>
      <c r="BG164" s="1045"/>
      <c r="BH164" s="1045"/>
      <c r="BI164" s="1369"/>
      <c r="BJ164" s="1319"/>
      <c r="BK164" s="1319"/>
      <c r="BL164" s="1319"/>
      <c r="BM164" s="1319"/>
      <c r="BN164" s="1044"/>
      <c r="BO164" s="1045"/>
      <c r="BP164" s="1045"/>
      <c r="BQ164" s="1045"/>
      <c r="BR164" s="1045"/>
      <c r="BS164" s="1084"/>
      <c r="BT164" s="1045"/>
      <c r="BU164" s="1045"/>
      <c r="BV164" s="1045"/>
      <c r="BW164" s="1085"/>
      <c r="BX164" s="1084"/>
      <c r="BY164" s="1045"/>
      <c r="BZ164" s="1045"/>
      <c r="CA164" s="1045"/>
      <c r="CB164" s="1085"/>
      <c r="CC164" s="1086"/>
      <c r="CD164" s="1327"/>
      <c r="CE164" s="1328"/>
      <c r="CF164" s="1328"/>
      <c r="CG164" s="1328"/>
      <c r="CH164" s="1389"/>
      <c r="CI164" s="1369"/>
      <c r="CJ164" s="1319"/>
      <c r="CK164" s="1319"/>
      <c r="CL164" s="1319"/>
      <c r="CM164" s="1320"/>
      <c r="CN164" s="1369"/>
      <c r="CO164" s="1319"/>
      <c r="CP164" s="1319"/>
      <c r="CQ164" s="1319"/>
      <c r="CR164" s="1320"/>
      <c r="CS164" s="1369"/>
      <c r="CT164" s="1319"/>
      <c r="CU164" s="1319"/>
      <c r="CV164" s="1319"/>
      <c r="CW164" s="1320"/>
      <c r="CX164" s="1369"/>
      <c r="CY164" s="1319"/>
      <c r="CZ164" s="1319"/>
      <c r="DA164" s="1319"/>
      <c r="DB164" s="1320"/>
      <c r="DC164" s="1319"/>
      <c r="DD164" s="1319"/>
      <c r="DE164" s="1319"/>
      <c r="DF164" s="1319"/>
      <c r="DG164" s="1320"/>
      <c r="DH164" s="1369"/>
      <c r="DI164" s="1319"/>
      <c r="DJ164" s="1319"/>
      <c r="DK164" s="1319"/>
      <c r="DL164" s="1320"/>
      <c r="DM164" s="1743"/>
      <c r="DN164" s="1744"/>
      <c r="DO164" s="1744"/>
      <c r="DP164" s="1745"/>
      <c r="DQ164" s="1744"/>
      <c r="DR164" s="1744"/>
      <c r="DS164" s="1744"/>
      <c r="DT164" s="1745"/>
      <c r="DU164" s="1328"/>
      <c r="DV164" s="1664"/>
      <c r="DW164" s="1746"/>
    </row>
    <row r="165" spans="1:127" s="382" customFormat="1" ht="15.75" customHeight="1">
      <c r="A165" s="1066" t="s">
        <v>1143</v>
      </c>
      <c r="B165" s="1026">
        <v>156</v>
      </c>
      <c r="C165" s="987"/>
      <c r="D165" s="987"/>
      <c r="E165" s="987"/>
      <c r="F165" s="987"/>
      <c r="G165" s="987"/>
      <c r="H165" s="987"/>
      <c r="I165" s="987"/>
      <c r="J165" s="987"/>
      <c r="K165" s="987"/>
      <c r="L165" s="987"/>
      <c r="M165" s="1026"/>
      <c r="N165" s="987"/>
      <c r="O165" s="987"/>
      <c r="P165" s="987"/>
      <c r="Q165" s="987"/>
      <c r="R165" s="987"/>
      <c r="S165" s="987"/>
      <c r="T165" s="988"/>
      <c r="U165" s="1067" t="s">
        <v>1359</v>
      </c>
      <c r="V165" s="1068" t="s">
        <v>2671</v>
      </c>
      <c r="W165" s="1068" t="s">
        <v>2223</v>
      </c>
      <c r="X165" s="1069" t="s">
        <v>2756</v>
      </c>
      <c r="Y165" s="1070" t="s">
        <v>2757</v>
      </c>
      <c r="Z165" s="1071" t="s">
        <v>2758</v>
      </c>
      <c r="AA165" s="1072" t="s">
        <v>2260</v>
      </c>
      <c r="AB165" s="1073">
        <v>1</v>
      </c>
      <c r="AC165" s="1073" t="s">
        <v>2260</v>
      </c>
      <c r="AD165" s="1073" t="s">
        <v>2260</v>
      </c>
      <c r="AE165" s="1073" t="s">
        <v>2260</v>
      </c>
      <c r="AF165" s="1073" t="s">
        <v>2260</v>
      </c>
      <c r="AG165" s="1073" t="s">
        <v>2260</v>
      </c>
      <c r="AH165" s="1073" t="s">
        <v>2260</v>
      </c>
      <c r="AI165" s="1074">
        <f t="shared" si="2"/>
        <v>1</v>
      </c>
      <c r="AJ165" s="1075" t="s">
        <v>1852</v>
      </c>
      <c r="AK165" s="1075" t="s">
        <v>1826</v>
      </c>
      <c r="AL165" s="1075" t="s">
        <v>1827</v>
      </c>
      <c r="AM165" s="1076" t="s">
        <v>2421</v>
      </c>
      <c r="AN165" s="987" t="s">
        <v>439</v>
      </c>
      <c r="AO165" s="987" t="s">
        <v>4423</v>
      </c>
      <c r="AP165" s="2042">
        <v>2</v>
      </c>
      <c r="AQ165" s="1045" t="s">
        <v>1838</v>
      </c>
      <c r="AR165" s="1078"/>
      <c r="AS165" s="1079"/>
      <c r="AT165" s="1069"/>
      <c r="AU165" s="1069"/>
      <c r="AV165" s="1069"/>
      <c r="AW165" s="1080"/>
      <c r="AX165" s="1081"/>
      <c r="AY165" s="1044"/>
      <c r="AZ165" s="1045"/>
      <c r="BA165" s="1045"/>
      <c r="BB165" s="1045"/>
      <c r="BC165" s="1045"/>
      <c r="BD165" s="1045"/>
      <c r="BE165" s="1045"/>
      <c r="BF165" s="1045"/>
      <c r="BG165" s="1045"/>
      <c r="BH165" s="1045"/>
      <c r="BI165" s="1369"/>
      <c r="BJ165" s="1319"/>
      <c r="BK165" s="1319"/>
      <c r="BL165" s="1319"/>
      <c r="BM165" s="1319"/>
      <c r="BN165" s="1044"/>
      <c r="BO165" s="1045"/>
      <c r="BP165" s="1045"/>
      <c r="BQ165" s="1045"/>
      <c r="BR165" s="1045"/>
      <c r="BS165" s="1084"/>
      <c r="BT165" s="1045"/>
      <c r="BU165" s="1045"/>
      <c r="BV165" s="1045"/>
      <c r="BW165" s="1085"/>
      <c r="BX165" s="1084"/>
      <c r="BY165" s="1045"/>
      <c r="BZ165" s="1045"/>
      <c r="CA165" s="1045"/>
      <c r="CB165" s="1085"/>
      <c r="CC165" s="1086"/>
      <c r="CD165" s="1327"/>
      <c r="CE165" s="1328"/>
      <c r="CF165" s="1328"/>
      <c r="CG165" s="1328"/>
      <c r="CH165" s="1389"/>
      <c r="CI165" s="1369"/>
      <c r="CJ165" s="1319"/>
      <c r="CK165" s="1319"/>
      <c r="CL165" s="1319"/>
      <c r="CM165" s="1320"/>
      <c r="CN165" s="1369"/>
      <c r="CO165" s="1319"/>
      <c r="CP165" s="1319"/>
      <c r="CQ165" s="1319"/>
      <c r="CR165" s="1320"/>
      <c r="CS165" s="1369"/>
      <c r="CT165" s="1319"/>
      <c r="CU165" s="1319"/>
      <c r="CV165" s="1319"/>
      <c r="CW165" s="1320"/>
      <c r="CX165" s="1369"/>
      <c r="CY165" s="1319"/>
      <c r="CZ165" s="1319"/>
      <c r="DA165" s="1319"/>
      <c r="DB165" s="1320"/>
      <c r="DC165" s="1319"/>
      <c r="DD165" s="1319"/>
      <c r="DE165" s="1319"/>
      <c r="DF165" s="1319"/>
      <c r="DG165" s="1320"/>
      <c r="DH165" s="1369"/>
      <c r="DI165" s="1319"/>
      <c r="DJ165" s="1319"/>
      <c r="DK165" s="1319"/>
      <c r="DL165" s="1320"/>
      <c r="DM165" s="1743"/>
      <c r="DN165" s="1744"/>
      <c r="DO165" s="1744"/>
      <c r="DP165" s="1745"/>
      <c r="DQ165" s="1744"/>
      <c r="DR165" s="1744"/>
      <c r="DS165" s="1744"/>
      <c r="DT165" s="1745"/>
      <c r="DU165" s="1328"/>
      <c r="DV165" s="1664"/>
      <c r="DW165" s="1746"/>
    </row>
    <row r="166" spans="1:127" s="382" customFormat="1" ht="15.75" customHeight="1">
      <c r="A166" s="1066" t="s">
        <v>1143</v>
      </c>
      <c r="B166" s="1026">
        <v>157</v>
      </c>
      <c r="C166" s="987"/>
      <c r="D166" s="987"/>
      <c r="E166" s="987"/>
      <c r="F166" s="987"/>
      <c r="G166" s="987"/>
      <c r="H166" s="987"/>
      <c r="I166" s="987"/>
      <c r="J166" s="987"/>
      <c r="K166" s="987"/>
      <c r="L166" s="987"/>
      <c r="M166" s="1026"/>
      <c r="N166" s="987"/>
      <c r="O166" s="987"/>
      <c r="P166" s="987"/>
      <c r="Q166" s="987"/>
      <c r="R166" s="987"/>
      <c r="S166" s="987"/>
      <c r="T166" s="988"/>
      <c r="U166" s="1067" t="s">
        <v>1376</v>
      </c>
      <c r="V166" s="1068" t="s">
        <v>2671</v>
      </c>
      <c r="W166" s="1068" t="s">
        <v>2223</v>
      </c>
      <c r="X166" s="1069" t="s">
        <v>2760</v>
      </c>
      <c r="Y166" s="1070" t="s">
        <v>2761</v>
      </c>
      <c r="Z166" s="1071" t="s">
        <v>2762</v>
      </c>
      <c r="AA166" s="1072" t="s">
        <v>2260</v>
      </c>
      <c r="AB166" s="1073">
        <v>1</v>
      </c>
      <c r="AC166" s="1073" t="s">
        <v>2260</v>
      </c>
      <c r="AD166" s="1073" t="s">
        <v>2260</v>
      </c>
      <c r="AE166" s="1073" t="s">
        <v>2260</v>
      </c>
      <c r="AF166" s="1073" t="s">
        <v>2260</v>
      </c>
      <c r="AG166" s="1073" t="s">
        <v>2260</v>
      </c>
      <c r="AH166" s="1073" t="s">
        <v>2260</v>
      </c>
      <c r="AI166" s="1074">
        <f t="shared" si="2"/>
        <v>1</v>
      </c>
      <c r="AJ166" s="1075" t="s">
        <v>1852</v>
      </c>
      <c r="AK166" s="1075" t="s">
        <v>1826</v>
      </c>
      <c r="AL166" s="1075" t="s">
        <v>1827</v>
      </c>
      <c r="AM166" s="1076" t="s">
        <v>2421</v>
      </c>
      <c r="AN166" s="987" t="s">
        <v>439</v>
      </c>
      <c r="AO166" s="987" t="s">
        <v>4423</v>
      </c>
      <c r="AP166" s="2042">
        <v>2</v>
      </c>
      <c r="AQ166" s="1045" t="s">
        <v>1838</v>
      </c>
      <c r="AR166" s="1078"/>
      <c r="AS166" s="1079"/>
      <c r="AT166" s="1069"/>
      <c r="AU166" s="1069"/>
      <c r="AV166" s="1069"/>
      <c r="AW166" s="1080"/>
      <c r="AX166" s="1081"/>
      <c r="AY166" s="1044"/>
      <c r="AZ166" s="1045"/>
      <c r="BA166" s="1045"/>
      <c r="BB166" s="1045"/>
      <c r="BC166" s="1045"/>
      <c r="BD166" s="1045"/>
      <c r="BE166" s="1045"/>
      <c r="BF166" s="1045"/>
      <c r="BG166" s="1045"/>
      <c r="BH166" s="1045"/>
      <c r="BI166" s="1369"/>
      <c r="BJ166" s="1319"/>
      <c r="BK166" s="1319"/>
      <c r="BL166" s="1319"/>
      <c r="BM166" s="1319"/>
      <c r="BN166" s="1044"/>
      <c r="BO166" s="1045"/>
      <c r="BP166" s="1045"/>
      <c r="BQ166" s="1045"/>
      <c r="BR166" s="1045"/>
      <c r="BS166" s="1084"/>
      <c r="BT166" s="1045"/>
      <c r="BU166" s="1045"/>
      <c r="BV166" s="1045"/>
      <c r="BW166" s="1085"/>
      <c r="BX166" s="1084"/>
      <c r="BY166" s="1045"/>
      <c r="BZ166" s="1045"/>
      <c r="CA166" s="1045"/>
      <c r="CB166" s="1085"/>
      <c r="CC166" s="1086"/>
      <c r="CD166" s="1327"/>
      <c r="CE166" s="1328"/>
      <c r="CF166" s="1328"/>
      <c r="CG166" s="1328"/>
      <c r="CH166" s="1389"/>
      <c r="CI166" s="1369"/>
      <c r="CJ166" s="1319"/>
      <c r="CK166" s="1319"/>
      <c r="CL166" s="1319"/>
      <c r="CM166" s="1320"/>
      <c r="CN166" s="1369"/>
      <c r="CO166" s="1319"/>
      <c r="CP166" s="1319"/>
      <c r="CQ166" s="1319"/>
      <c r="CR166" s="1320"/>
      <c r="CS166" s="1369"/>
      <c r="CT166" s="1319"/>
      <c r="CU166" s="1319"/>
      <c r="CV166" s="1319"/>
      <c r="CW166" s="1320"/>
      <c r="CX166" s="1369"/>
      <c r="CY166" s="1319"/>
      <c r="CZ166" s="1319"/>
      <c r="DA166" s="1319"/>
      <c r="DB166" s="1320"/>
      <c r="DC166" s="1319"/>
      <c r="DD166" s="1319"/>
      <c r="DE166" s="1319"/>
      <c r="DF166" s="1319"/>
      <c r="DG166" s="1320"/>
      <c r="DH166" s="1369"/>
      <c r="DI166" s="1319"/>
      <c r="DJ166" s="1319"/>
      <c r="DK166" s="1319"/>
      <c r="DL166" s="1320"/>
      <c r="DM166" s="1743"/>
      <c r="DN166" s="1744"/>
      <c r="DO166" s="1744"/>
      <c r="DP166" s="1745"/>
      <c r="DQ166" s="1744"/>
      <c r="DR166" s="1744"/>
      <c r="DS166" s="1744"/>
      <c r="DT166" s="1745"/>
      <c r="DU166" s="1328"/>
      <c r="DV166" s="1664"/>
      <c r="DW166" s="1746"/>
    </row>
    <row r="167" spans="1:127" s="382" customFormat="1" ht="15.75" customHeight="1">
      <c r="A167" s="1066" t="s">
        <v>1143</v>
      </c>
      <c r="B167" s="1026">
        <v>158</v>
      </c>
      <c r="C167" s="987"/>
      <c r="D167" s="987"/>
      <c r="E167" s="987"/>
      <c r="F167" s="987"/>
      <c r="G167" s="987"/>
      <c r="H167" s="987"/>
      <c r="I167" s="987"/>
      <c r="J167" s="987"/>
      <c r="K167" s="987"/>
      <c r="L167" s="987"/>
      <c r="M167" s="1026"/>
      <c r="N167" s="987"/>
      <c r="O167" s="987"/>
      <c r="P167" s="987"/>
      <c r="Q167" s="987"/>
      <c r="R167" s="987"/>
      <c r="S167" s="987"/>
      <c r="T167" s="988"/>
      <c r="U167" s="1067" t="s">
        <v>1393</v>
      </c>
      <c r="V167" s="1068" t="s">
        <v>2671</v>
      </c>
      <c r="W167" s="1068" t="s">
        <v>2231</v>
      </c>
      <c r="X167" s="1069" t="s">
        <v>2764</v>
      </c>
      <c r="Y167" s="1070" t="s">
        <v>2765</v>
      </c>
      <c r="Z167" s="1071" t="s">
        <v>2766</v>
      </c>
      <c r="AA167" s="1072" t="s">
        <v>2260</v>
      </c>
      <c r="AB167" s="1073">
        <v>1</v>
      </c>
      <c r="AC167" s="1073" t="s">
        <v>2260</v>
      </c>
      <c r="AD167" s="1073" t="s">
        <v>2260</v>
      </c>
      <c r="AE167" s="1073" t="s">
        <v>2260</v>
      </c>
      <c r="AF167" s="1073" t="s">
        <v>2260</v>
      </c>
      <c r="AG167" s="1073" t="s">
        <v>2260</v>
      </c>
      <c r="AH167" s="1073" t="s">
        <v>2260</v>
      </c>
      <c r="AI167" s="1074">
        <f t="shared" si="2"/>
        <v>1</v>
      </c>
      <c r="AJ167" s="1075" t="s">
        <v>1846</v>
      </c>
      <c r="AK167" s="1075" t="s">
        <v>1826</v>
      </c>
      <c r="AL167" s="1075" t="s">
        <v>1827</v>
      </c>
      <c r="AM167" s="1076" t="s">
        <v>2234</v>
      </c>
      <c r="AN167" s="987" t="s">
        <v>1857</v>
      </c>
      <c r="AO167" s="987" t="s">
        <v>2767</v>
      </c>
      <c r="AP167" s="802">
        <v>3</v>
      </c>
      <c r="AQ167" s="1045" t="s">
        <v>1838</v>
      </c>
      <c r="AR167" s="1078" t="s">
        <v>2260</v>
      </c>
      <c r="AS167" s="1079"/>
      <c r="AT167" s="1069"/>
      <c r="AU167" s="1069"/>
      <c r="AV167" s="1069"/>
      <c r="AW167" s="1080"/>
      <c r="AX167" s="1081"/>
      <c r="AY167" s="1044"/>
      <c r="AZ167" s="1045"/>
      <c r="BA167" s="1045"/>
      <c r="BB167" s="1045"/>
      <c r="BC167" s="1045"/>
      <c r="BD167" s="1045"/>
      <c r="BE167" s="1045"/>
      <c r="BF167" s="1045"/>
      <c r="BG167" s="1045"/>
      <c r="BH167" s="1045"/>
      <c r="BI167" s="1369"/>
      <c r="BJ167" s="1319"/>
      <c r="BK167" s="1319"/>
      <c r="BL167" s="1319"/>
      <c r="BM167" s="1319"/>
      <c r="BN167" s="1044"/>
      <c r="BO167" s="1045"/>
      <c r="BP167" s="1045"/>
      <c r="BQ167" s="1045"/>
      <c r="BR167" s="1045"/>
      <c r="BS167" s="1084"/>
      <c r="BT167" s="1045"/>
      <c r="BU167" s="1045"/>
      <c r="BV167" s="1045"/>
      <c r="BW167" s="1085"/>
      <c r="BX167" s="1084"/>
      <c r="BY167" s="1045"/>
      <c r="BZ167" s="1045"/>
      <c r="CA167" s="1045"/>
      <c r="CB167" s="1085"/>
      <c r="CC167" s="1086"/>
      <c r="CD167" s="1327"/>
      <c r="CE167" s="1328"/>
      <c r="CF167" s="1328"/>
      <c r="CG167" s="1328"/>
      <c r="CH167" s="1389"/>
      <c r="CI167" s="1369"/>
      <c r="CJ167" s="1319"/>
      <c r="CK167" s="1319"/>
      <c r="CL167" s="1319"/>
      <c r="CM167" s="1320"/>
      <c r="CN167" s="1369"/>
      <c r="CO167" s="1319"/>
      <c r="CP167" s="1319"/>
      <c r="CQ167" s="1319"/>
      <c r="CR167" s="1320"/>
      <c r="CS167" s="1369"/>
      <c r="CT167" s="1319"/>
      <c r="CU167" s="1319"/>
      <c r="CV167" s="1319"/>
      <c r="CW167" s="1320"/>
      <c r="CX167" s="1369"/>
      <c r="CY167" s="1319"/>
      <c r="CZ167" s="1319"/>
      <c r="DA167" s="1319"/>
      <c r="DB167" s="1320"/>
      <c r="DC167" s="1319"/>
      <c r="DD167" s="1319"/>
      <c r="DE167" s="1319"/>
      <c r="DF167" s="1319"/>
      <c r="DG167" s="1320"/>
      <c r="DH167" s="1369"/>
      <c r="DI167" s="1319"/>
      <c r="DJ167" s="1319"/>
      <c r="DK167" s="1319"/>
      <c r="DL167" s="1320"/>
      <c r="DM167" s="1743"/>
      <c r="DN167" s="1744"/>
      <c r="DO167" s="1744"/>
      <c r="DP167" s="1745"/>
      <c r="DQ167" s="1744"/>
      <c r="DR167" s="1744"/>
      <c r="DS167" s="1744"/>
      <c r="DT167" s="1745"/>
      <c r="DU167" s="1328"/>
      <c r="DV167" s="1664"/>
      <c r="DW167" s="1746"/>
    </row>
    <row r="168" spans="1:127" s="382" customFormat="1" ht="15.75" customHeight="1">
      <c r="A168" s="1066" t="s">
        <v>1143</v>
      </c>
      <c r="B168" s="1026">
        <v>159</v>
      </c>
      <c r="C168" s="987"/>
      <c r="D168" s="987"/>
      <c r="E168" s="987"/>
      <c r="F168" s="987"/>
      <c r="G168" s="987"/>
      <c r="H168" s="987"/>
      <c r="I168" s="987"/>
      <c r="J168" s="987"/>
      <c r="K168" s="987"/>
      <c r="L168" s="987"/>
      <c r="M168" s="1026"/>
      <c r="N168" s="987"/>
      <c r="O168" s="987"/>
      <c r="P168" s="987"/>
      <c r="Q168" s="987"/>
      <c r="R168" s="987"/>
      <c r="S168" s="987"/>
      <c r="T168" s="988"/>
      <c r="U168" s="1067" t="s">
        <v>1410</v>
      </c>
      <c r="V168" s="1068" t="s">
        <v>2675</v>
      </c>
      <c r="W168" s="1068" t="s">
        <v>2231</v>
      </c>
      <c r="X168" s="1069" t="s">
        <v>2768</v>
      </c>
      <c r="Y168" s="1070" t="s">
        <v>2769</v>
      </c>
      <c r="Z168" s="1071" t="s">
        <v>2770</v>
      </c>
      <c r="AA168" s="1072" t="s">
        <v>2260</v>
      </c>
      <c r="AB168" s="1073">
        <v>1</v>
      </c>
      <c r="AC168" s="1073" t="s">
        <v>2260</v>
      </c>
      <c r="AD168" s="1073" t="s">
        <v>2260</v>
      </c>
      <c r="AE168" s="1073" t="s">
        <v>2260</v>
      </c>
      <c r="AF168" s="1073" t="s">
        <v>2260</v>
      </c>
      <c r="AG168" s="1073" t="s">
        <v>2260</v>
      </c>
      <c r="AH168" s="1073" t="s">
        <v>2260</v>
      </c>
      <c r="AI168" s="1074">
        <f t="shared" si="2"/>
        <v>1</v>
      </c>
      <c r="AJ168" s="1075" t="s">
        <v>1852</v>
      </c>
      <c r="AK168" s="1075" t="s">
        <v>1826</v>
      </c>
      <c r="AL168" s="1075" t="s">
        <v>1827</v>
      </c>
      <c r="AM168" s="1076" t="s">
        <v>2220</v>
      </c>
      <c r="AN168" s="987" t="s">
        <v>2397</v>
      </c>
      <c r="AO168" s="987" t="s">
        <v>2771</v>
      </c>
      <c r="AP168" s="802">
        <v>1</v>
      </c>
      <c r="AQ168" s="1045" t="s">
        <v>1838</v>
      </c>
      <c r="AR168" s="1078" t="s">
        <v>2260</v>
      </c>
      <c r="AS168" s="1079"/>
      <c r="AT168" s="1069"/>
      <c r="AU168" s="1069"/>
      <c r="AV168" s="1069"/>
      <c r="AW168" s="1080"/>
      <c r="AX168" s="1081"/>
      <c r="AY168" s="1044"/>
      <c r="AZ168" s="1045"/>
      <c r="BA168" s="1045"/>
      <c r="BB168" s="1045"/>
      <c r="BC168" s="1045"/>
      <c r="BD168" s="1045"/>
      <c r="BE168" s="1045"/>
      <c r="BF168" s="1045"/>
      <c r="BG168" s="1045"/>
      <c r="BH168" s="1045"/>
      <c r="BI168" s="1369"/>
      <c r="BJ168" s="1319"/>
      <c r="BK168" s="1319"/>
      <c r="BL168" s="1319"/>
      <c r="BM168" s="1319"/>
      <c r="BN168" s="1044"/>
      <c r="BO168" s="1045"/>
      <c r="BP168" s="1045"/>
      <c r="BQ168" s="1045"/>
      <c r="BR168" s="1045"/>
      <c r="BS168" s="1084"/>
      <c r="BT168" s="1045"/>
      <c r="BU168" s="1045"/>
      <c r="BV168" s="1045"/>
      <c r="BW168" s="1085"/>
      <c r="BX168" s="1084"/>
      <c r="BY168" s="1045"/>
      <c r="BZ168" s="1045"/>
      <c r="CA168" s="1045"/>
      <c r="CB168" s="1085"/>
      <c r="CC168" s="1086"/>
      <c r="CD168" s="1327"/>
      <c r="CE168" s="1328"/>
      <c r="CF168" s="1328"/>
      <c r="CG168" s="1328"/>
      <c r="CH168" s="1389"/>
      <c r="CI168" s="1369"/>
      <c r="CJ168" s="1319"/>
      <c r="CK168" s="1319"/>
      <c r="CL168" s="1319"/>
      <c r="CM168" s="1320"/>
      <c r="CN168" s="1369"/>
      <c r="CO168" s="1319"/>
      <c r="CP168" s="1319"/>
      <c r="CQ168" s="1319"/>
      <c r="CR168" s="1320"/>
      <c r="CS168" s="1369"/>
      <c r="CT168" s="1319"/>
      <c r="CU168" s="1319"/>
      <c r="CV168" s="1319"/>
      <c r="CW168" s="1320"/>
      <c r="CX168" s="1369"/>
      <c r="CY168" s="1319"/>
      <c r="CZ168" s="1319"/>
      <c r="DA168" s="1319"/>
      <c r="DB168" s="1320"/>
      <c r="DC168" s="1319"/>
      <c r="DD168" s="1319"/>
      <c r="DE168" s="1319"/>
      <c r="DF168" s="1319"/>
      <c r="DG168" s="1320"/>
      <c r="DH168" s="1369"/>
      <c r="DI168" s="1319"/>
      <c r="DJ168" s="1319"/>
      <c r="DK168" s="1319"/>
      <c r="DL168" s="1320"/>
      <c r="DM168" s="1743"/>
      <c r="DN168" s="1744"/>
      <c r="DO168" s="1744"/>
      <c r="DP168" s="1745"/>
      <c r="DQ168" s="1744"/>
      <c r="DR168" s="1744"/>
      <c r="DS168" s="1744"/>
      <c r="DT168" s="1745"/>
      <c r="DU168" s="1328"/>
      <c r="DV168" s="1664"/>
      <c r="DW168" s="1746"/>
    </row>
    <row r="169" spans="1:127" s="382" customFormat="1" ht="15.75" customHeight="1">
      <c r="A169" s="1066" t="s">
        <v>1143</v>
      </c>
      <c r="B169" s="1026">
        <v>160</v>
      </c>
      <c r="C169" s="987"/>
      <c r="D169" s="987"/>
      <c r="E169" s="987"/>
      <c r="F169" s="987"/>
      <c r="G169" s="987"/>
      <c r="H169" s="987"/>
      <c r="I169" s="987"/>
      <c r="J169" s="987"/>
      <c r="K169" s="987"/>
      <c r="L169" s="987"/>
      <c r="M169" s="1026"/>
      <c r="N169" s="987"/>
      <c r="O169" s="987"/>
      <c r="P169" s="987"/>
      <c r="Q169" s="987"/>
      <c r="R169" s="987"/>
      <c r="S169" s="987"/>
      <c r="T169" s="988"/>
      <c r="U169" s="1067" t="s">
        <v>1497</v>
      </c>
      <c r="V169" s="1068" t="s">
        <v>2687</v>
      </c>
      <c r="W169" s="1068" t="s">
        <v>2231</v>
      </c>
      <c r="X169" s="1069" t="s">
        <v>2772</v>
      </c>
      <c r="Y169" s="1070" t="s">
        <v>2623</v>
      </c>
      <c r="Z169" s="1071" t="s">
        <v>2773</v>
      </c>
      <c r="AA169" s="1072" t="s">
        <v>2260</v>
      </c>
      <c r="AB169" s="1073" t="s">
        <v>2260</v>
      </c>
      <c r="AC169" s="1073">
        <v>1</v>
      </c>
      <c r="AD169" s="1073" t="s">
        <v>2260</v>
      </c>
      <c r="AE169" s="1073" t="s">
        <v>2260</v>
      </c>
      <c r="AF169" s="1073" t="s">
        <v>2260</v>
      </c>
      <c r="AG169" s="1073" t="s">
        <v>2260</v>
      </c>
      <c r="AH169" s="1073" t="s">
        <v>2260</v>
      </c>
      <c r="AI169" s="1074">
        <f t="shared" si="2"/>
        <v>1</v>
      </c>
      <c r="AJ169" s="1075" t="s">
        <v>1852</v>
      </c>
      <c r="AK169" s="1075" t="s">
        <v>1826</v>
      </c>
      <c r="AL169" s="1075" t="s">
        <v>1827</v>
      </c>
      <c r="AM169" s="1076" t="s">
        <v>2242</v>
      </c>
      <c r="AN169" s="987" t="s">
        <v>2439</v>
      </c>
      <c r="AO169" s="987" t="s">
        <v>4447</v>
      </c>
      <c r="AP169" s="802">
        <v>2</v>
      </c>
      <c r="AQ169" s="1045" t="s">
        <v>1838</v>
      </c>
      <c r="AR169" s="1078"/>
      <c r="AS169" s="1079"/>
      <c r="AT169" s="1069"/>
      <c r="AU169" s="1069"/>
      <c r="AV169" s="1069"/>
      <c r="AW169" s="1080"/>
      <c r="AX169" s="1081"/>
      <c r="AY169" s="1044"/>
      <c r="AZ169" s="1045"/>
      <c r="BA169" s="1045"/>
      <c r="BB169" s="1045"/>
      <c r="BC169" s="1045"/>
      <c r="BD169" s="1045"/>
      <c r="BE169" s="1045"/>
      <c r="BF169" s="1045"/>
      <c r="BG169" s="1045"/>
      <c r="BH169" s="1045"/>
      <c r="BI169" s="1369"/>
      <c r="BJ169" s="1319"/>
      <c r="BK169" s="1319"/>
      <c r="BL169" s="1319"/>
      <c r="BM169" s="1319"/>
      <c r="BN169" s="1044"/>
      <c r="BO169" s="1045"/>
      <c r="BP169" s="1045"/>
      <c r="BQ169" s="1045"/>
      <c r="BR169" s="1045"/>
      <c r="BS169" s="1084"/>
      <c r="BT169" s="1045"/>
      <c r="BU169" s="1045"/>
      <c r="BV169" s="1045"/>
      <c r="BW169" s="1085"/>
      <c r="BX169" s="1084"/>
      <c r="BY169" s="1045"/>
      <c r="BZ169" s="1045"/>
      <c r="CA169" s="1045"/>
      <c r="CB169" s="1085"/>
      <c r="CC169" s="1086"/>
      <c r="CD169" s="1327"/>
      <c r="CE169" s="1328"/>
      <c r="CF169" s="1328"/>
      <c r="CG169" s="1328"/>
      <c r="CH169" s="1389"/>
      <c r="CI169" s="1369"/>
      <c r="CJ169" s="1319"/>
      <c r="CK169" s="1319"/>
      <c r="CL169" s="1319"/>
      <c r="CM169" s="1320"/>
      <c r="CN169" s="1369"/>
      <c r="CO169" s="1319"/>
      <c r="CP169" s="1319"/>
      <c r="CQ169" s="1319"/>
      <c r="CR169" s="1320"/>
      <c r="CS169" s="1369"/>
      <c r="CT169" s="1319"/>
      <c r="CU169" s="1319"/>
      <c r="CV169" s="1319"/>
      <c r="CW169" s="1320"/>
      <c r="CX169" s="1369"/>
      <c r="CY169" s="1319"/>
      <c r="CZ169" s="1319"/>
      <c r="DA169" s="1319"/>
      <c r="DB169" s="1320"/>
      <c r="DC169" s="1319"/>
      <c r="DD169" s="1319"/>
      <c r="DE169" s="1319"/>
      <c r="DF169" s="1319"/>
      <c r="DG169" s="1320"/>
      <c r="DH169" s="1369"/>
      <c r="DI169" s="1319"/>
      <c r="DJ169" s="1319"/>
      <c r="DK169" s="1319"/>
      <c r="DL169" s="1320"/>
      <c r="DM169" s="1743"/>
      <c r="DN169" s="1744"/>
      <c r="DO169" s="1744"/>
      <c r="DP169" s="1745"/>
      <c r="DQ169" s="1744"/>
      <c r="DR169" s="1744"/>
      <c r="DS169" s="1744"/>
      <c r="DT169" s="1745"/>
      <c r="DU169" s="1328"/>
      <c r="DV169" s="1664"/>
      <c r="DW169" s="1746"/>
    </row>
    <row r="170" spans="1:127" s="382" customFormat="1" ht="15.75" customHeight="1">
      <c r="A170" s="1066" t="s">
        <v>1143</v>
      </c>
      <c r="B170" s="1026">
        <v>161</v>
      </c>
      <c r="C170" s="987"/>
      <c r="D170" s="987"/>
      <c r="E170" s="987"/>
      <c r="F170" s="987"/>
      <c r="G170" s="987"/>
      <c r="H170" s="987"/>
      <c r="I170" s="987"/>
      <c r="J170" s="987"/>
      <c r="K170" s="987"/>
      <c r="L170" s="987"/>
      <c r="M170" s="1026"/>
      <c r="N170" s="987"/>
      <c r="O170" s="987"/>
      <c r="P170" s="987"/>
      <c r="Q170" s="987"/>
      <c r="R170" s="987"/>
      <c r="S170" s="987"/>
      <c r="T170" s="988"/>
      <c r="U170" s="1067" t="s">
        <v>1508</v>
      </c>
      <c r="V170" s="1068" t="s">
        <v>2687</v>
      </c>
      <c r="W170" s="1068" t="s">
        <v>2217</v>
      </c>
      <c r="X170" s="1069" t="s">
        <v>2775</v>
      </c>
      <c r="Y170" s="1070" t="s">
        <v>2381</v>
      </c>
      <c r="Z170" s="1071" t="s">
        <v>2776</v>
      </c>
      <c r="AA170" s="1072" t="s">
        <v>2260</v>
      </c>
      <c r="AB170" s="1073" t="s">
        <v>2260</v>
      </c>
      <c r="AC170" s="1073">
        <v>1</v>
      </c>
      <c r="AD170" s="1073" t="s">
        <v>2260</v>
      </c>
      <c r="AE170" s="1073" t="s">
        <v>2260</v>
      </c>
      <c r="AF170" s="1073" t="s">
        <v>2260</v>
      </c>
      <c r="AG170" s="1073" t="s">
        <v>2260</v>
      </c>
      <c r="AH170" s="1073" t="s">
        <v>2260</v>
      </c>
      <c r="AI170" s="1074">
        <f t="shared" si="2"/>
        <v>1</v>
      </c>
      <c r="AJ170" s="1075" t="s">
        <v>1852</v>
      </c>
      <c r="AK170" s="1075" t="s">
        <v>1826</v>
      </c>
      <c r="AL170" s="1075" t="s">
        <v>1827</v>
      </c>
      <c r="AM170" s="1076" t="s">
        <v>2351</v>
      </c>
      <c r="AN170" s="987" t="s">
        <v>2439</v>
      </c>
      <c r="AO170" s="987" t="s">
        <v>4197</v>
      </c>
      <c r="AP170" s="802">
        <v>0</v>
      </c>
      <c r="AQ170" s="1045" t="s">
        <v>1838</v>
      </c>
      <c r="AR170" s="1078"/>
      <c r="AS170" s="1079"/>
      <c r="AT170" s="1069"/>
      <c r="AU170" s="1069"/>
      <c r="AV170" s="1069"/>
      <c r="AW170" s="1080"/>
      <c r="AX170" s="1081"/>
      <c r="AY170" s="1044"/>
      <c r="AZ170" s="1045"/>
      <c r="BA170" s="1045"/>
      <c r="BB170" s="1045"/>
      <c r="BC170" s="1045"/>
      <c r="BD170" s="1045"/>
      <c r="BE170" s="1045"/>
      <c r="BF170" s="1045"/>
      <c r="BG170" s="1045"/>
      <c r="BH170" s="1045"/>
      <c r="BI170" s="1369"/>
      <c r="BJ170" s="1319"/>
      <c r="BK170" s="1319"/>
      <c r="BL170" s="1319"/>
      <c r="BM170" s="1319"/>
      <c r="BN170" s="1044"/>
      <c r="BO170" s="1045"/>
      <c r="BP170" s="1045"/>
      <c r="BQ170" s="1045"/>
      <c r="BR170" s="1045"/>
      <c r="BS170" s="1084"/>
      <c r="BT170" s="1045"/>
      <c r="BU170" s="1045"/>
      <c r="BV170" s="1045"/>
      <c r="BW170" s="1085"/>
      <c r="BX170" s="1084"/>
      <c r="BY170" s="1045"/>
      <c r="BZ170" s="1045"/>
      <c r="CA170" s="1045"/>
      <c r="CB170" s="1085"/>
      <c r="CC170" s="1086"/>
      <c r="CD170" s="1327"/>
      <c r="CE170" s="1328"/>
      <c r="CF170" s="1328"/>
      <c r="CG170" s="1328"/>
      <c r="CH170" s="1389"/>
      <c r="CI170" s="1369"/>
      <c r="CJ170" s="1319"/>
      <c r="CK170" s="1319"/>
      <c r="CL170" s="1319"/>
      <c r="CM170" s="1320"/>
      <c r="CN170" s="1369"/>
      <c r="CO170" s="1319"/>
      <c r="CP170" s="1319"/>
      <c r="CQ170" s="1319"/>
      <c r="CR170" s="1320"/>
      <c r="CS170" s="1369"/>
      <c r="CT170" s="1319"/>
      <c r="CU170" s="1319"/>
      <c r="CV170" s="1319"/>
      <c r="CW170" s="1320"/>
      <c r="CX170" s="1369"/>
      <c r="CY170" s="1319"/>
      <c r="CZ170" s="1319"/>
      <c r="DA170" s="1319"/>
      <c r="DB170" s="1320"/>
      <c r="DC170" s="1319"/>
      <c r="DD170" s="1319"/>
      <c r="DE170" s="1319"/>
      <c r="DF170" s="1319"/>
      <c r="DG170" s="1320"/>
      <c r="DH170" s="1369"/>
      <c r="DI170" s="1319"/>
      <c r="DJ170" s="1319"/>
      <c r="DK170" s="1319"/>
      <c r="DL170" s="1320"/>
      <c r="DM170" s="1743"/>
      <c r="DN170" s="1744"/>
      <c r="DO170" s="1744"/>
      <c r="DP170" s="1745"/>
      <c r="DQ170" s="1744"/>
      <c r="DR170" s="1744"/>
      <c r="DS170" s="1744"/>
      <c r="DT170" s="1745"/>
      <c r="DU170" s="1328"/>
      <c r="DV170" s="1664"/>
      <c r="DW170" s="1746"/>
    </row>
    <row r="171" spans="1:127" s="382" customFormat="1" ht="15.75" customHeight="1">
      <c r="A171" s="1066" t="s">
        <v>1143</v>
      </c>
      <c r="B171" s="1026">
        <v>162</v>
      </c>
      <c r="C171" s="987"/>
      <c r="D171" s="987"/>
      <c r="E171" s="987"/>
      <c r="F171" s="987"/>
      <c r="G171" s="987"/>
      <c r="H171" s="987"/>
      <c r="I171" s="987"/>
      <c r="J171" s="987"/>
      <c r="K171" s="987"/>
      <c r="L171" s="987"/>
      <c r="M171" s="1026"/>
      <c r="N171" s="987"/>
      <c r="O171" s="987"/>
      <c r="P171" s="987"/>
      <c r="Q171" s="987"/>
      <c r="R171" s="987"/>
      <c r="S171" s="987"/>
      <c r="T171" s="988"/>
      <c r="U171" s="1067" t="s">
        <v>1519</v>
      </c>
      <c r="V171" s="1068" t="s">
        <v>2687</v>
      </c>
      <c r="W171" s="1068" t="s">
        <v>2217</v>
      </c>
      <c r="X171" s="1069" t="s">
        <v>2778</v>
      </c>
      <c r="Y171" s="1070" t="s">
        <v>2779</v>
      </c>
      <c r="Z171" s="1071" t="s">
        <v>2780</v>
      </c>
      <c r="AA171" s="1072" t="s">
        <v>2260</v>
      </c>
      <c r="AB171" s="1073" t="s">
        <v>2260</v>
      </c>
      <c r="AC171" s="1073">
        <v>1</v>
      </c>
      <c r="AD171" s="1073" t="s">
        <v>2260</v>
      </c>
      <c r="AE171" s="1073" t="s">
        <v>2260</v>
      </c>
      <c r="AF171" s="1073" t="s">
        <v>2260</v>
      </c>
      <c r="AG171" s="1073" t="s">
        <v>2260</v>
      </c>
      <c r="AH171" s="1073" t="s">
        <v>2260</v>
      </c>
      <c r="AI171" s="1074">
        <f t="shared" si="2"/>
        <v>1</v>
      </c>
      <c r="AJ171" s="1075" t="s">
        <v>1852</v>
      </c>
      <c r="AK171" s="1075" t="s">
        <v>1826</v>
      </c>
      <c r="AL171" s="1075" t="s">
        <v>1827</v>
      </c>
      <c r="AM171" s="1076" t="s">
        <v>2351</v>
      </c>
      <c r="AN171" s="987" t="s">
        <v>1857</v>
      </c>
      <c r="AO171" s="987" t="s">
        <v>2781</v>
      </c>
      <c r="AP171" s="802">
        <v>1</v>
      </c>
      <c r="AQ171" s="1045" t="s">
        <v>1838</v>
      </c>
      <c r="AR171" s="1078" t="s">
        <v>2260</v>
      </c>
      <c r="AS171" s="1079"/>
      <c r="AT171" s="1069"/>
      <c r="AU171" s="1069"/>
      <c r="AV171" s="1069"/>
      <c r="AW171" s="1080"/>
      <c r="AX171" s="1081"/>
      <c r="AY171" s="1044"/>
      <c r="AZ171" s="1045"/>
      <c r="BA171" s="1045"/>
      <c r="BB171" s="1045"/>
      <c r="BC171" s="1045"/>
      <c r="BD171" s="1045"/>
      <c r="BE171" s="1045"/>
      <c r="BF171" s="1045"/>
      <c r="BG171" s="1045"/>
      <c r="BH171" s="1045"/>
      <c r="BI171" s="1369"/>
      <c r="BJ171" s="1319"/>
      <c r="BK171" s="1319"/>
      <c r="BL171" s="1319"/>
      <c r="BM171" s="1319"/>
      <c r="BN171" s="1044"/>
      <c r="BO171" s="1045"/>
      <c r="BP171" s="1045"/>
      <c r="BQ171" s="1045"/>
      <c r="BR171" s="1045"/>
      <c r="BS171" s="1084"/>
      <c r="BT171" s="1045"/>
      <c r="BU171" s="1045"/>
      <c r="BV171" s="1045"/>
      <c r="BW171" s="1085"/>
      <c r="BX171" s="1084"/>
      <c r="BY171" s="1045"/>
      <c r="BZ171" s="1045"/>
      <c r="CA171" s="1045"/>
      <c r="CB171" s="1085"/>
      <c r="CC171" s="1086"/>
      <c r="CD171" s="1327"/>
      <c r="CE171" s="1328"/>
      <c r="CF171" s="1328"/>
      <c r="CG171" s="1328"/>
      <c r="CH171" s="1389"/>
      <c r="CI171" s="1369"/>
      <c r="CJ171" s="1319"/>
      <c r="CK171" s="1319"/>
      <c r="CL171" s="1319"/>
      <c r="CM171" s="1320"/>
      <c r="CN171" s="1369"/>
      <c r="CO171" s="1319"/>
      <c r="CP171" s="1319"/>
      <c r="CQ171" s="1319"/>
      <c r="CR171" s="1320"/>
      <c r="CS171" s="1369"/>
      <c r="CT171" s="1319"/>
      <c r="CU171" s="1319"/>
      <c r="CV171" s="1319"/>
      <c r="CW171" s="1320"/>
      <c r="CX171" s="1369"/>
      <c r="CY171" s="1319"/>
      <c r="CZ171" s="1319"/>
      <c r="DA171" s="1319"/>
      <c r="DB171" s="1320"/>
      <c r="DC171" s="1319"/>
      <c r="DD171" s="1319"/>
      <c r="DE171" s="1319"/>
      <c r="DF171" s="1319"/>
      <c r="DG171" s="1320"/>
      <c r="DH171" s="1369"/>
      <c r="DI171" s="1319"/>
      <c r="DJ171" s="1319"/>
      <c r="DK171" s="1319"/>
      <c r="DL171" s="1320"/>
      <c r="DM171" s="1743"/>
      <c r="DN171" s="1744"/>
      <c r="DO171" s="1744"/>
      <c r="DP171" s="1745"/>
      <c r="DQ171" s="1744"/>
      <c r="DR171" s="1744"/>
      <c r="DS171" s="1744"/>
      <c r="DT171" s="1745"/>
      <c r="DU171" s="1328"/>
      <c r="DV171" s="1664"/>
      <c r="DW171" s="1746"/>
    </row>
    <row r="172" spans="1:127" s="382" customFormat="1" ht="15.75" customHeight="1">
      <c r="A172" s="1066" t="s">
        <v>1143</v>
      </c>
      <c r="B172" s="1026">
        <v>163</v>
      </c>
      <c r="C172" s="987"/>
      <c r="D172" s="987"/>
      <c r="E172" s="987"/>
      <c r="F172" s="987"/>
      <c r="G172" s="987"/>
      <c r="H172" s="987"/>
      <c r="I172" s="987"/>
      <c r="J172" s="987"/>
      <c r="K172" s="987"/>
      <c r="L172" s="987"/>
      <c r="M172" s="1026"/>
      <c r="N172" s="987"/>
      <c r="O172" s="987"/>
      <c r="P172" s="987"/>
      <c r="Q172" s="987"/>
      <c r="R172" s="987"/>
      <c r="S172" s="987"/>
      <c r="T172" s="988"/>
      <c r="U172" s="1067" t="s">
        <v>1426</v>
      </c>
      <c r="V172" s="1068" t="s">
        <v>2691</v>
      </c>
      <c r="W172" s="1068" t="s">
        <v>2231</v>
      </c>
      <c r="X172" s="1069" t="s">
        <v>2782</v>
      </c>
      <c r="Y172" s="1070" t="s">
        <v>2783</v>
      </c>
      <c r="Z172" s="1071" t="s">
        <v>2784</v>
      </c>
      <c r="AA172" s="1072">
        <v>1</v>
      </c>
      <c r="AB172" s="1073" t="s">
        <v>2260</v>
      </c>
      <c r="AC172" s="1073" t="s">
        <v>2260</v>
      </c>
      <c r="AD172" s="1073" t="s">
        <v>2260</v>
      </c>
      <c r="AE172" s="1073" t="s">
        <v>2260</v>
      </c>
      <c r="AF172" s="1073" t="s">
        <v>2260</v>
      </c>
      <c r="AG172" s="1073" t="s">
        <v>2260</v>
      </c>
      <c r="AH172" s="1073" t="s">
        <v>2260</v>
      </c>
      <c r="AI172" s="1074">
        <f t="shared" si="2"/>
        <v>1</v>
      </c>
      <c r="AJ172" s="1075" t="s">
        <v>1852</v>
      </c>
      <c r="AK172" s="1075" t="s">
        <v>1826</v>
      </c>
      <c r="AL172" s="1075" t="s">
        <v>1827</v>
      </c>
      <c r="AM172" s="1076" t="s">
        <v>2290</v>
      </c>
      <c r="AN172" s="987" t="s">
        <v>1857</v>
      </c>
      <c r="AO172" s="987" t="s">
        <v>2542</v>
      </c>
      <c r="AP172" s="802" t="s">
        <v>1857</v>
      </c>
      <c r="AQ172" s="1045" t="s">
        <v>1838</v>
      </c>
      <c r="AR172" s="1078" t="s">
        <v>2260</v>
      </c>
      <c r="AS172" s="1079"/>
      <c r="AT172" s="1069"/>
      <c r="AU172" s="1069"/>
      <c r="AV172" s="1069"/>
      <c r="AW172" s="1080"/>
      <c r="AX172" s="1081"/>
      <c r="AY172" s="1044"/>
      <c r="AZ172" s="1045"/>
      <c r="BA172" s="1045"/>
      <c r="BB172" s="1045"/>
      <c r="BC172" s="1045"/>
      <c r="BD172" s="1045"/>
      <c r="BE172" s="1045"/>
      <c r="BF172" s="1045"/>
      <c r="BG172" s="1045"/>
      <c r="BH172" s="1045"/>
      <c r="BI172" s="1369"/>
      <c r="BJ172" s="1319"/>
      <c r="BK172" s="1319"/>
      <c r="BL172" s="1319"/>
      <c r="BM172" s="1319"/>
      <c r="BN172" s="1044"/>
      <c r="BO172" s="1045"/>
      <c r="BP172" s="1045"/>
      <c r="BQ172" s="1045"/>
      <c r="BR172" s="1045"/>
      <c r="BS172" s="1084"/>
      <c r="BT172" s="1045"/>
      <c r="BU172" s="1045"/>
      <c r="BV172" s="1045"/>
      <c r="BW172" s="1085"/>
      <c r="BX172" s="1084"/>
      <c r="BY172" s="1045"/>
      <c r="BZ172" s="1045"/>
      <c r="CA172" s="1045"/>
      <c r="CB172" s="1085"/>
      <c r="CC172" s="1086"/>
      <c r="CD172" s="1327"/>
      <c r="CE172" s="1328"/>
      <c r="CF172" s="1328"/>
      <c r="CG172" s="1328"/>
      <c r="CH172" s="1389"/>
      <c r="CI172" s="1369"/>
      <c r="CJ172" s="1319"/>
      <c r="CK172" s="1319"/>
      <c r="CL172" s="1319"/>
      <c r="CM172" s="1320"/>
      <c r="CN172" s="1369"/>
      <c r="CO172" s="1319"/>
      <c r="CP172" s="1319"/>
      <c r="CQ172" s="1319"/>
      <c r="CR172" s="1320"/>
      <c r="CS172" s="1369"/>
      <c r="CT172" s="1319"/>
      <c r="CU172" s="1319"/>
      <c r="CV172" s="1319"/>
      <c r="CW172" s="1320"/>
      <c r="CX172" s="1369"/>
      <c r="CY172" s="1319"/>
      <c r="CZ172" s="1319"/>
      <c r="DA172" s="1319"/>
      <c r="DB172" s="1320"/>
      <c r="DC172" s="1319"/>
      <c r="DD172" s="1319"/>
      <c r="DE172" s="1319"/>
      <c r="DF172" s="1319"/>
      <c r="DG172" s="1320"/>
      <c r="DH172" s="1369"/>
      <c r="DI172" s="1319"/>
      <c r="DJ172" s="1319"/>
      <c r="DK172" s="1319"/>
      <c r="DL172" s="1320"/>
      <c r="DM172" s="1743"/>
      <c r="DN172" s="1744"/>
      <c r="DO172" s="1744"/>
      <c r="DP172" s="1745"/>
      <c r="DQ172" s="1744"/>
      <c r="DR172" s="1744"/>
      <c r="DS172" s="1744"/>
      <c r="DT172" s="1745"/>
      <c r="DU172" s="1328"/>
      <c r="DV172" s="1664"/>
      <c r="DW172" s="1746"/>
    </row>
    <row r="173" spans="1:127" s="382" customFormat="1" ht="15.75" customHeight="1">
      <c r="A173" s="1066" t="s">
        <v>1143</v>
      </c>
      <c r="B173" s="1026">
        <v>164</v>
      </c>
      <c r="C173" s="987"/>
      <c r="D173" s="987"/>
      <c r="E173" s="987"/>
      <c r="F173" s="987"/>
      <c r="G173" s="987"/>
      <c r="H173" s="987"/>
      <c r="I173" s="987"/>
      <c r="J173" s="987"/>
      <c r="K173" s="987"/>
      <c r="L173" s="987"/>
      <c r="M173" s="1026"/>
      <c r="N173" s="987"/>
      <c r="O173" s="987"/>
      <c r="P173" s="987"/>
      <c r="Q173" s="987"/>
      <c r="R173" s="987"/>
      <c r="S173" s="987"/>
      <c r="T173" s="988"/>
      <c r="U173" s="1067" t="s">
        <v>1529</v>
      </c>
      <c r="V173" s="1068" t="s">
        <v>2691</v>
      </c>
      <c r="W173" s="1068" t="s">
        <v>2217</v>
      </c>
      <c r="X173" s="1069" t="s">
        <v>2785</v>
      </c>
      <c r="Y173" s="1070" t="s">
        <v>2786</v>
      </c>
      <c r="Z173" s="1071" t="s">
        <v>2787</v>
      </c>
      <c r="AA173" s="1072" t="s">
        <v>2260</v>
      </c>
      <c r="AB173" s="1073" t="s">
        <v>2260</v>
      </c>
      <c r="AC173" s="1073">
        <v>1</v>
      </c>
      <c r="AD173" s="1073" t="s">
        <v>2260</v>
      </c>
      <c r="AE173" s="1073" t="s">
        <v>2260</v>
      </c>
      <c r="AF173" s="1073" t="s">
        <v>2260</v>
      </c>
      <c r="AG173" s="1073" t="s">
        <v>2260</v>
      </c>
      <c r="AH173" s="1073" t="s">
        <v>2260</v>
      </c>
      <c r="AI173" s="1074">
        <f t="shared" si="2"/>
        <v>1</v>
      </c>
      <c r="AJ173" s="1075" t="s">
        <v>1852</v>
      </c>
      <c r="AK173" s="1075" t="s">
        <v>1826</v>
      </c>
      <c r="AL173" s="1075" t="s">
        <v>1827</v>
      </c>
      <c r="AM173" s="1076" t="s">
        <v>2387</v>
      </c>
      <c r="AN173" s="987" t="s">
        <v>321</v>
      </c>
      <c r="AO173" s="987" t="s">
        <v>2788</v>
      </c>
      <c r="AP173" s="802">
        <v>2</v>
      </c>
      <c r="AQ173" s="1045" t="s">
        <v>1828</v>
      </c>
      <c r="AR173" s="1078" t="s">
        <v>2260</v>
      </c>
      <c r="AS173" s="1079"/>
      <c r="AT173" s="1069"/>
      <c r="AU173" s="1069"/>
      <c r="AV173" s="1069"/>
      <c r="AW173" s="1080"/>
      <c r="AX173" s="1081"/>
      <c r="AY173" s="1044"/>
      <c r="AZ173" s="1045"/>
      <c r="BA173" s="1045"/>
      <c r="BB173" s="1045"/>
      <c r="BC173" s="1045"/>
      <c r="BD173" s="1045"/>
      <c r="BE173" s="1045"/>
      <c r="BF173" s="1045"/>
      <c r="BG173" s="1045"/>
      <c r="BH173" s="1045"/>
      <c r="BI173" s="1369"/>
      <c r="BJ173" s="1319"/>
      <c r="BK173" s="1319"/>
      <c r="BL173" s="1319"/>
      <c r="BM173" s="1319"/>
      <c r="BN173" s="1044"/>
      <c r="BO173" s="1045"/>
      <c r="BP173" s="1045"/>
      <c r="BQ173" s="1045"/>
      <c r="BR173" s="1045"/>
      <c r="BS173" s="1084"/>
      <c r="BT173" s="1045"/>
      <c r="BU173" s="1045"/>
      <c r="BV173" s="1045"/>
      <c r="BW173" s="1085"/>
      <c r="BX173" s="1084"/>
      <c r="BY173" s="1045"/>
      <c r="BZ173" s="1045"/>
      <c r="CA173" s="1045"/>
      <c r="CB173" s="1085"/>
      <c r="CC173" s="1086"/>
      <c r="CD173" s="1327"/>
      <c r="CE173" s="1328"/>
      <c r="CF173" s="1328"/>
      <c r="CG173" s="1328"/>
      <c r="CH173" s="1389"/>
      <c r="CI173" s="1369"/>
      <c r="CJ173" s="1319"/>
      <c r="CK173" s="1319"/>
      <c r="CL173" s="1319"/>
      <c r="CM173" s="1320"/>
      <c r="CN173" s="1369"/>
      <c r="CO173" s="1319"/>
      <c r="CP173" s="1319"/>
      <c r="CQ173" s="1319"/>
      <c r="CR173" s="1320"/>
      <c r="CS173" s="1369"/>
      <c r="CT173" s="1319"/>
      <c r="CU173" s="1319"/>
      <c r="CV173" s="1319"/>
      <c r="CW173" s="1320"/>
      <c r="CX173" s="1369"/>
      <c r="CY173" s="1319"/>
      <c r="CZ173" s="1319"/>
      <c r="DA173" s="1319"/>
      <c r="DB173" s="1320"/>
      <c r="DC173" s="1319"/>
      <c r="DD173" s="1319"/>
      <c r="DE173" s="1319"/>
      <c r="DF173" s="1319"/>
      <c r="DG173" s="1320"/>
      <c r="DH173" s="1369"/>
      <c r="DI173" s="1319"/>
      <c r="DJ173" s="1319"/>
      <c r="DK173" s="1319"/>
      <c r="DL173" s="1320"/>
      <c r="DM173" s="1743"/>
      <c r="DN173" s="1744"/>
      <c r="DO173" s="1744"/>
      <c r="DP173" s="1745"/>
      <c r="DQ173" s="1744"/>
      <c r="DR173" s="1744"/>
      <c r="DS173" s="1744"/>
      <c r="DT173" s="1745"/>
      <c r="DU173" s="1328"/>
      <c r="DV173" s="1664"/>
      <c r="DW173" s="1746"/>
    </row>
    <row r="174" spans="1:127" s="382" customFormat="1" ht="15.75" customHeight="1">
      <c r="A174" s="1066" t="s">
        <v>1143</v>
      </c>
      <c r="B174" s="1026">
        <v>165</v>
      </c>
      <c r="C174" s="987"/>
      <c r="D174" s="987"/>
      <c r="E174" s="987"/>
      <c r="F174" s="987"/>
      <c r="G174" s="987"/>
      <c r="H174" s="987"/>
      <c r="I174" s="987"/>
      <c r="J174" s="987"/>
      <c r="K174" s="987"/>
      <c r="L174" s="987"/>
      <c r="M174" s="1026"/>
      <c r="N174" s="987"/>
      <c r="O174" s="987"/>
      <c r="P174" s="987"/>
      <c r="Q174" s="987"/>
      <c r="R174" s="987"/>
      <c r="S174" s="987"/>
      <c r="T174" s="988"/>
      <c r="U174" s="1067" t="s">
        <v>1442</v>
      </c>
      <c r="V174" s="1068" t="s">
        <v>2789</v>
      </c>
      <c r="W174" s="1068" t="s">
        <v>2231</v>
      </c>
      <c r="X174" s="1069" t="s">
        <v>2790</v>
      </c>
      <c r="Y174" s="1070" t="s">
        <v>2791</v>
      </c>
      <c r="Z174" s="1071" t="s">
        <v>2792</v>
      </c>
      <c r="AA174" s="1072">
        <v>0.122</v>
      </c>
      <c r="AB174" s="1073">
        <v>0.501</v>
      </c>
      <c r="AC174" s="1073">
        <v>0.377</v>
      </c>
      <c r="AD174" s="1073" t="s">
        <v>2260</v>
      </c>
      <c r="AE174" s="1073" t="s">
        <v>2260</v>
      </c>
      <c r="AF174" s="1073" t="s">
        <v>2260</v>
      </c>
      <c r="AG174" s="1073" t="s">
        <v>2260</v>
      </c>
      <c r="AH174" s="1073" t="s">
        <v>2260</v>
      </c>
      <c r="AI174" s="1074">
        <f t="shared" si="2"/>
        <v>1</v>
      </c>
      <c r="AJ174" s="1075" t="s">
        <v>1852</v>
      </c>
      <c r="AK174" s="1075" t="s">
        <v>1826</v>
      </c>
      <c r="AL174" s="1075" t="s">
        <v>1827</v>
      </c>
      <c r="AM174" s="1076" t="s">
        <v>2387</v>
      </c>
      <c r="AN174" s="987" t="s">
        <v>1857</v>
      </c>
      <c r="AO174" s="987" t="s">
        <v>2793</v>
      </c>
      <c r="AP174" s="802">
        <v>1</v>
      </c>
      <c r="AQ174" s="1045" t="s">
        <v>1828</v>
      </c>
      <c r="AR174" s="1078" t="s">
        <v>2260</v>
      </c>
      <c r="AS174" s="1079"/>
      <c r="AT174" s="1069"/>
      <c r="AU174" s="1069"/>
      <c r="AV174" s="1069"/>
      <c r="AW174" s="1080"/>
      <c r="AX174" s="1081"/>
      <c r="AY174" s="1044"/>
      <c r="AZ174" s="1045"/>
      <c r="BA174" s="1045"/>
      <c r="BB174" s="1045"/>
      <c r="BC174" s="1045"/>
      <c r="BD174" s="1045"/>
      <c r="BE174" s="1045"/>
      <c r="BF174" s="1045"/>
      <c r="BG174" s="1045"/>
      <c r="BH174" s="1045"/>
      <c r="BI174" s="1369"/>
      <c r="BJ174" s="1319"/>
      <c r="BK174" s="1319"/>
      <c r="BL174" s="1319"/>
      <c r="BM174" s="1319"/>
      <c r="BN174" s="1044"/>
      <c r="BO174" s="1045"/>
      <c r="BP174" s="1045"/>
      <c r="BQ174" s="1045"/>
      <c r="BR174" s="1045"/>
      <c r="BS174" s="1084"/>
      <c r="BT174" s="1045"/>
      <c r="BU174" s="1045"/>
      <c r="BV174" s="1045"/>
      <c r="BW174" s="1085"/>
      <c r="BX174" s="1084"/>
      <c r="BY174" s="1045"/>
      <c r="BZ174" s="1045"/>
      <c r="CA174" s="1045"/>
      <c r="CB174" s="1085"/>
      <c r="CC174" s="1086"/>
      <c r="CD174" s="1327"/>
      <c r="CE174" s="1328"/>
      <c r="CF174" s="1328"/>
      <c r="CG174" s="1328"/>
      <c r="CH174" s="1389"/>
      <c r="CI174" s="1369"/>
      <c r="CJ174" s="1319"/>
      <c r="CK174" s="1319"/>
      <c r="CL174" s="1319"/>
      <c r="CM174" s="1320"/>
      <c r="CN174" s="1369"/>
      <c r="CO174" s="1319"/>
      <c r="CP174" s="1319"/>
      <c r="CQ174" s="1319"/>
      <c r="CR174" s="1320"/>
      <c r="CS174" s="1369"/>
      <c r="CT174" s="1319"/>
      <c r="CU174" s="1319"/>
      <c r="CV174" s="1319"/>
      <c r="CW174" s="1320"/>
      <c r="CX174" s="1369"/>
      <c r="CY174" s="1319"/>
      <c r="CZ174" s="1319"/>
      <c r="DA174" s="1319"/>
      <c r="DB174" s="1320"/>
      <c r="DC174" s="1319"/>
      <c r="DD174" s="1319"/>
      <c r="DE174" s="1319"/>
      <c r="DF174" s="1319"/>
      <c r="DG174" s="1320"/>
      <c r="DH174" s="1369"/>
      <c r="DI174" s="1319"/>
      <c r="DJ174" s="1319"/>
      <c r="DK174" s="1319"/>
      <c r="DL174" s="1320"/>
      <c r="DM174" s="1743"/>
      <c r="DN174" s="1744"/>
      <c r="DO174" s="1744"/>
      <c r="DP174" s="1745"/>
      <c r="DQ174" s="1744"/>
      <c r="DR174" s="1744"/>
      <c r="DS174" s="1744"/>
      <c r="DT174" s="1745"/>
      <c r="DU174" s="1328"/>
      <c r="DV174" s="1664"/>
      <c r="DW174" s="1746"/>
    </row>
    <row r="175" spans="1:127" s="382" customFormat="1" ht="15.75" customHeight="1">
      <c r="A175" s="1066" t="s">
        <v>1143</v>
      </c>
      <c r="B175" s="1026">
        <v>166</v>
      </c>
      <c r="C175" s="987"/>
      <c r="D175" s="987"/>
      <c r="E175" s="987"/>
      <c r="F175" s="987"/>
      <c r="G175" s="987"/>
      <c r="H175" s="987"/>
      <c r="I175" s="987"/>
      <c r="J175" s="987"/>
      <c r="K175" s="987"/>
      <c r="L175" s="987"/>
      <c r="M175" s="1026"/>
      <c r="N175" s="987"/>
      <c r="O175" s="987"/>
      <c r="P175" s="987"/>
      <c r="Q175" s="987"/>
      <c r="R175" s="987"/>
      <c r="S175" s="987"/>
      <c r="T175" s="988"/>
      <c r="U175" s="1067" t="s">
        <v>1456</v>
      </c>
      <c r="V175" s="1068" t="s">
        <v>2789</v>
      </c>
      <c r="W175" s="1068" t="s">
        <v>2217</v>
      </c>
      <c r="X175" s="1069" t="s">
        <v>2794</v>
      </c>
      <c r="Y175" s="1070" t="s">
        <v>2795</v>
      </c>
      <c r="Z175" s="1071" t="s">
        <v>2796</v>
      </c>
      <c r="AA175" s="1072">
        <v>0.11</v>
      </c>
      <c r="AB175" s="1073">
        <v>0.44900000000000001</v>
      </c>
      <c r="AC175" s="1073">
        <v>0.33800000000000002</v>
      </c>
      <c r="AD175" s="1073">
        <v>2.9000000000000001E-2</v>
      </c>
      <c r="AE175" s="1073">
        <v>7.3999999999999996E-2</v>
      </c>
      <c r="AF175" s="1073" t="s">
        <v>2260</v>
      </c>
      <c r="AG175" s="1073" t="s">
        <v>2260</v>
      </c>
      <c r="AH175" s="1073" t="s">
        <v>2260</v>
      </c>
      <c r="AI175" s="1074">
        <f t="shared" si="2"/>
        <v>1</v>
      </c>
      <c r="AJ175" s="1075" t="s">
        <v>1852</v>
      </c>
      <c r="AK175" s="1075" t="s">
        <v>1826</v>
      </c>
      <c r="AL175" s="1075" t="s">
        <v>1827</v>
      </c>
      <c r="AM175" s="1076" t="s">
        <v>2408</v>
      </c>
      <c r="AN175" s="987" t="s">
        <v>2797</v>
      </c>
      <c r="AO175" s="987" t="s">
        <v>2798</v>
      </c>
      <c r="AP175" s="802">
        <v>0</v>
      </c>
      <c r="AQ175" s="1045" t="s">
        <v>1838</v>
      </c>
      <c r="AR175" s="1078" t="s">
        <v>2260</v>
      </c>
      <c r="AS175" s="1079"/>
      <c r="AT175" s="1069"/>
      <c r="AU175" s="1069"/>
      <c r="AV175" s="1069"/>
      <c r="AW175" s="1080"/>
      <c r="AX175" s="1081"/>
      <c r="AY175" s="1044"/>
      <c r="AZ175" s="1045"/>
      <c r="BA175" s="1045"/>
      <c r="BB175" s="1045"/>
      <c r="BC175" s="1045"/>
      <c r="BD175" s="1045"/>
      <c r="BE175" s="1045"/>
      <c r="BF175" s="1045"/>
      <c r="BG175" s="1045"/>
      <c r="BH175" s="1045"/>
      <c r="BI175" s="1369"/>
      <c r="BJ175" s="1319"/>
      <c r="BK175" s="1319"/>
      <c r="BL175" s="1319"/>
      <c r="BM175" s="1319"/>
      <c r="BN175" s="1044"/>
      <c r="BO175" s="1045"/>
      <c r="BP175" s="1045"/>
      <c r="BQ175" s="1045"/>
      <c r="BR175" s="1045"/>
      <c r="BS175" s="1084"/>
      <c r="BT175" s="1045"/>
      <c r="BU175" s="1045"/>
      <c r="BV175" s="1045"/>
      <c r="BW175" s="1085"/>
      <c r="BX175" s="1084"/>
      <c r="BY175" s="1045"/>
      <c r="BZ175" s="1045"/>
      <c r="CA175" s="1045"/>
      <c r="CB175" s="1085"/>
      <c r="CC175" s="1086"/>
      <c r="CD175" s="1327"/>
      <c r="CE175" s="1328"/>
      <c r="CF175" s="1328"/>
      <c r="CG175" s="1328"/>
      <c r="CH175" s="1389"/>
      <c r="CI175" s="1369"/>
      <c r="CJ175" s="1319"/>
      <c r="CK175" s="1319"/>
      <c r="CL175" s="1319"/>
      <c r="CM175" s="1320"/>
      <c r="CN175" s="1369"/>
      <c r="CO175" s="1319"/>
      <c r="CP175" s="1319"/>
      <c r="CQ175" s="1319"/>
      <c r="CR175" s="1320"/>
      <c r="CS175" s="1369"/>
      <c r="CT175" s="1319"/>
      <c r="CU175" s="1319"/>
      <c r="CV175" s="1319"/>
      <c r="CW175" s="1320"/>
      <c r="CX175" s="1369"/>
      <c r="CY175" s="1319"/>
      <c r="CZ175" s="1319"/>
      <c r="DA175" s="1319"/>
      <c r="DB175" s="1320"/>
      <c r="DC175" s="1319"/>
      <c r="DD175" s="1319"/>
      <c r="DE175" s="1319"/>
      <c r="DF175" s="1319"/>
      <c r="DG175" s="1320"/>
      <c r="DH175" s="1369"/>
      <c r="DI175" s="1319"/>
      <c r="DJ175" s="1319"/>
      <c r="DK175" s="1319"/>
      <c r="DL175" s="1320"/>
      <c r="DM175" s="1743"/>
      <c r="DN175" s="1744"/>
      <c r="DO175" s="1744"/>
      <c r="DP175" s="1745"/>
      <c r="DQ175" s="1744"/>
      <c r="DR175" s="1744"/>
      <c r="DS175" s="1744"/>
      <c r="DT175" s="1745"/>
      <c r="DU175" s="1328"/>
      <c r="DV175" s="1664"/>
      <c r="DW175" s="1746"/>
    </row>
    <row r="176" spans="1:127" s="382" customFormat="1" ht="15.75" customHeight="1">
      <c r="A176" s="1066" t="s">
        <v>1143</v>
      </c>
      <c r="B176" s="1026">
        <v>167</v>
      </c>
      <c r="C176" s="987"/>
      <c r="D176" s="987"/>
      <c r="E176" s="987"/>
      <c r="F176" s="987"/>
      <c r="G176" s="987"/>
      <c r="H176" s="987"/>
      <c r="I176" s="987"/>
      <c r="J176" s="987"/>
      <c r="K176" s="987"/>
      <c r="L176" s="987"/>
      <c r="M176" s="1026"/>
      <c r="N176" s="987"/>
      <c r="O176" s="987"/>
      <c r="P176" s="987"/>
      <c r="Q176" s="987"/>
      <c r="R176" s="987"/>
      <c r="S176" s="987"/>
      <c r="T176" s="988"/>
      <c r="U176" s="1067" t="s">
        <v>1685</v>
      </c>
      <c r="V176" s="1068" t="s">
        <v>2789</v>
      </c>
      <c r="W176" s="1068" t="s">
        <v>2231</v>
      </c>
      <c r="X176" s="1069" t="s">
        <v>2799</v>
      </c>
      <c r="Y176" s="1070" t="s">
        <v>2800</v>
      </c>
      <c r="Z176" s="1071" t="s">
        <v>2801</v>
      </c>
      <c r="AA176" s="1072" t="s">
        <v>2260</v>
      </c>
      <c r="AB176" s="1073" t="s">
        <v>2260</v>
      </c>
      <c r="AC176" s="1073" t="s">
        <v>2260</v>
      </c>
      <c r="AD176" s="1073">
        <v>1</v>
      </c>
      <c r="AE176" s="1073" t="s">
        <v>2260</v>
      </c>
      <c r="AF176" s="1073" t="s">
        <v>2260</v>
      </c>
      <c r="AG176" s="1073" t="s">
        <v>2260</v>
      </c>
      <c r="AH176" s="1073" t="s">
        <v>2260</v>
      </c>
      <c r="AI176" s="1074">
        <f t="shared" si="2"/>
        <v>1</v>
      </c>
      <c r="AJ176" s="1075" t="s">
        <v>1825</v>
      </c>
      <c r="AK176" s="1075" t="s">
        <v>2260</v>
      </c>
      <c r="AL176" s="1075" t="s">
        <v>2260</v>
      </c>
      <c r="AM176" s="1076" t="s">
        <v>815</v>
      </c>
      <c r="AN176" s="987" t="s">
        <v>321</v>
      </c>
      <c r="AO176" s="987" t="s">
        <v>2802</v>
      </c>
      <c r="AP176" s="802">
        <v>1</v>
      </c>
      <c r="AQ176" s="1045" t="s">
        <v>1828</v>
      </c>
      <c r="AR176" s="1078" t="s">
        <v>2260</v>
      </c>
      <c r="AS176" s="1079"/>
      <c r="AT176" s="1069"/>
      <c r="AU176" s="1069"/>
      <c r="AV176" s="1069"/>
      <c r="AW176" s="1080"/>
      <c r="AX176" s="1081"/>
      <c r="AY176" s="1044"/>
      <c r="AZ176" s="1045"/>
      <c r="BA176" s="1045"/>
      <c r="BB176" s="1045"/>
      <c r="BC176" s="1045"/>
      <c r="BD176" s="1045"/>
      <c r="BE176" s="1045"/>
      <c r="BF176" s="1045"/>
      <c r="BG176" s="1045"/>
      <c r="BH176" s="1045"/>
      <c r="BI176" s="1369"/>
      <c r="BJ176" s="1319"/>
      <c r="BK176" s="1319"/>
      <c r="BL176" s="1319"/>
      <c r="BM176" s="1319"/>
      <c r="BN176" s="1044"/>
      <c r="BO176" s="1045"/>
      <c r="BP176" s="1045"/>
      <c r="BQ176" s="1045"/>
      <c r="BR176" s="1045"/>
      <c r="BS176" s="1084"/>
      <c r="BT176" s="1045"/>
      <c r="BU176" s="1045"/>
      <c r="BV176" s="1045"/>
      <c r="BW176" s="1085"/>
      <c r="BX176" s="1084"/>
      <c r="BY176" s="1045"/>
      <c r="BZ176" s="1045"/>
      <c r="CA176" s="1045"/>
      <c r="CB176" s="1085"/>
      <c r="CC176" s="1086"/>
      <c r="CD176" s="1327"/>
      <c r="CE176" s="1328"/>
      <c r="CF176" s="1328"/>
      <c r="CG176" s="1328"/>
      <c r="CH176" s="1389"/>
      <c r="CI176" s="1369"/>
      <c r="CJ176" s="1319"/>
      <c r="CK176" s="1319"/>
      <c r="CL176" s="1319"/>
      <c r="CM176" s="1320"/>
      <c r="CN176" s="1369"/>
      <c r="CO176" s="1319"/>
      <c r="CP176" s="1319"/>
      <c r="CQ176" s="1319"/>
      <c r="CR176" s="1320"/>
      <c r="CS176" s="1369"/>
      <c r="CT176" s="1319"/>
      <c r="CU176" s="1319"/>
      <c r="CV176" s="1319"/>
      <c r="CW176" s="1320"/>
      <c r="CX176" s="1369"/>
      <c r="CY176" s="1319"/>
      <c r="CZ176" s="1319"/>
      <c r="DA176" s="1319"/>
      <c r="DB176" s="1320"/>
      <c r="DC176" s="1319"/>
      <c r="DD176" s="1319"/>
      <c r="DE176" s="1319"/>
      <c r="DF176" s="1319"/>
      <c r="DG176" s="1320"/>
      <c r="DH176" s="1369"/>
      <c r="DI176" s="1319"/>
      <c r="DJ176" s="1319"/>
      <c r="DK176" s="1319"/>
      <c r="DL176" s="1320"/>
      <c r="DM176" s="1743"/>
      <c r="DN176" s="1744"/>
      <c r="DO176" s="1744"/>
      <c r="DP176" s="1745"/>
      <c r="DQ176" s="1744"/>
      <c r="DR176" s="1744"/>
      <c r="DS176" s="1744"/>
      <c r="DT176" s="1745"/>
      <c r="DU176" s="1328"/>
      <c r="DV176" s="1664"/>
      <c r="DW176" s="1746"/>
    </row>
    <row r="177" spans="1:127" s="382" customFormat="1" ht="15.75" customHeight="1">
      <c r="A177" s="1066" t="s">
        <v>1143</v>
      </c>
      <c r="B177" s="1026">
        <v>168</v>
      </c>
      <c r="C177" s="987"/>
      <c r="D177" s="987"/>
      <c r="E177" s="987"/>
      <c r="F177" s="987"/>
      <c r="G177" s="987"/>
      <c r="H177" s="987"/>
      <c r="I177" s="987"/>
      <c r="J177" s="987"/>
      <c r="K177" s="987"/>
      <c r="L177" s="987"/>
      <c r="M177" s="1026"/>
      <c r="N177" s="987"/>
      <c r="O177" s="987"/>
      <c r="P177" s="987"/>
      <c r="Q177" s="987"/>
      <c r="R177" s="987"/>
      <c r="S177" s="987"/>
      <c r="T177" s="988"/>
      <c r="U177" s="1067" t="s">
        <v>1697</v>
      </c>
      <c r="V177" s="1068" t="s">
        <v>2716</v>
      </c>
      <c r="W177" s="1068" t="s">
        <v>2231</v>
      </c>
      <c r="X177" s="1069" t="s">
        <v>2803</v>
      </c>
      <c r="Y177" s="1070" t="s">
        <v>2804</v>
      </c>
      <c r="Z177" s="1071" t="s">
        <v>2805</v>
      </c>
      <c r="AA177" s="1072" t="s">
        <v>2260</v>
      </c>
      <c r="AB177" s="1073" t="s">
        <v>2260</v>
      </c>
      <c r="AC177" s="1073" t="s">
        <v>2260</v>
      </c>
      <c r="AD177" s="1073" t="s">
        <v>2260</v>
      </c>
      <c r="AE177" s="1073">
        <v>1</v>
      </c>
      <c r="AF177" s="1073" t="s">
        <v>2260</v>
      </c>
      <c r="AG177" s="1073" t="s">
        <v>2260</v>
      </c>
      <c r="AH177" s="1073" t="s">
        <v>2260</v>
      </c>
      <c r="AI177" s="1074">
        <f t="shared" si="2"/>
        <v>1</v>
      </c>
      <c r="AJ177" s="1075" t="s">
        <v>1825</v>
      </c>
      <c r="AK177" s="1075" t="s">
        <v>2260</v>
      </c>
      <c r="AL177" s="1075" t="s">
        <v>2260</v>
      </c>
      <c r="AM177" s="1076" t="s">
        <v>2396</v>
      </c>
      <c r="AN177" s="987" t="s">
        <v>1857</v>
      </c>
      <c r="AO177" s="987" t="s">
        <v>2720</v>
      </c>
      <c r="AP177" s="802">
        <v>1</v>
      </c>
      <c r="AQ177" s="1045" t="s">
        <v>1828</v>
      </c>
      <c r="AR177" s="1078" t="s">
        <v>2260</v>
      </c>
      <c r="AS177" s="1079"/>
      <c r="AT177" s="1069"/>
      <c r="AU177" s="1069"/>
      <c r="AV177" s="1069"/>
      <c r="AW177" s="1080"/>
      <c r="AX177" s="1081"/>
      <c r="AY177" s="1044"/>
      <c r="AZ177" s="1045"/>
      <c r="BA177" s="1045"/>
      <c r="BB177" s="1045"/>
      <c r="BC177" s="1045"/>
      <c r="BD177" s="1045"/>
      <c r="BE177" s="1045"/>
      <c r="BF177" s="1045"/>
      <c r="BG177" s="1045"/>
      <c r="BH177" s="1045"/>
      <c r="BI177" s="1369"/>
      <c r="BJ177" s="1319"/>
      <c r="BK177" s="1319"/>
      <c r="BL177" s="1319"/>
      <c r="BM177" s="1319"/>
      <c r="BN177" s="1044"/>
      <c r="BO177" s="1045"/>
      <c r="BP177" s="1045"/>
      <c r="BQ177" s="1045"/>
      <c r="BR177" s="1045"/>
      <c r="BS177" s="1084"/>
      <c r="BT177" s="1045"/>
      <c r="BU177" s="1045"/>
      <c r="BV177" s="1045"/>
      <c r="BW177" s="1085"/>
      <c r="BX177" s="1084"/>
      <c r="BY177" s="1045"/>
      <c r="BZ177" s="1045"/>
      <c r="CA177" s="1045"/>
      <c r="CB177" s="1085"/>
      <c r="CC177" s="1086"/>
      <c r="CD177" s="1327"/>
      <c r="CE177" s="1328"/>
      <c r="CF177" s="1328"/>
      <c r="CG177" s="1328"/>
      <c r="CH177" s="1389"/>
      <c r="CI177" s="1369"/>
      <c r="CJ177" s="1319"/>
      <c r="CK177" s="1319"/>
      <c r="CL177" s="1319"/>
      <c r="CM177" s="1320"/>
      <c r="CN177" s="1369"/>
      <c r="CO177" s="1319"/>
      <c r="CP177" s="1319"/>
      <c r="CQ177" s="1319"/>
      <c r="CR177" s="1320"/>
      <c r="CS177" s="1369"/>
      <c r="CT177" s="1319"/>
      <c r="CU177" s="1319"/>
      <c r="CV177" s="1319"/>
      <c r="CW177" s="1320"/>
      <c r="CX177" s="1369"/>
      <c r="CY177" s="1319"/>
      <c r="CZ177" s="1319"/>
      <c r="DA177" s="1319"/>
      <c r="DB177" s="1320"/>
      <c r="DC177" s="1319"/>
      <c r="DD177" s="1319"/>
      <c r="DE177" s="1319"/>
      <c r="DF177" s="1319"/>
      <c r="DG177" s="1320"/>
      <c r="DH177" s="1369"/>
      <c r="DI177" s="1319"/>
      <c r="DJ177" s="1319"/>
      <c r="DK177" s="1319"/>
      <c r="DL177" s="1320"/>
      <c r="DM177" s="1743"/>
      <c r="DN177" s="1744"/>
      <c r="DO177" s="1744"/>
      <c r="DP177" s="1745"/>
      <c r="DQ177" s="1744"/>
      <c r="DR177" s="1744"/>
      <c r="DS177" s="1744"/>
      <c r="DT177" s="1745"/>
      <c r="DU177" s="1328"/>
      <c r="DV177" s="1664"/>
      <c r="DW177" s="1746"/>
    </row>
    <row r="178" spans="1:127" s="382" customFormat="1" ht="15.75" customHeight="1">
      <c r="A178" s="1066" t="s">
        <v>1143</v>
      </c>
      <c r="B178" s="1026">
        <v>169</v>
      </c>
      <c r="C178" s="987"/>
      <c r="D178" s="987"/>
      <c r="E178" s="987"/>
      <c r="F178" s="987"/>
      <c r="G178" s="987"/>
      <c r="H178" s="987"/>
      <c r="I178" s="987"/>
      <c r="J178" s="987"/>
      <c r="K178" s="987"/>
      <c r="L178" s="987"/>
      <c r="M178" s="1026"/>
      <c r="N178" s="987"/>
      <c r="O178" s="987"/>
      <c r="P178" s="987"/>
      <c r="Q178" s="987"/>
      <c r="R178" s="987"/>
      <c r="S178" s="987"/>
      <c r="T178" s="988"/>
      <c r="U178" s="1067" t="s">
        <v>1707</v>
      </c>
      <c r="V178" s="1068" t="s">
        <v>2716</v>
      </c>
      <c r="W178" s="1068" t="s">
        <v>2231</v>
      </c>
      <c r="X178" s="1069" t="s">
        <v>2806</v>
      </c>
      <c r="Y178" s="1070" t="s">
        <v>2807</v>
      </c>
      <c r="Z178" s="1071" t="s">
        <v>2808</v>
      </c>
      <c r="AA178" s="1072" t="s">
        <v>2260</v>
      </c>
      <c r="AB178" s="1073" t="s">
        <v>2260</v>
      </c>
      <c r="AC178" s="1073" t="s">
        <v>2260</v>
      </c>
      <c r="AD178" s="1073" t="s">
        <v>2260</v>
      </c>
      <c r="AE178" s="1073">
        <v>1</v>
      </c>
      <c r="AF178" s="1073" t="s">
        <v>2260</v>
      </c>
      <c r="AG178" s="1073" t="s">
        <v>2260</v>
      </c>
      <c r="AH178" s="1073" t="s">
        <v>2260</v>
      </c>
      <c r="AI178" s="1074">
        <f t="shared" si="2"/>
        <v>1</v>
      </c>
      <c r="AJ178" s="1075" t="s">
        <v>1825</v>
      </c>
      <c r="AK178" s="1075" t="s">
        <v>2260</v>
      </c>
      <c r="AL178" s="1075" t="s">
        <v>2260</v>
      </c>
      <c r="AM178" s="1076" t="s">
        <v>2610</v>
      </c>
      <c r="AN178" s="987" t="s">
        <v>321</v>
      </c>
      <c r="AO178" s="987" t="s">
        <v>2809</v>
      </c>
      <c r="AP178" s="802">
        <v>1</v>
      </c>
      <c r="AQ178" s="1045" t="s">
        <v>1828</v>
      </c>
      <c r="AR178" s="1078" t="s">
        <v>2260</v>
      </c>
      <c r="AS178" s="1079"/>
      <c r="AT178" s="1069"/>
      <c r="AU178" s="1069"/>
      <c r="AV178" s="1069"/>
      <c r="AW178" s="1080"/>
      <c r="AX178" s="1081"/>
      <c r="AY178" s="1044"/>
      <c r="AZ178" s="1045"/>
      <c r="BA178" s="1045"/>
      <c r="BB178" s="1045"/>
      <c r="BC178" s="1045"/>
      <c r="BD178" s="1045"/>
      <c r="BE178" s="1045"/>
      <c r="BF178" s="1045"/>
      <c r="BG178" s="1045"/>
      <c r="BH178" s="1045"/>
      <c r="BI178" s="1369"/>
      <c r="BJ178" s="1319"/>
      <c r="BK178" s="1319"/>
      <c r="BL178" s="1319"/>
      <c r="BM178" s="1319"/>
      <c r="BN178" s="1044"/>
      <c r="BO178" s="1045"/>
      <c r="BP178" s="1045"/>
      <c r="BQ178" s="1045"/>
      <c r="BR178" s="1045"/>
      <c r="BS178" s="1084"/>
      <c r="BT178" s="1045"/>
      <c r="BU178" s="1045"/>
      <c r="BV178" s="1045"/>
      <c r="BW178" s="1085"/>
      <c r="BX178" s="1084"/>
      <c r="BY178" s="1045"/>
      <c r="BZ178" s="1045"/>
      <c r="CA178" s="1045"/>
      <c r="CB178" s="1085"/>
      <c r="CC178" s="1086"/>
      <c r="CD178" s="1327"/>
      <c r="CE178" s="1328"/>
      <c r="CF178" s="1328"/>
      <c r="CG178" s="1328"/>
      <c r="CH178" s="1389"/>
      <c r="CI178" s="1369"/>
      <c r="CJ178" s="1319"/>
      <c r="CK178" s="1319"/>
      <c r="CL178" s="1319"/>
      <c r="CM178" s="1320"/>
      <c r="CN178" s="1369"/>
      <c r="CO178" s="1319"/>
      <c r="CP178" s="1319"/>
      <c r="CQ178" s="1319"/>
      <c r="CR178" s="1320"/>
      <c r="CS178" s="1369"/>
      <c r="CT178" s="1319"/>
      <c r="CU178" s="1319"/>
      <c r="CV178" s="1319"/>
      <c r="CW178" s="1320"/>
      <c r="CX178" s="1369"/>
      <c r="CY178" s="1319"/>
      <c r="CZ178" s="1319"/>
      <c r="DA178" s="1319"/>
      <c r="DB178" s="1320"/>
      <c r="DC178" s="1319"/>
      <c r="DD178" s="1319"/>
      <c r="DE178" s="1319"/>
      <c r="DF178" s="1319"/>
      <c r="DG178" s="1320"/>
      <c r="DH178" s="1369"/>
      <c r="DI178" s="1319"/>
      <c r="DJ178" s="1319"/>
      <c r="DK178" s="1319"/>
      <c r="DL178" s="1320"/>
      <c r="DM178" s="1743"/>
      <c r="DN178" s="1744"/>
      <c r="DO178" s="1744"/>
      <c r="DP178" s="1745"/>
      <c r="DQ178" s="1744"/>
      <c r="DR178" s="1744"/>
      <c r="DS178" s="1744"/>
      <c r="DT178" s="1745"/>
      <c r="DU178" s="1328"/>
      <c r="DV178" s="1664"/>
      <c r="DW178" s="1746"/>
    </row>
    <row r="179" spans="1:127" s="382" customFormat="1" ht="15.75" customHeight="1">
      <c r="A179" s="1066" t="s">
        <v>1143</v>
      </c>
      <c r="B179" s="1026">
        <v>170</v>
      </c>
      <c r="C179" s="987"/>
      <c r="D179" s="987"/>
      <c r="E179" s="987"/>
      <c r="F179" s="987"/>
      <c r="G179" s="987"/>
      <c r="H179" s="987"/>
      <c r="I179" s="987"/>
      <c r="J179" s="987"/>
      <c r="K179" s="987"/>
      <c r="L179" s="987"/>
      <c r="M179" s="1026"/>
      <c r="N179" s="987"/>
      <c r="O179" s="987"/>
      <c r="P179" s="987"/>
      <c r="Q179" s="987"/>
      <c r="R179" s="987"/>
      <c r="S179" s="987"/>
      <c r="T179" s="988"/>
      <c r="U179" s="1067" t="s">
        <v>1155</v>
      </c>
      <c r="V179" s="1068" t="s">
        <v>2716</v>
      </c>
      <c r="W179" s="1068" t="s">
        <v>2231</v>
      </c>
      <c r="X179" s="1069" t="s">
        <v>2810</v>
      </c>
      <c r="Y179" s="1070" t="s">
        <v>755</v>
      </c>
      <c r="Z179" s="1071" t="s">
        <v>2811</v>
      </c>
      <c r="AA179" s="1072" t="s">
        <v>2260</v>
      </c>
      <c r="AB179" s="1073" t="s">
        <v>2260</v>
      </c>
      <c r="AC179" s="1073" t="s">
        <v>2260</v>
      </c>
      <c r="AD179" s="1073" t="s">
        <v>2260</v>
      </c>
      <c r="AE179" s="1073">
        <v>1</v>
      </c>
      <c r="AF179" s="1073" t="s">
        <v>2260</v>
      </c>
      <c r="AG179" s="1073" t="s">
        <v>2260</v>
      </c>
      <c r="AH179" s="1073" t="s">
        <v>2260</v>
      </c>
      <c r="AI179" s="1074">
        <f t="shared" si="2"/>
        <v>1</v>
      </c>
      <c r="AJ179" s="1075" t="s">
        <v>1825</v>
      </c>
      <c r="AK179" s="1075" t="s">
        <v>2260</v>
      </c>
      <c r="AL179" s="1075" t="s">
        <v>2260</v>
      </c>
      <c r="AM179" s="1076" t="s">
        <v>2329</v>
      </c>
      <c r="AN179" s="987" t="s">
        <v>321</v>
      </c>
      <c r="AO179" s="987" t="s">
        <v>4424</v>
      </c>
      <c r="AP179" s="2042">
        <v>1</v>
      </c>
      <c r="AQ179" s="1045" t="s">
        <v>1828</v>
      </c>
      <c r="AR179" s="1078" t="s">
        <v>755</v>
      </c>
      <c r="AS179" s="1079"/>
      <c r="AT179" s="1069"/>
      <c r="AU179" s="1069"/>
      <c r="AV179" s="1069"/>
      <c r="AW179" s="1080"/>
      <c r="AX179" s="1081"/>
      <c r="AY179" s="1044"/>
      <c r="AZ179" s="1045"/>
      <c r="BA179" s="1045"/>
      <c r="BB179" s="1045"/>
      <c r="BC179" s="1045"/>
      <c r="BD179" s="1045"/>
      <c r="BE179" s="1045"/>
      <c r="BF179" s="1045"/>
      <c r="BG179" s="1045"/>
      <c r="BH179" s="1045"/>
      <c r="BI179" s="1044" t="s">
        <v>4455</v>
      </c>
      <c r="BJ179" s="1045" t="s">
        <v>4456</v>
      </c>
      <c r="BK179" s="1045" t="s">
        <v>4457</v>
      </c>
      <c r="BL179" s="1045" t="s">
        <v>4458</v>
      </c>
      <c r="BM179" s="1045" t="s">
        <v>4459</v>
      </c>
      <c r="BN179" s="1044"/>
      <c r="BO179" s="1045"/>
      <c r="BP179" s="1045"/>
      <c r="BQ179" s="1045"/>
      <c r="BR179" s="1045"/>
      <c r="BS179" s="1084"/>
      <c r="BT179" s="1045"/>
      <c r="BU179" s="1045"/>
      <c r="BV179" s="1045"/>
      <c r="BW179" s="1085"/>
      <c r="BX179" s="1084"/>
      <c r="BY179" s="1045"/>
      <c r="BZ179" s="1045"/>
      <c r="CA179" s="1045"/>
      <c r="CB179" s="1085"/>
      <c r="CC179" s="1086"/>
      <c r="CD179" s="1087" t="s">
        <v>2260</v>
      </c>
      <c r="CE179" s="1088" t="s">
        <v>2260</v>
      </c>
      <c r="CF179" s="1088" t="s">
        <v>2260</v>
      </c>
      <c r="CG179" s="1088" t="s">
        <v>2260</v>
      </c>
      <c r="CH179" s="1089" t="s">
        <v>2260</v>
      </c>
      <c r="CI179" s="1044" t="s">
        <v>2260</v>
      </c>
      <c r="CJ179" s="1045" t="s">
        <v>2260</v>
      </c>
      <c r="CK179" s="1045" t="s">
        <v>2260</v>
      </c>
      <c r="CL179" s="1045" t="s">
        <v>2260</v>
      </c>
      <c r="CM179" s="1086" t="s">
        <v>2260</v>
      </c>
      <c r="CN179" s="1044" t="s">
        <v>2260</v>
      </c>
      <c r="CO179" s="1045" t="s">
        <v>2260</v>
      </c>
      <c r="CP179" s="1045" t="s">
        <v>2260</v>
      </c>
      <c r="CQ179" s="1045" t="s">
        <v>2260</v>
      </c>
      <c r="CR179" s="1086" t="s">
        <v>2260</v>
      </c>
      <c r="CS179" s="1044" t="s">
        <v>2260</v>
      </c>
      <c r="CT179" s="1045" t="s">
        <v>2260</v>
      </c>
      <c r="CU179" s="1045" t="s">
        <v>2260</v>
      </c>
      <c r="CV179" s="1045" t="s">
        <v>2260</v>
      </c>
      <c r="CW179" s="1086" t="s">
        <v>2260</v>
      </c>
      <c r="CX179" s="1044" t="s">
        <v>2260</v>
      </c>
      <c r="CY179" s="1045" t="s">
        <v>2260</v>
      </c>
      <c r="CZ179" s="1045" t="s">
        <v>2260</v>
      </c>
      <c r="DA179" s="1045" t="s">
        <v>2260</v>
      </c>
      <c r="DB179" s="1086" t="s">
        <v>2260</v>
      </c>
      <c r="DC179" s="1045" t="s">
        <v>2260</v>
      </c>
      <c r="DD179" s="1045" t="s">
        <v>2260</v>
      </c>
      <c r="DE179" s="1045" t="s">
        <v>2260</v>
      </c>
      <c r="DF179" s="1045" t="s">
        <v>2260</v>
      </c>
      <c r="DG179" s="1086" t="s">
        <v>2260</v>
      </c>
      <c r="DH179" s="1044" t="s">
        <v>2260</v>
      </c>
      <c r="DI179" s="1045" t="s">
        <v>2260</v>
      </c>
      <c r="DJ179" s="1045" t="s">
        <v>2260</v>
      </c>
      <c r="DK179" s="1045" t="s">
        <v>2260</v>
      </c>
      <c r="DL179" s="1086" t="s">
        <v>2260</v>
      </c>
      <c r="DM179" s="1090" t="s">
        <v>2260</v>
      </c>
      <c r="DN179" s="1091" t="s">
        <v>2260</v>
      </c>
      <c r="DO179" s="1091" t="s">
        <v>2260</v>
      </c>
      <c r="DP179" s="1092" t="s">
        <v>2260</v>
      </c>
      <c r="DQ179" s="1091" t="s">
        <v>2260</v>
      </c>
      <c r="DR179" s="1091" t="s">
        <v>2260</v>
      </c>
      <c r="DS179" s="1091" t="s">
        <v>2260</v>
      </c>
      <c r="DT179" s="1092" t="s">
        <v>2260</v>
      </c>
      <c r="DU179" s="1088" t="s">
        <v>2260</v>
      </c>
      <c r="DV179" s="1093">
        <v>1</v>
      </c>
      <c r="DW179" s="1094" t="s">
        <v>2260</v>
      </c>
    </row>
    <row r="180" spans="1:127" s="382" customFormat="1" ht="15.75" customHeight="1">
      <c r="A180" s="1066" t="s">
        <v>1143</v>
      </c>
      <c r="B180" s="1026">
        <v>171</v>
      </c>
      <c r="C180" s="987"/>
      <c r="D180" s="987"/>
      <c r="E180" s="987"/>
      <c r="F180" s="987"/>
      <c r="G180" s="987"/>
      <c r="H180" s="987"/>
      <c r="I180" s="987"/>
      <c r="J180" s="987"/>
      <c r="K180" s="987"/>
      <c r="L180" s="987"/>
      <c r="M180" s="1026"/>
      <c r="N180" s="987"/>
      <c r="O180" s="987"/>
      <c r="P180" s="987"/>
      <c r="Q180" s="987"/>
      <c r="R180" s="987"/>
      <c r="S180" s="987"/>
      <c r="T180" s="988"/>
      <c r="U180" s="1067" t="s">
        <v>1716</v>
      </c>
      <c r="V180" s="1068" t="s">
        <v>2716</v>
      </c>
      <c r="W180" s="1068" t="s">
        <v>2231</v>
      </c>
      <c r="X180" s="1069" t="s">
        <v>2813</v>
      </c>
      <c r="Y180" s="1070" t="s">
        <v>2814</v>
      </c>
      <c r="Z180" s="1071" t="s">
        <v>2815</v>
      </c>
      <c r="AA180" s="1072" t="s">
        <v>2260</v>
      </c>
      <c r="AB180" s="1073" t="s">
        <v>2260</v>
      </c>
      <c r="AC180" s="1073" t="s">
        <v>2260</v>
      </c>
      <c r="AD180" s="1073" t="s">
        <v>2260</v>
      </c>
      <c r="AE180" s="1073">
        <v>1</v>
      </c>
      <c r="AF180" s="1073" t="s">
        <v>2260</v>
      </c>
      <c r="AG180" s="1073" t="s">
        <v>2260</v>
      </c>
      <c r="AH180" s="1073" t="s">
        <v>2260</v>
      </c>
      <c r="AI180" s="1074">
        <f t="shared" si="2"/>
        <v>1</v>
      </c>
      <c r="AJ180" s="1075" t="s">
        <v>1825</v>
      </c>
      <c r="AK180" s="1075" t="s">
        <v>2260</v>
      </c>
      <c r="AL180" s="1075" t="s">
        <v>2260</v>
      </c>
      <c r="AM180" s="1076" t="s">
        <v>2610</v>
      </c>
      <c r="AN180" s="987" t="s">
        <v>1890</v>
      </c>
      <c r="AO180" s="987" t="s">
        <v>2816</v>
      </c>
      <c r="AP180" s="2042">
        <v>0</v>
      </c>
      <c r="AQ180" s="1045" t="s">
        <v>1890</v>
      </c>
      <c r="AR180" s="1078" t="s">
        <v>2260</v>
      </c>
      <c r="AS180" s="1079"/>
      <c r="AT180" s="1069"/>
      <c r="AU180" s="1069"/>
      <c r="AV180" s="1069"/>
      <c r="AW180" s="1080"/>
      <c r="AX180" s="1081"/>
      <c r="AY180" s="1044"/>
      <c r="AZ180" s="1045"/>
      <c r="BA180" s="1045"/>
      <c r="BB180" s="1045"/>
      <c r="BC180" s="1045"/>
      <c r="BD180" s="1045"/>
      <c r="BE180" s="1045"/>
      <c r="BF180" s="1045"/>
      <c r="BG180" s="1045"/>
      <c r="BH180" s="1045"/>
      <c r="BI180" s="1369"/>
      <c r="BJ180" s="1319"/>
      <c r="BK180" s="1319"/>
      <c r="BL180" s="1319"/>
      <c r="BM180" s="1319"/>
      <c r="BN180" s="1044"/>
      <c r="BO180" s="1045"/>
      <c r="BP180" s="1045"/>
      <c r="BQ180" s="1045"/>
      <c r="BR180" s="1045"/>
      <c r="BS180" s="1084"/>
      <c r="BT180" s="1045"/>
      <c r="BU180" s="1045"/>
      <c r="BV180" s="1045"/>
      <c r="BW180" s="1085"/>
      <c r="BX180" s="1084"/>
      <c r="BY180" s="1045"/>
      <c r="BZ180" s="1045"/>
      <c r="CA180" s="1045"/>
      <c r="CB180" s="1085"/>
      <c r="CC180" s="1086"/>
      <c r="CD180" s="1327"/>
      <c r="CE180" s="1328"/>
      <c r="CF180" s="1328"/>
      <c r="CG180" s="1328"/>
      <c r="CH180" s="1389"/>
      <c r="CI180" s="1369"/>
      <c r="CJ180" s="1319"/>
      <c r="CK180" s="1319"/>
      <c r="CL180" s="1319"/>
      <c r="CM180" s="1320"/>
      <c r="CN180" s="1369"/>
      <c r="CO180" s="1319"/>
      <c r="CP180" s="1319"/>
      <c r="CQ180" s="1319"/>
      <c r="CR180" s="1320"/>
      <c r="CS180" s="1369"/>
      <c r="CT180" s="1319"/>
      <c r="CU180" s="1319"/>
      <c r="CV180" s="1319"/>
      <c r="CW180" s="1320"/>
      <c r="CX180" s="1369"/>
      <c r="CY180" s="1319"/>
      <c r="CZ180" s="1319"/>
      <c r="DA180" s="1319"/>
      <c r="DB180" s="1320"/>
      <c r="DC180" s="1319"/>
      <c r="DD180" s="1319"/>
      <c r="DE180" s="1319"/>
      <c r="DF180" s="1319"/>
      <c r="DG180" s="1320"/>
      <c r="DH180" s="1369"/>
      <c r="DI180" s="1319"/>
      <c r="DJ180" s="1319"/>
      <c r="DK180" s="1319"/>
      <c r="DL180" s="1320"/>
      <c r="DM180" s="1743"/>
      <c r="DN180" s="1744"/>
      <c r="DO180" s="1744"/>
      <c r="DP180" s="1745"/>
      <c r="DQ180" s="1744"/>
      <c r="DR180" s="1744"/>
      <c r="DS180" s="1744"/>
      <c r="DT180" s="1745"/>
      <c r="DU180" s="1328"/>
      <c r="DV180" s="1664"/>
      <c r="DW180" s="1746"/>
    </row>
    <row r="181" spans="1:127" s="382" customFormat="1" ht="15.75" customHeight="1">
      <c r="A181" s="1066" t="s">
        <v>1143</v>
      </c>
      <c r="B181" s="1026">
        <v>172</v>
      </c>
      <c r="C181" s="987"/>
      <c r="D181" s="987"/>
      <c r="E181" s="987"/>
      <c r="F181" s="987"/>
      <c r="G181" s="987"/>
      <c r="H181" s="987"/>
      <c r="I181" s="987"/>
      <c r="J181" s="987"/>
      <c r="K181" s="987"/>
      <c r="L181" s="987"/>
      <c r="M181" s="1026"/>
      <c r="N181" s="987"/>
      <c r="O181" s="987"/>
      <c r="P181" s="987"/>
      <c r="Q181" s="987"/>
      <c r="R181" s="987"/>
      <c r="S181" s="987"/>
      <c r="T181" s="988"/>
      <c r="U181" s="1067" t="s">
        <v>1466</v>
      </c>
      <c r="V181" s="1068" t="s">
        <v>2695</v>
      </c>
      <c r="W181" s="1068" t="s">
        <v>2231</v>
      </c>
      <c r="X181" s="1069" t="s">
        <v>2817</v>
      </c>
      <c r="Y181" s="1070" t="s">
        <v>2818</v>
      </c>
      <c r="Z181" s="1071" t="s">
        <v>2819</v>
      </c>
      <c r="AA181" s="1072" t="s">
        <v>2260</v>
      </c>
      <c r="AB181" s="1073">
        <v>1</v>
      </c>
      <c r="AC181" s="1073" t="s">
        <v>2260</v>
      </c>
      <c r="AD181" s="1073" t="s">
        <v>2260</v>
      </c>
      <c r="AE181" s="1073" t="s">
        <v>2260</v>
      </c>
      <c r="AF181" s="1073" t="s">
        <v>2260</v>
      </c>
      <c r="AG181" s="1073" t="s">
        <v>2260</v>
      </c>
      <c r="AH181" s="1073" t="s">
        <v>2260</v>
      </c>
      <c r="AI181" s="1074">
        <f t="shared" si="2"/>
        <v>1</v>
      </c>
      <c r="AJ181" s="1075" t="s">
        <v>1846</v>
      </c>
      <c r="AK181" s="1075" t="s">
        <v>1826</v>
      </c>
      <c r="AL181" s="1075" t="s">
        <v>1837</v>
      </c>
      <c r="AM181" s="1076" t="s">
        <v>2234</v>
      </c>
      <c r="AN181" s="987" t="s">
        <v>321</v>
      </c>
      <c r="AO181" s="987" t="s">
        <v>2820</v>
      </c>
      <c r="AP181" s="802">
        <v>1</v>
      </c>
      <c r="AQ181" s="1045" t="s">
        <v>1828</v>
      </c>
      <c r="AR181" s="1078" t="s">
        <v>2260</v>
      </c>
      <c r="AS181" s="1079"/>
      <c r="AT181" s="1069"/>
      <c r="AU181" s="1069"/>
      <c r="AV181" s="1069"/>
      <c r="AW181" s="1080"/>
      <c r="AX181" s="1081"/>
      <c r="AY181" s="1044"/>
      <c r="AZ181" s="1045"/>
      <c r="BA181" s="1045"/>
      <c r="BB181" s="1045"/>
      <c r="BC181" s="1045"/>
      <c r="BD181" s="1045"/>
      <c r="BE181" s="1045"/>
      <c r="BF181" s="1045"/>
      <c r="BG181" s="1045"/>
      <c r="BH181" s="1045"/>
      <c r="BI181" s="1369"/>
      <c r="BJ181" s="1319"/>
      <c r="BK181" s="1319"/>
      <c r="BL181" s="1319"/>
      <c r="BM181" s="1319"/>
      <c r="BN181" s="1044"/>
      <c r="BO181" s="1045"/>
      <c r="BP181" s="1045"/>
      <c r="BQ181" s="1045"/>
      <c r="BR181" s="1045"/>
      <c r="BS181" s="1084"/>
      <c r="BT181" s="1045"/>
      <c r="BU181" s="1045"/>
      <c r="BV181" s="1045"/>
      <c r="BW181" s="1085"/>
      <c r="BX181" s="1084"/>
      <c r="BY181" s="1045"/>
      <c r="BZ181" s="1045"/>
      <c r="CA181" s="1045"/>
      <c r="CB181" s="1085"/>
      <c r="CC181" s="1086"/>
      <c r="CD181" s="1327"/>
      <c r="CE181" s="1328"/>
      <c r="CF181" s="1328"/>
      <c r="CG181" s="1328"/>
      <c r="CH181" s="1389"/>
      <c r="CI181" s="1369"/>
      <c r="CJ181" s="1319"/>
      <c r="CK181" s="1319"/>
      <c r="CL181" s="1319"/>
      <c r="CM181" s="1320"/>
      <c r="CN181" s="1369"/>
      <c r="CO181" s="1319"/>
      <c r="CP181" s="1319"/>
      <c r="CQ181" s="1319"/>
      <c r="CR181" s="1320"/>
      <c r="CS181" s="1369"/>
      <c r="CT181" s="1319"/>
      <c r="CU181" s="1319"/>
      <c r="CV181" s="1319"/>
      <c r="CW181" s="1320"/>
      <c r="CX181" s="1369"/>
      <c r="CY181" s="1319"/>
      <c r="CZ181" s="1319"/>
      <c r="DA181" s="1319"/>
      <c r="DB181" s="1320"/>
      <c r="DC181" s="1319"/>
      <c r="DD181" s="1319"/>
      <c r="DE181" s="1319"/>
      <c r="DF181" s="1319"/>
      <c r="DG181" s="1320"/>
      <c r="DH181" s="1369"/>
      <c r="DI181" s="1319"/>
      <c r="DJ181" s="1319"/>
      <c r="DK181" s="1319"/>
      <c r="DL181" s="1320"/>
      <c r="DM181" s="1743"/>
      <c r="DN181" s="1744"/>
      <c r="DO181" s="1744"/>
      <c r="DP181" s="1745"/>
      <c r="DQ181" s="1744"/>
      <c r="DR181" s="1744"/>
      <c r="DS181" s="1744"/>
      <c r="DT181" s="1745"/>
      <c r="DU181" s="1328"/>
      <c r="DV181" s="1664"/>
      <c r="DW181" s="1746"/>
    </row>
    <row r="182" spans="1:127" s="382" customFormat="1" ht="15.75" customHeight="1">
      <c r="A182" s="1066" t="s">
        <v>1143</v>
      </c>
      <c r="B182" s="1026">
        <v>173</v>
      </c>
      <c r="C182" s="987"/>
      <c r="D182" s="987"/>
      <c r="E182" s="987"/>
      <c r="F182" s="987"/>
      <c r="G182" s="987"/>
      <c r="H182" s="987"/>
      <c r="I182" s="987"/>
      <c r="J182" s="987"/>
      <c r="K182" s="987"/>
      <c r="L182" s="987"/>
      <c r="M182" s="1026"/>
      <c r="N182" s="987"/>
      <c r="O182" s="987"/>
      <c r="P182" s="987"/>
      <c r="Q182" s="987"/>
      <c r="R182" s="987"/>
      <c r="S182" s="987"/>
      <c r="T182" s="988"/>
      <c r="U182" s="1067" t="s">
        <v>1474</v>
      </c>
      <c r="V182" s="1068" t="s">
        <v>2671</v>
      </c>
      <c r="W182" s="1068" t="s">
        <v>2231</v>
      </c>
      <c r="X182" s="1069" t="s">
        <v>2821</v>
      </c>
      <c r="Y182" s="1070" t="s">
        <v>2822</v>
      </c>
      <c r="Z182" s="1071" t="s">
        <v>2823</v>
      </c>
      <c r="AA182" s="1072" t="s">
        <v>2260</v>
      </c>
      <c r="AB182" s="1073">
        <v>1</v>
      </c>
      <c r="AC182" s="1073" t="s">
        <v>2260</v>
      </c>
      <c r="AD182" s="1073" t="s">
        <v>2260</v>
      </c>
      <c r="AE182" s="1073" t="s">
        <v>2260</v>
      </c>
      <c r="AF182" s="1073" t="s">
        <v>2260</v>
      </c>
      <c r="AG182" s="1073" t="s">
        <v>2260</v>
      </c>
      <c r="AH182" s="1073" t="s">
        <v>2260</v>
      </c>
      <c r="AI182" s="1074">
        <f t="shared" si="2"/>
        <v>1</v>
      </c>
      <c r="AJ182" s="1075" t="s">
        <v>1846</v>
      </c>
      <c r="AK182" s="1075" t="s">
        <v>1826</v>
      </c>
      <c r="AL182" s="1075" t="s">
        <v>1827</v>
      </c>
      <c r="AM182" s="1076" t="s">
        <v>2247</v>
      </c>
      <c r="AN182" s="987" t="s">
        <v>321</v>
      </c>
      <c r="AO182" s="987" t="s">
        <v>2820</v>
      </c>
      <c r="AP182" s="802">
        <v>1</v>
      </c>
      <c r="AQ182" s="1045" t="s">
        <v>1828</v>
      </c>
      <c r="AR182" s="1078" t="s">
        <v>2260</v>
      </c>
      <c r="AS182" s="1079"/>
      <c r="AT182" s="1069"/>
      <c r="AU182" s="1069"/>
      <c r="AV182" s="1069"/>
      <c r="AW182" s="1080"/>
      <c r="AX182" s="1081"/>
      <c r="AY182" s="1044"/>
      <c r="AZ182" s="1045"/>
      <c r="BA182" s="1045"/>
      <c r="BB182" s="1045"/>
      <c r="BC182" s="1045"/>
      <c r="BD182" s="1045"/>
      <c r="BE182" s="1045"/>
      <c r="BF182" s="1045"/>
      <c r="BG182" s="1045"/>
      <c r="BH182" s="1045"/>
      <c r="BI182" s="1369"/>
      <c r="BJ182" s="1319"/>
      <c r="BK182" s="1319"/>
      <c r="BL182" s="1319"/>
      <c r="BM182" s="1319"/>
      <c r="BN182" s="1044"/>
      <c r="BO182" s="1045"/>
      <c r="BP182" s="1045"/>
      <c r="BQ182" s="1045"/>
      <c r="BR182" s="1045"/>
      <c r="BS182" s="1084"/>
      <c r="BT182" s="1045"/>
      <c r="BU182" s="1045"/>
      <c r="BV182" s="1045"/>
      <c r="BW182" s="1085"/>
      <c r="BX182" s="1084"/>
      <c r="BY182" s="1045"/>
      <c r="BZ182" s="1045"/>
      <c r="CA182" s="1045"/>
      <c r="CB182" s="1085"/>
      <c r="CC182" s="1086"/>
      <c r="CD182" s="1327"/>
      <c r="CE182" s="1328"/>
      <c r="CF182" s="1328"/>
      <c r="CG182" s="1328"/>
      <c r="CH182" s="1389"/>
      <c r="CI182" s="1369"/>
      <c r="CJ182" s="1319"/>
      <c r="CK182" s="1319"/>
      <c r="CL182" s="1319"/>
      <c r="CM182" s="1320"/>
      <c r="CN182" s="1369"/>
      <c r="CO182" s="1319"/>
      <c r="CP182" s="1319"/>
      <c r="CQ182" s="1319"/>
      <c r="CR182" s="1320"/>
      <c r="CS182" s="1369"/>
      <c r="CT182" s="1319"/>
      <c r="CU182" s="1319"/>
      <c r="CV182" s="1319"/>
      <c r="CW182" s="1320"/>
      <c r="CX182" s="1369"/>
      <c r="CY182" s="1319"/>
      <c r="CZ182" s="1319"/>
      <c r="DA182" s="1319"/>
      <c r="DB182" s="1320"/>
      <c r="DC182" s="1319"/>
      <c r="DD182" s="1319"/>
      <c r="DE182" s="1319"/>
      <c r="DF182" s="1319"/>
      <c r="DG182" s="1320"/>
      <c r="DH182" s="1369"/>
      <c r="DI182" s="1319"/>
      <c r="DJ182" s="1319"/>
      <c r="DK182" s="1319"/>
      <c r="DL182" s="1320"/>
      <c r="DM182" s="1743"/>
      <c r="DN182" s="1744"/>
      <c r="DO182" s="1744"/>
      <c r="DP182" s="1745"/>
      <c r="DQ182" s="1744"/>
      <c r="DR182" s="1744"/>
      <c r="DS182" s="1744"/>
      <c r="DT182" s="1745"/>
      <c r="DU182" s="1328"/>
      <c r="DV182" s="1664"/>
      <c r="DW182" s="1746"/>
    </row>
    <row r="183" spans="1:127" s="382" customFormat="1" ht="15.75" customHeight="1">
      <c r="A183" s="1066" t="s">
        <v>1143</v>
      </c>
      <c r="B183" s="1026">
        <v>174</v>
      </c>
      <c r="C183" s="987"/>
      <c r="D183" s="987"/>
      <c r="E183" s="987"/>
      <c r="F183" s="987"/>
      <c r="G183" s="987"/>
      <c r="H183" s="987"/>
      <c r="I183" s="987"/>
      <c r="J183" s="987"/>
      <c r="K183" s="987"/>
      <c r="L183" s="987"/>
      <c r="M183" s="1026"/>
      <c r="N183" s="987"/>
      <c r="O183" s="987"/>
      <c r="P183" s="987"/>
      <c r="Q183" s="987"/>
      <c r="R183" s="987"/>
      <c r="S183" s="987"/>
      <c r="T183" s="988"/>
      <c r="U183" s="1067" t="s">
        <v>1480</v>
      </c>
      <c r="V183" s="1068" t="s">
        <v>2716</v>
      </c>
      <c r="W183" s="1068" t="s">
        <v>2231</v>
      </c>
      <c r="X183" s="1069" t="s">
        <v>2824</v>
      </c>
      <c r="Y183" s="1070" t="s">
        <v>2825</v>
      </c>
      <c r="Z183" s="1071" t="s">
        <v>2826</v>
      </c>
      <c r="AA183" s="1072" t="s">
        <v>2260</v>
      </c>
      <c r="AB183" s="1073">
        <v>1</v>
      </c>
      <c r="AC183" s="1073" t="s">
        <v>2260</v>
      </c>
      <c r="AD183" s="1073" t="s">
        <v>2260</v>
      </c>
      <c r="AE183" s="1073" t="s">
        <v>2260</v>
      </c>
      <c r="AF183" s="1073" t="s">
        <v>2260</v>
      </c>
      <c r="AG183" s="1073" t="s">
        <v>2260</v>
      </c>
      <c r="AH183" s="1073" t="s">
        <v>2260</v>
      </c>
      <c r="AI183" s="1074">
        <f t="shared" si="2"/>
        <v>1</v>
      </c>
      <c r="AJ183" s="1075" t="s">
        <v>1846</v>
      </c>
      <c r="AK183" s="1075" t="s">
        <v>1826</v>
      </c>
      <c r="AL183" s="1075" t="s">
        <v>1827</v>
      </c>
      <c r="AM183" s="1076" t="s">
        <v>2827</v>
      </c>
      <c r="AN183" s="987" t="s">
        <v>321</v>
      </c>
      <c r="AO183" s="987" t="s">
        <v>2820</v>
      </c>
      <c r="AP183" s="802">
        <v>1</v>
      </c>
      <c r="AQ183" s="1045" t="s">
        <v>1828</v>
      </c>
      <c r="AR183" s="1078" t="s">
        <v>2260</v>
      </c>
      <c r="AS183" s="1079"/>
      <c r="AT183" s="1069"/>
      <c r="AU183" s="1069"/>
      <c r="AV183" s="1069"/>
      <c r="AW183" s="1080"/>
      <c r="AX183" s="1081"/>
      <c r="AY183" s="1044"/>
      <c r="AZ183" s="1045"/>
      <c r="BA183" s="1045"/>
      <c r="BB183" s="1045"/>
      <c r="BC183" s="1045"/>
      <c r="BD183" s="1045"/>
      <c r="BE183" s="1045"/>
      <c r="BF183" s="1045"/>
      <c r="BG183" s="1045"/>
      <c r="BH183" s="1045"/>
      <c r="BI183" s="1369"/>
      <c r="BJ183" s="1319"/>
      <c r="BK183" s="1319"/>
      <c r="BL183" s="1319"/>
      <c r="BM183" s="1319"/>
      <c r="BN183" s="1044"/>
      <c r="BO183" s="1045"/>
      <c r="BP183" s="1045"/>
      <c r="BQ183" s="1045"/>
      <c r="BR183" s="1045"/>
      <c r="BS183" s="1084"/>
      <c r="BT183" s="1045"/>
      <c r="BU183" s="1045"/>
      <c r="BV183" s="1045"/>
      <c r="BW183" s="1085"/>
      <c r="BX183" s="1084"/>
      <c r="BY183" s="1045"/>
      <c r="BZ183" s="1045"/>
      <c r="CA183" s="1045"/>
      <c r="CB183" s="1085"/>
      <c r="CC183" s="1086"/>
      <c r="CD183" s="1327"/>
      <c r="CE183" s="1328"/>
      <c r="CF183" s="1328"/>
      <c r="CG183" s="1328"/>
      <c r="CH183" s="1389"/>
      <c r="CI183" s="1369"/>
      <c r="CJ183" s="1319"/>
      <c r="CK183" s="1319"/>
      <c r="CL183" s="1319"/>
      <c r="CM183" s="1320"/>
      <c r="CN183" s="1369"/>
      <c r="CO183" s="1319"/>
      <c r="CP183" s="1319"/>
      <c r="CQ183" s="1319"/>
      <c r="CR183" s="1320"/>
      <c r="CS183" s="1369"/>
      <c r="CT183" s="1319"/>
      <c r="CU183" s="1319"/>
      <c r="CV183" s="1319"/>
      <c r="CW183" s="1320"/>
      <c r="CX183" s="1369"/>
      <c r="CY183" s="1319"/>
      <c r="CZ183" s="1319"/>
      <c r="DA183" s="1319"/>
      <c r="DB183" s="1320"/>
      <c r="DC183" s="1319"/>
      <c r="DD183" s="1319"/>
      <c r="DE183" s="1319"/>
      <c r="DF183" s="1319"/>
      <c r="DG183" s="1320"/>
      <c r="DH183" s="1369"/>
      <c r="DI183" s="1319"/>
      <c r="DJ183" s="1319"/>
      <c r="DK183" s="1319"/>
      <c r="DL183" s="1320"/>
      <c r="DM183" s="1743"/>
      <c r="DN183" s="1744"/>
      <c r="DO183" s="1744"/>
      <c r="DP183" s="1745"/>
      <c r="DQ183" s="1744"/>
      <c r="DR183" s="1744"/>
      <c r="DS183" s="1744"/>
      <c r="DT183" s="1745"/>
      <c r="DU183" s="1328"/>
      <c r="DV183" s="1664"/>
      <c r="DW183" s="1746"/>
    </row>
    <row r="184" spans="1:127" s="382" customFormat="1" ht="15.75" customHeight="1">
      <c r="A184" s="1066" t="s">
        <v>1143</v>
      </c>
      <c r="B184" s="1026">
        <v>175</v>
      </c>
      <c r="C184" s="987"/>
      <c r="D184" s="987"/>
      <c r="E184" s="987"/>
      <c r="F184" s="987"/>
      <c r="G184" s="987"/>
      <c r="H184" s="987"/>
      <c r="I184" s="987"/>
      <c r="J184" s="987"/>
      <c r="K184" s="987"/>
      <c r="L184" s="987"/>
      <c r="M184" s="1026"/>
      <c r="N184" s="987"/>
      <c r="O184" s="987"/>
      <c r="P184" s="987"/>
      <c r="Q184" s="987"/>
      <c r="R184" s="987"/>
      <c r="S184" s="987"/>
      <c r="T184" s="988"/>
      <c r="U184" s="1067" t="s">
        <v>1539</v>
      </c>
      <c r="V184" s="1068" t="s">
        <v>2695</v>
      </c>
      <c r="W184" s="1068" t="s">
        <v>2231</v>
      </c>
      <c r="X184" s="1069" t="s">
        <v>2828</v>
      </c>
      <c r="Y184" s="1070" t="s">
        <v>2081</v>
      </c>
      <c r="Z184" s="1071" t="s">
        <v>2829</v>
      </c>
      <c r="AA184" s="1072" t="s">
        <v>2260</v>
      </c>
      <c r="AB184" s="1073" t="s">
        <v>2260</v>
      </c>
      <c r="AC184" s="1073">
        <v>1</v>
      </c>
      <c r="AD184" s="1073" t="s">
        <v>2260</v>
      </c>
      <c r="AE184" s="1073" t="s">
        <v>2260</v>
      </c>
      <c r="AF184" s="1073" t="s">
        <v>2260</v>
      </c>
      <c r="AG184" s="1073" t="s">
        <v>2260</v>
      </c>
      <c r="AH184" s="1073" t="s">
        <v>2260</v>
      </c>
      <c r="AI184" s="1074">
        <f t="shared" si="2"/>
        <v>1</v>
      </c>
      <c r="AJ184" s="1075" t="s">
        <v>1846</v>
      </c>
      <c r="AK184" s="1075" t="s">
        <v>1826</v>
      </c>
      <c r="AL184" s="1075" t="s">
        <v>1837</v>
      </c>
      <c r="AM184" s="1076" t="s">
        <v>2234</v>
      </c>
      <c r="AN184" s="987" t="s">
        <v>1890</v>
      </c>
      <c r="AO184" s="987" t="s">
        <v>2830</v>
      </c>
      <c r="AP184" s="802">
        <v>0</v>
      </c>
      <c r="AQ184" s="1922" t="s">
        <v>1828</v>
      </c>
      <c r="AR184" s="1078" t="s">
        <v>2260</v>
      </c>
      <c r="AS184" s="1079"/>
      <c r="AT184" s="1069"/>
      <c r="AU184" s="1069"/>
      <c r="AV184" s="1069"/>
      <c r="AW184" s="1080"/>
      <c r="AX184" s="1081"/>
      <c r="AY184" s="1044"/>
      <c r="AZ184" s="1045"/>
      <c r="BA184" s="1045"/>
      <c r="BB184" s="1045"/>
      <c r="BC184" s="1045"/>
      <c r="BD184" s="1045"/>
      <c r="BE184" s="1045"/>
      <c r="BF184" s="1045"/>
      <c r="BG184" s="1045"/>
      <c r="BH184" s="1045"/>
      <c r="BI184" s="1369"/>
      <c r="BJ184" s="1319"/>
      <c r="BK184" s="1319"/>
      <c r="BL184" s="1319"/>
      <c r="BM184" s="1319"/>
      <c r="BN184" s="1044"/>
      <c r="BO184" s="1045"/>
      <c r="BP184" s="1045"/>
      <c r="BQ184" s="1045"/>
      <c r="BR184" s="1045"/>
      <c r="BS184" s="1084"/>
      <c r="BT184" s="1045"/>
      <c r="BU184" s="1045"/>
      <c r="BV184" s="1045"/>
      <c r="BW184" s="1085"/>
      <c r="BX184" s="1084"/>
      <c r="BY184" s="1045"/>
      <c r="BZ184" s="1045"/>
      <c r="CA184" s="1045"/>
      <c r="CB184" s="1085"/>
      <c r="CC184" s="1086"/>
      <c r="CD184" s="1327"/>
      <c r="CE184" s="1328"/>
      <c r="CF184" s="1328"/>
      <c r="CG184" s="1328"/>
      <c r="CH184" s="1389"/>
      <c r="CI184" s="1369"/>
      <c r="CJ184" s="1319"/>
      <c r="CK184" s="1319"/>
      <c r="CL184" s="1319"/>
      <c r="CM184" s="1320"/>
      <c r="CN184" s="1369"/>
      <c r="CO184" s="1319"/>
      <c r="CP184" s="1319"/>
      <c r="CQ184" s="1319"/>
      <c r="CR184" s="1320"/>
      <c r="CS184" s="1369"/>
      <c r="CT184" s="1319"/>
      <c r="CU184" s="1319"/>
      <c r="CV184" s="1319"/>
      <c r="CW184" s="1320"/>
      <c r="CX184" s="1369"/>
      <c r="CY184" s="1319"/>
      <c r="CZ184" s="1319"/>
      <c r="DA184" s="1319"/>
      <c r="DB184" s="1320"/>
      <c r="DC184" s="1319"/>
      <c r="DD184" s="1319"/>
      <c r="DE184" s="1319"/>
      <c r="DF184" s="1319"/>
      <c r="DG184" s="1320"/>
      <c r="DH184" s="1369"/>
      <c r="DI184" s="1319"/>
      <c r="DJ184" s="1319"/>
      <c r="DK184" s="1319"/>
      <c r="DL184" s="1320"/>
      <c r="DM184" s="1743"/>
      <c r="DN184" s="1744"/>
      <c r="DO184" s="1744"/>
      <c r="DP184" s="1745"/>
      <c r="DQ184" s="1744"/>
      <c r="DR184" s="1744"/>
      <c r="DS184" s="1744"/>
      <c r="DT184" s="1745"/>
      <c r="DU184" s="1328"/>
      <c r="DV184" s="1664"/>
      <c r="DW184" s="1746"/>
    </row>
    <row r="185" spans="1:127" s="382" customFormat="1" ht="15.75" customHeight="1">
      <c r="A185" s="1066" t="s">
        <v>1143</v>
      </c>
      <c r="B185" s="1026">
        <v>176</v>
      </c>
      <c r="C185" s="987"/>
      <c r="D185" s="987"/>
      <c r="E185" s="987"/>
      <c r="F185" s="987"/>
      <c r="G185" s="987"/>
      <c r="H185" s="987"/>
      <c r="I185" s="987"/>
      <c r="J185" s="987"/>
      <c r="K185" s="987"/>
      <c r="L185" s="987"/>
      <c r="M185" s="1026"/>
      <c r="N185" s="987"/>
      <c r="O185" s="987"/>
      <c r="P185" s="987"/>
      <c r="Q185" s="987"/>
      <c r="R185" s="987"/>
      <c r="S185" s="987"/>
      <c r="T185" s="988"/>
      <c r="U185" s="1067" t="s">
        <v>1486</v>
      </c>
      <c r="V185" s="1068" t="s">
        <v>2695</v>
      </c>
      <c r="W185" s="1068" t="s">
        <v>2231</v>
      </c>
      <c r="X185" s="1069" t="s">
        <v>2831</v>
      </c>
      <c r="Y185" s="1070" t="s">
        <v>2832</v>
      </c>
      <c r="Z185" s="1071" t="s">
        <v>2833</v>
      </c>
      <c r="AA185" s="1072" t="s">
        <v>2260</v>
      </c>
      <c r="AB185" s="1073">
        <v>0.70399999999999996</v>
      </c>
      <c r="AC185" s="1073">
        <v>0.29599999999999999</v>
      </c>
      <c r="AD185" s="1073" t="s">
        <v>2260</v>
      </c>
      <c r="AE185" s="1073" t="s">
        <v>2260</v>
      </c>
      <c r="AF185" s="1073" t="s">
        <v>2260</v>
      </c>
      <c r="AG185" s="1073" t="s">
        <v>2260</v>
      </c>
      <c r="AH185" s="1073" t="s">
        <v>2260</v>
      </c>
      <c r="AI185" s="1074">
        <f t="shared" si="2"/>
        <v>1</v>
      </c>
      <c r="AJ185" s="1075" t="s">
        <v>1846</v>
      </c>
      <c r="AK185" s="1075" t="s">
        <v>1826</v>
      </c>
      <c r="AL185" s="1075" t="s">
        <v>1827</v>
      </c>
      <c r="AM185" s="1076" t="s">
        <v>2234</v>
      </c>
      <c r="AN185" s="987" t="s">
        <v>321</v>
      </c>
      <c r="AO185" s="987" t="s">
        <v>2820</v>
      </c>
      <c r="AP185" s="802">
        <v>1</v>
      </c>
      <c r="AQ185" s="1045" t="s">
        <v>1828</v>
      </c>
      <c r="AR185" s="1078" t="s">
        <v>2260</v>
      </c>
      <c r="AS185" s="1079"/>
      <c r="AT185" s="1069"/>
      <c r="AU185" s="1069"/>
      <c r="AV185" s="1069"/>
      <c r="AW185" s="1080"/>
      <c r="AX185" s="1081"/>
      <c r="AY185" s="1044"/>
      <c r="AZ185" s="1045"/>
      <c r="BA185" s="1045"/>
      <c r="BB185" s="1045"/>
      <c r="BC185" s="1045"/>
      <c r="BD185" s="1045"/>
      <c r="BE185" s="1045"/>
      <c r="BF185" s="1045"/>
      <c r="BG185" s="1045"/>
      <c r="BH185" s="1045"/>
      <c r="BI185" s="1369"/>
      <c r="BJ185" s="1319"/>
      <c r="BK185" s="1319"/>
      <c r="BL185" s="1319"/>
      <c r="BM185" s="1319"/>
      <c r="BN185" s="1044"/>
      <c r="BO185" s="1045"/>
      <c r="BP185" s="1045"/>
      <c r="BQ185" s="1045"/>
      <c r="BR185" s="1045"/>
      <c r="BS185" s="1084"/>
      <c r="BT185" s="1045"/>
      <c r="BU185" s="1045"/>
      <c r="BV185" s="1045"/>
      <c r="BW185" s="1085"/>
      <c r="BX185" s="1084"/>
      <c r="BY185" s="1045"/>
      <c r="BZ185" s="1045"/>
      <c r="CA185" s="1045"/>
      <c r="CB185" s="1085"/>
      <c r="CC185" s="1086"/>
      <c r="CD185" s="1327"/>
      <c r="CE185" s="1328"/>
      <c r="CF185" s="1328"/>
      <c r="CG185" s="1328"/>
      <c r="CH185" s="1389"/>
      <c r="CI185" s="1369"/>
      <c r="CJ185" s="1319"/>
      <c r="CK185" s="1319"/>
      <c r="CL185" s="1319"/>
      <c r="CM185" s="1320"/>
      <c r="CN185" s="1369"/>
      <c r="CO185" s="1319"/>
      <c r="CP185" s="1319"/>
      <c r="CQ185" s="1319"/>
      <c r="CR185" s="1320"/>
      <c r="CS185" s="1369"/>
      <c r="CT185" s="1319"/>
      <c r="CU185" s="1319"/>
      <c r="CV185" s="1319"/>
      <c r="CW185" s="1320"/>
      <c r="CX185" s="1369"/>
      <c r="CY185" s="1319"/>
      <c r="CZ185" s="1319"/>
      <c r="DA185" s="1319"/>
      <c r="DB185" s="1320"/>
      <c r="DC185" s="1319"/>
      <c r="DD185" s="1319"/>
      <c r="DE185" s="1319"/>
      <c r="DF185" s="1319"/>
      <c r="DG185" s="1320"/>
      <c r="DH185" s="1369"/>
      <c r="DI185" s="1319"/>
      <c r="DJ185" s="1319"/>
      <c r="DK185" s="1319"/>
      <c r="DL185" s="1320"/>
      <c r="DM185" s="1743"/>
      <c r="DN185" s="1744"/>
      <c r="DO185" s="1744"/>
      <c r="DP185" s="1745"/>
      <c r="DQ185" s="1744"/>
      <c r="DR185" s="1744"/>
      <c r="DS185" s="1744"/>
      <c r="DT185" s="1745"/>
      <c r="DU185" s="1328"/>
      <c r="DV185" s="1664"/>
      <c r="DW185" s="1746"/>
    </row>
    <row r="186" spans="1:127" s="382" customFormat="1" ht="15.75" customHeight="1">
      <c r="A186" s="1066" t="s">
        <v>1143</v>
      </c>
      <c r="B186" s="1026">
        <v>177</v>
      </c>
      <c r="C186" s="987"/>
      <c r="D186" s="987"/>
      <c r="E186" s="987"/>
      <c r="F186" s="987"/>
      <c r="G186" s="987"/>
      <c r="H186" s="987"/>
      <c r="I186" s="987"/>
      <c r="J186" s="987"/>
      <c r="K186" s="987"/>
      <c r="L186" s="987"/>
      <c r="M186" s="1026"/>
      <c r="N186" s="987"/>
      <c r="O186" s="987"/>
      <c r="P186" s="987"/>
      <c r="Q186" s="987"/>
      <c r="R186" s="987"/>
      <c r="S186" s="987"/>
      <c r="T186" s="988"/>
      <c r="U186" s="1067" t="s">
        <v>1724</v>
      </c>
      <c r="V186" s="1068" t="s">
        <v>2716</v>
      </c>
      <c r="W186" s="1068" t="s">
        <v>2223</v>
      </c>
      <c r="X186" s="1069" t="s">
        <v>2834</v>
      </c>
      <c r="Y186" s="1070" t="s">
        <v>2835</v>
      </c>
      <c r="Z186" s="1071" t="s">
        <v>2836</v>
      </c>
      <c r="AA186" s="1072" t="s">
        <v>2260</v>
      </c>
      <c r="AB186" s="1073" t="s">
        <v>2260</v>
      </c>
      <c r="AC186" s="1073" t="s">
        <v>2260</v>
      </c>
      <c r="AD186" s="1073" t="s">
        <v>2260</v>
      </c>
      <c r="AE186" s="1073">
        <v>1</v>
      </c>
      <c r="AF186" s="1073" t="s">
        <v>2260</v>
      </c>
      <c r="AG186" s="1073" t="s">
        <v>2260</v>
      </c>
      <c r="AH186" s="1073" t="s">
        <v>2260</v>
      </c>
      <c r="AI186" s="1074">
        <f t="shared" si="2"/>
        <v>1</v>
      </c>
      <c r="AJ186" s="1075" t="s">
        <v>1825</v>
      </c>
      <c r="AK186" s="1075" t="s">
        <v>2260</v>
      </c>
      <c r="AL186" s="1075" t="s">
        <v>2260</v>
      </c>
      <c r="AM186" s="1076" t="s">
        <v>2329</v>
      </c>
      <c r="AN186" s="987" t="s">
        <v>1857</v>
      </c>
      <c r="AO186" s="987" t="s">
        <v>2836</v>
      </c>
      <c r="AP186" s="802">
        <v>1</v>
      </c>
      <c r="AQ186" s="1045" t="s">
        <v>1828</v>
      </c>
      <c r="AR186" s="1078" t="s">
        <v>2260</v>
      </c>
      <c r="AS186" s="1079"/>
      <c r="AT186" s="1069"/>
      <c r="AU186" s="1069"/>
      <c r="AV186" s="1069"/>
      <c r="AW186" s="1080"/>
      <c r="AX186" s="1081"/>
      <c r="AY186" s="1044"/>
      <c r="AZ186" s="1045"/>
      <c r="BA186" s="1045"/>
      <c r="BB186" s="1045"/>
      <c r="BC186" s="1045"/>
      <c r="BD186" s="1045"/>
      <c r="BE186" s="1045"/>
      <c r="BF186" s="1045"/>
      <c r="BG186" s="1045"/>
      <c r="BH186" s="1045"/>
      <c r="BI186" s="1369"/>
      <c r="BJ186" s="1319"/>
      <c r="BK186" s="1319"/>
      <c r="BL186" s="1319"/>
      <c r="BM186" s="1319"/>
      <c r="BN186" s="1044"/>
      <c r="BO186" s="1045"/>
      <c r="BP186" s="1045"/>
      <c r="BQ186" s="1045"/>
      <c r="BR186" s="1045"/>
      <c r="BS186" s="1084"/>
      <c r="BT186" s="1045"/>
      <c r="BU186" s="1045"/>
      <c r="BV186" s="1045"/>
      <c r="BW186" s="1085"/>
      <c r="BX186" s="1084"/>
      <c r="BY186" s="1045"/>
      <c r="BZ186" s="1045"/>
      <c r="CA186" s="1045"/>
      <c r="CB186" s="1085"/>
      <c r="CC186" s="1086"/>
      <c r="CD186" s="1327"/>
      <c r="CE186" s="1328"/>
      <c r="CF186" s="1328"/>
      <c r="CG186" s="1328"/>
      <c r="CH186" s="1389"/>
      <c r="CI186" s="1369"/>
      <c r="CJ186" s="1319"/>
      <c r="CK186" s="1319"/>
      <c r="CL186" s="1319"/>
      <c r="CM186" s="1320"/>
      <c r="CN186" s="1369"/>
      <c r="CO186" s="1319"/>
      <c r="CP186" s="1319"/>
      <c r="CQ186" s="1319"/>
      <c r="CR186" s="1320"/>
      <c r="CS186" s="1369"/>
      <c r="CT186" s="1319"/>
      <c r="CU186" s="1319"/>
      <c r="CV186" s="1319"/>
      <c r="CW186" s="1320"/>
      <c r="CX186" s="1369"/>
      <c r="CY186" s="1319"/>
      <c r="CZ186" s="1319"/>
      <c r="DA186" s="1319"/>
      <c r="DB186" s="1320"/>
      <c r="DC186" s="1319"/>
      <c r="DD186" s="1319"/>
      <c r="DE186" s="1319"/>
      <c r="DF186" s="1319"/>
      <c r="DG186" s="1320"/>
      <c r="DH186" s="1369"/>
      <c r="DI186" s="1319"/>
      <c r="DJ186" s="1319"/>
      <c r="DK186" s="1319"/>
      <c r="DL186" s="1320"/>
      <c r="DM186" s="1743"/>
      <c r="DN186" s="1744"/>
      <c r="DO186" s="1744"/>
      <c r="DP186" s="1745"/>
      <c r="DQ186" s="1744"/>
      <c r="DR186" s="1744"/>
      <c r="DS186" s="1744"/>
      <c r="DT186" s="1745"/>
      <c r="DU186" s="1328"/>
      <c r="DV186" s="1664"/>
      <c r="DW186" s="1746"/>
    </row>
    <row r="187" spans="1:127" s="382" customFormat="1" ht="15.75" customHeight="1">
      <c r="A187" s="1066" t="s">
        <v>1143</v>
      </c>
      <c r="B187" s="1026">
        <v>178</v>
      </c>
      <c r="C187" s="987"/>
      <c r="D187" s="987"/>
      <c r="E187" s="987"/>
      <c r="F187" s="987"/>
      <c r="G187" s="987"/>
      <c r="H187" s="987"/>
      <c r="I187" s="987"/>
      <c r="J187" s="987"/>
      <c r="K187" s="987"/>
      <c r="L187" s="987"/>
      <c r="M187" s="1026"/>
      <c r="N187" s="987"/>
      <c r="O187" s="987"/>
      <c r="P187" s="987"/>
      <c r="Q187" s="987"/>
      <c r="R187" s="987"/>
      <c r="S187" s="987"/>
      <c r="T187" s="988"/>
      <c r="U187" s="1067" t="s">
        <v>1731</v>
      </c>
      <c r="V187" s="1068" t="s">
        <v>2260</v>
      </c>
      <c r="W187" s="1068" t="s">
        <v>2260</v>
      </c>
      <c r="X187" s="1069" t="s">
        <v>2331</v>
      </c>
      <c r="Y187" s="1070" t="s">
        <v>2332</v>
      </c>
      <c r="Z187" s="1071" t="s">
        <v>2260</v>
      </c>
      <c r="AA187" s="1072" t="s">
        <v>2260</v>
      </c>
      <c r="AB187" s="1073" t="s">
        <v>2260</v>
      </c>
      <c r="AC187" s="1073" t="s">
        <v>2260</v>
      </c>
      <c r="AD187" s="1073" t="s">
        <v>2260</v>
      </c>
      <c r="AE187" s="1073" t="s">
        <v>2260</v>
      </c>
      <c r="AF187" s="1073" t="s">
        <v>2260</v>
      </c>
      <c r="AG187" s="1073" t="s">
        <v>2260</v>
      </c>
      <c r="AH187" s="1073" t="s">
        <v>2260</v>
      </c>
      <c r="AI187" s="1074">
        <f t="shared" si="2"/>
        <v>0</v>
      </c>
      <c r="AJ187" s="1075" t="s">
        <v>1825</v>
      </c>
      <c r="AK187" s="1075" t="s">
        <v>2260</v>
      </c>
      <c r="AL187" s="1075" t="s">
        <v>2260</v>
      </c>
      <c r="AM187" s="1076" t="s">
        <v>2260</v>
      </c>
      <c r="AN187" s="987" t="s">
        <v>2260</v>
      </c>
      <c r="AO187" s="987" t="s">
        <v>2333</v>
      </c>
      <c r="AP187" s="802">
        <v>0</v>
      </c>
      <c r="AQ187" s="1045" t="s">
        <v>2260</v>
      </c>
      <c r="AR187" s="1078" t="s">
        <v>2260</v>
      </c>
      <c r="AS187" s="1079"/>
      <c r="AT187" s="1069"/>
      <c r="AU187" s="1069"/>
      <c r="AV187" s="1069"/>
      <c r="AW187" s="1080"/>
      <c r="AX187" s="1081"/>
      <c r="AY187" s="1044"/>
      <c r="AZ187" s="1045"/>
      <c r="BA187" s="1045"/>
      <c r="BB187" s="1045"/>
      <c r="BC187" s="1045"/>
      <c r="BD187" s="1045"/>
      <c r="BE187" s="1045"/>
      <c r="BF187" s="1045"/>
      <c r="BG187" s="1045"/>
      <c r="BH187" s="1045"/>
      <c r="BI187" s="1369"/>
      <c r="BJ187" s="1319"/>
      <c r="BK187" s="1319"/>
      <c r="BL187" s="1319"/>
      <c r="BM187" s="1319"/>
      <c r="BN187" s="1044"/>
      <c r="BO187" s="1045"/>
      <c r="BP187" s="1045"/>
      <c r="BQ187" s="1045"/>
      <c r="BR187" s="1045"/>
      <c r="BS187" s="1084"/>
      <c r="BT187" s="1045"/>
      <c r="BU187" s="1045"/>
      <c r="BV187" s="1045"/>
      <c r="BW187" s="1085"/>
      <c r="BX187" s="1084"/>
      <c r="BY187" s="1045"/>
      <c r="BZ187" s="1045"/>
      <c r="CA187" s="1045"/>
      <c r="CB187" s="1085"/>
      <c r="CC187" s="1086"/>
      <c r="CD187" s="1327"/>
      <c r="CE187" s="1328"/>
      <c r="CF187" s="1328"/>
      <c r="CG187" s="1328"/>
      <c r="CH187" s="1389"/>
      <c r="CI187" s="1369"/>
      <c r="CJ187" s="1319"/>
      <c r="CK187" s="1319"/>
      <c r="CL187" s="1319"/>
      <c r="CM187" s="1320"/>
      <c r="CN187" s="1369"/>
      <c r="CO187" s="1319"/>
      <c r="CP187" s="1319"/>
      <c r="CQ187" s="1319"/>
      <c r="CR187" s="1320"/>
      <c r="CS187" s="1369"/>
      <c r="CT187" s="1319"/>
      <c r="CU187" s="1319"/>
      <c r="CV187" s="1319"/>
      <c r="CW187" s="1320"/>
      <c r="CX187" s="1369"/>
      <c r="CY187" s="1319"/>
      <c r="CZ187" s="1319"/>
      <c r="DA187" s="1319"/>
      <c r="DB187" s="1320"/>
      <c r="DC187" s="1319"/>
      <c r="DD187" s="1319"/>
      <c r="DE187" s="1319"/>
      <c r="DF187" s="1319"/>
      <c r="DG187" s="1320"/>
      <c r="DH187" s="1369"/>
      <c r="DI187" s="1319"/>
      <c r="DJ187" s="1319"/>
      <c r="DK187" s="1319"/>
      <c r="DL187" s="1320"/>
      <c r="DM187" s="1743"/>
      <c r="DN187" s="1744"/>
      <c r="DO187" s="1744"/>
      <c r="DP187" s="1745"/>
      <c r="DQ187" s="1744"/>
      <c r="DR187" s="1744"/>
      <c r="DS187" s="1744"/>
      <c r="DT187" s="1745"/>
      <c r="DU187" s="1328"/>
      <c r="DV187" s="1664"/>
      <c r="DW187" s="1746"/>
    </row>
    <row r="188" spans="1:127" s="382" customFormat="1" ht="15.75" customHeight="1">
      <c r="A188" s="1066" t="s">
        <v>1143</v>
      </c>
      <c r="B188" s="1026">
        <v>179</v>
      </c>
      <c r="C188" s="987"/>
      <c r="D188" s="987"/>
      <c r="E188" s="987"/>
      <c r="F188" s="987"/>
      <c r="G188" s="987"/>
      <c r="H188" s="987"/>
      <c r="I188" s="987"/>
      <c r="J188" s="987"/>
      <c r="K188" s="987"/>
      <c r="L188" s="987"/>
      <c r="M188" s="1026"/>
      <c r="N188" s="987"/>
      <c r="O188" s="987"/>
      <c r="P188" s="987"/>
      <c r="Q188" s="987"/>
      <c r="R188" s="987"/>
      <c r="S188" s="987"/>
      <c r="T188" s="988"/>
      <c r="U188" s="1067" t="s">
        <v>1548</v>
      </c>
      <c r="V188" s="1068" t="s">
        <v>2260</v>
      </c>
      <c r="W188" s="1068" t="s">
        <v>2260</v>
      </c>
      <c r="X188" s="1069" t="s">
        <v>2837</v>
      </c>
      <c r="Y188" s="1070" t="s">
        <v>2416</v>
      </c>
      <c r="Z188" s="1071" t="s">
        <v>2260</v>
      </c>
      <c r="AA188" s="1072">
        <v>0.14499999999999999</v>
      </c>
      <c r="AB188" s="1073" t="s">
        <v>2260</v>
      </c>
      <c r="AC188" s="1073">
        <v>0.85499999999999998</v>
      </c>
      <c r="AD188" s="1073" t="s">
        <v>2260</v>
      </c>
      <c r="AE188" s="1073" t="s">
        <v>2260</v>
      </c>
      <c r="AF188" s="1073" t="s">
        <v>2260</v>
      </c>
      <c r="AG188" s="1073" t="s">
        <v>2260</v>
      </c>
      <c r="AH188" s="1073" t="s">
        <v>2260</v>
      </c>
      <c r="AI188" s="1074">
        <f t="shared" si="2"/>
        <v>1</v>
      </c>
      <c r="AJ188" s="1075" t="s">
        <v>1846</v>
      </c>
      <c r="AK188" s="1075" t="s">
        <v>1826</v>
      </c>
      <c r="AL188" s="1075" t="s">
        <v>1827</v>
      </c>
      <c r="AM188" s="1076" t="s">
        <v>2260</v>
      </c>
      <c r="AN188" s="987" t="s">
        <v>2260</v>
      </c>
      <c r="AO188" s="987" t="s">
        <v>2838</v>
      </c>
      <c r="AP188" s="2042">
        <v>0</v>
      </c>
      <c r="AQ188" s="1045" t="s">
        <v>1828</v>
      </c>
      <c r="AR188" s="1078" t="s">
        <v>2260</v>
      </c>
      <c r="AS188" s="1079"/>
      <c r="AT188" s="1069"/>
      <c r="AU188" s="1069"/>
      <c r="AV188" s="1069"/>
      <c r="AW188" s="1080"/>
      <c r="AX188" s="1081"/>
      <c r="AY188" s="1044"/>
      <c r="AZ188" s="1045"/>
      <c r="BA188" s="1045"/>
      <c r="BB188" s="1045"/>
      <c r="BC188" s="1045"/>
      <c r="BD188" s="1045"/>
      <c r="BE188" s="1045"/>
      <c r="BF188" s="1045"/>
      <c r="BG188" s="1045"/>
      <c r="BH188" s="1045"/>
      <c r="BI188" s="1369"/>
      <c r="BJ188" s="1319"/>
      <c r="BK188" s="1319"/>
      <c r="BL188" s="1319"/>
      <c r="BM188" s="1319"/>
      <c r="BN188" s="1044"/>
      <c r="BO188" s="1045"/>
      <c r="BP188" s="1045"/>
      <c r="BQ188" s="1045"/>
      <c r="BR188" s="1045"/>
      <c r="BS188" s="1084"/>
      <c r="BT188" s="1045"/>
      <c r="BU188" s="1045"/>
      <c r="BV188" s="1045"/>
      <c r="BW188" s="1085"/>
      <c r="BX188" s="1084"/>
      <c r="BY188" s="1045"/>
      <c r="BZ188" s="1045"/>
      <c r="CA188" s="1045"/>
      <c r="CB188" s="1085"/>
      <c r="CC188" s="1086"/>
      <c r="CD188" s="1327"/>
      <c r="CE188" s="1328"/>
      <c r="CF188" s="1328"/>
      <c r="CG188" s="1328"/>
      <c r="CH188" s="1389"/>
      <c r="CI188" s="1369"/>
      <c r="CJ188" s="1319"/>
      <c r="CK188" s="1319"/>
      <c r="CL188" s="1319"/>
      <c r="CM188" s="1320"/>
      <c r="CN188" s="1369"/>
      <c r="CO188" s="1319"/>
      <c r="CP188" s="1319"/>
      <c r="CQ188" s="1319"/>
      <c r="CR188" s="1320"/>
      <c r="CS188" s="1369"/>
      <c r="CT188" s="1319"/>
      <c r="CU188" s="1319"/>
      <c r="CV188" s="1319"/>
      <c r="CW188" s="1320"/>
      <c r="CX188" s="1369"/>
      <c r="CY188" s="1319"/>
      <c r="CZ188" s="1319"/>
      <c r="DA188" s="1319"/>
      <c r="DB188" s="1320"/>
      <c r="DC188" s="1319"/>
      <c r="DD188" s="1319"/>
      <c r="DE188" s="1319"/>
      <c r="DF188" s="1319"/>
      <c r="DG188" s="1320"/>
      <c r="DH188" s="1369"/>
      <c r="DI188" s="1319"/>
      <c r="DJ188" s="1319"/>
      <c r="DK188" s="1319"/>
      <c r="DL188" s="1320"/>
      <c r="DM188" s="1743"/>
      <c r="DN188" s="1744"/>
      <c r="DO188" s="1744"/>
      <c r="DP188" s="1745"/>
      <c r="DQ188" s="1744"/>
      <c r="DR188" s="1744"/>
      <c r="DS188" s="1744"/>
      <c r="DT188" s="1745"/>
      <c r="DU188" s="1328"/>
      <c r="DV188" s="1664"/>
      <c r="DW188" s="1746"/>
    </row>
    <row r="189" spans="1:127" s="382" customFormat="1" ht="15.75" customHeight="1">
      <c r="A189" s="1066" t="s">
        <v>1143</v>
      </c>
      <c r="B189" s="1026">
        <v>180</v>
      </c>
      <c r="C189" s="987"/>
      <c r="D189" s="987"/>
      <c r="E189" s="987"/>
      <c r="F189" s="987"/>
      <c r="G189" s="987"/>
      <c r="H189" s="987"/>
      <c r="I189" s="987"/>
      <c r="J189" s="987"/>
      <c r="K189" s="987"/>
      <c r="L189" s="987"/>
      <c r="M189" s="1026"/>
      <c r="N189" s="987"/>
      <c r="O189" s="987"/>
      <c r="P189" s="987"/>
      <c r="Q189" s="987"/>
      <c r="R189" s="987"/>
      <c r="S189" s="987"/>
      <c r="T189" s="988"/>
      <c r="U189" s="1067" t="s">
        <v>1738</v>
      </c>
      <c r="V189" s="1068" t="s">
        <v>2260</v>
      </c>
      <c r="W189" s="1068" t="s">
        <v>2260</v>
      </c>
      <c r="X189" s="1069" t="s">
        <v>2839</v>
      </c>
      <c r="Y189" s="1070" t="s">
        <v>2840</v>
      </c>
      <c r="Z189" s="1071" t="s">
        <v>2260</v>
      </c>
      <c r="AA189" s="1072" t="s">
        <v>2260</v>
      </c>
      <c r="AB189" s="1073" t="s">
        <v>2260</v>
      </c>
      <c r="AC189" s="1073" t="s">
        <v>2260</v>
      </c>
      <c r="AD189" s="1073" t="s">
        <v>2260</v>
      </c>
      <c r="AE189" s="1073" t="s">
        <v>2260</v>
      </c>
      <c r="AF189" s="1073" t="s">
        <v>2260</v>
      </c>
      <c r="AG189" s="1073" t="s">
        <v>2260</v>
      </c>
      <c r="AH189" s="1073" t="s">
        <v>2260</v>
      </c>
      <c r="AI189" s="1074">
        <f t="shared" si="2"/>
        <v>0</v>
      </c>
      <c r="AJ189" s="1075"/>
      <c r="AK189" s="1075"/>
      <c r="AL189" s="1075"/>
      <c r="AM189" s="1076"/>
      <c r="AN189" s="987"/>
      <c r="AO189" s="987"/>
      <c r="AP189" s="2042">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69"/>
      <c r="BJ189" s="1319"/>
      <c r="BK189" s="1319"/>
      <c r="BL189" s="1319"/>
      <c r="BM189" s="1319"/>
      <c r="BN189" s="1044"/>
      <c r="BO189" s="1045"/>
      <c r="BP189" s="1045"/>
      <c r="BQ189" s="1045"/>
      <c r="BR189" s="1045"/>
      <c r="BS189" s="1084"/>
      <c r="BT189" s="1045"/>
      <c r="BU189" s="1045"/>
      <c r="BV189" s="1045"/>
      <c r="BW189" s="1085"/>
      <c r="BX189" s="1084"/>
      <c r="BY189" s="1045"/>
      <c r="BZ189" s="1045"/>
      <c r="CA189" s="1045"/>
      <c r="CB189" s="1085"/>
      <c r="CC189" s="1086"/>
      <c r="CD189" s="1327"/>
      <c r="CE189" s="1328"/>
      <c r="CF189" s="1328"/>
      <c r="CG189" s="1328"/>
      <c r="CH189" s="1389"/>
      <c r="CI189" s="1369"/>
      <c r="CJ189" s="1319"/>
      <c r="CK189" s="1319"/>
      <c r="CL189" s="1319"/>
      <c r="CM189" s="1320"/>
      <c r="CN189" s="1369"/>
      <c r="CO189" s="1319"/>
      <c r="CP189" s="1319"/>
      <c r="CQ189" s="1319"/>
      <c r="CR189" s="1320"/>
      <c r="CS189" s="1369"/>
      <c r="CT189" s="1319"/>
      <c r="CU189" s="1319"/>
      <c r="CV189" s="1319"/>
      <c r="CW189" s="1320"/>
      <c r="CX189" s="1369"/>
      <c r="CY189" s="1319"/>
      <c r="CZ189" s="1319"/>
      <c r="DA189" s="1319"/>
      <c r="DB189" s="1320"/>
      <c r="DC189" s="1319"/>
      <c r="DD189" s="1319"/>
      <c r="DE189" s="1319"/>
      <c r="DF189" s="1319"/>
      <c r="DG189" s="1320"/>
      <c r="DH189" s="1369"/>
      <c r="DI189" s="1319"/>
      <c r="DJ189" s="1319"/>
      <c r="DK189" s="1319"/>
      <c r="DL189" s="1320"/>
      <c r="DM189" s="1743"/>
      <c r="DN189" s="1744"/>
      <c r="DO189" s="1744"/>
      <c r="DP189" s="1745"/>
      <c r="DQ189" s="1744"/>
      <c r="DR189" s="1744"/>
      <c r="DS189" s="1744"/>
      <c r="DT189" s="1745"/>
      <c r="DU189" s="1328"/>
      <c r="DV189" s="1664"/>
      <c r="DW189" s="1746"/>
    </row>
    <row r="190" spans="1:127" s="382" customFormat="1" ht="15.75" customHeight="1">
      <c r="A190" s="1023" t="s">
        <v>1269</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1174</v>
      </c>
      <c r="V190" s="1029" t="s">
        <v>2846</v>
      </c>
      <c r="W190" s="1029" t="s">
        <v>2223</v>
      </c>
      <c r="X190" s="1030" t="s">
        <v>2847</v>
      </c>
      <c r="Y190" s="1031" t="s">
        <v>705</v>
      </c>
      <c r="Z190" s="1032" t="s">
        <v>2848</v>
      </c>
      <c r="AA190" s="1033" t="s">
        <v>2260</v>
      </c>
      <c r="AB190" s="1034">
        <v>1</v>
      </c>
      <c r="AC190" s="1034" t="s">
        <v>2260</v>
      </c>
      <c r="AD190" s="1034" t="s">
        <v>2260</v>
      </c>
      <c r="AE190" s="1034" t="s">
        <v>2260</v>
      </c>
      <c r="AF190" s="1034" t="s">
        <v>2260</v>
      </c>
      <c r="AG190" s="1034" t="s">
        <v>2260</v>
      </c>
      <c r="AH190" s="1034" t="s">
        <v>2260</v>
      </c>
      <c r="AI190" s="1035">
        <f t="shared" si="2"/>
        <v>1</v>
      </c>
      <c r="AJ190" s="1036" t="s">
        <v>1852</v>
      </c>
      <c r="AK190" s="1036" t="s">
        <v>1826</v>
      </c>
      <c r="AL190" s="1036" t="s">
        <v>1827</v>
      </c>
      <c r="AM190" s="1037" t="s">
        <v>705</v>
      </c>
      <c r="AN190" s="1031" t="s">
        <v>321</v>
      </c>
      <c r="AO190" s="1031" t="s">
        <v>4416</v>
      </c>
      <c r="AP190" s="1275">
        <v>1</v>
      </c>
      <c r="AQ190" s="802" t="s">
        <v>1828</v>
      </c>
      <c r="AR190" s="1040" t="s">
        <v>705</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210</v>
      </c>
      <c r="CE190" s="1054" t="s">
        <v>210</v>
      </c>
      <c r="CF190" s="1054" t="s">
        <v>210</v>
      </c>
      <c r="CG190" s="1054" t="s">
        <v>210</v>
      </c>
      <c r="CH190" s="1055" t="s">
        <v>210</v>
      </c>
      <c r="CI190" s="1058" t="s">
        <v>2260</v>
      </c>
      <c r="CJ190" s="1056" t="s">
        <v>2260</v>
      </c>
      <c r="CK190" s="1056" t="s">
        <v>2260</v>
      </c>
      <c r="CL190" s="1056" t="s">
        <v>2260</v>
      </c>
      <c r="CM190" s="1057" t="s">
        <v>2260</v>
      </c>
      <c r="CN190" s="1058">
        <v>-5</v>
      </c>
      <c r="CO190" s="1056">
        <v>-5</v>
      </c>
      <c r="CP190" s="1056">
        <v>-5</v>
      </c>
      <c r="CQ190" s="1056">
        <v>-5</v>
      </c>
      <c r="CR190" s="1057">
        <v>-5</v>
      </c>
      <c r="CS190" s="1048" t="s">
        <v>2260</v>
      </c>
      <c r="CT190" s="1049" t="s">
        <v>2260</v>
      </c>
      <c r="CU190" s="1049" t="s">
        <v>2260</v>
      </c>
      <c r="CV190" s="1049" t="s">
        <v>2260</v>
      </c>
      <c r="CW190" s="1052" t="s">
        <v>2260</v>
      </c>
      <c r="CX190" s="1048" t="s">
        <v>2260</v>
      </c>
      <c r="CY190" s="1049" t="s">
        <v>2260</v>
      </c>
      <c r="CZ190" s="1049" t="s">
        <v>2260</v>
      </c>
      <c r="DA190" s="1049" t="s">
        <v>2260</v>
      </c>
      <c r="DB190" s="1052" t="s">
        <v>2260</v>
      </c>
      <c r="DC190" s="1056">
        <v>18.8</v>
      </c>
      <c r="DD190" s="1056">
        <v>21.9</v>
      </c>
      <c r="DE190" s="1056">
        <v>24.9</v>
      </c>
      <c r="DF190" s="1056">
        <v>27.9</v>
      </c>
      <c r="DG190" s="1057">
        <v>30.8</v>
      </c>
      <c r="DH190" s="1058" t="s">
        <v>2260</v>
      </c>
      <c r="DI190" s="1049" t="s">
        <v>2260</v>
      </c>
      <c r="DJ190" s="1049" t="s">
        <v>2260</v>
      </c>
      <c r="DK190" s="1049" t="s">
        <v>2260</v>
      </c>
      <c r="DL190" s="1052" t="s">
        <v>2260</v>
      </c>
      <c r="DM190" s="1060">
        <v>-0.16</v>
      </c>
      <c r="DN190" s="1061" t="s">
        <v>2260</v>
      </c>
      <c r="DO190" s="1061" t="s">
        <v>2260</v>
      </c>
      <c r="DP190" s="1062" t="s">
        <v>2260</v>
      </c>
      <c r="DQ190" s="1061">
        <v>0.13400000000000001</v>
      </c>
      <c r="DR190" s="1061" t="s">
        <v>2260</v>
      </c>
      <c r="DS190" s="1061" t="s">
        <v>2260</v>
      </c>
      <c r="DT190" s="1062" t="s">
        <v>2260</v>
      </c>
      <c r="DU190" s="1054" t="s">
        <v>2260</v>
      </c>
      <c r="DV190" s="1063" t="s">
        <v>2260</v>
      </c>
      <c r="DW190" s="1064" t="s">
        <v>2260</v>
      </c>
    </row>
    <row r="191" spans="1:127" s="382" customFormat="1" ht="15.75" customHeight="1">
      <c r="A191" s="1023" t="s">
        <v>1269</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1161</v>
      </c>
      <c r="V191" s="1029" t="s">
        <v>2849</v>
      </c>
      <c r="W191" s="1029" t="s">
        <v>2217</v>
      </c>
      <c r="X191" s="1030" t="s">
        <v>2850</v>
      </c>
      <c r="Y191" s="1031" t="s">
        <v>1084</v>
      </c>
      <c r="Z191" s="1032" t="s">
        <v>2851</v>
      </c>
      <c r="AA191" s="1033">
        <v>1</v>
      </c>
      <c r="AB191" s="1034" t="s">
        <v>2260</v>
      </c>
      <c r="AC191" s="1034" t="s">
        <v>2260</v>
      </c>
      <c r="AD191" s="1034" t="s">
        <v>2260</v>
      </c>
      <c r="AE191" s="1034" t="s">
        <v>2260</v>
      </c>
      <c r="AF191" s="1034" t="s">
        <v>2260</v>
      </c>
      <c r="AG191" s="1034" t="s">
        <v>2260</v>
      </c>
      <c r="AH191" s="1034" t="s">
        <v>2260</v>
      </c>
      <c r="AI191" s="1035">
        <f t="shared" si="2"/>
        <v>1</v>
      </c>
      <c r="AJ191" s="1036" t="s">
        <v>1852</v>
      </c>
      <c r="AK191" s="1036" t="s">
        <v>1826</v>
      </c>
      <c r="AL191" s="1389" t="s">
        <v>1837</v>
      </c>
      <c r="AM191" s="1037" t="s">
        <v>2348</v>
      </c>
      <c r="AN191" s="1031" t="s">
        <v>2397</v>
      </c>
      <c r="AO191" s="1031" t="s">
        <v>4416</v>
      </c>
      <c r="AP191" s="1275">
        <v>1</v>
      </c>
      <c r="AQ191" s="802" t="s">
        <v>1828</v>
      </c>
      <c r="AR191" s="1040" t="s">
        <v>1084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210</v>
      </c>
      <c r="CE191" s="1054" t="s">
        <v>210</v>
      </c>
      <c r="CF191" s="1054" t="s">
        <v>210</v>
      </c>
      <c r="CG191" s="1054" t="s">
        <v>210</v>
      </c>
      <c r="CH191" s="1055" t="s">
        <v>210</v>
      </c>
      <c r="CI191" s="1058" t="s">
        <v>2260</v>
      </c>
      <c r="CJ191" s="1056" t="s">
        <v>2260</v>
      </c>
      <c r="CK191" s="1056" t="s">
        <v>2260</v>
      </c>
      <c r="CL191" s="1056" t="s">
        <v>2260</v>
      </c>
      <c r="CM191" s="1057" t="s">
        <v>2260</v>
      </c>
      <c r="CN191" s="1058">
        <v>-8.6</v>
      </c>
      <c r="CO191" s="1056">
        <v>-8.6</v>
      </c>
      <c r="CP191" s="1056">
        <v>-8.6</v>
      </c>
      <c r="CQ191" s="1056">
        <v>-8.6</v>
      </c>
      <c r="CR191" s="1057">
        <v>-8.6</v>
      </c>
      <c r="CS191" s="1048" t="s">
        <v>2260</v>
      </c>
      <c r="CT191" s="1049" t="s">
        <v>2260</v>
      </c>
      <c r="CU191" s="1049" t="s">
        <v>2260</v>
      </c>
      <c r="CV191" s="1049" t="s">
        <v>2260</v>
      </c>
      <c r="CW191" s="1052" t="s">
        <v>2260</v>
      </c>
      <c r="CX191" s="1048" t="s">
        <v>2260</v>
      </c>
      <c r="CY191" s="1049" t="s">
        <v>2260</v>
      </c>
      <c r="CZ191" s="1049" t="s">
        <v>2260</v>
      </c>
      <c r="DA191" s="1049" t="s">
        <v>2260</v>
      </c>
      <c r="DB191" s="1052" t="s">
        <v>2260</v>
      </c>
      <c r="DC191" s="1056">
        <v>4.5999999999999996</v>
      </c>
      <c r="DD191" s="1056">
        <v>5.8</v>
      </c>
      <c r="DE191" s="1056">
        <v>7.1</v>
      </c>
      <c r="DF191" s="1056">
        <v>8.3000000000000007</v>
      </c>
      <c r="DG191" s="1057">
        <v>9.6</v>
      </c>
      <c r="DH191" s="1058" t="s">
        <v>2260</v>
      </c>
      <c r="DI191" s="1049" t="s">
        <v>2260</v>
      </c>
      <c r="DJ191" s="1049" t="s">
        <v>2260</v>
      </c>
      <c r="DK191" s="1049" t="s">
        <v>2260</v>
      </c>
      <c r="DL191" s="1052" t="s">
        <v>2260</v>
      </c>
      <c r="DM191" s="1060">
        <v>-3.3000000000000002E-2</v>
      </c>
      <c r="DN191" s="1061" t="s">
        <v>2260</v>
      </c>
      <c r="DO191" s="1061" t="s">
        <v>2260</v>
      </c>
      <c r="DP191" s="1062" t="s">
        <v>2260</v>
      </c>
      <c r="DQ191" s="1061">
        <v>2.8000000000000001E-2</v>
      </c>
      <c r="DR191" s="1061" t="s">
        <v>2260</v>
      </c>
      <c r="DS191" s="1061" t="s">
        <v>2260</v>
      </c>
      <c r="DT191" s="1062" t="s">
        <v>2260</v>
      </c>
      <c r="DU191" s="1054" t="s">
        <v>2260</v>
      </c>
      <c r="DV191" s="1063">
        <v>1</v>
      </c>
      <c r="DW191" s="1064" t="s">
        <v>2260</v>
      </c>
    </row>
    <row r="192" spans="1:127" s="382" customFormat="1" ht="15.75" customHeight="1">
      <c r="A192" s="1066" t="s">
        <v>1269</v>
      </c>
      <c r="B192" s="1026">
        <v>183</v>
      </c>
      <c r="C192" s="987"/>
      <c r="D192" s="987"/>
      <c r="E192" s="987"/>
      <c r="F192" s="987"/>
      <c r="G192" s="987"/>
      <c r="H192" s="987"/>
      <c r="I192" s="987"/>
      <c r="J192" s="987"/>
      <c r="K192" s="987"/>
      <c r="L192" s="987"/>
      <c r="M192" s="1026"/>
      <c r="N192" s="987"/>
      <c r="O192" s="987"/>
      <c r="P192" s="987"/>
      <c r="Q192" s="987"/>
      <c r="R192" s="987"/>
      <c r="S192" s="987"/>
      <c r="T192" s="988"/>
      <c r="U192" s="1067" t="s">
        <v>1158</v>
      </c>
      <c r="V192" s="1068" t="s">
        <v>2853</v>
      </c>
      <c r="W192" s="1068" t="s">
        <v>2231</v>
      </c>
      <c r="X192" s="1069" t="s">
        <v>2854</v>
      </c>
      <c r="Y192" s="1070" t="s">
        <v>172</v>
      </c>
      <c r="Z192" s="1071" t="s">
        <v>2855</v>
      </c>
      <c r="AA192" s="1072" t="s">
        <v>2260</v>
      </c>
      <c r="AB192" s="1073">
        <v>1</v>
      </c>
      <c r="AC192" s="1073" t="s">
        <v>2260</v>
      </c>
      <c r="AD192" s="1073" t="s">
        <v>2260</v>
      </c>
      <c r="AE192" s="1073" t="s">
        <v>2260</v>
      </c>
      <c r="AF192" s="1073" t="s">
        <v>2260</v>
      </c>
      <c r="AG192" s="1073" t="s">
        <v>2260</v>
      </c>
      <c r="AH192" s="1073" t="s">
        <v>2260</v>
      </c>
      <c r="AI192" s="1074">
        <f t="shared" si="2"/>
        <v>1</v>
      </c>
      <c r="AJ192" s="1075" t="s">
        <v>1846</v>
      </c>
      <c r="AK192" s="1075" t="s">
        <v>1826</v>
      </c>
      <c r="AL192" s="1075" t="s">
        <v>1827</v>
      </c>
      <c r="AM192" s="1076" t="s">
        <v>2247</v>
      </c>
      <c r="AN192" s="987" t="s">
        <v>2439</v>
      </c>
      <c r="AO192" s="987" t="s">
        <v>4420</v>
      </c>
      <c r="AP192" s="1276">
        <v>2</v>
      </c>
      <c r="AQ192" s="1045" t="s">
        <v>1838</v>
      </c>
      <c r="AR192" s="1078" t="s">
        <v>172</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210</v>
      </c>
      <c r="CE192" s="1088" t="s">
        <v>210</v>
      </c>
      <c r="CF192" s="1088" t="s">
        <v>210</v>
      </c>
      <c r="CG192" s="1088" t="s">
        <v>210</v>
      </c>
      <c r="CH192" s="1089" t="s">
        <v>210</v>
      </c>
      <c r="CI192" s="1044" t="s">
        <v>2260</v>
      </c>
      <c r="CJ192" s="1045" t="s">
        <v>2260</v>
      </c>
      <c r="CK192" s="1045" t="s">
        <v>2260</v>
      </c>
      <c r="CL192" s="1045" t="s">
        <v>2260</v>
      </c>
      <c r="CM192" s="1086" t="s">
        <v>2260</v>
      </c>
      <c r="CN192" s="1044">
        <v>9.5</v>
      </c>
      <c r="CO192" s="1045">
        <v>9.5</v>
      </c>
      <c r="CP192" s="1045">
        <v>9.5</v>
      </c>
      <c r="CQ192" s="1045">
        <v>9.5</v>
      </c>
      <c r="CR192" s="1086">
        <v>9.5</v>
      </c>
      <c r="CS192" s="1044">
        <v>2</v>
      </c>
      <c r="CT192" s="1045">
        <v>2</v>
      </c>
      <c r="CU192" s="1045">
        <v>2</v>
      </c>
      <c r="CV192" s="1045">
        <v>2</v>
      </c>
      <c r="CW192" s="1086">
        <v>2</v>
      </c>
      <c r="CX192" s="1044" t="s">
        <v>2260</v>
      </c>
      <c r="CY192" s="1045" t="s">
        <v>2260</v>
      </c>
      <c r="CZ192" s="1045" t="s">
        <v>2260</v>
      </c>
      <c r="DA192" s="1045" t="s">
        <v>2260</v>
      </c>
      <c r="DB192" s="1086" t="s">
        <v>2260</v>
      </c>
      <c r="DC192" s="1045" t="s">
        <v>2260</v>
      </c>
      <c r="DD192" s="1045" t="s">
        <v>2260</v>
      </c>
      <c r="DE192" s="1045" t="s">
        <v>2260</v>
      </c>
      <c r="DF192" s="1045" t="s">
        <v>2260</v>
      </c>
      <c r="DG192" s="1086" t="s">
        <v>2260</v>
      </c>
      <c r="DH192" s="1044" t="s">
        <v>2260</v>
      </c>
      <c r="DI192" s="1045" t="s">
        <v>2260</v>
      </c>
      <c r="DJ192" s="1045" t="s">
        <v>2260</v>
      </c>
      <c r="DK192" s="1045" t="s">
        <v>2260</v>
      </c>
      <c r="DL192" s="1086" t="s">
        <v>2260</v>
      </c>
      <c r="DM192" s="1090">
        <v>-0.113</v>
      </c>
      <c r="DN192" s="1091" t="s">
        <v>2260</v>
      </c>
      <c r="DO192" s="1091" t="s">
        <v>2260</v>
      </c>
      <c r="DP192" s="1092" t="s">
        <v>2260</v>
      </c>
      <c r="DQ192" s="1091">
        <v>0</v>
      </c>
      <c r="DR192" s="1091" t="s">
        <v>2260</v>
      </c>
      <c r="DS192" s="1091" t="s">
        <v>2260</v>
      </c>
      <c r="DT192" s="1092" t="s">
        <v>2260</v>
      </c>
      <c r="DU192" s="1088" t="s">
        <v>2260</v>
      </c>
      <c r="DV192" s="1093">
        <v>1</v>
      </c>
      <c r="DW192" s="1094" t="s">
        <v>2260</v>
      </c>
    </row>
    <row r="193" spans="1:127" s="382" customFormat="1" ht="15.75" customHeight="1">
      <c r="A193" s="1066" t="s">
        <v>1269</v>
      </c>
      <c r="B193" s="1026">
        <v>184</v>
      </c>
      <c r="C193" s="987"/>
      <c r="D193" s="987"/>
      <c r="E193" s="987"/>
      <c r="F193" s="987"/>
      <c r="G193" s="987"/>
      <c r="H193" s="987"/>
      <c r="I193" s="987"/>
      <c r="J193" s="987"/>
      <c r="K193" s="987"/>
      <c r="L193" s="987"/>
      <c r="M193" s="1026"/>
      <c r="N193" s="987"/>
      <c r="O193" s="987"/>
      <c r="P193" s="987"/>
      <c r="Q193" s="987"/>
      <c r="R193" s="987"/>
      <c r="S193" s="987"/>
      <c r="T193" s="988"/>
      <c r="U193" s="1067" t="s">
        <v>1159</v>
      </c>
      <c r="V193" s="1068" t="s">
        <v>2853</v>
      </c>
      <c r="W193" s="1068" t="s">
        <v>2223</v>
      </c>
      <c r="X193" s="1069" t="s">
        <v>2857</v>
      </c>
      <c r="Y193" s="1070" t="s">
        <v>179</v>
      </c>
      <c r="Z193" s="1071" t="s">
        <v>2858</v>
      </c>
      <c r="AA193" s="1072" t="s">
        <v>2260</v>
      </c>
      <c r="AB193" s="1073">
        <v>1</v>
      </c>
      <c r="AC193" s="1073" t="s">
        <v>2260</v>
      </c>
      <c r="AD193" s="1073" t="s">
        <v>2260</v>
      </c>
      <c r="AE193" s="1073" t="s">
        <v>2260</v>
      </c>
      <c r="AF193" s="1073" t="s">
        <v>2260</v>
      </c>
      <c r="AG193" s="1073" t="s">
        <v>2260</v>
      </c>
      <c r="AH193" s="1073" t="s">
        <v>2260</v>
      </c>
      <c r="AI193" s="1074">
        <f t="shared" si="2"/>
        <v>1</v>
      </c>
      <c r="AJ193" s="1075" t="s">
        <v>1852</v>
      </c>
      <c r="AK193" s="1075" t="s">
        <v>1826</v>
      </c>
      <c r="AL193" s="1075" t="s">
        <v>1827</v>
      </c>
      <c r="AM193" s="1076" t="s">
        <v>2220</v>
      </c>
      <c r="AN193" s="987" t="s">
        <v>4414</v>
      </c>
      <c r="AO193" s="987" t="s">
        <v>4415</v>
      </c>
      <c r="AP193" s="1276">
        <v>0</v>
      </c>
      <c r="AQ193" s="1045" t="s">
        <v>1838</v>
      </c>
      <c r="AR193" s="1078" t="s">
        <v>179</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210</v>
      </c>
      <c r="CE193" s="1088" t="s">
        <v>210</v>
      </c>
      <c r="CF193" s="1088" t="s">
        <v>210</v>
      </c>
      <c r="CG193" s="1088" t="s">
        <v>210</v>
      </c>
      <c r="CH193" s="1089" t="s">
        <v>210</v>
      </c>
      <c r="CI193" s="1118" t="s">
        <v>2260</v>
      </c>
      <c r="CJ193" s="1119" t="s">
        <v>2260</v>
      </c>
      <c r="CK193" s="1119" t="s">
        <v>2260</v>
      </c>
      <c r="CL193" s="1119" t="s">
        <v>2260</v>
      </c>
      <c r="CM193" s="1122" t="s">
        <v>2260</v>
      </c>
      <c r="CN193" s="1118">
        <v>1.5798611111111114E-2</v>
      </c>
      <c r="CO193" s="1119">
        <v>1.5798611111111114E-2</v>
      </c>
      <c r="CP193" s="1119">
        <v>1.5798611111111114E-2</v>
      </c>
      <c r="CQ193" s="1119">
        <v>1.5798611111111114E-2</v>
      </c>
      <c r="CR193" s="1122">
        <v>1.5798611111111114E-2</v>
      </c>
      <c r="CS193" s="1118" t="s">
        <v>2260</v>
      </c>
      <c r="CT193" s="1119" t="s">
        <v>2260</v>
      </c>
      <c r="CU193" s="1119" t="s">
        <v>2260</v>
      </c>
      <c r="CV193" s="1119" t="s">
        <v>2260</v>
      </c>
      <c r="CW193" s="1122" t="s">
        <v>2260</v>
      </c>
      <c r="CX193" s="1118" t="s">
        <v>2260</v>
      </c>
      <c r="CY193" s="1119" t="s">
        <v>2260</v>
      </c>
      <c r="CZ193" s="1119" t="s">
        <v>2260</v>
      </c>
      <c r="DA193" s="1119" t="s">
        <v>2260</v>
      </c>
      <c r="DB193" s="1122" t="s">
        <v>2260</v>
      </c>
      <c r="DC193" s="1311">
        <v>1.9328703703703704E-3</v>
      </c>
      <c r="DD193" s="1311">
        <v>1.712962962962963E-3</v>
      </c>
      <c r="DE193" s="1311">
        <v>1.5046296296296294E-3</v>
      </c>
      <c r="DF193" s="1311">
        <v>1.2962962962962963E-3</v>
      </c>
      <c r="DG193" s="1311">
        <v>1.0416666666666667E-3</v>
      </c>
      <c r="DH193" s="1118" t="s">
        <v>2260</v>
      </c>
      <c r="DI193" s="1119" t="s">
        <v>2260</v>
      </c>
      <c r="DJ193" s="1119" t="s">
        <v>2260</v>
      </c>
      <c r="DK193" s="1119" t="s">
        <v>2260</v>
      </c>
      <c r="DL193" s="1122" t="s">
        <v>2260</v>
      </c>
      <c r="DM193" s="1090">
        <v>-6.9000000000000006E-2</v>
      </c>
      <c r="DN193" s="1091" t="s">
        <v>2260</v>
      </c>
      <c r="DO193" s="1091" t="s">
        <v>2260</v>
      </c>
      <c r="DP193" s="1092" t="s">
        <v>2260</v>
      </c>
      <c r="DQ193" s="1091">
        <v>6.9000000000000006E-2</v>
      </c>
      <c r="DR193" s="1091" t="s">
        <v>2260</v>
      </c>
      <c r="DS193" s="1091" t="s">
        <v>2260</v>
      </c>
      <c r="DT193" s="1092" t="s">
        <v>2260</v>
      </c>
      <c r="DU193" s="1088" t="s">
        <v>2260</v>
      </c>
      <c r="DV193" s="1093">
        <v>1</v>
      </c>
      <c r="DW193" s="1094" t="s">
        <v>2260</v>
      </c>
    </row>
    <row r="194" spans="1:127" s="382" customFormat="1" ht="15.75" customHeight="1">
      <c r="A194" s="1066" t="s">
        <v>1269</v>
      </c>
      <c r="B194" s="1026">
        <v>185</v>
      </c>
      <c r="C194" s="987"/>
      <c r="D194" s="987"/>
      <c r="E194" s="987"/>
      <c r="F194" s="987"/>
      <c r="G194" s="987"/>
      <c r="H194" s="987"/>
      <c r="I194" s="987"/>
      <c r="J194" s="987"/>
      <c r="K194" s="987"/>
      <c r="L194" s="987"/>
      <c r="M194" s="1026"/>
      <c r="N194" s="987"/>
      <c r="O194" s="987"/>
      <c r="P194" s="987"/>
      <c r="Q194" s="987"/>
      <c r="R194" s="987"/>
      <c r="S194" s="987"/>
      <c r="T194" s="988"/>
      <c r="U194" s="1067" t="s">
        <v>1162</v>
      </c>
      <c r="V194" s="1068" t="s">
        <v>2853</v>
      </c>
      <c r="W194" s="1068" t="s">
        <v>2217</v>
      </c>
      <c r="X194" s="1069" t="s">
        <v>2860</v>
      </c>
      <c r="Y194" s="1070" t="s">
        <v>203</v>
      </c>
      <c r="Z194" s="1071" t="s">
        <v>2861</v>
      </c>
      <c r="AA194" s="1072" t="s">
        <v>2260</v>
      </c>
      <c r="AB194" s="1073">
        <v>1</v>
      </c>
      <c r="AC194" s="1073" t="s">
        <v>2260</v>
      </c>
      <c r="AD194" s="1073" t="s">
        <v>2260</v>
      </c>
      <c r="AE194" s="1073" t="s">
        <v>2260</v>
      </c>
      <c r="AF194" s="1073" t="s">
        <v>2260</v>
      </c>
      <c r="AG194" s="1073" t="s">
        <v>2260</v>
      </c>
      <c r="AH194" s="1073" t="s">
        <v>2260</v>
      </c>
      <c r="AI194" s="1074">
        <f t="shared" si="2"/>
        <v>1</v>
      </c>
      <c r="AJ194" s="1075" t="s">
        <v>1846</v>
      </c>
      <c r="AK194" s="1075" t="s">
        <v>1826</v>
      </c>
      <c r="AL194" s="1075" t="s">
        <v>1827</v>
      </c>
      <c r="AM194" s="1076" t="s">
        <v>2363</v>
      </c>
      <c r="AN194" s="987" t="s">
        <v>2439</v>
      </c>
      <c r="AO194" s="987" t="s">
        <v>4419</v>
      </c>
      <c r="AP194" s="1276">
        <v>1</v>
      </c>
      <c r="AQ194" s="1045" t="s">
        <v>1838</v>
      </c>
      <c r="AR194" s="1078" t="s">
        <v>203</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210</v>
      </c>
      <c r="CE194" s="1088" t="s">
        <v>210</v>
      </c>
      <c r="CF194" s="1088" t="s">
        <v>210</v>
      </c>
      <c r="CG194" s="1088" t="s">
        <v>210</v>
      </c>
      <c r="CH194" s="1089" t="s">
        <v>210</v>
      </c>
      <c r="CI194" s="1044" t="s">
        <v>2260</v>
      </c>
      <c r="CJ194" s="1045" t="s">
        <v>2260</v>
      </c>
      <c r="CK194" s="1045" t="s">
        <v>2260</v>
      </c>
      <c r="CL194" s="1045" t="s">
        <v>2260</v>
      </c>
      <c r="CM194" s="1086" t="s">
        <v>2260</v>
      </c>
      <c r="CN194" s="1044" t="s">
        <v>2260</v>
      </c>
      <c r="CO194" s="1045" t="s">
        <v>2260</v>
      </c>
      <c r="CP194" s="1045" t="s">
        <v>2260</v>
      </c>
      <c r="CQ194" s="1045" t="s">
        <v>2260</v>
      </c>
      <c r="CR194" s="1086" t="s">
        <v>2260</v>
      </c>
      <c r="CS194" s="1044" t="s">
        <v>2260</v>
      </c>
      <c r="CT194" s="1045" t="s">
        <v>2260</v>
      </c>
      <c r="CU194" s="1045" t="s">
        <v>2260</v>
      </c>
      <c r="CV194" s="1045" t="s">
        <v>2260</v>
      </c>
      <c r="CW194" s="1086" t="s">
        <v>2260</v>
      </c>
      <c r="CX194" s="1044" t="s">
        <v>2260</v>
      </c>
      <c r="CY194" s="1045" t="s">
        <v>2260</v>
      </c>
      <c r="CZ194" s="1045" t="s">
        <v>2260</v>
      </c>
      <c r="DA194" s="1045" t="s">
        <v>2260</v>
      </c>
      <c r="DB194" s="1086" t="s">
        <v>2260</v>
      </c>
      <c r="DC194" s="1045" t="s">
        <v>2260</v>
      </c>
      <c r="DD194" s="1045" t="s">
        <v>2260</v>
      </c>
      <c r="DE194" s="1045" t="s">
        <v>2260</v>
      </c>
      <c r="DF194" s="1045" t="s">
        <v>2260</v>
      </c>
      <c r="DG194" s="1086" t="s">
        <v>2260</v>
      </c>
      <c r="DH194" s="1044" t="s">
        <v>2260</v>
      </c>
      <c r="DI194" s="1045" t="s">
        <v>2260</v>
      </c>
      <c r="DJ194" s="1045" t="s">
        <v>2260</v>
      </c>
      <c r="DK194" s="1045" t="s">
        <v>2260</v>
      </c>
      <c r="DL194" s="1086" t="s">
        <v>2260</v>
      </c>
      <c r="DM194" s="1090">
        <v>-2.4E-2</v>
      </c>
      <c r="DN194" s="1091" t="s">
        <v>2260</v>
      </c>
      <c r="DO194" s="1091" t="s">
        <v>2260</v>
      </c>
      <c r="DP194" s="1092" t="s">
        <v>2260</v>
      </c>
      <c r="DQ194" s="1091" t="s">
        <v>2260</v>
      </c>
      <c r="DR194" s="1091" t="s">
        <v>2260</v>
      </c>
      <c r="DS194" s="1091" t="s">
        <v>2260</v>
      </c>
      <c r="DT194" s="1092" t="s">
        <v>2260</v>
      </c>
      <c r="DU194" s="1088" t="s">
        <v>2260</v>
      </c>
      <c r="DV194" s="1093">
        <v>1</v>
      </c>
      <c r="DW194" s="1094" t="s">
        <v>2260</v>
      </c>
    </row>
    <row r="195" spans="1:127" s="382" customFormat="1" ht="15.75" customHeight="1">
      <c r="A195" s="1066" t="s">
        <v>1269</v>
      </c>
      <c r="B195" s="1026">
        <v>186</v>
      </c>
      <c r="C195" s="987"/>
      <c r="D195" s="987"/>
      <c r="E195" s="987"/>
      <c r="F195" s="987"/>
      <c r="G195" s="987"/>
      <c r="H195" s="987"/>
      <c r="I195" s="987"/>
      <c r="J195" s="987"/>
      <c r="K195" s="987"/>
      <c r="L195" s="987"/>
      <c r="M195" s="1026"/>
      <c r="N195" s="987"/>
      <c r="O195" s="987"/>
      <c r="P195" s="987"/>
      <c r="Q195" s="987"/>
      <c r="R195" s="987"/>
      <c r="S195" s="987"/>
      <c r="T195" s="988"/>
      <c r="U195" s="1067" t="s">
        <v>1163</v>
      </c>
      <c r="V195" s="1068" t="s">
        <v>2853</v>
      </c>
      <c r="W195" s="1068" t="s">
        <v>2231</v>
      </c>
      <c r="X195" s="1069" t="s">
        <v>2863</v>
      </c>
      <c r="Y195" s="1070" t="s">
        <v>209</v>
      </c>
      <c r="Z195" s="1071" t="s">
        <v>2864</v>
      </c>
      <c r="AA195" s="1072" t="s">
        <v>2260</v>
      </c>
      <c r="AB195" s="1073">
        <v>1</v>
      </c>
      <c r="AC195" s="1073" t="s">
        <v>2260</v>
      </c>
      <c r="AD195" s="1073" t="s">
        <v>2260</v>
      </c>
      <c r="AE195" s="1073" t="s">
        <v>2260</v>
      </c>
      <c r="AF195" s="1073" t="s">
        <v>2260</v>
      </c>
      <c r="AG195" s="1073" t="s">
        <v>2260</v>
      </c>
      <c r="AH195" s="1073" t="s">
        <v>2260</v>
      </c>
      <c r="AI195" s="1074">
        <f t="shared" si="2"/>
        <v>1</v>
      </c>
      <c r="AJ195" s="1075" t="s">
        <v>1846</v>
      </c>
      <c r="AK195" s="1075" t="s">
        <v>1826</v>
      </c>
      <c r="AL195" s="1075" t="s">
        <v>1827</v>
      </c>
      <c r="AM195" s="1076" t="s">
        <v>2371</v>
      </c>
      <c r="AN195" s="987" t="s">
        <v>321</v>
      </c>
      <c r="AO195" s="987" t="s">
        <v>4418</v>
      </c>
      <c r="AP195" s="1276">
        <v>2</v>
      </c>
      <c r="AQ195" s="1045" t="s">
        <v>1838</v>
      </c>
      <c r="AR195" s="1078" t="s">
        <v>209</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210</v>
      </c>
      <c r="CE195" s="1088" t="s">
        <v>210</v>
      </c>
      <c r="CF195" s="1088" t="s">
        <v>210</v>
      </c>
      <c r="CG195" s="1088" t="s">
        <v>210</v>
      </c>
      <c r="CH195" s="1089" t="s">
        <v>210</v>
      </c>
      <c r="CI195" s="1044" t="s">
        <v>2260</v>
      </c>
      <c r="CJ195" s="1045" t="s">
        <v>2260</v>
      </c>
      <c r="CK195" s="1045" t="s">
        <v>2260</v>
      </c>
      <c r="CL195" s="1045" t="s">
        <v>2260</v>
      </c>
      <c r="CM195" s="1086" t="s">
        <v>2260</v>
      </c>
      <c r="CN195" s="1044">
        <v>4.68</v>
      </c>
      <c r="CO195" s="1045">
        <v>4.68</v>
      </c>
      <c r="CP195" s="1045">
        <v>4.68</v>
      </c>
      <c r="CQ195" s="1045">
        <v>4.68</v>
      </c>
      <c r="CR195" s="1086">
        <v>4.68</v>
      </c>
      <c r="CS195" s="1044" t="s">
        <v>2260</v>
      </c>
      <c r="CT195" s="1045" t="s">
        <v>2260</v>
      </c>
      <c r="CU195" s="1045" t="s">
        <v>2260</v>
      </c>
      <c r="CV195" s="1045" t="s">
        <v>2260</v>
      </c>
      <c r="CW195" s="1086" t="s">
        <v>2260</v>
      </c>
      <c r="CX195" s="1044" t="s">
        <v>2260</v>
      </c>
      <c r="CY195" s="1045" t="s">
        <v>2260</v>
      </c>
      <c r="CZ195" s="1045" t="s">
        <v>2260</v>
      </c>
      <c r="DA195" s="1045" t="s">
        <v>2260</v>
      </c>
      <c r="DB195" s="1086" t="s">
        <v>2260</v>
      </c>
      <c r="DC195" s="1045" t="s">
        <v>2260</v>
      </c>
      <c r="DD195" s="1045" t="s">
        <v>2260</v>
      </c>
      <c r="DE195" s="1045" t="s">
        <v>2260</v>
      </c>
      <c r="DF195" s="1045" t="s">
        <v>2260</v>
      </c>
      <c r="DG195" s="1086" t="s">
        <v>2260</v>
      </c>
      <c r="DH195" s="1044" t="s">
        <v>2260</v>
      </c>
      <c r="DI195" s="1045" t="s">
        <v>2260</v>
      </c>
      <c r="DJ195" s="1045" t="s">
        <v>2260</v>
      </c>
      <c r="DK195" s="1045" t="s">
        <v>2260</v>
      </c>
      <c r="DL195" s="1086" t="s">
        <v>2260</v>
      </c>
      <c r="DM195" s="1090">
        <v>-0.19</v>
      </c>
      <c r="DN195" s="1091" t="s">
        <v>2260</v>
      </c>
      <c r="DO195" s="1091" t="s">
        <v>2260</v>
      </c>
      <c r="DP195" s="1092" t="s">
        <v>2260</v>
      </c>
      <c r="DQ195" s="1091" t="s">
        <v>2260</v>
      </c>
      <c r="DR195" s="1091" t="s">
        <v>2260</v>
      </c>
      <c r="DS195" s="1091" t="s">
        <v>2260</v>
      </c>
      <c r="DT195" s="1092" t="s">
        <v>2260</v>
      </c>
      <c r="DU195" s="1088" t="s">
        <v>2260</v>
      </c>
      <c r="DV195" s="1093">
        <v>1</v>
      </c>
      <c r="DW195" s="1094" t="s">
        <v>2260</v>
      </c>
    </row>
    <row r="196" spans="1:127" s="382" customFormat="1" ht="15.75" customHeight="1">
      <c r="A196" s="1066" t="s">
        <v>1269</v>
      </c>
      <c r="B196" s="1026">
        <v>187</v>
      </c>
      <c r="C196" s="987"/>
      <c r="D196" s="987"/>
      <c r="E196" s="987"/>
      <c r="F196" s="987"/>
      <c r="G196" s="987"/>
      <c r="H196" s="987"/>
      <c r="I196" s="987"/>
      <c r="J196" s="987"/>
      <c r="K196" s="987"/>
      <c r="L196" s="987"/>
      <c r="M196" s="1026"/>
      <c r="N196" s="987"/>
      <c r="O196" s="987"/>
      <c r="P196" s="987"/>
      <c r="Q196" s="987"/>
      <c r="R196" s="987"/>
      <c r="S196" s="987"/>
      <c r="T196" s="988"/>
      <c r="U196" s="1067" t="s">
        <v>1309</v>
      </c>
      <c r="V196" s="1068" t="s">
        <v>2853</v>
      </c>
      <c r="W196" s="1068" t="s">
        <v>2223</v>
      </c>
      <c r="X196" s="1069" t="s">
        <v>2866</v>
      </c>
      <c r="Y196" s="1070" t="s">
        <v>2419</v>
      </c>
      <c r="Z196" s="1071" t="s">
        <v>2867</v>
      </c>
      <c r="AA196" s="1072" t="s">
        <v>2260</v>
      </c>
      <c r="AB196" s="1073">
        <v>1</v>
      </c>
      <c r="AC196" s="1073" t="s">
        <v>2260</v>
      </c>
      <c r="AD196" s="1073" t="s">
        <v>2260</v>
      </c>
      <c r="AE196" s="1073" t="s">
        <v>2260</v>
      </c>
      <c r="AF196" s="1073" t="s">
        <v>2260</v>
      </c>
      <c r="AG196" s="1073" t="s">
        <v>2260</v>
      </c>
      <c r="AH196" s="1073" t="s">
        <v>2260</v>
      </c>
      <c r="AI196" s="1074">
        <f t="shared" si="2"/>
        <v>1</v>
      </c>
      <c r="AJ196" s="1075" t="s">
        <v>1846</v>
      </c>
      <c r="AK196" s="1075" t="s">
        <v>1826</v>
      </c>
      <c r="AL196" s="1075" t="s">
        <v>1827</v>
      </c>
      <c r="AM196" s="1076" t="s">
        <v>2421</v>
      </c>
      <c r="AN196" s="987" t="s">
        <v>439</v>
      </c>
      <c r="AO196" s="987" t="s">
        <v>4423</v>
      </c>
      <c r="AP196" s="1276">
        <v>2</v>
      </c>
      <c r="AQ196" s="1045" t="s">
        <v>1838</v>
      </c>
      <c r="AR196" s="1078"/>
      <c r="AS196" s="1079"/>
      <c r="AT196" s="1069"/>
      <c r="AU196" s="1069"/>
      <c r="AV196" s="1069"/>
      <c r="AW196" s="1080"/>
      <c r="AX196" s="1081"/>
      <c r="AY196" s="1044"/>
      <c r="AZ196" s="1045"/>
      <c r="BA196" s="1045"/>
      <c r="BB196" s="1045"/>
      <c r="BC196" s="1045"/>
      <c r="BD196" s="1045"/>
      <c r="BE196" s="1045"/>
      <c r="BF196" s="1045"/>
      <c r="BG196" s="1045"/>
      <c r="BH196" s="1045"/>
      <c r="BI196" s="1369"/>
      <c r="BJ196" s="1319"/>
      <c r="BK196" s="1319"/>
      <c r="BL196" s="1319"/>
      <c r="BM196" s="1319"/>
      <c r="BN196" s="1044"/>
      <c r="BO196" s="1045"/>
      <c r="BP196" s="1045"/>
      <c r="BQ196" s="1045"/>
      <c r="BR196" s="1045"/>
      <c r="BS196" s="1084"/>
      <c r="BT196" s="1045"/>
      <c r="BU196" s="1045"/>
      <c r="BV196" s="1045"/>
      <c r="BW196" s="1085"/>
      <c r="BX196" s="1084"/>
      <c r="BY196" s="1045"/>
      <c r="BZ196" s="1045"/>
      <c r="CA196" s="1045"/>
      <c r="CB196" s="1085"/>
      <c r="CC196" s="1086"/>
      <c r="CD196" s="1327"/>
      <c r="CE196" s="1328"/>
      <c r="CF196" s="1328"/>
      <c r="CG196" s="1328"/>
      <c r="CH196" s="1389"/>
      <c r="CI196" s="1369"/>
      <c r="CJ196" s="1319"/>
      <c r="CK196" s="1319"/>
      <c r="CL196" s="1319"/>
      <c r="CM196" s="1320"/>
      <c r="CN196" s="1369"/>
      <c r="CO196" s="1319"/>
      <c r="CP196" s="1319"/>
      <c r="CQ196" s="1319"/>
      <c r="CR196" s="1320"/>
      <c r="CS196" s="1369"/>
      <c r="CT196" s="1319"/>
      <c r="CU196" s="1319"/>
      <c r="CV196" s="1319"/>
      <c r="CW196" s="1320"/>
      <c r="CX196" s="1369"/>
      <c r="CY196" s="1319"/>
      <c r="CZ196" s="1319"/>
      <c r="DA196" s="1319"/>
      <c r="DB196" s="1320"/>
      <c r="DC196" s="1319"/>
      <c r="DD196" s="1319"/>
      <c r="DE196" s="1319"/>
      <c r="DF196" s="1319"/>
      <c r="DG196" s="1320"/>
      <c r="DH196" s="1369"/>
      <c r="DI196" s="1319"/>
      <c r="DJ196" s="1319"/>
      <c r="DK196" s="1319"/>
      <c r="DL196" s="1320"/>
      <c r="DM196" s="1743"/>
      <c r="DN196" s="1744"/>
      <c r="DO196" s="1744"/>
      <c r="DP196" s="1745"/>
      <c r="DQ196" s="1744"/>
      <c r="DR196" s="1744"/>
      <c r="DS196" s="1744"/>
      <c r="DT196" s="1745"/>
      <c r="DU196" s="1328"/>
      <c r="DV196" s="1664"/>
      <c r="DW196" s="1746"/>
    </row>
    <row r="197" spans="1:127" s="382" customFormat="1" ht="15.75" customHeight="1">
      <c r="A197" s="1066" t="s">
        <v>1269</v>
      </c>
      <c r="B197" s="1026">
        <v>188</v>
      </c>
      <c r="C197" s="987"/>
      <c r="D197" s="987"/>
      <c r="E197" s="987"/>
      <c r="F197" s="987"/>
      <c r="G197" s="987"/>
      <c r="H197" s="987"/>
      <c r="I197" s="987"/>
      <c r="J197" s="987"/>
      <c r="K197" s="987"/>
      <c r="L197" s="987"/>
      <c r="M197" s="1026"/>
      <c r="N197" s="987"/>
      <c r="O197" s="987"/>
      <c r="P197" s="987"/>
      <c r="Q197" s="987"/>
      <c r="R197" s="987"/>
      <c r="S197" s="987"/>
      <c r="T197" s="988"/>
      <c r="U197" s="1067" t="s">
        <v>1326</v>
      </c>
      <c r="V197" s="1068" t="s">
        <v>2853</v>
      </c>
      <c r="W197" s="1068" t="s">
        <v>2231</v>
      </c>
      <c r="X197" s="1069" t="s">
        <v>2869</v>
      </c>
      <c r="Y197" s="1070" t="s">
        <v>2297</v>
      </c>
      <c r="Z197" s="1071" t="s">
        <v>2870</v>
      </c>
      <c r="AA197" s="1072" t="s">
        <v>2260</v>
      </c>
      <c r="AB197" s="1073">
        <v>1</v>
      </c>
      <c r="AC197" s="1073" t="s">
        <v>2260</v>
      </c>
      <c r="AD197" s="1073" t="s">
        <v>2260</v>
      </c>
      <c r="AE197" s="1073" t="s">
        <v>2260</v>
      </c>
      <c r="AF197" s="1073" t="s">
        <v>2260</v>
      </c>
      <c r="AG197" s="1073" t="s">
        <v>2260</v>
      </c>
      <c r="AH197" s="1073" t="s">
        <v>2260</v>
      </c>
      <c r="AI197" s="1074">
        <f t="shared" si="2"/>
        <v>1</v>
      </c>
      <c r="AJ197" s="1075" t="s">
        <v>1846</v>
      </c>
      <c r="AK197" s="1075" t="s">
        <v>1826</v>
      </c>
      <c r="AL197" s="1075" t="s">
        <v>1827</v>
      </c>
      <c r="AM197" s="1076" t="s">
        <v>2295</v>
      </c>
      <c r="AN197" s="987" t="s">
        <v>2439</v>
      </c>
      <c r="AO197" s="987" t="s">
        <v>4421</v>
      </c>
      <c r="AP197" s="1243">
        <v>0</v>
      </c>
      <c r="AQ197" s="1045" t="s">
        <v>1838</v>
      </c>
      <c r="AR197" s="1078"/>
      <c r="AS197" s="1079"/>
      <c r="AT197" s="1069"/>
      <c r="AU197" s="1069"/>
      <c r="AV197" s="1069"/>
      <c r="AW197" s="1080"/>
      <c r="AX197" s="1081"/>
      <c r="AY197" s="1044"/>
      <c r="AZ197" s="1045"/>
      <c r="BA197" s="1045"/>
      <c r="BB197" s="1045"/>
      <c r="BC197" s="1045"/>
      <c r="BD197" s="1045"/>
      <c r="BE197" s="1045"/>
      <c r="BF197" s="1045"/>
      <c r="BG197" s="1045"/>
      <c r="BH197" s="1045"/>
      <c r="BI197" s="1369"/>
      <c r="BJ197" s="1319"/>
      <c r="BK197" s="1319"/>
      <c r="BL197" s="1319"/>
      <c r="BM197" s="1319"/>
      <c r="BN197" s="1044"/>
      <c r="BO197" s="1045"/>
      <c r="BP197" s="1045"/>
      <c r="BQ197" s="1045"/>
      <c r="BR197" s="1045"/>
      <c r="BS197" s="1084"/>
      <c r="BT197" s="1045"/>
      <c r="BU197" s="1045"/>
      <c r="BV197" s="1045"/>
      <c r="BW197" s="1085"/>
      <c r="BX197" s="1084"/>
      <c r="BY197" s="1045"/>
      <c r="BZ197" s="1045"/>
      <c r="CA197" s="1045"/>
      <c r="CB197" s="1085"/>
      <c r="CC197" s="1086"/>
      <c r="CD197" s="1327"/>
      <c r="CE197" s="1328"/>
      <c r="CF197" s="1328"/>
      <c r="CG197" s="1328"/>
      <c r="CH197" s="1389"/>
      <c r="CI197" s="1369"/>
      <c r="CJ197" s="1319"/>
      <c r="CK197" s="1319"/>
      <c r="CL197" s="1319"/>
      <c r="CM197" s="1320"/>
      <c r="CN197" s="1369"/>
      <c r="CO197" s="1319"/>
      <c r="CP197" s="1319"/>
      <c r="CQ197" s="1319"/>
      <c r="CR197" s="1320"/>
      <c r="CS197" s="1369"/>
      <c r="CT197" s="1319"/>
      <c r="CU197" s="1319"/>
      <c r="CV197" s="1319"/>
      <c r="CW197" s="1320"/>
      <c r="CX197" s="1369"/>
      <c r="CY197" s="1319"/>
      <c r="CZ197" s="1319"/>
      <c r="DA197" s="1319"/>
      <c r="DB197" s="1320"/>
      <c r="DC197" s="1319"/>
      <c r="DD197" s="1319"/>
      <c r="DE197" s="1319"/>
      <c r="DF197" s="1319"/>
      <c r="DG197" s="1320"/>
      <c r="DH197" s="1369"/>
      <c r="DI197" s="1319"/>
      <c r="DJ197" s="1319"/>
      <c r="DK197" s="1319"/>
      <c r="DL197" s="1320"/>
      <c r="DM197" s="1743"/>
      <c r="DN197" s="1744"/>
      <c r="DO197" s="1744"/>
      <c r="DP197" s="1745"/>
      <c r="DQ197" s="1744"/>
      <c r="DR197" s="1744"/>
      <c r="DS197" s="1744"/>
      <c r="DT197" s="1745"/>
      <c r="DU197" s="1328"/>
      <c r="DV197" s="1664"/>
      <c r="DW197" s="1746"/>
    </row>
    <row r="198" spans="1:127" s="382" customFormat="1" ht="15.75" customHeight="1">
      <c r="A198" s="1066" t="s">
        <v>1269</v>
      </c>
      <c r="B198" s="1026">
        <v>189</v>
      </c>
      <c r="C198" s="987"/>
      <c r="D198" s="987"/>
      <c r="E198" s="987"/>
      <c r="F198" s="987"/>
      <c r="G198" s="987"/>
      <c r="H198" s="987"/>
      <c r="I198" s="987"/>
      <c r="J198" s="987"/>
      <c r="K198" s="987"/>
      <c r="L198" s="987"/>
      <c r="M198" s="1026"/>
      <c r="N198" s="987"/>
      <c r="O198" s="987"/>
      <c r="P198" s="987"/>
      <c r="Q198" s="987"/>
      <c r="R198" s="987"/>
      <c r="S198" s="987"/>
      <c r="T198" s="988"/>
      <c r="U198" s="1067" t="s">
        <v>1343</v>
      </c>
      <c r="V198" s="1068" t="s">
        <v>2872</v>
      </c>
      <c r="W198" s="1068" t="s">
        <v>2231</v>
      </c>
      <c r="X198" s="1069" t="s">
        <v>2873</v>
      </c>
      <c r="Y198" s="1070" t="s">
        <v>2874</v>
      </c>
      <c r="Z198" s="1071" t="s">
        <v>2875</v>
      </c>
      <c r="AA198" s="1072" t="s">
        <v>2260</v>
      </c>
      <c r="AB198" s="1073">
        <v>1</v>
      </c>
      <c r="AC198" s="1073" t="s">
        <v>2260</v>
      </c>
      <c r="AD198" s="1073" t="s">
        <v>2260</v>
      </c>
      <c r="AE198" s="1073" t="s">
        <v>2260</v>
      </c>
      <c r="AF198" s="1073" t="s">
        <v>2260</v>
      </c>
      <c r="AG198" s="1073" t="s">
        <v>2260</v>
      </c>
      <c r="AH198" s="1073" t="s">
        <v>2260</v>
      </c>
      <c r="AI198" s="1074">
        <f t="shared" si="2"/>
        <v>1</v>
      </c>
      <c r="AJ198" s="1075" t="s">
        <v>1852</v>
      </c>
      <c r="AK198" s="1075" t="s">
        <v>1826</v>
      </c>
      <c r="AL198" s="1075" t="s">
        <v>1827</v>
      </c>
      <c r="AM198" s="1076" t="s">
        <v>2280</v>
      </c>
      <c r="AN198" s="987" t="s">
        <v>1857</v>
      </c>
      <c r="AO198" s="987" t="s">
        <v>2876</v>
      </c>
      <c r="AP198" s="1243">
        <v>0</v>
      </c>
      <c r="AQ198" s="1045" t="s">
        <v>1828</v>
      </c>
      <c r="AR198" s="1078" t="s">
        <v>2260</v>
      </c>
      <c r="AS198" s="1079"/>
      <c r="AT198" s="1069"/>
      <c r="AU198" s="1069"/>
      <c r="AV198" s="1069"/>
      <c r="AW198" s="1080"/>
      <c r="AX198" s="1081"/>
      <c r="AY198" s="1044"/>
      <c r="AZ198" s="1045"/>
      <c r="BA198" s="1045"/>
      <c r="BB198" s="1045"/>
      <c r="BC198" s="1045"/>
      <c r="BD198" s="1045"/>
      <c r="BE198" s="1045"/>
      <c r="BF198" s="1045"/>
      <c r="BG198" s="1045"/>
      <c r="BH198" s="1045"/>
      <c r="BI198" s="1369"/>
      <c r="BJ198" s="1319"/>
      <c r="BK198" s="1319"/>
      <c r="BL198" s="1319"/>
      <c r="BM198" s="1319"/>
      <c r="BN198" s="1044"/>
      <c r="BO198" s="1045"/>
      <c r="BP198" s="1045"/>
      <c r="BQ198" s="1045"/>
      <c r="BR198" s="1045"/>
      <c r="BS198" s="1084"/>
      <c r="BT198" s="1045"/>
      <c r="BU198" s="1045"/>
      <c r="BV198" s="1045"/>
      <c r="BW198" s="1085"/>
      <c r="BX198" s="1084"/>
      <c r="BY198" s="1045"/>
      <c r="BZ198" s="1045"/>
      <c r="CA198" s="1045"/>
      <c r="CB198" s="1085"/>
      <c r="CC198" s="1086"/>
      <c r="CD198" s="1327"/>
      <c r="CE198" s="1328"/>
      <c r="CF198" s="1328"/>
      <c r="CG198" s="1328"/>
      <c r="CH198" s="1389"/>
      <c r="CI198" s="1369"/>
      <c r="CJ198" s="1319"/>
      <c r="CK198" s="1319"/>
      <c r="CL198" s="1319"/>
      <c r="CM198" s="1320"/>
      <c r="CN198" s="1369"/>
      <c r="CO198" s="1319"/>
      <c r="CP198" s="1319"/>
      <c r="CQ198" s="1319"/>
      <c r="CR198" s="1320"/>
      <c r="CS198" s="1369"/>
      <c r="CT198" s="1319"/>
      <c r="CU198" s="1319"/>
      <c r="CV198" s="1319"/>
      <c r="CW198" s="1320"/>
      <c r="CX198" s="1369"/>
      <c r="CY198" s="1319"/>
      <c r="CZ198" s="1319"/>
      <c r="DA198" s="1319"/>
      <c r="DB198" s="1320"/>
      <c r="DC198" s="1319"/>
      <c r="DD198" s="1319"/>
      <c r="DE198" s="1319"/>
      <c r="DF198" s="1319"/>
      <c r="DG198" s="1320"/>
      <c r="DH198" s="1369"/>
      <c r="DI198" s="1319"/>
      <c r="DJ198" s="1319"/>
      <c r="DK198" s="1319"/>
      <c r="DL198" s="1320"/>
      <c r="DM198" s="1743"/>
      <c r="DN198" s="1744"/>
      <c r="DO198" s="1744"/>
      <c r="DP198" s="1745"/>
      <c r="DQ198" s="1744"/>
      <c r="DR198" s="1744"/>
      <c r="DS198" s="1744"/>
      <c r="DT198" s="1745"/>
      <c r="DU198" s="1328"/>
      <c r="DV198" s="1664"/>
      <c r="DW198" s="1746"/>
    </row>
    <row r="199" spans="1:127" s="382" customFormat="1" ht="15.75" customHeight="1">
      <c r="A199" s="1066" t="s">
        <v>1269</v>
      </c>
      <c r="B199" s="1026">
        <v>190</v>
      </c>
      <c r="C199" s="987"/>
      <c r="D199" s="987"/>
      <c r="E199" s="987"/>
      <c r="F199" s="987"/>
      <c r="G199" s="987"/>
      <c r="H199" s="987"/>
      <c r="I199" s="987"/>
      <c r="J199" s="987"/>
      <c r="K199" s="987"/>
      <c r="L199" s="987"/>
      <c r="M199" s="1026"/>
      <c r="N199" s="987"/>
      <c r="O199" s="987"/>
      <c r="P199" s="987"/>
      <c r="Q199" s="987"/>
      <c r="R199" s="987"/>
      <c r="S199" s="987"/>
      <c r="T199" s="988"/>
      <c r="U199" s="1067" t="s">
        <v>1360</v>
      </c>
      <c r="V199" s="1068" t="s">
        <v>2872</v>
      </c>
      <c r="W199" s="1068" t="s">
        <v>2231</v>
      </c>
      <c r="X199" s="1069" t="s">
        <v>2877</v>
      </c>
      <c r="Y199" s="1070" t="s">
        <v>2390</v>
      </c>
      <c r="Z199" s="1071" t="s">
        <v>2878</v>
      </c>
      <c r="AA199" s="1072">
        <v>1</v>
      </c>
      <c r="AB199" s="1073" t="s">
        <v>2260</v>
      </c>
      <c r="AC199" s="1073" t="s">
        <v>2260</v>
      </c>
      <c r="AD199" s="1073" t="s">
        <v>2260</v>
      </c>
      <c r="AE199" s="1073" t="s">
        <v>2260</v>
      </c>
      <c r="AF199" s="1073" t="s">
        <v>2260</v>
      </c>
      <c r="AG199" s="1073" t="s">
        <v>2260</v>
      </c>
      <c r="AH199" s="1073" t="s">
        <v>2260</v>
      </c>
      <c r="AI199" s="1074">
        <f t="shared" si="2"/>
        <v>1</v>
      </c>
      <c r="AJ199" s="1075" t="s">
        <v>1852</v>
      </c>
      <c r="AK199" s="1075" t="s">
        <v>1826</v>
      </c>
      <c r="AL199" s="1075" t="s">
        <v>1827</v>
      </c>
      <c r="AM199" s="1076" t="s">
        <v>2290</v>
      </c>
      <c r="AN199" s="987" t="s">
        <v>1857</v>
      </c>
      <c r="AO199" s="987" t="s">
        <v>2291</v>
      </c>
      <c r="AP199" s="1243">
        <v>1</v>
      </c>
      <c r="AQ199" s="1045" t="s">
        <v>1838</v>
      </c>
      <c r="AR199" s="1078" t="s">
        <v>2260</v>
      </c>
      <c r="AS199" s="1079"/>
      <c r="AT199" s="1069"/>
      <c r="AU199" s="1069"/>
      <c r="AV199" s="1069"/>
      <c r="AW199" s="1080"/>
      <c r="AX199" s="1081"/>
      <c r="AY199" s="1044"/>
      <c r="AZ199" s="1045"/>
      <c r="BA199" s="1045"/>
      <c r="BB199" s="1045"/>
      <c r="BC199" s="1045"/>
      <c r="BD199" s="1045"/>
      <c r="BE199" s="1045"/>
      <c r="BF199" s="1045"/>
      <c r="BG199" s="1045"/>
      <c r="BH199" s="1045"/>
      <c r="BI199" s="1369"/>
      <c r="BJ199" s="1319"/>
      <c r="BK199" s="1319"/>
      <c r="BL199" s="1319"/>
      <c r="BM199" s="1319"/>
      <c r="BN199" s="1044"/>
      <c r="BO199" s="1045"/>
      <c r="BP199" s="1045"/>
      <c r="BQ199" s="1045"/>
      <c r="BR199" s="1045"/>
      <c r="BS199" s="1084"/>
      <c r="BT199" s="1045"/>
      <c r="BU199" s="1045"/>
      <c r="BV199" s="1045"/>
      <c r="BW199" s="1085"/>
      <c r="BX199" s="1084"/>
      <c r="BY199" s="1045"/>
      <c r="BZ199" s="1045"/>
      <c r="CA199" s="1045"/>
      <c r="CB199" s="1085"/>
      <c r="CC199" s="1086"/>
      <c r="CD199" s="1327"/>
      <c r="CE199" s="1328"/>
      <c r="CF199" s="1328"/>
      <c r="CG199" s="1328"/>
      <c r="CH199" s="1389"/>
      <c r="CI199" s="1369"/>
      <c r="CJ199" s="1319"/>
      <c r="CK199" s="1319"/>
      <c r="CL199" s="1319"/>
      <c r="CM199" s="1320"/>
      <c r="CN199" s="1369"/>
      <c r="CO199" s="1319"/>
      <c r="CP199" s="1319"/>
      <c r="CQ199" s="1319"/>
      <c r="CR199" s="1320"/>
      <c r="CS199" s="1369"/>
      <c r="CT199" s="1319"/>
      <c r="CU199" s="1319"/>
      <c r="CV199" s="1319"/>
      <c r="CW199" s="1320"/>
      <c r="CX199" s="1369"/>
      <c r="CY199" s="1319"/>
      <c r="CZ199" s="1319"/>
      <c r="DA199" s="1319"/>
      <c r="DB199" s="1320"/>
      <c r="DC199" s="1319"/>
      <c r="DD199" s="1319"/>
      <c r="DE199" s="1319"/>
      <c r="DF199" s="1319"/>
      <c r="DG199" s="1320"/>
      <c r="DH199" s="1369"/>
      <c r="DI199" s="1319"/>
      <c r="DJ199" s="1319"/>
      <c r="DK199" s="1319"/>
      <c r="DL199" s="1320"/>
      <c r="DM199" s="1743"/>
      <c r="DN199" s="1744"/>
      <c r="DO199" s="1744"/>
      <c r="DP199" s="1745"/>
      <c r="DQ199" s="1744"/>
      <c r="DR199" s="1744"/>
      <c r="DS199" s="1744"/>
      <c r="DT199" s="1745"/>
      <c r="DU199" s="1328"/>
      <c r="DV199" s="1664"/>
      <c r="DW199" s="1746"/>
    </row>
    <row r="200" spans="1:127" s="382" customFormat="1" ht="15.75" customHeight="1">
      <c r="A200" s="1066" t="s">
        <v>1269</v>
      </c>
      <c r="B200" s="1026">
        <v>191</v>
      </c>
      <c r="C200" s="987"/>
      <c r="D200" s="987"/>
      <c r="E200" s="987"/>
      <c r="F200" s="987"/>
      <c r="G200" s="987"/>
      <c r="H200" s="987"/>
      <c r="I200" s="987"/>
      <c r="J200" s="987"/>
      <c r="K200" s="987"/>
      <c r="L200" s="987"/>
      <c r="M200" s="1026"/>
      <c r="N200" s="987"/>
      <c r="O200" s="987"/>
      <c r="P200" s="987"/>
      <c r="Q200" s="987"/>
      <c r="R200" s="987"/>
      <c r="S200" s="987"/>
      <c r="T200" s="988"/>
      <c r="U200" s="1067" t="s">
        <v>1377</v>
      </c>
      <c r="V200" s="1068" t="s">
        <v>2872</v>
      </c>
      <c r="W200" s="1068" t="s">
        <v>2231</v>
      </c>
      <c r="X200" s="1069" t="s">
        <v>2879</v>
      </c>
      <c r="Y200" s="1070" t="s">
        <v>2880</v>
      </c>
      <c r="Z200" s="1071" t="s">
        <v>2881</v>
      </c>
      <c r="AA200" s="1072" t="s">
        <v>2260</v>
      </c>
      <c r="AB200" s="1073">
        <v>1</v>
      </c>
      <c r="AC200" s="1073" t="s">
        <v>2260</v>
      </c>
      <c r="AD200" s="1073" t="s">
        <v>2260</v>
      </c>
      <c r="AE200" s="1073" t="s">
        <v>2260</v>
      </c>
      <c r="AF200" s="1073" t="s">
        <v>2260</v>
      </c>
      <c r="AG200" s="1073" t="s">
        <v>2260</v>
      </c>
      <c r="AH200" s="1073" t="s">
        <v>2260</v>
      </c>
      <c r="AI200" s="1074">
        <f t="shared" si="2"/>
        <v>1</v>
      </c>
      <c r="AJ200" s="1075" t="s">
        <v>1852</v>
      </c>
      <c r="AK200" s="1075" t="s">
        <v>2260</v>
      </c>
      <c r="AL200" s="1075" t="s">
        <v>2260</v>
      </c>
      <c r="AM200" s="1076" t="s">
        <v>2523</v>
      </c>
      <c r="AN200" s="987" t="s">
        <v>165</v>
      </c>
      <c r="AO200" s="987" t="s">
        <v>2883</v>
      </c>
      <c r="AP200" s="1243">
        <v>3</v>
      </c>
      <c r="AQ200" s="1045" t="s">
        <v>1828</v>
      </c>
      <c r="AR200" s="1078" t="s">
        <v>2260</v>
      </c>
      <c r="AS200" s="1079"/>
      <c r="AT200" s="1069"/>
      <c r="AU200" s="1069"/>
      <c r="AV200" s="1069"/>
      <c r="AW200" s="1080"/>
      <c r="AX200" s="1081"/>
      <c r="AY200" s="1044"/>
      <c r="AZ200" s="1045"/>
      <c r="BA200" s="1045"/>
      <c r="BB200" s="1045"/>
      <c r="BC200" s="1045"/>
      <c r="BD200" s="1045"/>
      <c r="BE200" s="1045"/>
      <c r="BF200" s="1045"/>
      <c r="BG200" s="1045"/>
      <c r="BH200" s="1045"/>
      <c r="BI200" s="1369"/>
      <c r="BJ200" s="1319"/>
      <c r="BK200" s="1319"/>
      <c r="BL200" s="1319"/>
      <c r="BM200" s="1319"/>
      <c r="BN200" s="1044"/>
      <c r="BO200" s="1045"/>
      <c r="BP200" s="1045"/>
      <c r="BQ200" s="1045"/>
      <c r="BR200" s="1045"/>
      <c r="BS200" s="1084"/>
      <c r="BT200" s="1045"/>
      <c r="BU200" s="1045"/>
      <c r="BV200" s="1045"/>
      <c r="BW200" s="1085"/>
      <c r="BX200" s="1084"/>
      <c r="BY200" s="1045"/>
      <c r="BZ200" s="1045"/>
      <c r="CA200" s="1045"/>
      <c r="CB200" s="1085"/>
      <c r="CC200" s="1086"/>
      <c r="CD200" s="1327"/>
      <c r="CE200" s="1328"/>
      <c r="CF200" s="1328"/>
      <c r="CG200" s="1328"/>
      <c r="CH200" s="1389"/>
      <c r="CI200" s="1369"/>
      <c r="CJ200" s="1319"/>
      <c r="CK200" s="1319"/>
      <c r="CL200" s="1319"/>
      <c r="CM200" s="1320"/>
      <c r="CN200" s="1369"/>
      <c r="CO200" s="1319"/>
      <c r="CP200" s="1319"/>
      <c r="CQ200" s="1319"/>
      <c r="CR200" s="1320"/>
      <c r="CS200" s="1369"/>
      <c r="CT200" s="1319"/>
      <c r="CU200" s="1319"/>
      <c r="CV200" s="1319"/>
      <c r="CW200" s="1320"/>
      <c r="CX200" s="1369"/>
      <c r="CY200" s="1319"/>
      <c r="CZ200" s="1319"/>
      <c r="DA200" s="1319"/>
      <c r="DB200" s="1320"/>
      <c r="DC200" s="1319"/>
      <c r="DD200" s="1319"/>
      <c r="DE200" s="1319"/>
      <c r="DF200" s="1319"/>
      <c r="DG200" s="1320"/>
      <c r="DH200" s="1369"/>
      <c r="DI200" s="1319"/>
      <c r="DJ200" s="1319"/>
      <c r="DK200" s="1319"/>
      <c r="DL200" s="1320"/>
      <c r="DM200" s="1743"/>
      <c r="DN200" s="1744"/>
      <c r="DO200" s="1744"/>
      <c r="DP200" s="1745"/>
      <c r="DQ200" s="1744"/>
      <c r="DR200" s="1744"/>
      <c r="DS200" s="1744"/>
      <c r="DT200" s="1745"/>
      <c r="DU200" s="1328"/>
      <c r="DV200" s="1664"/>
      <c r="DW200" s="1746"/>
    </row>
    <row r="201" spans="1:127" s="382" customFormat="1" ht="15.75" customHeight="1">
      <c r="A201" s="1066" t="s">
        <v>1269</v>
      </c>
      <c r="B201" s="1026">
        <v>192</v>
      </c>
      <c r="C201" s="987"/>
      <c r="D201" s="987"/>
      <c r="E201" s="987"/>
      <c r="F201" s="987"/>
      <c r="G201" s="987"/>
      <c r="H201" s="987"/>
      <c r="I201" s="987"/>
      <c r="J201" s="987"/>
      <c r="K201" s="987"/>
      <c r="L201" s="987"/>
      <c r="M201" s="1026"/>
      <c r="N201" s="987"/>
      <c r="O201" s="987"/>
      <c r="P201" s="987"/>
      <c r="Q201" s="987"/>
      <c r="R201" s="987"/>
      <c r="S201" s="987"/>
      <c r="T201" s="988"/>
      <c r="U201" s="1067" t="s">
        <v>1394</v>
      </c>
      <c r="V201" s="1068" t="s">
        <v>2872</v>
      </c>
      <c r="W201" s="1068" t="s">
        <v>2217</v>
      </c>
      <c r="X201" s="1069" t="s">
        <v>2884</v>
      </c>
      <c r="Y201" s="1070" t="s">
        <v>2885</v>
      </c>
      <c r="Z201" s="1071" t="s">
        <v>2886</v>
      </c>
      <c r="AA201" s="1072" t="s">
        <v>2260</v>
      </c>
      <c r="AB201" s="1073">
        <v>1</v>
      </c>
      <c r="AC201" s="1073" t="s">
        <v>2260</v>
      </c>
      <c r="AD201" s="1073" t="s">
        <v>2260</v>
      </c>
      <c r="AE201" s="1073" t="s">
        <v>2260</v>
      </c>
      <c r="AF201" s="1073" t="s">
        <v>2260</v>
      </c>
      <c r="AG201" s="1073" t="s">
        <v>2260</v>
      </c>
      <c r="AH201" s="1073" t="s">
        <v>2260</v>
      </c>
      <c r="AI201" s="1074">
        <f t="shared" si="2"/>
        <v>1</v>
      </c>
      <c r="AJ201" s="1075" t="s">
        <v>1846</v>
      </c>
      <c r="AK201" s="1075" t="s">
        <v>1826</v>
      </c>
      <c r="AL201" s="1075" t="s">
        <v>1827</v>
      </c>
      <c r="AM201" s="1076" t="s">
        <v>2523</v>
      </c>
      <c r="AN201" s="987" t="s">
        <v>321</v>
      </c>
      <c r="AO201" s="987" t="s">
        <v>2887</v>
      </c>
      <c r="AP201" s="1243">
        <v>1</v>
      </c>
      <c r="AQ201" s="1045" t="s">
        <v>1828</v>
      </c>
      <c r="AR201" s="1078" t="s">
        <v>2260</v>
      </c>
      <c r="AS201" s="1079"/>
      <c r="AT201" s="1069"/>
      <c r="AU201" s="1069"/>
      <c r="AV201" s="1069"/>
      <c r="AW201" s="1080"/>
      <c r="AX201" s="1081"/>
      <c r="AY201" s="1044"/>
      <c r="AZ201" s="1045"/>
      <c r="BA201" s="1045"/>
      <c r="BB201" s="1045"/>
      <c r="BC201" s="1045"/>
      <c r="BD201" s="1045"/>
      <c r="BE201" s="1045"/>
      <c r="BF201" s="1045"/>
      <c r="BG201" s="1045"/>
      <c r="BH201" s="1045"/>
      <c r="BI201" s="1369"/>
      <c r="BJ201" s="1319"/>
      <c r="BK201" s="1319"/>
      <c r="BL201" s="1319"/>
      <c r="BM201" s="1319"/>
      <c r="BN201" s="1044"/>
      <c r="BO201" s="1045"/>
      <c r="BP201" s="1045"/>
      <c r="BQ201" s="1045"/>
      <c r="BR201" s="1045"/>
      <c r="BS201" s="1084"/>
      <c r="BT201" s="1045"/>
      <c r="BU201" s="1045"/>
      <c r="BV201" s="1045"/>
      <c r="BW201" s="1085"/>
      <c r="BX201" s="1084"/>
      <c r="BY201" s="1045"/>
      <c r="BZ201" s="1045"/>
      <c r="CA201" s="1045"/>
      <c r="CB201" s="1085"/>
      <c r="CC201" s="1086"/>
      <c r="CD201" s="1327"/>
      <c r="CE201" s="1328"/>
      <c r="CF201" s="1328"/>
      <c r="CG201" s="1328"/>
      <c r="CH201" s="1389"/>
      <c r="CI201" s="1369"/>
      <c r="CJ201" s="1319"/>
      <c r="CK201" s="1319"/>
      <c r="CL201" s="1319"/>
      <c r="CM201" s="1320"/>
      <c r="CN201" s="1369"/>
      <c r="CO201" s="1319"/>
      <c r="CP201" s="1319"/>
      <c r="CQ201" s="1319"/>
      <c r="CR201" s="1320"/>
      <c r="CS201" s="1369"/>
      <c r="CT201" s="1319"/>
      <c r="CU201" s="1319"/>
      <c r="CV201" s="1319"/>
      <c r="CW201" s="1320"/>
      <c r="CX201" s="1369"/>
      <c r="CY201" s="1319"/>
      <c r="CZ201" s="1319"/>
      <c r="DA201" s="1319"/>
      <c r="DB201" s="1320"/>
      <c r="DC201" s="1319"/>
      <c r="DD201" s="1319"/>
      <c r="DE201" s="1319"/>
      <c r="DF201" s="1319"/>
      <c r="DG201" s="1320"/>
      <c r="DH201" s="1369"/>
      <c r="DI201" s="1319"/>
      <c r="DJ201" s="1319"/>
      <c r="DK201" s="1319"/>
      <c r="DL201" s="1320"/>
      <c r="DM201" s="1743"/>
      <c r="DN201" s="1744"/>
      <c r="DO201" s="1744"/>
      <c r="DP201" s="1745"/>
      <c r="DQ201" s="1744"/>
      <c r="DR201" s="1744"/>
      <c r="DS201" s="1744"/>
      <c r="DT201" s="1745"/>
      <c r="DU201" s="1328"/>
      <c r="DV201" s="1664"/>
      <c r="DW201" s="1746"/>
    </row>
    <row r="202" spans="1:127" s="382" customFormat="1" ht="15.75" customHeight="1">
      <c r="A202" s="1066" t="s">
        <v>1269</v>
      </c>
      <c r="B202" s="1026">
        <v>193</v>
      </c>
      <c r="C202" s="987"/>
      <c r="D202" s="987"/>
      <c r="E202" s="987"/>
      <c r="F202" s="987"/>
      <c r="G202" s="987"/>
      <c r="H202" s="987"/>
      <c r="I202" s="987"/>
      <c r="J202" s="987"/>
      <c r="K202" s="987"/>
      <c r="L202" s="987"/>
      <c r="M202" s="1026"/>
      <c r="N202" s="987"/>
      <c r="O202" s="987"/>
      <c r="P202" s="987"/>
      <c r="Q202" s="987"/>
      <c r="R202" s="987"/>
      <c r="S202" s="987"/>
      <c r="T202" s="988"/>
      <c r="U202" s="1067" t="s">
        <v>1411</v>
      </c>
      <c r="V202" s="1068" t="s">
        <v>2888</v>
      </c>
      <c r="W202" s="1068" t="s">
        <v>2231</v>
      </c>
      <c r="X202" s="1069" t="s">
        <v>2889</v>
      </c>
      <c r="Y202" s="1070" t="s">
        <v>2890</v>
      </c>
      <c r="Z202" s="1071" t="s">
        <v>2891</v>
      </c>
      <c r="AA202" s="1072" t="s">
        <v>2260</v>
      </c>
      <c r="AB202" s="1073" t="s">
        <v>2260</v>
      </c>
      <c r="AC202" s="1073" t="s">
        <v>2260</v>
      </c>
      <c r="AD202" s="1073" t="s">
        <v>2260</v>
      </c>
      <c r="AE202" s="1073">
        <v>1</v>
      </c>
      <c r="AF202" s="1073" t="s">
        <v>2260</v>
      </c>
      <c r="AG202" s="1073" t="s">
        <v>2260</v>
      </c>
      <c r="AH202" s="1073" t="s">
        <v>2260</v>
      </c>
      <c r="AI202" s="1074">
        <f t="shared" ref="AI202:AI265" si="3">SUM(AA202:AH202)</f>
        <v>1</v>
      </c>
      <c r="AJ202" s="1075" t="s">
        <v>1852</v>
      </c>
      <c r="AK202" s="1075" t="s">
        <v>1826</v>
      </c>
      <c r="AL202" s="1075" t="s">
        <v>1827</v>
      </c>
      <c r="AM202" s="1076" t="s">
        <v>2892</v>
      </c>
      <c r="AN202" s="987" t="s">
        <v>321</v>
      </c>
      <c r="AO202" s="987" t="s">
        <v>2634</v>
      </c>
      <c r="AP202" s="1243">
        <v>2</v>
      </c>
      <c r="AQ202" s="1045" t="s">
        <v>1838</v>
      </c>
      <c r="AR202" s="1078" t="s">
        <v>2260</v>
      </c>
      <c r="AS202" s="1079"/>
      <c r="AT202" s="1069"/>
      <c r="AU202" s="1069"/>
      <c r="AV202" s="1069"/>
      <c r="AW202" s="1080"/>
      <c r="AX202" s="1081"/>
      <c r="AY202" s="1044"/>
      <c r="AZ202" s="1045"/>
      <c r="BA202" s="1045"/>
      <c r="BB202" s="1045"/>
      <c r="BC202" s="1045"/>
      <c r="BD202" s="1045"/>
      <c r="BE202" s="1045"/>
      <c r="BF202" s="1045"/>
      <c r="BG202" s="1045"/>
      <c r="BH202" s="1045"/>
      <c r="BI202" s="1369"/>
      <c r="BJ202" s="1319"/>
      <c r="BK202" s="1319"/>
      <c r="BL202" s="1319"/>
      <c r="BM202" s="1319"/>
      <c r="BN202" s="1044"/>
      <c r="BO202" s="1045"/>
      <c r="BP202" s="1045"/>
      <c r="BQ202" s="1045"/>
      <c r="BR202" s="1045"/>
      <c r="BS202" s="1084"/>
      <c r="BT202" s="1045"/>
      <c r="BU202" s="1045"/>
      <c r="BV202" s="1045"/>
      <c r="BW202" s="1085"/>
      <c r="BX202" s="1084"/>
      <c r="BY202" s="1045"/>
      <c r="BZ202" s="1045"/>
      <c r="CA202" s="1045"/>
      <c r="CB202" s="1085"/>
      <c r="CC202" s="1086"/>
      <c r="CD202" s="1327"/>
      <c r="CE202" s="1328"/>
      <c r="CF202" s="1328"/>
      <c r="CG202" s="1328"/>
      <c r="CH202" s="1389"/>
      <c r="CI202" s="1369"/>
      <c r="CJ202" s="1319"/>
      <c r="CK202" s="1319"/>
      <c r="CL202" s="1319"/>
      <c r="CM202" s="1320"/>
      <c r="CN202" s="1369"/>
      <c r="CO202" s="1319"/>
      <c r="CP202" s="1319"/>
      <c r="CQ202" s="1319"/>
      <c r="CR202" s="1320"/>
      <c r="CS202" s="1369"/>
      <c r="CT202" s="1319"/>
      <c r="CU202" s="1319"/>
      <c r="CV202" s="1319"/>
      <c r="CW202" s="1320"/>
      <c r="CX202" s="1369"/>
      <c r="CY202" s="1319"/>
      <c r="CZ202" s="1319"/>
      <c r="DA202" s="1319"/>
      <c r="DB202" s="1320"/>
      <c r="DC202" s="1319"/>
      <c r="DD202" s="1319"/>
      <c r="DE202" s="1319"/>
      <c r="DF202" s="1319"/>
      <c r="DG202" s="1320"/>
      <c r="DH202" s="1369"/>
      <c r="DI202" s="1319"/>
      <c r="DJ202" s="1319"/>
      <c r="DK202" s="1319"/>
      <c r="DL202" s="1320"/>
      <c r="DM202" s="1743"/>
      <c r="DN202" s="1744"/>
      <c r="DO202" s="1744"/>
      <c r="DP202" s="1745"/>
      <c r="DQ202" s="1744"/>
      <c r="DR202" s="1744"/>
      <c r="DS202" s="1744"/>
      <c r="DT202" s="1745"/>
      <c r="DU202" s="1328"/>
      <c r="DV202" s="1664"/>
      <c r="DW202" s="1746"/>
    </row>
    <row r="203" spans="1:127" s="382" customFormat="1" ht="15.75" customHeight="1">
      <c r="A203" s="1066" t="s">
        <v>1269</v>
      </c>
      <c r="B203" s="1026">
        <v>194</v>
      </c>
      <c r="C203" s="987"/>
      <c r="D203" s="987"/>
      <c r="E203" s="987"/>
      <c r="F203" s="987"/>
      <c r="G203" s="987"/>
      <c r="H203" s="987"/>
      <c r="I203" s="987"/>
      <c r="J203" s="987"/>
      <c r="K203" s="987"/>
      <c r="L203" s="987"/>
      <c r="M203" s="1026"/>
      <c r="N203" s="987"/>
      <c r="O203" s="987"/>
      <c r="P203" s="987"/>
      <c r="Q203" s="987"/>
      <c r="R203" s="987"/>
      <c r="S203" s="987"/>
      <c r="T203" s="988"/>
      <c r="U203" s="1067" t="s">
        <v>1427</v>
      </c>
      <c r="V203" s="1068" t="s">
        <v>2888</v>
      </c>
      <c r="W203" s="1068" t="s">
        <v>2231</v>
      </c>
      <c r="X203" s="1069" t="s">
        <v>2893</v>
      </c>
      <c r="Y203" s="1070" t="s">
        <v>2894</v>
      </c>
      <c r="Z203" s="1071" t="s">
        <v>2895</v>
      </c>
      <c r="AA203" s="1072" t="s">
        <v>2260</v>
      </c>
      <c r="AB203" s="1073" t="s">
        <v>2260</v>
      </c>
      <c r="AC203" s="1073" t="s">
        <v>2260</v>
      </c>
      <c r="AD203" s="1073" t="s">
        <v>2260</v>
      </c>
      <c r="AE203" s="1073">
        <v>1</v>
      </c>
      <c r="AF203" s="1073" t="s">
        <v>2260</v>
      </c>
      <c r="AG203" s="1073" t="s">
        <v>2260</v>
      </c>
      <c r="AH203" s="1073" t="s">
        <v>2260</v>
      </c>
      <c r="AI203" s="1074">
        <f t="shared" si="3"/>
        <v>1</v>
      </c>
      <c r="AJ203" s="1075" t="s">
        <v>1846</v>
      </c>
      <c r="AK203" s="1075" t="s">
        <v>1826</v>
      </c>
      <c r="AL203" s="1075" t="s">
        <v>1827</v>
      </c>
      <c r="AM203" s="1076" t="s">
        <v>2329</v>
      </c>
      <c r="AN203" s="987" t="s">
        <v>1857</v>
      </c>
      <c r="AO203" s="987" t="s">
        <v>2896</v>
      </c>
      <c r="AP203" s="1243">
        <v>0</v>
      </c>
      <c r="AQ203" s="1045" t="s">
        <v>1828</v>
      </c>
      <c r="AR203" s="1078" t="s">
        <v>2260</v>
      </c>
      <c r="AS203" s="1079"/>
      <c r="AT203" s="1069"/>
      <c r="AU203" s="1069"/>
      <c r="AV203" s="1069"/>
      <c r="AW203" s="1080"/>
      <c r="AX203" s="1081"/>
      <c r="AY203" s="1044"/>
      <c r="AZ203" s="1045"/>
      <c r="BA203" s="1045"/>
      <c r="BB203" s="1045"/>
      <c r="BC203" s="1045"/>
      <c r="BD203" s="1045"/>
      <c r="BE203" s="1045"/>
      <c r="BF203" s="1045"/>
      <c r="BG203" s="1045"/>
      <c r="BH203" s="1045"/>
      <c r="BI203" s="1369"/>
      <c r="BJ203" s="1319"/>
      <c r="BK203" s="1319"/>
      <c r="BL203" s="1319"/>
      <c r="BM203" s="1319"/>
      <c r="BN203" s="1044"/>
      <c r="BO203" s="1045"/>
      <c r="BP203" s="1045"/>
      <c r="BQ203" s="1045"/>
      <c r="BR203" s="1045"/>
      <c r="BS203" s="1084"/>
      <c r="BT203" s="1045"/>
      <c r="BU203" s="1045"/>
      <c r="BV203" s="1045"/>
      <c r="BW203" s="1085"/>
      <c r="BX203" s="1084"/>
      <c r="BY203" s="1045"/>
      <c r="BZ203" s="1045"/>
      <c r="CA203" s="1045"/>
      <c r="CB203" s="1085"/>
      <c r="CC203" s="1086"/>
      <c r="CD203" s="1327"/>
      <c r="CE203" s="1328"/>
      <c r="CF203" s="1328"/>
      <c r="CG203" s="1328"/>
      <c r="CH203" s="1389"/>
      <c r="CI203" s="1369"/>
      <c r="CJ203" s="1319"/>
      <c r="CK203" s="1319"/>
      <c r="CL203" s="1319"/>
      <c r="CM203" s="1320"/>
      <c r="CN203" s="1369"/>
      <c r="CO203" s="1319"/>
      <c r="CP203" s="1319"/>
      <c r="CQ203" s="1319"/>
      <c r="CR203" s="1320"/>
      <c r="CS203" s="1369"/>
      <c r="CT203" s="1319"/>
      <c r="CU203" s="1319"/>
      <c r="CV203" s="1319"/>
      <c r="CW203" s="1320"/>
      <c r="CX203" s="1369"/>
      <c r="CY203" s="1319"/>
      <c r="CZ203" s="1319"/>
      <c r="DA203" s="1319"/>
      <c r="DB203" s="1320"/>
      <c r="DC203" s="1319"/>
      <c r="DD203" s="1319"/>
      <c r="DE203" s="1319"/>
      <c r="DF203" s="1319"/>
      <c r="DG203" s="1320"/>
      <c r="DH203" s="1369"/>
      <c r="DI203" s="1319"/>
      <c r="DJ203" s="1319"/>
      <c r="DK203" s="1319"/>
      <c r="DL203" s="1320"/>
      <c r="DM203" s="1743"/>
      <c r="DN203" s="1744"/>
      <c r="DO203" s="1744"/>
      <c r="DP203" s="1745"/>
      <c r="DQ203" s="1744"/>
      <c r="DR203" s="1744"/>
      <c r="DS203" s="1744"/>
      <c r="DT203" s="1745"/>
      <c r="DU203" s="1328"/>
      <c r="DV203" s="1664"/>
      <c r="DW203" s="1746"/>
    </row>
    <row r="204" spans="1:127" s="382" customFormat="1" ht="15.75" customHeight="1">
      <c r="A204" s="1066" t="s">
        <v>1269</v>
      </c>
      <c r="B204" s="1026">
        <v>195</v>
      </c>
      <c r="C204" s="987"/>
      <c r="D204" s="987"/>
      <c r="E204" s="987"/>
      <c r="F204" s="987"/>
      <c r="G204" s="987"/>
      <c r="H204" s="987"/>
      <c r="I204" s="987"/>
      <c r="J204" s="987"/>
      <c r="K204" s="987"/>
      <c r="L204" s="987"/>
      <c r="M204" s="1026"/>
      <c r="N204" s="987"/>
      <c r="O204" s="987"/>
      <c r="P204" s="987"/>
      <c r="Q204" s="987"/>
      <c r="R204" s="987"/>
      <c r="S204" s="987"/>
      <c r="T204" s="988"/>
      <c r="U204" s="1067" t="s">
        <v>1764</v>
      </c>
      <c r="V204" s="1068" t="s">
        <v>2888</v>
      </c>
      <c r="W204" s="1068" t="s">
        <v>2231</v>
      </c>
      <c r="X204" s="1069" t="s">
        <v>2897</v>
      </c>
      <c r="Y204" s="1070" t="s">
        <v>2251</v>
      </c>
      <c r="Z204" s="1071" t="s">
        <v>2898</v>
      </c>
      <c r="AA204" s="1072" t="s">
        <v>2260</v>
      </c>
      <c r="AB204" s="1073" t="s">
        <v>2260</v>
      </c>
      <c r="AC204" s="1073" t="s">
        <v>2260</v>
      </c>
      <c r="AD204" s="1073" t="s">
        <v>2260</v>
      </c>
      <c r="AE204" s="1073">
        <v>1</v>
      </c>
      <c r="AF204" s="1073" t="s">
        <v>2260</v>
      </c>
      <c r="AG204" s="1073" t="s">
        <v>2260</v>
      </c>
      <c r="AH204" s="1073" t="s">
        <v>2260</v>
      </c>
      <c r="AI204" s="1074">
        <f t="shared" si="3"/>
        <v>1</v>
      </c>
      <c r="AJ204" s="1075" t="s">
        <v>1852</v>
      </c>
      <c r="AK204" s="1075" t="s">
        <v>1826</v>
      </c>
      <c r="AL204" s="1075" t="s">
        <v>1827</v>
      </c>
      <c r="AM204" s="1076" t="s">
        <v>1888</v>
      </c>
      <c r="AN204" s="987" t="s">
        <v>1897</v>
      </c>
      <c r="AO204" s="987" t="s">
        <v>2899</v>
      </c>
      <c r="AP204" s="1243">
        <v>2</v>
      </c>
      <c r="AQ204" s="1045" t="s">
        <v>1828</v>
      </c>
      <c r="AR204" s="1078" t="s">
        <v>2251</v>
      </c>
      <c r="AS204" s="1079"/>
      <c r="AT204" s="1069"/>
      <c r="AU204" s="1069"/>
      <c r="AV204" s="1069"/>
      <c r="AW204" s="1080"/>
      <c r="AX204" s="1081"/>
      <c r="AY204" s="1044"/>
      <c r="AZ204" s="1045"/>
      <c r="BA204" s="1045"/>
      <c r="BB204" s="1045"/>
      <c r="BC204" s="1045"/>
      <c r="BD204" s="1045"/>
      <c r="BE204" s="1045"/>
      <c r="BF204" s="1045"/>
      <c r="BG204" s="1045"/>
      <c r="BH204" s="1045"/>
      <c r="BI204" s="1044" t="s">
        <v>2260</v>
      </c>
      <c r="BJ204" s="1045" t="s">
        <v>2260</v>
      </c>
      <c r="BK204" s="1045" t="s">
        <v>2260</v>
      </c>
      <c r="BL204" s="1045" t="s">
        <v>2260</v>
      </c>
      <c r="BM204" s="1045" t="s">
        <v>2260</v>
      </c>
      <c r="BN204" s="1044"/>
      <c r="BO204" s="1045"/>
      <c r="BP204" s="1045"/>
      <c r="BQ204" s="1045"/>
      <c r="BR204" s="1045"/>
      <c r="BS204" s="1084"/>
      <c r="BT204" s="1045"/>
      <c r="BU204" s="1045"/>
      <c r="BV204" s="1045"/>
      <c r="BW204" s="1085"/>
      <c r="BX204" s="1084"/>
      <c r="BY204" s="1045"/>
      <c r="BZ204" s="1045"/>
      <c r="CA204" s="1045"/>
      <c r="CB204" s="1085"/>
      <c r="CC204" s="1086"/>
      <c r="CD204" s="1087" t="s">
        <v>210</v>
      </c>
      <c r="CE204" s="1088" t="s">
        <v>210</v>
      </c>
      <c r="CF204" s="1088" t="s">
        <v>210</v>
      </c>
      <c r="CG204" s="1088" t="s">
        <v>210</v>
      </c>
      <c r="CH204" s="1089" t="s">
        <v>210</v>
      </c>
      <c r="CI204" s="1044" t="s">
        <v>2260</v>
      </c>
      <c r="CJ204" s="1045" t="s">
        <v>2260</v>
      </c>
      <c r="CK204" s="1045" t="s">
        <v>2260</v>
      </c>
      <c r="CL204" s="1045" t="s">
        <v>2260</v>
      </c>
      <c r="CM204" s="1086" t="s">
        <v>2260</v>
      </c>
      <c r="CN204" s="1044" t="s">
        <v>2260</v>
      </c>
      <c r="CO204" s="1045" t="s">
        <v>2260</v>
      </c>
      <c r="CP204" s="1045" t="s">
        <v>2260</v>
      </c>
      <c r="CQ204" s="1045" t="s">
        <v>2260</v>
      </c>
      <c r="CR204" s="1086" t="s">
        <v>2260</v>
      </c>
      <c r="CS204" s="1044" t="s">
        <v>2260</v>
      </c>
      <c r="CT204" s="1045" t="s">
        <v>2260</v>
      </c>
      <c r="CU204" s="1045" t="s">
        <v>2260</v>
      </c>
      <c r="CV204" s="1045" t="s">
        <v>2260</v>
      </c>
      <c r="CW204" s="1086" t="s">
        <v>2260</v>
      </c>
      <c r="CX204" s="1044" t="s">
        <v>2260</v>
      </c>
      <c r="CY204" s="1045" t="s">
        <v>2260</v>
      </c>
      <c r="CZ204" s="1045" t="s">
        <v>2260</v>
      </c>
      <c r="DA204" s="1045" t="s">
        <v>2260</v>
      </c>
      <c r="DB204" s="1086" t="s">
        <v>2260</v>
      </c>
      <c r="DC204" s="1045" t="s">
        <v>2260</v>
      </c>
      <c r="DD204" s="1045" t="s">
        <v>2260</v>
      </c>
      <c r="DE204" s="1045" t="s">
        <v>2260</v>
      </c>
      <c r="DF204" s="1045" t="s">
        <v>2260</v>
      </c>
      <c r="DG204" s="1086" t="s">
        <v>2260</v>
      </c>
      <c r="DH204" s="1044" t="s">
        <v>2260</v>
      </c>
      <c r="DI204" s="1045" t="s">
        <v>2260</v>
      </c>
      <c r="DJ204" s="1045" t="s">
        <v>2260</v>
      </c>
      <c r="DK204" s="1045" t="s">
        <v>2260</v>
      </c>
      <c r="DL204" s="1086" t="s">
        <v>2260</v>
      </c>
      <c r="DM204" s="1090" t="s">
        <v>2260</v>
      </c>
      <c r="DN204" s="1091" t="s">
        <v>2260</v>
      </c>
      <c r="DO204" s="1091" t="s">
        <v>2260</v>
      </c>
      <c r="DP204" s="1092" t="s">
        <v>2260</v>
      </c>
      <c r="DQ204" s="1091" t="s">
        <v>2260</v>
      </c>
      <c r="DR204" s="1091" t="s">
        <v>2260</v>
      </c>
      <c r="DS204" s="1091" t="s">
        <v>2260</v>
      </c>
      <c r="DT204" s="1092" t="s">
        <v>2260</v>
      </c>
      <c r="DU204" s="1088" t="s">
        <v>2260</v>
      </c>
      <c r="DV204" s="1093">
        <v>1</v>
      </c>
      <c r="DW204" s="1094" t="s">
        <v>2260</v>
      </c>
    </row>
    <row r="205" spans="1:127" s="382" customFormat="1" ht="15.75" customHeight="1">
      <c r="A205" s="1066" t="s">
        <v>1269</v>
      </c>
      <c r="B205" s="1026">
        <v>196</v>
      </c>
      <c r="C205" s="987"/>
      <c r="D205" s="987"/>
      <c r="E205" s="987"/>
      <c r="F205" s="987"/>
      <c r="G205" s="987"/>
      <c r="H205" s="987"/>
      <c r="I205" s="987"/>
      <c r="J205" s="987"/>
      <c r="K205" s="987"/>
      <c r="L205" s="987"/>
      <c r="M205" s="1026"/>
      <c r="N205" s="987"/>
      <c r="O205" s="987"/>
      <c r="P205" s="987"/>
      <c r="Q205" s="987"/>
      <c r="R205" s="987"/>
      <c r="S205" s="987"/>
      <c r="T205" s="988"/>
      <c r="U205" s="1067" t="s">
        <v>1781</v>
      </c>
      <c r="V205" s="1068" t="s">
        <v>2888</v>
      </c>
      <c r="W205" s="1068" t="s">
        <v>2231</v>
      </c>
      <c r="X205" s="1069" t="s">
        <v>2900</v>
      </c>
      <c r="Y205" s="1070" t="s">
        <v>2254</v>
      </c>
      <c r="Z205" s="1071" t="s">
        <v>2901</v>
      </c>
      <c r="AA205" s="1072" t="s">
        <v>2260</v>
      </c>
      <c r="AB205" s="1073">
        <v>1</v>
      </c>
      <c r="AC205" s="1073" t="s">
        <v>2260</v>
      </c>
      <c r="AD205" s="1073" t="s">
        <v>2260</v>
      </c>
      <c r="AE205" s="1073" t="s">
        <v>2260</v>
      </c>
      <c r="AF205" s="1073" t="s">
        <v>2260</v>
      </c>
      <c r="AG205" s="1073" t="s">
        <v>2260</v>
      </c>
      <c r="AH205" s="1073" t="s">
        <v>2260</v>
      </c>
      <c r="AI205" s="1074">
        <f t="shared" si="3"/>
        <v>1</v>
      </c>
      <c r="AJ205" s="1075" t="s">
        <v>1852</v>
      </c>
      <c r="AK205" s="1075" t="s">
        <v>1826</v>
      </c>
      <c r="AL205" s="1075" t="s">
        <v>1827</v>
      </c>
      <c r="AM205" s="1076" t="s">
        <v>1891</v>
      </c>
      <c r="AN205" s="987" t="s">
        <v>1897</v>
      </c>
      <c r="AO205" s="987" t="s">
        <v>2902</v>
      </c>
      <c r="AP205" s="1243">
        <v>2</v>
      </c>
      <c r="AQ205" s="1045" t="s">
        <v>1828</v>
      </c>
      <c r="AR205" s="1078" t="s">
        <v>2254</v>
      </c>
      <c r="AS205" s="1079"/>
      <c r="AT205" s="1069"/>
      <c r="AU205" s="1069"/>
      <c r="AV205" s="1069"/>
      <c r="AW205" s="1080"/>
      <c r="AX205" s="1081"/>
      <c r="AY205" s="1044"/>
      <c r="AZ205" s="1045"/>
      <c r="BA205" s="1045"/>
      <c r="BB205" s="1045"/>
      <c r="BC205" s="1045"/>
      <c r="BD205" s="1045"/>
      <c r="BE205" s="1045"/>
      <c r="BF205" s="1045"/>
      <c r="BG205" s="1045"/>
      <c r="BH205" s="1045"/>
      <c r="BI205" s="1044" t="s">
        <v>2260</v>
      </c>
      <c r="BJ205" s="1045" t="s">
        <v>2260</v>
      </c>
      <c r="BK205" s="1045" t="s">
        <v>2260</v>
      </c>
      <c r="BL205" s="1045" t="s">
        <v>2260</v>
      </c>
      <c r="BM205" s="1045" t="s">
        <v>2260</v>
      </c>
      <c r="BN205" s="1044"/>
      <c r="BO205" s="1045"/>
      <c r="BP205" s="1045"/>
      <c r="BQ205" s="1045"/>
      <c r="BR205" s="1045"/>
      <c r="BS205" s="1084"/>
      <c r="BT205" s="1045"/>
      <c r="BU205" s="1045"/>
      <c r="BV205" s="1045"/>
      <c r="BW205" s="1085"/>
      <c r="BX205" s="1084"/>
      <c r="BY205" s="1045"/>
      <c r="BZ205" s="1045"/>
      <c r="CA205" s="1045"/>
      <c r="CB205" s="1085"/>
      <c r="CC205" s="1086"/>
      <c r="CD205" s="1087" t="s">
        <v>210</v>
      </c>
      <c r="CE205" s="1088" t="s">
        <v>210</v>
      </c>
      <c r="CF205" s="1088" t="s">
        <v>210</v>
      </c>
      <c r="CG205" s="1088" t="s">
        <v>210</v>
      </c>
      <c r="CH205" s="1089" t="s">
        <v>210</v>
      </c>
      <c r="CI205" s="1044" t="s">
        <v>2260</v>
      </c>
      <c r="CJ205" s="1045" t="s">
        <v>2260</v>
      </c>
      <c r="CK205" s="1045" t="s">
        <v>2260</v>
      </c>
      <c r="CL205" s="1045" t="s">
        <v>2260</v>
      </c>
      <c r="CM205" s="1086" t="s">
        <v>2260</v>
      </c>
      <c r="CN205" s="1044" t="s">
        <v>2260</v>
      </c>
      <c r="CO205" s="1045" t="s">
        <v>2260</v>
      </c>
      <c r="CP205" s="1045" t="s">
        <v>2260</v>
      </c>
      <c r="CQ205" s="1045" t="s">
        <v>2260</v>
      </c>
      <c r="CR205" s="1086" t="s">
        <v>2260</v>
      </c>
      <c r="CS205" s="1044" t="s">
        <v>2260</v>
      </c>
      <c r="CT205" s="1045" t="s">
        <v>2260</v>
      </c>
      <c r="CU205" s="1045" t="s">
        <v>2260</v>
      </c>
      <c r="CV205" s="1045" t="s">
        <v>2260</v>
      </c>
      <c r="CW205" s="1086" t="s">
        <v>2260</v>
      </c>
      <c r="CX205" s="1044" t="s">
        <v>2260</v>
      </c>
      <c r="CY205" s="1045" t="s">
        <v>2260</v>
      </c>
      <c r="CZ205" s="1045" t="s">
        <v>2260</v>
      </c>
      <c r="DA205" s="1045" t="s">
        <v>2260</v>
      </c>
      <c r="DB205" s="1086" t="s">
        <v>2260</v>
      </c>
      <c r="DC205" s="1045" t="s">
        <v>2260</v>
      </c>
      <c r="DD205" s="1045" t="s">
        <v>2260</v>
      </c>
      <c r="DE205" s="1045" t="s">
        <v>2260</v>
      </c>
      <c r="DF205" s="1045" t="s">
        <v>2260</v>
      </c>
      <c r="DG205" s="1086" t="s">
        <v>2260</v>
      </c>
      <c r="DH205" s="1044" t="s">
        <v>2260</v>
      </c>
      <c r="DI205" s="1045" t="s">
        <v>2260</v>
      </c>
      <c r="DJ205" s="1045" t="s">
        <v>2260</v>
      </c>
      <c r="DK205" s="1045" t="s">
        <v>2260</v>
      </c>
      <c r="DL205" s="1086" t="s">
        <v>2260</v>
      </c>
      <c r="DM205" s="1090" t="s">
        <v>2260</v>
      </c>
      <c r="DN205" s="1091" t="s">
        <v>2260</v>
      </c>
      <c r="DO205" s="1091" t="s">
        <v>2260</v>
      </c>
      <c r="DP205" s="1092" t="s">
        <v>2260</v>
      </c>
      <c r="DQ205" s="1091" t="s">
        <v>2260</v>
      </c>
      <c r="DR205" s="1091" t="s">
        <v>2260</v>
      </c>
      <c r="DS205" s="1091" t="s">
        <v>2260</v>
      </c>
      <c r="DT205" s="1092" t="s">
        <v>2260</v>
      </c>
      <c r="DU205" s="1088" t="s">
        <v>2260</v>
      </c>
      <c r="DV205" s="1093">
        <v>1</v>
      </c>
      <c r="DW205" s="1094" t="s">
        <v>2260</v>
      </c>
    </row>
    <row r="206" spans="1:127" s="382" customFormat="1" ht="15.75" customHeight="1">
      <c r="A206" s="1066" t="s">
        <v>1269</v>
      </c>
      <c r="B206" s="1026">
        <v>197</v>
      </c>
      <c r="C206" s="987"/>
      <c r="D206" s="987"/>
      <c r="E206" s="987"/>
      <c r="F206" s="987"/>
      <c r="G206" s="987"/>
      <c r="H206" s="987"/>
      <c r="I206" s="987"/>
      <c r="J206" s="987"/>
      <c r="K206" s="987"/>
      <c r="L206" s="987"/>
      <c r="M206" s="1026"/>
      <c r="N206" s="987"/>
      <c r="O206" s="987"/>
      <c r="P206" s="987"/>
      <c r="Q206" s="987"/>
      <c r="R206" s="987"/>
      <c r="S206" s="987"/>
      <c r="T206" s="988"/>
      <c r="U206" s="1067" t="s">
        <v>1592</v>
      </c>
      <c r="V206" s="1068" t="s">
        <v>2849</v>
      </c>
      <c r="W206" s="1068" t="s">
        <v>2231</v>
      </c>
      <c r="X206" s="1069" t="s">
        <v>2903</v>
      </c>
      <c r="Y206" s="1070" t="s">
        <v>2904</v>
      </c>
      <c r="Z206" s="1071" t="s">
        <v>2905</v>
      </c>
      <c r="AA206" s="1072" t="s">
        <v>2260</v>
      </c>
      <c r="AB206" s="1073">
        <v>1</v>
      </c>
      <c r="AC206" s="1073" t="s">
        <v>2260</v>
      </c>
      <c r="AD206" s="1073" t="s">
        <v>2260</v>
      </c>
      <c r="AE206" s="1073" t="s">
        <v>2260</v>
      </c>
      <c r="AF206" s="1073" t="s">
        <v>2260</v>
      </c>
      <c r="AG206" s="1073" t="s">
        <v>2260</v>
      </c>
      <c r="AH206" s="1073" t="s">
        <v>2260</v>
      </c>
      <c r="AI206" s="1074">
        <f t="shared" si="3"/>
        <v>1</v>
      </c>
      <c r="AJ206" s="1075" t="s">
        <v>1825</v>
      </c>
      <c r="AK206" s="1075" t="s">
        <v>2260</v>
      </c>
      <c r="AL206" s="1075" t="s">
        <v>2260</v>
      </c>
      <c r="AM206" s="1076" t="s">
        <v>2234</v>
      </c>
      <c r="AN206" s="987" t="s">
        <v>1899</v>
      </c>
      <c r="AO206" s="987" t="s">
        <v>2906</v>
      </c>
      <c r="AP206" s="1243">
        <v>0</v>
      </c>
      <c r="AQ206" s="1045" t="s">
        <v>1838</v>
      </c>
      <c r="AR206" s="1078" t="s">
        <v>2260</v>
      </c>
      <c r="AS206" s="1079"/>
      <c r="AT206" s="1069"/>
      <c r="AU206" s="1069"/>
      <c r="AV206" s="1069"/>
      <c r="AW206" s="1080"/>
      <c r="AX206" s="1081"/>
      <c r="AY206" s="1044"/>
      <c r="AZ206" s="1045"/>
      <c r="BA206" s="1045"/>
      <c r="BB206" s="1045"/>
      <c r="BC206" s="1045"/>
      <c r="BD206" s="1045"/>
      <c r="BE206" s="1045"/>
      <c r="BF206" s="1045"/>
      <c r="BG206" s="1045"/>
      <c r="BH206" s="1045"/>
      <c r="BI206" s="1369"/>
      <c r="BJ206" s="1319"/>
      <c r="BK206" s="1319"/>
      <c r="BL206" s="1319"/>
      <c r="BM206" s="1319"/>
      <c r="BN206" s="1044"/>
      <c r="BO206" s="1045"/>
      <c r="BP206" s="1045"/>
      <c r="BQ206" s="1045"/>
      <c r="BR206" s="1045"/>
      <c r="BS206" s="1084"/>
      <c r="BT206" s="1045"/>
      <c r="BU206" s="1045"/>
      <c r="BV206" s="1045"/>
      <c r="BW206" s="1085"/>
      <c r="BX206" s="1084"/>
      <c r="BY206" s="1045"/>
      <c r="BZ206" s="1045"/>
      <c r="CA206" s="1045"/>
      <c r="CB206" s="1085"/>
      <c r="CC206" s="1086"/>
      <c r="CD206" s="1327"/>
      <c r="CE206" s="1328"/>
      <c r="CF206" s="1328"/>
      <c r="CG206" s="1328"/>
      <c r="CH206" s="1389"/>
      <c r="CI206" s="1369"/>
      <c r="CJ206" s="1319"/>
      <c r="CK206" s="1319"/>
      <c r="CL206" s="1319"/>
      <c r="CM206" s="1320"/>
      <c r="CN206" s="1369"/>
      <c r="CO206" s="1319"/>
      <c r="CP206" s="1319"/>
      <c r="CQ206" s="1319"/>
      <c r="CR206" s="1320"/>
      <c r="CS206" s="1369"/>
      <c r="CT206" s="1319"/>
      <c r="CU206" s="1319"/>
      <c r="CV206" s="1319"/>
      <c r="CW206" s="1320"/>
      <c r="CX206" s="1369"/>
      <c r="CY206" s="1319"/>
      <c r="CZ206" s="1319"/>
      <c r="DA206" s="1319"/>
      <c r="DB206" s="1320"/>
      <c r="DC206" s="1319"/>
      <c r="DD206" s="1319"/>
      <c r="DE206" s="1319"/>
      <c r="DF206" s="1319"/>
      <c r="DG206" s="1320"/>
      <c r="DH206" s="1369"/>
      <c r="DI206" s="1319"/>
      <c r="DJ206" s="1319"/>
      <c r="DK206" s="1319"/>
      <c r="DL206" s="1320"/>
      <c r="DM206" s="1743"/>
      <c r="DN206" s="1744"/>
      <c r="DO206" s="1744"/>
      <c r="DP206" s="1745"/>
      <c r="DQ206" s="1744"/>
      <c r="DR206" s="1744"/>
      <c r="DS206" s="1744"/>
      <c r="DT206" s="1745"/>
      <c r="DU206" s="1328"/>
      <c r="DV206" s="1664"/>
      <c r="DW206" s="1746"/>
    </row>
    <row r="207" spans="1:127" s="382" customFormat="1" ht="15.75" customHeight="1">
      <c r="A207" s="1066" t="s">
        <v>1269</v>
      </c>
      <c r="B207" s="1026">
        <v>198</v>
      </c>
      <c r="C207" s="987"/>
      <c r="D207" s="987"/>
      <c r="E207" s="987"/>
      <c r="F207" s="987"/>
      <c r="G207" s="987"/>
      <c r="H207" s="987"/>
      <c r="I207" s="987"/>
      <c r="J207" s="987"/>
      <c r="K207" s="987"/>
      <c r="L207" s="987"/>
      <c r="M207" s="1026"/>
      <c r="N207" s="987"/>
      <c r="O207" s="987"/>
      <c r="P207" s="987"/>
      <c r="Q207" s="987"/>
      <c r="R207" s="987"/>
      <c r="S207" s="987"/>
      <c r="T207" s="988"/>
      <c r="U207" s="1067" t="s">
        <v>1168</v>
      </c>
      <c r="V207" s="1068" t="s">
        <v>2849</v>
      </c>
      <c r="W207" s="1068" t="s">
        <v>2231</v>
      </c>
      <c r="X207" s="1069" t="s">
        <v>2907</v>
      </c>
      <c r="Y207" s="1070" t="s">
        <v>567</v>
      </c>
      <c r="Z207" s="1071" t="s">
        <v>2908</v>
      </c>
      <c r="AA207" s="1072">
        <v>1</v>
      </c>
      <c r="AB207" s="1073" t="s">
        <v>2260</v>
      </c>
      <c r="AC207" s="1073" t="s">
        <v>2260</v>
      </c>
      <c r="AD207" s="1073" t="s">
        <v>2260</v>
      </c>
      <c r="AE207" s="1073" t="s">
        <v>2260</v>
      </c>
      <c r="AF207" s="1073" t="s">
        <v>2260</v>
      </c>
      <c r="AG207" s="1073" t="s">
        <v>2260</v>
      </c>
      <c r="AH207" s="1073" t="s">
        <v>2260</v>
      </c>
      <c r="AI207" s="1074">
        <f t="shared" si="3"/>
        <v>1</v>
      </c>
      <c r="AJ207" s="1075" t="s">
        <v>1825</v>
      </c>
      <c r="AK207" s="1075" t="s">
        <v>2260</v>
      </c>
      <c r="AL207" s="1075" t="s">
        <v>2260</v>
      </c>
      <c r="AM207" s="1076" t="s">
        <v>2234</v>
      </c>
      <c r="AN207" s="987" t="s">
        <v>321</v>
      </c>
      <c r="AO207" s="987" t="s">
        <v>4417</v>
      </c>
      <c r="AP207" s="1276">
        <v>1</v>
      </c>
      <c r="AQ207" s="1045" t="s">
        <v>1838</v>
      </c>
      <c r="AR207" s="1078" t="s">
        <v>567</v>
      </c>
      <c r="AS207" s="1079"/>
      <c r="AT207" s="1069"/>
      <c r="AU207" s="1069"/>
      <c r="AV207" s="1069"/>
      <c r="AW207" s="1080"/>
      <c r="AX207" s="1081"/>
      <c r="AY207" s="1044"/>
      <c r="AZ207" s="1045"/>
      <c r="BA207" s="1045"/>
      <c r="BB207" s="1045"/>
      <c r="BC207" s="1045"/>
      <c r="BD207" s="1045"/>
      <c r="BE207" s="1045"/>
      <c r="BF207" s="1045"/>
      <c r="BG207" s="1045"/>
      <c r="BH207" s="1045"/>
      <c r="BI207" s="1305">
        <v>84</v>
      </c>
      <c r="BJ207" s="1306">
        <v>84</v>
      </c>
      <c r="BK207" s="1306">
        <v>76</v>
      </c>
      <c r="BL207" s="1306">
        <v>68</v>
      </c>
      <c r="BM207" s="1307">
        <v>32</v>
      </c>
      <c r="BN207" s="1044"/>
      <c r="BO207" s="1045"/>
      <c r="BP207" s="1045"/>
      <c r="BQ207" s="1045"/>
      <c r="BR207" s="1045"/>
      <c r="BS207" s="1084"/>
      <c r="BT207" s="1045"/>
      <c r="BU207" s="1045"/>
      <c r="BV207" s="1045"/>
      <c r="BW207" s="1085"/>
      <c r="BX207" s="1084"/>
      <c r="BY207" s="1045"/>
      <c r="BZ207" s="1045"/>
      <c r="CA207" s="1045"/>
      <c r="CB207" s="1085"/>
      <c r="CC207" s="1086"/>
      <c r="CD207" s="1087" t="s">
        <v>2260</v>
      </c>
      <c r="CE207" s="1088" t="s">
        <v>2260</v>
      </c>
      <c r="CF207" s="1088" t="s">
        <v>2260</v>
      </c>
      <c r="CG207" s="1088" t="s">
        <v>2260</v>
      </c>
      <c r="CH207" s="1089" t="s">
        <v>2260</v>
      </c>
      <c r="CI207" s="1044" t="s">
        <v>2260</v>
      </c>
      <c r="CJ207" s="1045" t="s">
        <v>2260</v>
      </c>
      <c r="CK207" s="1045" t="s">
        <v>2260</v>
      </c>
      <c r="CL207" s="1045" t="s">
        <v>2260</v>
      </c>
      <c r="CM207" s="1086" t="s">
        <v>2260</v>
      </c>
      <c r="CN207" s="1044" t="s">
        <v>2260</v>
      </c>
      <c r="CO207" s="1045" t="s">
        <v>2260</v>
      </c>
      <c r="CP207" s="1045" t="s">
        <v>2260</v>
      </c>
      <c r="CQ207" s="1045" t="s">
        <v>2260</v>
      </c>
      <c r="CR207" s="1086" t="s">
        <v>2260</v>
      </c>
      <c r="CS207" s="1044" t="s">
        <v>2260</v>
      </c>
      <c r="CT207" s="1045" t="s">
        <v>2260</v>
      </c>
      <c r="CU207" s="1045" t="s">
        <v>2260</v>
      </c>
      <c r="CV207" s="1045" t="s">
        <v>2260</v>
      </c>
      <c r="CW207" s="1086" t="s">
        <v>2260</v>
      </c>
      <c r="CX207" s="1044" t="s">
        <v>2260</v>
      </c>
      <c r="CY207" s="1045" t="s">
        <v>2260</v>
      </c>
      <c r="CZ207" s="1045" t="s">
        <v>2260</v>
      </c>
      <c r="DA207" s="1045" t="s">
        <v>2260</v>
      </c>
      <c r="DB207" s="1086" t="s">
        <v>2260</v>
      </c>
      <c r="DC207" s="1045" t="s">
        <v>2260</v>
      </c>
      <c r="DD207" s="1045" t="s">
        <v>2260</v>
      </c>
      <c r="DE207" s="1045" t="s">
        <v>2260</v>
      </c>
      <c r="DF207" s="1045" t="s">
        <v>2260</v>
      </c>
      <c r="DG207" s="1086" t="s">
        <v>2260</v>
      </c>
      <c r="DH207" s="1044" t="s">
        <v>2260</v>
      </c>
      <c r="DI207" s="1045" t="s">
        <v>2260</v>
      </c>
      <c r="DJ207" s="1045" t="s">
        <v>2260</v>
      </c>
      <c r="DK207" s="1045" t="s">
        <v>2260</v>
      </c>
      <c r="DL207" s="1086" t="s">
        <v>2260</v>
      </c>
      <c r="DM207" s="1090" t="s">
        <v>2260</v>
      </c>
      <c r="DN207" s="1091" t="s">
        <v>2260</v>
      </c>
      <c r="DO207" s="1091" t="s">
        <v>2260</v>
      </c>
      <c r="DP207" s="1092" t="s">
        <v>2260</v>
      </c>
      <c r="DQ207" s="1091" t="s">
        <v>2260</v>
      </c>
      <c r="DR207" s="1091" t="s">
        <v>2260</v>
      </c>
      <c r="DS207" s="1091" t="s">
        <v>2260</v>
      </c>
      <c r="DT207" s="1092" t="s">
        <v>2260</v>
      </c>
      <c r="DU207" s="1088" t="s">
        <v>2260</v>
      </c>
      <c r="DV207" s="1093">
        <v>1</v>
      </c>
      <c r="DW207" s="1094" t="s">
        <v>2260</v>
      </c>
    </row>
    <row r="208" spans="1:127" s="382" customFormat="1" ht="15.75" customHeight="1">
      <c r="A208" s="1066" t="s">
        <v>1269</v>
      </c>
      <c r="B208" s="1026">
        <v>199</v>
      </c>
      <c r="C208" s="987"/>
      <c r="D208" s="987"/>
      <c r="E208" s="987"/>
      <c r="F208" s="987"/>
      <c r="G208" s="987"/>
      <c r="H208" s="987"/>
      <c r="I208" s="987"/>
      <c r="J208" s="987"/>
      <c r="K208" s="987"/>
      <c r="L208" s="987"/>
      <c r="M208" s="1026"/>
      <c r="N208" s="987"/>
      <c r="O208" s="987"/>
      <c r="P208" s="987"/>
      <c r="Q208" s="987"/>
      <c r="R208" s="987"/>
      <c r="S208" s="987"/>
      <c r="T208" s="988"/>
      <c r="U208" s="1067" t="s">
        <v>1609</v>
      </c>
      <c r="V208" s="1068" t="s">
        <v>2849</v>
      </c>
      <c r="W208" s="1068" t="s">
        <v>2223</v>
      </c>
      <c r="X208" s="1069" t="s">
        <v>2910</v>
      </c>
      <c r="Y208" s="1070" t="s">
        <v>2911</v>
      </c>
      <c r="Z208" s="1071" t="s">
        <v>2912</v>
      </c>
      <c r="AA208" s="1072">
        <v>1</v>
      </c>
      <c r="AB208" s="1073" t="s">
        <v>2260</v>
      </c>
      <c r="AC208" s="1073" t="s">
        <v>2260</v>
      </c>
      <c r="AD208" s="1073" t="s">
        <v>2260</v>
      </c>
      <c r="AE208" s="1073" t="s">
        <v>2260</v>
      </c>
      <c r="AF208" s="1073" t="s">
        <v>2260</v>
      </c>
      <c r="AG208" s="1073" t="s">
        <v>2260</v>
      </c>
      <c r="AH208" s="1073" t="s">
        <v>2260</v>
      </c>
      <c r="AI208" s="1074">
        <f t="shared" si="3"/>
        <v>1</v>
      </c>
      <c r="AJ208" s="1075" t="s">
        <v>1825</v>
      </c>
      <c r="AK208" s="1075" t="s">
        <v>2260</v>
      </c>
      <c r="AL208" s="1075" t="s">
        <v>2260</v>
      </c>
      <c r="AM208" s="1076" t="s">
        <v>2234</v>
      </c>
      <c r="AN208" s="987" t="s">
        <v>1857</v>
      </c>
      <c r="AO208" s="987" t="s">
        <v>2913</v>
      </c>
      <c r="AP208" s="1243">
        <v>0</v>
      </c>
      <c r="AQ208" s="1045" t="s">
        <v>1838</v>
      </c>
      <c r="AR208" s="1078" t="s">
        <v>2260</v>
      </c>
      <c r="AS208" s="1079"/>
      <c r="AT208" s="1069"/>
      <c r="AU208" s="1069"/>
      <c r="AV208" s="1069"/>
      <c r="AW208" s="1080"/>
      <c r="AX208" s="1081"/>
      <c r="AY208" s="1044"/>
      <c r="AZ208" s="1045"/>
      <c r="BA208" s="1045"/>
      <c r="BB208" s="1045"/>
      <c r="BC208" s="1045"/>
      <c r="BD208" s="1045"/>
      <c r="BE208" s="1045"/>
      <c r="BF208" s="1045"/>
      <c r="BG208" s="1045"/>
      <c r="BH208" s="1045"/>
      <c r="BI208" s="1369"/>
      <c r="BJ208" s="1319"/>
      <c r="BK208" s="1319"/>
      <c r="BL208" s="1319"/>
      <c r="BM208" s="1319"/>
      <c r="BN208" s="1044"/>
      <c r="BO208" s="1045"/>
      <c r="BP208" s="1045"/>
      <c r="BQ208" s="1045"/>
      <c r="BR208" s="1045"/>
      <c r="BS208" s="1084"/>
      <c r="BT208" s="1045"/>
      <c r="BU208" s="1045"/>
      <c r="BV208" s="1045"/>
      <c r="BW208" s="1085"/>
      <c r="BX208" s="1084"/>
      <c r="BY208" s="1045"/>
      <c r="BZ208" s="1045"/>
      <c r="CA208" s="1045"/>
      <c r="CB208" s="1085"/>
      <c r="CC208" s="1086"/>
      <c r="CD208" s="1327"/>
      <c r="CE208" s="1328"/>
      <c r="CF208" s="1328"/>
      <c r="CG208" s="1328"/>
      <c r="CH208" s="1389"/>
      <c r="CI208" s="1369"/>
      <c r="CJ208" s="1319"/>
      <c r="CK208" s="1319"/>
      <c r="CL208" s="1319"/>
      <c r="CM208" s="1320"/>
      <c r="CN208" s="1369"/>
      <c r="CO208" s="1319"/>
      <c r="CP208" s="1319"/>
      <c r="CQ208" s="1319"/>
      <c r="CR208" s="1320"/>
      <c r="CS208" s="1369"/>
      <c r="CT208" s="1319"/>
      <c r="CU208" s="1319"/>
      <c r="CV208" s="1319"/>
      <c r="CW208" s="1320"/>
      <c r="CX208" s="1369"/>
      <c r="CY208" s="1319"/>
      <c r="CZ208" s="1319"/>
      <c r="DA208" s="1319"/>
      <c r="DB208" s="1320"/>
      <c r="DC208" s="1319"/>
      <c r="DD208" s="1319"/>
      <c r="DE208" s="1319"/>
      <c r="DF208" s="1319"/>
      <c r="DG208" s="1320"/>
      <c r="DH208" s="1369"/>
      <c r="DI208" s="1319"/>
      <c r="DJ208" s="1319"/>
      <c r="DK208" s="1319"/>
      <c r="DL208" s="1320"/>
      <c r="DM208" s="1743"/>
      <c r="DN208" s="1744"/>
      <c r="DO208" s="1744"/>
      <c r="DP208" s="1745"/>
      <c r="DQ208" s="1744"/>
      <c r="DR208" s="1744"/>
      <c r="DS208" s="1744"/>
      <c r="DT208" s="1745"/>
      <c r="DU208" s="1328"/>
      <c r="DV208" s="1664"/>
      <c r="DW208" s="1746"/>
    </row>
    <row r="209" spans="1:127" s="382" customFormat="1" ht="15.75" customHeight="1">
      <c r="A209" s="1066" t="s">
        <v>1269</v>
      </c>
      <c r="B209" s="1026">
        <v>200</v>
      </c>
      <c r="C209" s="987"/>
      <c r="D209" s="987"/>
      <c r="E209" s="987"/>
      <c r="F209" s="987"/>
      <c r="G209" s="987"/>
      <c r="H209" s="987"/>
      <c r="I209" s="987"/>
      <c r="J209" s="987"/>
      <c r="K209" s="987"/>
      <c r="L209" s="987"/>
      <c r="M209" s="1026"/>
      <c r="N209" s="987"/>
      <c r="O209" s="987"/>
      <c r="P209" s="987"/>
      <c r="Q209" s="987"/>
      <c r="R209" s="987"/>
      <c r="S209" s="987"/>
      <c r="T209" s="988"/>
      <c r="U209" s="1067" t="s">
        <v>1626</v>
      </c>
      <c r="V209" s="1068" t="s">
        <v>2872</v>
      </c>
      <c r="W209" s="1068" t="s">
        <v>2217</v>
      </c>
      <c r="X209" s="1069" t="s">
        <v>2914</v>
      </c>
      <c r="Y209" s="1070" t="s">
        <v>2915</v>
      </c>
      <c r="Z209" s="1071" t="s">
        <v>2916</v>
      </c>
      <c r="AA209" s="1072" t="s">
        <v>2260</v>
      </c>
      <c r="AB209" s="1073">
        <v>1</v>
      </c>
      <c r="AC209" s="1073" t="s">
        <v>2260</v>
      </c>
      <c r="AD209" s="1073" t="s">
        <v>2260</v>
      </c>
      <c r="AE209" s="1073" t="s">
        <v>2260</v>
      </c>
      <c r="AF209" s="1073" t="s">
        <v>2260</v>
      </c>
      <c r="AG209" s="1073" t="s">
        <v>2260</v>
      </c>
      <c r="AH209" s="1073" t="s">
        <v>2260</v>
      </c>
      <c r="AI209" s="1074">
        <f t="shared" si="3"/>
        <v>1</v>
      </c>
      <c r="AJ209" s="1075" t="s">
        <v>1825</v>
      </c>
      <c r="AK209" s="1075" t="s">
        <v>2260</v>
      </c>
      <c r="AL209" s="1075" t="s">
        <v>2260</v>
      </c>
      <c r="AM209" s="1076" t="s">
        <v>2408</v>
      </c>
      <c r="AN209" s="987" t="s">
        <v>321</v>
      </c>
      <c r="AO209" s="987" t="s">
        <v>2917</v>
      </c>
      <c r="AP209" s="1243">
        <v>1</v>
      </c>
      <c r="AQ209" s="1045" t="s">
        <v>1838</v>
      </c>
      <c r="AR209" s="1078" t="s">
        <v>2260</v>
      </c>
      <c r="AS209" s="1079"/>
      <c r="AT209" s="1069"/>
      <c r="AU209" s="1069"/>
      <c r="AV209" s="1069"/>
      <c r="AW209" s="1080"/>
      <c r="AX209" s="1081"/>
      <c r="AY209" s="1044"/>
      <c r="AZ209" s="1045"/>
      <c r="BA209" s="1045"/>
      <c r="BB209" s="1045"/>
      <c r="BC209" s="1045"/>
      <c r="BD209" s="1045"/>
      <c r="BE209" s="1045"/>
      <c r="BF209" s="1045"/>
      <c r="BG209" s="1045"/>
      <c r="BH209" s="1045"/>
      <c r="BI209" s="1369"/>
      <c r="BJ209" s="1319"/>
      <c r="BK209" s="1319"/>
      <c r="BL209" s="1319"/>
      <c r="BM209" s="1319"/>
      <c r="BN209" s="1044"/>
      <c r="BO209" s="1045"/>
      <c r="BP209" s="1045"/>
      <c r="BQ209" s="1045"/>
      <c r="BR209" s="1045"/>
      <c r="BS209" s="1084"/>
      <c r="BT209" s="1045"/>
      <c r="BU209" s="1045"/>
      <c r="BV209" s="1045"/>
      <c r="BW209" s="1085"/>
      <c r="BX209" s="1084"/>
      <c r="BY209" s="1045"/>
      <c r="BZ209" s="1045"/>
      <c r="CA209" s="1045"/>
      <c r="CB209" s="1085"/>
      <c r="CC209" s="1086"/>
      <c r="CD209" s="1327"/>
      <c r="CE209" s="1328"/>
      <c r="CF209" s="1328"/>
      <c r="CG209" s="1328"/>
      <c r="CH209" s="1389"/>
      <c r="CI209" s="1369"/>
      <c r="CJ209" s="1319"/>
      <c r="CK209" s="1319"/>
      <c r="CL209" s="1319"/>
      <c r="CM209" s="1320"/>
      <c r="CN209" s="1369"/>
      <c r="CO209" s="1319"/>
      <c r="CP209" s="1319"/>
      <c r="CQ209" s="1319"/>
      <c r="CR209" s="1320"/>
      <c r="CS209" s="1369"/>
      <c r="CT209" s="1319"/>
      <c r="CU209" s="1319"/>
      <c r="CV209" s="1319"/>
      <c r="CW209" s="1320"/>
      <c r="CX209" s="1369"/>
      <c r="CY209" s="1319"/>
      <c r="CZ209" s="1319"/>
      <c r="DA209" s="1319"/>
      <c r="DB209" s="1320"/>
      <c r="DC209" s="1319"/>
      <c r="DD209" s="1319"/>
      <c r="DE209" s="1319"/>
      <c r="DF209" s="1319"/>
      <c r="DG209" s="1320"/>
      <c r="DH209" s="1369"/>
      <c r="DI209" s="1319"/>
      <c r="DJ209" s="1319"/>
      <c r="DK209" s="1319"/>
      <c r="DL209" s="1320"/>
      <c r="DM209" s="1743"/>
      <c r="DN209" s="1744"/>
      <c r="DO209" s="1744"/>
      <c r="DP209" s="1745"/>
      <c r="DQ209" s="1744"/>
      <c r="DR209" s="1744"/>
      <c r="DS209" s="1744"/>
      <c r="DT209" s="1745"/>
      <c r="DU209" s="1328"/>
      <c r="DV209" s="1664"/>
      <c r="DW209" s="1746"/>
    </row>
    <row r="210" spans="1:127" s="382" customFormat="1" ht="15.75" customHeight="1">
      <c r="A210" s="1066" t="s">
        <v>1269</v>
      </c>
      <c r="B210" s="1026">
        <v>201</v>
      </c>
      <c r="C210" s="987"/>
      <c r="D210" s="987"/>
      <c r="E210" s="987"/>
      <c r="F210" s="987"/>
      <c r="G210" s="987"/>
      <c r="H210" s="987"/>
      <c r="I210" s="987"/>
      <c r="J210" s="987"/>
      <c r="K210" s="987"/>
      <c r="L210" s="987"/>
      <c r="M210" s="1026"/>
      <c r="N210" s="987"/>
      <c r="O210" s="987"/>
      <c r="P210" s="987"/>
      <c r="Q210" s="987"/>
      <c r="R210" s="987"/>
      <c r="S210" s="987"/>
      <c r="T210" s="988"/>
      <c r="U210" s="1067" t="s">
        <v>1643</v>
      </c>
      <c r="V210" s="1068" t="s">
        <v>2918</v>
      </c>
      <c r="W210" s="1068" t="s">
        <v>2217</v>
      </c>
      <c r="X210" s="1069" t="s">
        <v>2919</v>
      </c>
      <c r="Y210" s="1070" t="s">
        <v>2920</v>
      </c>
      <c r="Z210" s="1071" t="s">
        <v>2921</v>
      </c>
      <c r="AA210" s="1072" t="s">
        <v>2260</v>
      </c>
      <c r="AB210" s="1073" t="s">
        <v>2260</v>
      </c>
      <c r="AC210" s="1073" t="s">
        <v>2260</v>
      </c>
      <c r="AD210" s="1073" t="s">
        <v>2260</v>
      </c>
      <c r="AE210" s="1073">
        <v>1</v>
      </c>
      <c r="AF210" s="1073" t="s">
        <v>2260</v>
      </c>
      <c r="AG210" s="1073" t="s">
        <v>2260</v>
      </c>
      <c r="AH210" s="1073" t="s">
        <v>2260</v>
      </c>
      <c r="AI210" s="1074">
        <f t="shared" si="3"/>
        <v>1</v>
      </c>
      <c r="AJ210" s="1075" t="s">
        <v>1825</v>
      </c>
      <c r="AK210" s="1075" t="s">
        <v>2260</v>
      </c>
      <c r="AL210" s="1075" t="s">
        <v>2260</v>
      </c>
      <c r="AM210" s="1076" t="s">
        <v>2329</v>
      </c>
      <c r="AN210" s="987" t="s">
        <v>321</v>
      </c>
      <c r="AO210" s="987" t="s">
        <v>2922</v>
      </c>
      <c r="AP210" s="1243">
        <v>0</v>
      </c>
      <c r="AQ210" s="1045" t="s">
        <v>1828</v>
      </c>
      <c r="AR210" s="1078" t="s">
        <v>2260</v>
      </c>
      <c r="AS210" s="1079"/>
      <c r="AT210" s="1069"/>
      <c r="AU210" s="1069"/>
      <c r="AV210" s="1069"/>
      <c r="AW210" s="1080"/>
      <c r="AX210" s="1081"/>
      <c r="AY210" s="1044"/>
      <c r="AZ210" s="1045"/>
      <c r="BA210" s="1045"/>
      <c r="BB210" s="1045"/>
      <c r="BC210" s="1045"/>
      <c r="BD210" s="1045"/>
      <c r="BE210" s="1045"/>
      <c r="BF210" s="1045"/>
      <c r="BG210" s="1045"/>
      <c r="BH210" s="1045"/>
      <c r="BI210" s="1369"/>
      <c r="BJ210" s="1319"/>
      <c r="BK210" s="1319"/>
      <c r="BL210" s="1319"/>
      <c r="BM210" s="1319"/>
      <c r="BN210" s="1044"/>
      <c r="BO210" s="1045"/>
      <c r="BP210" s="1045"/>
      <c r="BQ210" s="1045"/>
      <c r="BR210" s="1045"/>
      <c r="BS210" s="1084"/>
      <c r="BT210" s="1045"/>
      <c r="BU210" s="1045"/>
      <c r="BV210" s="1045"/>
      <c r="BW210" s="1085"/>
      <c r="BX210" s="1084"/>
      <c r="BY210" s="1045"/>
      <c r="BZ210" s="1045"/>
      <c r="CA210" s="1045"/>
      <c r="CB210" s="1085"/>
      <c r="CC210" s="1086"/>
      <c r="CD210" s="1327"/>
      <c r="CE210" s="1328"/>
      <c r="CF210" s="1328"/>
      <c r="CG210" s="1328"/>
      <c r="CH210" s="1389"/>
      <c r="CI210" s="1369"/>
      <c r="CJ210" s="1319"/>
      <c r="CK210" s="1319"/>
      <c r="CL210" s="1319"/>
      <c r="CM210" s="1320"/>
      <c r="CN210" s="1369"/>
      <c r="CO210" s="1319"/>
      <c r="CP210" s="1319"/>
      <c r="CQ210" s="1319"/>
      <c r="CR210" s="1320"/>
      <c r="CS210" s="1369"/>
      <c r="CT210" s="1319"/>
      <c r="CU210" s="1319"/>
      <c r="CV210" s="1319"/>
      <c r="CW210" s="1320"/>
      <c r="CX210" s="1369"/>
      <c r="CY210" s="1319"/>
      <c r="CZ210" s="1319"/>
      <c r="DA210" s="1319"/>
      <c r="DB210" s="1320"/>
      <c r="DC210" s="1319"/>
      <c r="DD210" s="1319"/>
      <c r="DE210" s="1319"/>
      <c r="DF210" s="1319"/>
      <c r="DG210" s="1320"/>
      <c r="DH210" s="1369"/>
      <c r="DI210" s="1319"/>
      <c r="DJ210" s="1319"/>
      <c r="DK210" s="1319"/>
      <c r="DL210" s="1320"/>
      <c r="DM210" s="1743"/>
      <c r="DN210" s="1744"/>
      <c r="DO210" s="1744"/>
      <c r="DP210" s="1745"/>
      <c r="DQ210" s="1744"/>
      <c r="DR210" s="1744"/>
      <c r="DS210" s="1744"/>
      <c r="DT210" s="1745"/>
      <c r="DU210" s="1328"/>
      <c r="DV210" s="1664"/>
      <c r="DW210" s="1746"/>
    </row>
    <row r="211" spans="1:127" s="382" customFormat="1" ht="15.75" customHeight="1">
      <c r="A211" s="1066" t="s">
        <v>1269</v>
      </c>
      <c r="B211" s="1026">
        <v>202</v>
      </c>
      <c r="C211" s="987"/>
      <c r="D211" s="987"/>
      <c r="E211" s="987"/>
      <c r="F211" s="987"/>
      <c r="G211" s="987"/>
      <c r="H211" s="987"/>
      <c r="I211" s="987"/>
      <c r="J211" s="987"/>
      <c r="K211" s="987"/>
      <c r="L211" s="987"/>
      <c r="M211" s="1026"/>
      <c r="N211" s="987"/>
      <c r="O211" s="987"/>
      <c r="P211" s="987"/>
      <c r="Q211" s="987"/>
      <c r="R211" s="987"/>
      <c r="S211" s="987"/>
      <c r="T211" s="988"/>
      <c r="U211" s="1067" t="s">
        <v>1659</v>
      </c>
      <c r="V211" s="1068" t="s">
        <v>2923</v>
      </c>
      <c r="W211" s="1068" t="s">
        <v>2223</v>
      </c>
      <c r="X211" s="1069" t="s">
        <v>2924</v>
      </c>
      <c r="Y211" s="1070" t="s">
        <v>2925</v>
      </c>
      <c r="Z211" s="1071" t="s">
        <v>2926</v>
      </c>
      <c r="AA211" s="1072" t="s">
        <v>2260</v>
      </c>
      <c r="AB211" s="1073">
        <v>1</v>
      </c>
      <c r="AC211" s="1073" t="s">
        <v>2260</v>
      </c>
      <c r="AD211" s="1073" t="s">
        <v>2260</v>
      </c>
      <c r="AE211" s="1073" t="s">
        <v>2260</v>
      </c>
      <c r="AF211" s="1073" t="s">
        <v>2260</v>
      </c>
      <c r="AG211" s="1073" t="s">
        <v>2260</v>
      </c>
      <c r="AH211" s="1073" t="s">
        <v>2260</v>
      </c>
      <c r="AI211" s="1074">
        <f t="shared" si="3"/>
        <v>1</v>
      </c>
      <c r="AJ211" s="1075" t="s">
        <v>1825</v>
      </c>
      <c r="AK211" s="1075" t="s">
        <v>2260</v>
      </c>
      <c r="AL211" s="1075" t="s">
        <v>2260</v>
      </c>
      <c r="AM211" s="1076" t="s">
        <v>2927</v>
      </c>
      <c r="AN211" s="987" t="s">
        <v>1899</v>
      </c>
      <c r="AO211" s="987" t="s">
        <v>2928</v>
      </c>
      <c r="AP211" s="1243">
        <v>0</v>
      </c>
      <c r="AQ211" s="1045" t="s">
        <v>1828</v>
      </c>
      <c r="AR211" s="1078" t="s">
        <v>2260</v>
      </c>
      <c r="AS211" s="1079"/>
      <c r="AT211" s="1069"/>
      <c r="AU211" s="1069"/>
      <c r="AV211" s="1069"/>
      <c r="AW211" s="1080"/>
      <c r="AX211" s="1081"/>
      <c r="AY211" s="1044"/>
      <c r="AZ211" s="1045"/>
      <c r="BA211" s="1045"/>
      <c r="BB211" s="1045"/>
      <c r="BC211" s="1045"/>
      <c r="BD211" s="1045"/>
      <c r="BE211" s="1045"/>
      <c r="BF211" s="1045"/>
      <c r="BG211" s="1045"/>
      <c r="BH211" s="1045"/>
      <c r="BI211" s="1369"/>
      <c r="BJ211" s="1319"/>
      <c r="BK211" s="1319"/>
      <c r="BL211" s="1319"/>
      <c r="BM211" s="1319"/>
      <c r="BN211" s="1044"/>
      <c r="BO211" s="1045"/>
      <c r="BP211" s="1045"/>
      <c r="BQ211" s="1045"/>
      <c r="BR211" s="1045"/>
      <c r="BS211" s="1084"/>
      <c r="BT211" s="1045"/>
      <c r="BU211" s="1045"/>
      <c r="BV211" s="1045"/>
      <c r="BW211" s="1085"/>
      <c r="BX211" s="1084"/>
      <c r="BY211" s="1045"/>
      <c r="BZ211" s="1045"/>
      <c r="CA211" s="1045"/>
      <c r="CB211" s="1085"/>
      <c r="CC211" s="1086"/>
      <c r="CD211" s="1327"/>
      <c r="CE211" s="1328"/>
      <c r="CF211" s="1328"/>
      <c r="CG211" s="1328"/>
      <c r="CH211" s="1389"/>
      <c r="CI211" s="1369"/>
      <c r="CJ211" s="1319"/>
      <c r="CK211" s="1319"/>
      <c r="CL211" s="1319"/>
      <c r="CM211" s="1320"/>
      <c r="CN211" s="1369"/>
      <c r="CO211" s="1319"/>
      <c r="CP211" s="1319"/>
      <c r="CQ211" s="1319"/>
      <c r="CR211" s="1320"/>
      <c r="CS211" s="1369"/>
      <c r="CT211" s="1319"/>
      <c r="CU211" s="1319"/>
      <c r="CV211" s="1319"/>
      <c r="CW211" s="1320"/>
      <c r="CX211" s="1369"/>
      <c r="CY211" s="1319"/>
      <c r="CZ211" s="1319"/>
      <c r="DA211" s="1319"/>
      <c r="DB211" s="1320"/>
      <c r="DC211" s="1319"/>
      <c r="DD211" s="1319"/>
      <c r="DE211" s="1319"/>
      <c r="DF211" s="1319"/>
      <c r="DG211" s="1320"/>
      <c r="DH211" s="1369"/>
      <c r="DI211" s="1319"/>
      <c r="DJ211" s="1319"/>
      <c r="DK211" s="1319"/>
      <c r="DL211" s="1320"/>
      <c r="DM211" s="1743"/>
      <c r="DN211" s="1744"/>
      <c r="DO211" s="1744"/>
      <c r="DP211" s="1745"/>
      <c r="DQ211" s="1744"/>
      <c r="DR211" s="1744"/>
      <c r="DS211" s="1744"/>
      <c r="DT211" s="1745"/>
      <c r="DU211" s="1328"/>
      <c r="DV211" s="1664"/>
      <c r="DW211" s="1746"/>
    </row>
    <row r="212" spans="1:127" s="382" customFormat="1" ht="15.75" customHeight="1">
      <c r="A212" s="1066" t="s">
        <v>1269</v>
      </c>
      <c r="B212" s="1026">
        <v>203</v>
      </c>
      <c r="C212" s="987"/>
      <c r="D212" s="987"/>
      <c r="E212" s="987"/>
      <c r="F212" s="987"/>
      <c r="G212" s="987"/>
      <c r="H212" s="987"/>
      <c r="I212" s="987"/>
      <c r="J212" s="987"/>
      <c r="K212" s="987"/>
      <c r="L212" s="987"/>
      <c r="M212" s="1026"/>
      <c r="N212" s="987"/>
      <c r="O212" s="987"/>
      <c r="P212" s="987"/>
      <c r="Q212" s="987"/>
      <c r="R212" s="987"/>
      <c r="S212" s="987"/>
      <c r="T212" s="988"/>
      <c r="U212" s="1067" t="s">
        <v>1169</v>
      </c>
      <c r="V212" s="1068" t="s">
        <v>2888</v>
      </c>
      <c r="W212" s="1068" t="s">
        <v>2231</v>
      </c>
      <c r="X212" s="1069" t="s">
        <v>2930</v>
      </c>
      <c r="Y212" s="1070" t="s">
        <v>755</v>
      </c>
      <c r="Z212" s="1071" t="s">
        <v>2931</v>
      </c>
      <c r="AA212" s="1072" t="s">
        <v>2260</v>
      </c>
      <c r="AB212" s="1073" t="s">
        <v>2260</v>
      </c>
      <c r="AC212" s="1073" t="s">
        <v>2260</v>
      </c>
      <c r="AD212" s="1073" t="s">
        <v>2260</v>
      </c>
      <c r="AE212" s="1073">
        <v>1</v>
      </c>
      <c r="AF212" s="1073" t="s">
        <v>2260</v>
      </c>
      <c r="AG212" s="1073" t="s">
        <v>2260</v>
      </c>
      <c r="AH212" s="1073" t="s">
        <v>2260</v>
      </c>
      <c r="AI212" s="1074">
        <f t="shared" si="3"/>
        <v>1</v>
      </c>
      <c r="AJ212" s="1075" t="s">
        <v>1825</v>
      </c>
      <c r="AK212" s="1075" t="s">
        <v>2260</v>
      </c>
      <c r="AL212" s="1075" t="s">
        <v>2260</v>
      </c>
      <c r="AM212" s="1076" t="s">
        <v>2329</v>
      </c>
      <c r="AN212" s="987" t="s">
        <v>321</v>
      </c>
      <c r="AO212" s="987" t="s">
        <v>4424</v>
      </c>
      <c r="AP212" s="1276">
        <v>1</v>
      </c>
      <c r="AQ212" s="1045" t="s">
        <v>1828</v>
      </c>
      <c r="AR212" s="1078" t="s">
        <v>755</v>
      </c>
      <c r="AS212" s="1079"/>
      <c r="AT212" s="1069"/>
      <c r="AU212" s="1069"/>
      <c r="AV212" s="1069"/>
      <c r="AW212" s="1080"/>
      <c r="AX212" s="1081"/>
      <c r="AY212" s="1044"/>
      <c r="AZ212" s="1045"/>
      <c r="BA212" s="1045"/>
      <c r="BB212" s="1045"/>
      <c r="BC212" s="1045"/>
      <c r="BD212" s="1045"/>
      <c r="BE212" s="1045"/>
      <c r="BF212" s="1045"/>
      <c r="BG212" s="1045"/>
      <c r="BH212" s="1045"/>
      <c r="BI212" s="1044" t="s">
        <v>4460</v>
      </c>
      <c r="BJ212" s="1045" t="s">
        <v>4461</v>
      </c>
      <c r="BK212" s="1045" t="s">
        <v>4452</v>
      </c>
      <c r="BL212" s="1045" t="s">
        <v>4462</v>
      </c>
      <c r="BM212" s="1045" t="s">
        <v>4463</v>
      </c>
      <c r="BN212" s="1044"/>
      <c r="BO212" s="1045"/>
      <c r="BP212" s="1045"/>
      <c r="BQ212" s="1045"/>
      <c r="BR212" s="1045"/>
      <c r="BS212" s="1084"/>
      <c r="BT212" s="1045"/>
      <c r="BU212" s="1045"/>
      <c r="BV212" s="1045"/>
      <c r="BW212" s="1085"/>
      <c r="BX212" s="1084"/>
      <c r="BY212" s="1045"/>
      <c r="BZ212" s="1045"/>
      <c r="CA212" s="1045"/>
      <c r="CB212" s="1085"/>
      <c r="CC212" s="1086"/>
      <c r="CD212" s="1087" t="s">
        <v>2260</v>
      </c>
      <c r="CE212" s="1088" t="s">
        <v>2260</v>
      </c>
      <c r="CF212" s="1088" t="s">
        <v>2260</v>
      </c>
      <c r="CG212" s="1088" t="s">
        <v>2260</v>
      </c>
      <c r="CH212" s="1089" t="s">
        <v>2260</v>
      </c>
      <c r="CI212" s="1044" t="s">
        <v>2260</v>
      </c>
      <c r="CJ212" s="1045" t="s">
        <v>2260</v>
      </c>
      <c r="CK212" s="1045" t="s">
        <v>2260</v>
      </c>
      <c r="CL212" s="1045" t="s">
        <v>2260</v>
      </c>
      <c r="CM212" s="1086" t="s">
        <v>2260</v>
      </c>
      <c r="CN212" s="1044" t="s">
        <v>2260</v>
      </c>
      <c r="CO212" s="1045" t="s">
        <v>2260</v>
      </c>
      <c r="CP212" s="1045" t="s">
        <v>2260</v>
      </c>
      <c r="CQ212" s="1045" t="s">
        <v>2260</v>
      </c>
      <c r="CR212" s="1086" t="s">
        <v>2260</v>
      </c>
      <c r="CS212" s="1044" t="s">
        <v>2260</v>
      </c>
      <c r="CT212" s="1045" t="s">
        <v>2260</v>
      </c>
      <c r="CU212" s="1045" t="s">
        <v>2260</v>
      </c>
      <c r="CV212" s="1045" t="s">
        <v>2260</v>
      </c>
      <c r="CW212" s="1086" t="s">
        <v>2260</v>
      </c>
      <c r="CX212" s="1044" t="s">
        <v>2260</v>
      </c>
      <c r="CY212" s="1045" t="s">
        <v>2260</v>
      </c>
      <c r="CZ212" s="1045" t="s">
        <v>2260</v>
      </c>
      <c r="DA212" s="1045" t="s">
        <v>2260</v>
      </c>
      <c r="DB212" s="1086" t="s">
        <v>2260</v>
      </c>
      <c r="DC212" s="1045" t="s">
        <v>2260</v>
      </c>
      <c r="DD212" s="1045" t="s">
        <v>2260</v>
      </c>
      <c r="DE212" s="1045" t="s">
        <v>2260</v>
      </c>
      <c r="DF212" s="1045" t="s">
        <v>2260</v>
      </c>
      <c r="DG212" s="1086" t="s">
        <v>2260</v>
      </c>
      <c r="DH212" s="1044" t="s">
        <v>2260</v>
      </c>
      <c r="DI212" s="1045" t="s">
        <v>2260</v>
      </c>
      <c r="DJ212" s="1045" t="s">
        <v>2260</v>
      </c>
      <c r="DK212" s="1045" t="s">
        <v>2260</v>
      </c>
      <c r="DL212" s="1086" t="s">
        <v>2260</v>
      </c>
      <c r="DM212" s="1090" t="s">
        <v>2260</v>
      </c>
      <c r="DN212" s="1091" t="s">
        <v>2260</v>
      </c>
      <c r="DO212" s="1091" t="s">
        <v>2260</v>
      </c>
      <c r="DP212" s="1092" t="s">
        <v>2260</v>
      </c>
      <c r="DQ212" s="1091" t="s">
        <v>2260</v>
      </c>
      <c r="DR212" s="1091" t="s">
        <v>2260</v>
      </c>
      <c r="DS212" s="1091" t="s">
        <v>2260</v>
      </c>
      <c r="DT212" s="1092" t="s">
        <v>2260</v>
      </c>
      <c r="DU212" s="1088" t="s">
        <v>2260</v>
      </c>
      <c r="DV212" s="1093">
        <v>1</v>
      </c>
      <c r="DW212" s="1094" t="s">
        <v>2260</v>
      </c>
    </row>
    <row r="213" spans="1:127" s="382" customFormat="1" ht="15.75" customHeight="1">
      <c r="A213" s="1066" t="s">
        <v>1269</v>
      </c>
      <c r="B213" s="1026">
        <v>204</v>
      </c>
      <c r="C213" s="987"/>
      <c r="D213" s="987"/>
      <c r="E213" s="987"/>
      <c r="F213" s="987"/>
      <c r="G213" s="987"/>
      <c r="H213" s="987"/>
      <c r="I213" s="987"/>
      <c r="J213" s="987"/>
      <c r="K213" s="987"/>
      <c r="L213" s="987"/>
      <c r="M213" s="1026"/>
      <c r="N213" s="987"/>
      <c r="O213" s="987"/>
      <c r="P213" s="987"/>
      <c r="Q213" s="987"/>
      <c r="R213" s="987"/>
      <c r="S213" s="987"/>
      <c r="T213" s="988"/>
      <c r="U213" s="1067" t="s">
        <v>1673</v>
      </c>
      <c r="V213" s="1068" t="s">
        <v>2260</v>
      </c>
      <c r="W213" s="1068" t="s">
        <v>2260</v>
      </c>
      <c r="X213" s="1069" t="s">
        <v>2331</v>
      </c>
      <c r="Y213" s="1070" t="s">
        <v>2332</v>
      </c>
      <c r="Z213" s="1071" t="s">
        <v>2260</v>
      </c>
      <c r="AA213" s="1072" t="s">
        <v>2260</v>
      </c>
      <c r="AB213" s="1073" t="s">
        <v>2260</v>
      </c>
      <c r="AC213" s="1073" t="s">
        <v>2260</v>
      </c>
      <c r="AD213" s="1073" t="s">
        <v>2260</v>
      </c>
      <c r="AE213" s="1073" t="s">
        <v>2260</v>
      </c>
      <c r="AF213" s="1073" t="s">
        <v>2260</v>
      </c>
      <c r="AG213" s="1073" t="s">
        <v>2260</v>
      </c>
      <c r="AH213" s="1073" t="s">
        <v>2260</v>
      </c>
      <c r="AI213" s="1074">
        <f t="shared" si="3"/>
        <v>0</v>
      </c>
      <c r="AJ213" s="1075" t="s">
        <v>1825</v>
      </c>
      <c r="AK213" s="1075" t="s">
        <v>2260</v>
      </c>
      <c r="AL213" s="1075" t="s">
        <v>2260</v>
      </c>
      <c r="AM213" s="1076" t="s">
        <v>2260</v>
      </c>
      <c r="AN213" s="987" t="s">
        <v>2260</v>
      </c>
      <c r="AO213" s="987" t="s">
        <v>2333</v>
      </c>
      <c r="AP213" s="1244">
        <v>0</v>
      </c>
      <c r="AQ213" s="1045" t="s">
        <v>2260</v>
      </c>
      <c r="AR213" s="1078" t="s">
        <v>2260</v>
      </c>
      <c r="AS213" s="1079"/>
      <c r="AT213" s="1069"/>
      <c r="AU213" s="1069"/>
      <c r="AV213" s="1069"/>
      <c r="AW213" s="1080"/>
      <c r="AX213" s="1081"/>
      <c r="AY213" s="1044"/>
      <c r="AZ213" s="1045"/>
      <c r="BA213" s="1045"/>
      <c r="BB213" s="1045"/>
      <c r="BC213" s="1045"/>
      <c r="BD213" s="1045"/>
      <c r="BE213" s="1045"/>
      <c r="BF213" s="1045"/>
      <c r="BG213" s="1045"/>
      <c r="BH213" s="1045"/>
      <c r="BI213" s="1369"/>
      <c r="BJ213" s="1319"/>
      <c r="BK213" s="1319"/>
      <c r="BL213" s="1319"/>
      <c r="BM213" s="1319"/>
      <c r="BN213" s="1044"/>
      <c r="BO213" s="1045"/>
      <c r="BP213" s="1045"/>
      <c r="BQ213" s="1045"/>
      <c r="BR213" s="1045"/>
      <c r="BS213" s="1084"/>
      <c r="BT213" s="1045"/>
      <c r="BU213" s="1045"/>
      <c r="BV213" s="1045"/>
      <c r="BW213" s="1085"/>
      <c r="BX213" s="1084"/>
      <c r="BY213" s="1045"/>
      <c r="BZ213" s="1045"/>
      <c r="CA213" s="1045"/>
      <c r="CB213" s="1085"/>
      <c r="CC213" s="1086"/>
      <c r="CD213" s="1327"/>
      <c r="CE213" s="1328"/>
      <c r="CF213" s="1328"/>
      <c r="CG213" s="1328"/>
      <c r="CH213" s="1389"/>
      <c r="CI213" s="1369"/>
      <c r="CJ213" s="1319"/>
      <c r="CK213" s="1319"/>
      <c r="CL213" s="1319"/>
      <c r="CM213" s="1320"/>
      <c r="CN213" s="1369"/>
      <c r="CO213" s="1319"/>
      <c r="CP213" s="1319"/>
      <c r="CQ213" s="1319"/>
      <c r="CR213" s="1320"/>
      <c r="CS213" s="1369"/>
      <c r="CT213" s="1319"/>
      <c r="CU213" s="1319"/>
      <c r="CV213" s="1319"/>
      <c r="CW213" s="1320"/>
      <c r="CX213" s="1369"/>
      <c r="CY213" s="1319"/>
      <c r="CZ213" s="1319"/>
      <c r="DA213" s="1319"/>
      <c r="DB213" s="1320"/>
      <c r="DC213" s="1319"/>
      <c r="DD213" s="1319"/>
      <c r="DE213" s="1319"/>
      <c r="DF213" s="1319"/>
      <c r="DG213" s="1320"/>
      <c r="DH213" s="1369"/>
      <c r="DI213" s="1319"/>
      <c r="DJ213" s="1319"/>
      <c r="DK213" s="1319"/>
      <c r="DL213" s="1320"/>
      <c r="DM213" s="1743"/>
      <c r="DN213" s="1744"/>
      <c r="DO213" s="1744"/>
      <c r="DP213" s="1745"/>
      <c r="DQ213" s="1744"/>
      <c r="DR213" s="1744"/>
      <c r="DS213" s="1744"/>
      <c r="DT213" s="1745"/>
      <c r="DU213" s="1328"/>
      <c r="DV213" s="1664"/>
      <c r="DW213" s="1746"/>
    </row>
    <row r="214" spans="1:127" s="382" customFormat="1" ht="15.75" customHeight="1">
      <c r="A214" s="1066" t="s">
        <v>1269</v>
      </c>
      <c r="B214" s="1026">
        <v>205</v>
      </c>
      <c r="C214" s="987"/>
      <c r="D214" s="987"/>
      <c r="E214" s="987"/>
      <c r="F214" s="987"/>
      <c r="G214" s="987"/>
      <c r="H214" s="987"/>
      <c r="I214" s="987"/>
      <c r="J214" s="987"/>
      <c r="K214" s="987"/>
      <c r="L214" s="987"/>
      <c r="M214" s="1026"/>
      <c r="N214" s="987"/>
      <c r="O214" s="987"/>
      <c r="P214" s="987"/>
      <c r="Q214" s="987"/>
      <c r="R214" s="987"/>
      <c r="S214" s="987"/>
      <c r="T214" s="988"/>
      <c r="U214" s="1067" t="s">
        <v>1443</v>
      </c>
      <c r="V214" s="1068" t="s">
        <v>2260</v>
      </c>
      <c r="W214" s="1068" t="s">
        <v>2260</v>
      </c>
      <c r="X214" s="1069" t="s">
        <v>2932</v>
      </c>
      <c r="Y214" s="1070" t="s">
        <v>2416</v>
      </c>
      <c r="Z214" s="1071" t="s">
        <v>2260</v>
      </c>
      <c r="AA214" s="1072">
        <v>1</v>
      </c>
      <c r="AB214" s="1073" t="s">
        <v>2260</v>
      </c>
      <c r="AC214" s="1073" t="s">
        <v>2260</v>
      </c>
      <c r="AD214" s="1073" t="s">
        <v>2260</v>
      </c>
      <c r="AE214" s="1073" t="s">
        <v>2260</v>
      </c>
      <c r="AF214" s="1073" t="s">
        <v>2260</v>
      </c>
      <c r="AG214" s="1073" t="s">
        <v>2260</v>
      </c>
      <c r="AH214" s="1073" t="s">
        <v>2260</v>
      </c>
      <c r="AI214" s="1074">
        <f t="shared" si="3"/>
        <v>1</v>
      </c>
      <c r="AJ214" s="1075" t="s">
        <v>1846</v>
      </c>
      <c r="AK214" s="1075" t="s">
        <v>1826</v>
      </c>
      <c r="AL214" s="1075" t="s">
        <v>1827</v>
      </c>
      <c r="AM214" s="1076" t="s">
        <v>2260</v>
      </c>
      <c r="AN214" s="987" t="s">
        <v>2260</v>
      </c>
      <c r="AO214" s="987" t="s">
        <v>2933</v>
      </c>
      <c r="AP214" s="1244">
        <v>0</v>
      </c>
      <c r="AQ214" s="1045" t="s">
        <v>1828</v>
      </c>
      <c r="AR214" s="1078" t="s">
        <v>2260</v>
      </c>
      <c r="AS214" s="1079"/>
      <c r="AT214" s="1069"/>
      <c r="AU214" s="1069"/>
      <c r="AV214" s="1069"/>
      <c r="AW214" s="1080"/>
      <c r="AX214" s="1081"/>
      <c r="AY214" s="1044"/>
      <c r="AZ214" s="1045"/>
      <c r="BA214" s="1045"/>
      <c r="BB214" s="1045"/>
      <c r="BC214" s="1045"/>
      <c r="BD214" s="1045"/>
      <c r="BE214" s="1045"/>
      <c r="BF214" s="1045"/>
      <c r="BG214" s="1045"/>
      <c r="BH214" s="1045"/>
      <c r="BI214" s="1369"/>
      <c r="BJ214" s="1319"/>
      <c r="BK214" s="1319"/>
      <c r="BL214" s="1319"/>
      <c r="BM214" s="1319"/>
      <c r="BN214" s="1044"/>
      <c r="BO214" s="1045"/>
      <c r="BP214" s="1045"/>
      <c r="BQ214" s="1045"/>
      <c r="BR214" s="1045"/>
      <c r="BS214" s="1084"/>
      <c r="BT214" s="1045"/>
      <c r="BU214" s="1045"/>
      <c r="BV214" s="1045"/>
      <c r="BW214" s="1085"/>
      <c r="BX214" s="1084"/>
      <c r="BY214" s="1045"/>
      <c r="BZ214" s="1045"/>
      <c r="CA214" s="1045"/>
      <c r="CB214" s="1085"/>
      <c r="CC214" s="1086"/>
      <c r="CD214" s="1327"/>
      <c r="CE214" s="1328"/>
      <c r="CF214" s="1328"/>
      <c r="CG214" s="1328"/>
      <c r="CH214" s="1389"/>
      <c r="CI214" s="1369"/>
      <c r="CJ214" s="1319"/>
      <c r="CK214" s="1319"/>
      <c r="CL214" s="1319"/>
      <c r="CM214" s="1320"/>
      <c r="CN214" s="1369"/>
      <c r="CO214" s="1319"/>
      <c r="CP214" s="1319"/>
      <c r="CQ214" s="1319"/>
      <c r="CR214" s="1320"/>
      <c r="CS214" s="1369"/>
      <c r="CT214" s="1319"/>
      <c r="CU214" s="1319"/>
      <c r="CV214" s="1319"/>
      <c r="CW214" s="1320"/>
      <c r="CX214" s="1369"/>
      <c r="CY214" s="1319"/>
      <c r="CZ214" s="1319"/>
      <c r="DA214" s="1319"/>
      <c r="DB214" s="1320"/>
      <c r="DC214" s="1319"/>
      <c r="DD214" s="1319"/>
      <c r="DE214" s="1319"/>
      <c r="DF214" s="1319"/>
      <c r="DG214" s="1320"/>
      <c r="DH214" s="1369"/>
      <c r="DI214" s="1319"/>
      <c r="DJ214" s="1319"/>
      <c r="DK214" s="1319"/>
      <c r="DL214" s="1320"/>
      <c r="DM214" s="1743"/>
      <c r="DN214" s="1744"/>
      <c r="DO214" s="1744"/>
      <c r="DP214" s="1745"/>
      <c r="DQ214" s="1744"/>
      <c r="DR214" s="1744"/>
      <c r="DS214" s="1744"/>
      <c r="DT214" s="1745"/>
      <c r="DU214" s="1328"/>
      <c r="DV214" s="1664"/>
      <c r="DW214" s="1746"/>
    </row>
    <row r="215" spans="1:127" s="382" customFormat="1" ht="15.75" customHeight="1">
      <c r="A215" s="1066" t="s">
        <v>1269</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4464</v>
      </c>
      <c r="V215" s="1068" t="s">
        <v>2260</v>
      </c>
      <c r="W215" s="1068" t="s">
        <v>2260</v>
      </c>
      <c r="X215" s="1069" t="s">
        <v>1876</v>
      </c>
      <c r="Y215" s="1070" t="s">
        <v>2934</v>
      </c>
      <c r="Z215" s="1071" t="s">
        <v>2260</v>
      </c>
      <c r="AA215" s="1072" t="s">
        <v>2260</v>
      </c>
      <c r="AB215" s="1073" t="s">
        <v>2260</v>
      </c>
      <c r="AC215" s="1073" t="s">
        <v>2260</v>
      </c>
      <c r="AD215" s="1073" t="s">
        <v>2260</v>
      </c>
      <c r="AE215" s="1073" t="s">
        <v>2260</v>
      </c>
      <c r="AF215" s="1073" t="s">
        <v>2260</v>
      </c>
      <c r="AG215" s="1073" t="s">
        <v>2260</v>
      </c>
      <c r="AH215" s="1073" t="s">
        <v>2260</v>
      </c>
      <c r="AI215" s="1074">
        <f t="shared" si="3"/>
        <v>0</v>
      </c>
      <c r="AJ215" s="1075" t="s">
        <v>2260</v>
      </c>
      <c r="AK215" s="1075" t="s">
        <v>2260</v>
      </c>
      <c r="AL215" s="1075" t="s">
        <v>2260</v>
      </c>
      <c r="AM215" s="1076" t="s">
        <v>2260</v>
      </c>
      <c r="AN215" s="987"/>
      <c r="AO215" s="987"/>
      <c r="AP215" s="1244">
        <v>0</v>
      </c>
      <c r="AQ215" s="1045"/>
      <c r="AR215" s="1078" t="s">
        <v>2260</v>
      </c>
      <c r="AS215" s="1079"/>
      <c r="AT215" s="1069"/>
      <c r="AU215" s="1069"/>
      <c r="AV215" s="1069"/>
      <c r="AW215" s="1080"/>
      <c r="AX215" s="1081"/>
      <c r="AY215" s="1044"/>
      <c r="AZ215" s="1045"/>
      <c r="BA215" s="1045"/>
      <c r="BB215" s="1045"/>
      <c r="BC215" s="1045"/>
      <c r="BD215" s="1045"/>
      <c r="BE215" s="1045"/>
      <c r="BF215" s="1045"/>
      <c r="BG215" s="1045"/>
      <c r="BH215" s="1045"/>
      <c r="BI215" s="1369"/>
      <c r="BJ215" s="1319"/>
      <c r="BK215" s="1319"/>
      <c r="BL215" s="1319"/>
      <c r="BM215" s="1319"/>
      <c r="BN215" s="1044"/>
      <c r="BO215" s="1045"/>
      <c r="BP215" s="1045"/>
      <c r="BQ215" s="1045"/>
      <c r="BR215" s="1045"/>
      <c r="BS215" s="1084"/>
      <c r="BT215" s="1045"/>
      <c r="BU215" s="1045"/>
      <c r="BV215" s="1045"/>
      <c r="BW215" s="1085"/>
      <c r="BX215" s="1084"/>
      <c r="BY215" s="1045"/>
      <c r="BZ215" s="1045"/>
      <c r="CA215" s="1045"/>
      <c r="CB215" s="1085"/>
      <c r="CC215" s="1086"/>
      <c r="CD215" s="1327"/>
      <c r="CE215" s="1328"/>
      <c r="CF215" s="1328"/>
      <c r="CG215" s="1328"/>
      <c r="CH215" s="1389"/>
      <c r="CI215" s="1369"/>
      <c r="CJ215" s="1319"/>
      <c r="CK215" s="1319"/>
      <c r="CL215" s="1319"/>
      <c r="CM215" s="1320"/>
      <c r="CN215" s="1369"/>
      <c r="CO215" s="1319"/>
      <c r="CP215" s="1319"/>
      <c r="CQ215" s="1319"/>
      <c r="CR215" s="1320"/>
      <c r="CS215" s="1369"/>
      <c r="CT215" s="1319"/>
      <c r="CU215" s="1319"/>
      <c r="CV215" s="1319"/>
      <c r="CW215" s="1320"/>
      <c r="CX215" s="1369"/>
      <c r="CY215" s="1319"/>
      <c r="CZ215" s="1319"/>
      <c r="DA215" s="1319"/>
      <c r="DB215" s="1320"/>
      <c r="DC215" s="1319"/>
      <c r="DD215" s="1319"/>
      <c r="DE215" s="1319"/>
      <c r="DF215" s="1319"/>
      <c r="DG215" s="1320"/>
      <c r="DH215" s="1369"/>
      <c r="DI215" s="1319"/>
      <c r="DJ215" s="1319"/>
      <c r="DK215" s="1319"/>
      <c r="DL215" s="1320"/>
      <c r="DM215" s="1743"/>
      <c r="DN215" s="1744"/>
      <c r="DO215" s="1744"/>
      <c r="DP215" s="1745"/>
      <c r="DQ215" s="1744"/>
      <c r="DR215" s="1744"/>
      <c r="DS215" s="1744"/>
      <c r="DT215" s="1745"/>
      <c r="DU215" s="1328"/>
      <c r="DV215" s="1664"/>
      <c r="DW215" s="1746"/>
    </row>
    <row r="216" spans="1:127" s="382" customFormat="1" ht="15.75" customHeight="1">
      <c r="A216" s="1023" t="s">
        <v>1296</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1173</v>
      </c>
      <c r="V216" s="1029" t="s">
        <v>2936</v>
      </c>
      <c r="W216" s="1029" t="s">
        <v>2223</v>
      </c>
      <c r="X216" s="1030" t="s">
        <v>2937</v>
      </c>
      <c r="Y216" s="1031" t="s">
        <v>179</v>
      </c>
      <c r="Z216" s="1032" t="s">
        <v>2938</v>
      </c>
      <c r="AA216" s="1033" t="s">
        <v>2260</v>
      </c>
      <c r="AB216" s="1034">
        <v>1</v>
      </c>
      <c r="AC216" s="1034" t="s">
        <v>2260</v>
      </c>
      <c r="AD216" s="1034" t="s">
        <v>2260</v>
      </c>
      <c r="AE216" s="1034" t="s">
        <v>2260</v>
      </c>
      <c r="AF216" s="1034" t="s">
        <v>2260</v>
      </c>
      <c r="AG216" s="1034" t="s">
        <v>2260</v>
      </c>
      <c r="AH216" s="1034" t="s">
        <v>2260</v>
      </c>
      <c r="AI216" s="1035">
        <f t="shared" si="3"/>
        <v>1</v>
      </c>
      <c r="AJ216" s="1036" t="s">
        <v>1852</v>
      </c>
      <c r="AK216" s="1036" t="s">
        <v>1826</v>
      </c>
      <c r="AL216" s="1036" t="s">
        <v>1827</v>
      </c>
      <c r="AM216" s="1037" t="s">
        <v>2220</v>
      </c>
      <c r="AN216" s="1031" t="s">
        <v>4414</v>
      </c>
      <c r="AO216" s="1031" t="s">
        <v>4415</v>
      </c>
      <c r="AP216" s="1275">
        <v>0</v>
      </c>
      <c r="AQ216" s="1049" t="s">
        <v>1838</v>
      </c>
      <c r="AR216" s="1040" t="s">
        <v>179</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210</v>
      </c>
      <c r="CE216" s="1054" t="s">
        <v>210</v>
      </c>
      <c r="CF216" s="1054" t="s">
        <v>210</v>
      </c>
      <c r="CG216" s="1054" t="s">
        <v>210</v>
      </c>
      <c r="CH216" s="1055" t="s">
        <v>210</v>
      </c>
      <c r="CI216" s="1321">
        <v>1.3391203703703704E-2</v>
      </c>
      <c r="CJ216" s="1322">
        <v>1.3391203703703704E-2</v>
      </c>
      <c r="CK216" s="1322">
        <v>1.3391203703703704E-2</v>
      </c>
      <c r="CL216" s="1322">
        <v>1.3391203703703704E-2</v>
      </c>
      <c r="CM216" s="1323">
        <v>1.3391203703703704E-2</v>
      </c>
      <c r="CN216" s="1321">
        <v>1.1793981481481482E-2</v>
      </c>
      <c r="CO216" s="1322">
        <v>1.1793981481481482E-2</v>
      </c>
      <c r="CP216" s="1322">
        <v>1.1793981481481482E-2</v>
      </c>
      <c r="CQ216" s="1322">
        <v>1.1793981481481482E-2</v>
      </c>
      <c r="CR216" s="1323">
        <v>1.1793981481481482E-2</v>
      </c>
      <c r="CS216" s="1310"/>
      <c r="CT216" s="1311"/>
      <c r="CU216" s="1311"/>
      <c r="CV216" s="1311"/>
      <c r="CW216" s="1312"/>
      <c r="CX216" s="1310"/>
      <c r="CY216" s="1311"/>
      <c r="CZ216" s="1311"/>
      <c r="DA216" s="1311"/>
      <c r="DB216" s="1312"/>
      <c r="DC216" s="2044">
        <v>9.2592592592592585E-4</v>
      </c>
      <c r="DD216" s="1322">
        <v>8.7962962962962962E-4</v>
      </c>
      <c r="DE216" s="1322">
        <v>8.2175925925925917E-4</v>
      </c>
      <c r="DF216" s="1322">
        <v>7.7546296296296304E-4</v>
      </c>
      <c r="DG216" s="1108">
        <v>7.291666666666667E-4</v>
      </c>
      <c r="DH216" s="1058" t="s">
        <v>4430</v>
      </c>
      <c r="DI216" s="1049" t="s">
        <v>4430</v>
      </c>
      <c r="DJ216" s="1049" t="s">
        <v>4430</v>
      </c>
      <c r="DK216" s="1049" t="s">
        <v>4430</v>
      </c>
      <c r="DL216" s="1052" t="s">
        <v>4430</v>
      </c>
      <c r="DM216" s="1060">
        <v>-0.121</v>
      </c>
      <c r="DN216" s="1061" t="s">
        <v>2260</v>
      </c>
      <c r="DO216" s="1061" t="s">
        <v>2260</v>
      </c>
      <c r="DP216" s="1062">
        <v>-0.39</v>
      </c>
      <c r="DQ216" s="1061">
        <v>0.121</v>
      </c>
      <c r="DR216" s="1061" t="s">
        <v>2260</v>
      </c>
      <c r="DS216" s="1061" t="s">
        <v>2260</v>
      </c>
      <c r="DT216" s="1062">
        <v>0.36199999999999999</v>
      </c>
      <c r="DU216" s="1054" t="s">
        <v>2260</v>
      </c>
      <c r="DV216" s="1063" t="s">
        <v>2260</v>
      </c>
      <c r="DW216" s="1064" t="s">
        <v>2260</v>
      </c>
    </row>
    <row r="217" spans="1:127" s="382" customFormat="1" ht="15.75" customHeight="1">
      <c r="A217" s="1066" t="s">
        <v>1296</v>
      </c>
      <c r="B217" s="1026">
        <v>208</v>
      </c>
      <c r="C217" s="987"/>
      <c r="D217" s="987"/>
      <c r="E217" s="987"/>
      <c r="F217" s="987"/>
      <c r="G217" s="987"/>
      <c r="H217" s="987"/>
      <c r="I217" s="987"/>
      <c r="J217" s="987"/>
      <c r="K217" s="987"/>
      <c r="L217" s="987"/>
      <c r="M217" s="1026"/>
      <c r="N217" s="987"/>
      <c r="O217" s="987"/>
      <c r="P217" s="987"/>
      <c r="Q217" s="987"/>
      <c r="R217" s="987"/>
      <c r="S217" s="987"/>
      <c r="T217" s="988"/>
      <c r="U217" s="1067" t="s">
        <v>1176</v>
      </c>
      <c r="V217" s="1068" t="s">
        <v>2936</v>
      </c>
      <c r="W217" s="1068" t="s">
        <v>2223</v>
      </c>
      <c r="X217" s="1069" t="s">
        <v>2940</v>
      </c>
      <c r="Y217" s="1070" t="s">
        <v>203</v>
      </c>
      <c r="Z217" s="1071" t="s">
        <v>2938</v>
      </c>
      <c r="AA217" s="1072" t="s">
        <v>2260</v>
      </c>
      <c r="AB217" s="1073">
        <v>1</v>
      </c>
      <c r="AC217" s="1073" t="s">
        <v>2260</v>
      </c>
      <c r="AD217" s="1073" t="s">
        <v>2260</v>
      </c>
      <c r="AE217" s="1073" t="s">
        <v>2260</v>
      </c>
      <c r="AF217" s="1073" t="s">
        <v>2260</v>
      </c>
      <c r="AG217" s="1073" t="s">
        <v>2260</v>
      </c>
      <c r="AH217" s="1073" t="s">
        <v>2260</v>
      </c>
      <c r="AI217" s="1074">
        <f t="shared" si="3"/>
        <v>1</v>
      </c>
      <c r="AJ217" s="1075" t="s">
        <v>1846</v>
      </c>
      <c r="AK217" s="1075" t="s">
        <v>1826</v>
      </c>
      <c r="AL217" s="1075" t="s">
        <v>1827</v>
      </c>
      <c r="AM217" s="1076" t="s">
        <v>2363</v>
      </c>
      <c r="AN217" s="987" t="s">
        <v>2439</v>
      </c>
      <c r="AO217" s="987" t="s">
        <v>4419</v>
      </c>
      <c r="AP217" s="1276">
        <v>1</v>
      </c>
      <c r="AQ217" s="1045" t="s">
        <v>1838</v>
      </c>
      <c r="AR217" s="1078" t="s">
        <v>203</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210</v>
      </c>
      <c r="CE217" s="1088" t="s">
        <v>210</v>
      </c>
      <c r="CF217" s="1088" t="s">
        <v>210</v>
      </c>
      <c r="CG217" s="1088" t="s">
        <v>210</v>
      </c>
      <c r="CH217" s="1089" t="s">
        <v>210</v>
      </c>
      <c r="CI217" s="1044" t="s">
        <v>2260</v>
      </c>
      <c r="CJ217" s="1045" t="s">
        <v>2260</v>
      </c>
      <c r="CK217" s="1045" t="s">
        <v>2260</v>
      </c>
      <c r="CL217" s="1045" t="s">
        <v>2260</v>
      </c>
      <c r="CM217" s="1086" t="s">
        <v>2260</v>
      </c>
      <c r="CN217" s="1044" t="s">
        <v>2260</v>
      </c>
      <c r="CO217" s="1045" t="s">
        <v>2260</v>
      </c>
      <c r="CP217" s="1045" t="s">
        <v>2260</v>
      </c>
      <c r="CQ217" s="1045" t="s">
        <v>2260</v>
      </c>
      <c r="CR217" s="1086" t="s">
        <v>2260</v>
      </c>
      <c r="CS217" s="1044" t="s">
        <v>2260</v>
      </c>
      <c r="CT217" s="1045" t="s">
        <v>2260</v>
      </c>
      <c r="CU217" s="1045" t="s">
        <v>2260</v>
      </c>
      <c r="CV217" s="1045" t="s">
        <v>2260</v>
      </c>
      <c r="CW217" s="1086" t="s">
        <v>2260</v>
      </c>
      <c r="CX217" s="1044" t="s">
        <v>2260</v>
      </c>
      <c r="CY217" s="1045" t="s">
        <v>2260</v>
      </c>
      <c r="CZ217" s="1045" t="s">
        <v>2260</v>
      </c>
      <c r="DA217" s="1045" t="s">
        <v>2260</v>
      </c>
      <c r="DB217" s="1086" t="s">
        <v>2260</v>
      </c>
      <c r="DC217" s="1045" t="s">
        <v>2260</v>
      </c>
      <c r="DD217" s="1045" t="s">
        <v>2260</v>
      </c>
      <c r="DE217" s="1045" t="s">
        <v>2260</v>
      </c>
      <c r="DF217" s="1045" t="s">
        <v>2260</v>
      </c>
      <c r="DG217" s="1086" t="s">
        <v>2260</v>
      </c>
      <c r="DH217" s="1044" t="s">
        <v>2260</v>
      </c>
      <c r="DI217" s="1045" t="s">
        <v>2260</v>
      </c>
      <c r="DJ217" s="1045" t="s">
        <v>2260</v>
      </c>
      <c r="DK217" s="1045" t="s">
        <v>2260</v>
      </c>
      <c r="DL217" s="1086" t="s">
        <v>2260</v>
      </c>
      <c r="DM217" s="1090">
        <v>-2.1999999999999999E-2</v>
      </c>
      <c r="DN217" s="1091" t="s">
        <v>2260</v>
      </c>
      <c r="DO217" s="1091" t="s">
        <v>2260</v>
      </c>
      <c r="DP217" s="1092" t="s">
        <v>2260</v>
      </c>
      <c r="DQ217" s="1091">
        <v>0</v>
      </c>
      <c r="DR217" s="1091" t="s">
        <v>2260</v>
      </c>
      <c r="DS217" s="1091" t="s">
        <v>2260</v>
      </c>
      <c r="DT217" s="1092" t="s">
        <v>2260</v>
      </c>
      <c r="DU217" s="1088" t="s">
        <v>2260</v>
      </c>
      <c r="DV217" s="1093">
        <v>1</v>
      </c>
      <c r="DW217" s="1094" t="s">
        <v>2260</v>
      </c>
    </row>
    <row r="218" spans="1:127" s="382" customFormat="1" ht="15.75" customHeight="1">
      <c r="A218" s="1066" t="s">
        <v>1296</v>
      </c>
      <c r="B218" s="1026">
        <v>209</v>
      </c>
      <c r="C218" s="987"/>
      <c r="D218" s="987"/>
      <c r="E218" s="987"/>
      <c r="F218" s="987"/>
      <c r="G218" s="987"/>
      <c r="H218" s="987"/>
      <c r="I218" s="987"/>
      <c r="J218" s="987"/>
      <c r="K218" s="987"/>
      <c r="L218" s="987"/>
      <c r="M218" s="1026"/>
      <c r="N218" s="987"/>
      <c r="O218" s="987"/>
      <c r="P218" s="987"/>
      <c r="Q218" s="987"/>
      <c r="R218" s="987"/>
      <c r="S218" s="987"/>
      <c r="T218" s="988"/>
      <c r="U218" s="1067" t="s">
        <v>1310</v>
      </c>
      <c r="V218" s="1068" t="s">
        <v>2936</v>
      </c>
      <c r="W218" s="1068" t="s">
        <v>2223</v>
      </c>
      <c r="X218" s="1069" t="s">
        <v>2941</v>
      </c>
      <c r="Y218" s="1070" t="s">
        <v>2942</v>
      </c>
      <c r="Z218" s="1071" t="s">
        <v>2943</v>
      </c>
      <c r="AA218" s="1072" t="s">
        <v>2260</v>
      </c>
      <c r="AB218" s="1073">
        <v>1</v>
      </c>
      <c r="AC218" s="1073" t="s">
        <v>2260</v>
      </c>
      <c r="AD218" s="1073" t="s">
        <v>2260</v>
      </c>
      <c r="AE218" s="1073" t="s">
        <v>2260</v>
      </c>
      <c r="AF218" s="1073" t="s">
        <v>2260</v>
      </c>
      <c r="AG218" s="1073" t="s">
        <v>2260</v>
      </c>
      <c r="AH218" s="1073" t="s">
        <v>2260</v>
      </c>
      <c r="AI218" s="1074">
        <f t="shared" si="3"/>
        <v>1</v>
      </c>
      <c r="AJ218" s="1075" t="s">
        <v>1846</v>
      </c>
      <c r="AK218" s="1075" t="s">
        <v>1826</v>
      </c>
      <c r="AL218" s="1075" t="s">
        <v>1827</v>
      </c>
      <c r="AM218" s="1076" t="s">
        <v>2421</v>
      </c>
      <c r="AN218" s="987" t="s">
        <v>439</v>
      </c>
      <c r="AO218" s="987" t="s">
        <v>4423</v>
      </c>
      <c r="AP218" s="1276">
        <v>2</v>
      </c>
      <c r="AQ218" s="1045" t="s">
        <v>1838</v>
      </c>
      <c r="AR218" s="1078"/>
      <c r="AS218" s="1079"/>
      <c r="AT218" s="1069"/>
      <c r="AU218" s="1069"/>
      <c r="AV218" s="1069"/>
      <c r="AW218" s="1080"/>
      <c r="AX218" s="1081"/>
      <c r="AY218" s="1044"/>
      <c r="AZ218" s="1045"/>
      <c r="BA218" s="1045"/>
      <c r="BB218" s="1045"/>
      <c r="BC218" s="1045"/>
      <c r="BD218" s="1045"/>
      <c r="BE218" s="1045"/>
      <c r="BF218" s="1045"/>
      <c r="BG218" s="1045"/>
      <c r="BH218" s="1045"/>
      <c r="BI218" s="1369"/>
      <c r="BJ218" s="1319"/>
      <c r="BK218" s="1319"/>
      <c r="BL218" s="1319"/>
      <c r="BM218" s="1319"/>
      <c r="BN218" s="1044"/>
      <c r="BO218" s="1045"/>
      <c r="BP218" s="1045"/>
      <c r="BQ218" s="1045"/>
      <c r="BR218" s="1045"/>
      <c r="BS218" s="1084"/>
      <c r="BT218" s="1045"/>
      <c r="BU218" s="1045"/>
      <c r="BV218" s="1045"/>
      <c r="BW218" s="1085"/>
      <c r="BX218" s="1084"/>
      <c r="BY218" s="1045"/>
      <c r="BZ218" s="1045"/>
      <c r="CA218" s="1045"/>
      <c r="CB218" s="1085"/>
      <c r="CC218" s="1086"/>
      <c r="CD218" s="1327"/>
      <c r="CE218" s="1328"/>
      <c r="CF218" s="1328"/>
      <c r="CG218" s="1328"/>
      <c r="CH218" s="1389"/>
      <c r="CI218" s="1369"/>
      <c r="CJ218" s="1319"/>
      <c r="CK218" s="1319"/>
      <c r="CL218" s="1319"/>
      <c r="CM218" s="1320"/>
      <c r="CN218" s="1369"/>
      <c r="CO218" s="1319"/>
      <c r="CP218" s="1319"/>
      <c r="CQ218" s="1319"/>
      <c r="CR218" s="1320"/>
      <c r="CS218" s="1369"/>
      <c r="CT218" s="1319"/>
      <c r="CU218" s="1319"/>
      <c r="CV218" s="1319"/>
      <c r="CW218" s="1320"/>
      <c r="CX218" s="1369"/>
      <c r="CY218" s="1319"/>
      <c r="CZ218" s="1319"/>
      <c r="DA218" s="1319"/>
      <c r="DB218" s="1320"/>
      <c r="DC218" s="1319"/>
      <c r="DD218" s="1319"/>
      <c r="DE218" s="1319"/>
      <c r="DF218" s="1319"/>
      <c r="DG218" s="1320"/>
      <c r="DH218" s="1369"/>
      <c r="DI218" s="1319"/>
      <c r="DJ218" s="1319"/>
      <c r="DK218" s="1319"/>
      <c r="DL218" s="1320"/>
      <c r="DM218" s="1743"/>
      <c r="DN218" s="1744"/>
      <c r="DO218" s="1744"/>
      <c r="DP218" s="1745"/>
      <c r="DQ218" s="1744"/>
      <c r="DR218" s="1744"/>
      <c r="DS218" s="1744"/>
      <c r="DT218" s="1745"/>
      <c r="DU218" s="1328"/>
      <c r="DV218" s="1664"/>
      <c r="DW218" s="1746"/>
    </row>
    <row r="219" spans="1:127" s="382" customFormat="1" ht="15.75" customHeight="1">
      <c r="A219" s="1066" t="s">
        <v>1296</v>
      </c>
      <c r="B219" s="1026">
        <v>210</v>
      </c>
      <c r="C219" s="987"/>
      <c r="D219" s="987"/>
      <c r="E219" s="987"/>
      <c r="F219" s="987"/>
      <c r="G219" s="987"/>
      <c r="H219" s="987"/>
      <c r="I219" s="987"/>
      <c r="J219" s="987"/>
      <c r="K219" s="987"/>
      <c r="L219" s="987"/>
      <c r="M219" s="1026"/>
      <c r="N219" s="987"/>
      <c r="O219" s="987"/>
      <c r="P219" s="987"/>
      <c r="Q219" s="987"/>
      <c r="R219" s="987"/>
      <c r="S219" s="987"/>
      <c r="T219" s="988"/>
      <c r="U219" s="1067" t="s">
        <v>1172</v>
      </c>
      <c r="V219" s="1068" t="s">
        <v>2936</v>
      </c>
      <c r="W219" s="1068" t="s">
        <v>2217</v>
      </c>
      <c r="X219" s="1069" t="s">
        <v>2944</v>
      </c>
      <c r="Y219" s="1070" t="s">
        <v>172</v>
      </c>
      <c r="Z219" s="1071" t="s">
        <v>2938</v>
      </c>
      <c r="AA219" s="1072" t="s">
        <v>2260</v>
      </c>
      <c r="AB219" s="1073">
        <v>1</v>
      </c>
      <c r="AC219" s="1073" t="s">
        <v>2260</v>
      </c>
      <c r="AD219" s="1073" t="s">
        <v>2260</v>
      </c>
      <c r="AE219" s="1073" t="s">
        <v>2260</v>
      </c>
      <c r="AF219" s="1073" t="s">
        <v>2260</v>
      </c>
      <c r="AG219" s="1073" t="s">
        <v>2260</v>
      </c>
      <c r="AH219" s="1073" t="s">
        <v>2260</v>
      </c>
      <c r="AI219" s="1074">
        <f t="shared" si="3"/>
        <v>1</v>
      </c>
      <c r="AJ219" s="1075" t="s">
        <v>1846</v>
      </c>
      <c r="AK219" s="1075" t="s">
        <v>1826</v>
      </c>
      <c r="AL219" s="1075" t="s">
        <v>1827</v>
      </c>
      <c r="AM219" s="1076" t="s">
        <v>2247</v>
      </c>
      <c r="AN219" s="987" t="s">
        <v>2439</v>
      </c>
      <c r="AO219" s="987" t="s">
        <v>4420</v>
      </c>
      <c r="AP219" s="1276">
        <v>2</v>
      </c>
      <c r="AQ219" s="1045" t="s">
        <v>1838</v>
      </c>
      <c r="AR219" s="1078" t="s">
        <v>172</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210</v>
      </c>
      <c r="CE219" s="1088" t="s">
        <v>210</v>
      </c>
      <c r="CF219" s="1088" t="s">
        <v>210</v>
      </c>
      <c r="CG219" s="1088" t="s">
        <v>210</v>
      </c>
      <c r="CH219" s="1089" t="s">
        <v>210</v>
      </c>
      <c r="CI219" s="1044" t="s">
        <v>2260</v>
      </c>
      <c r="CJ219" s="1045" t="s">
        <v>2260</v>
      </c>
      <c r="CK219" s="1045" t="s">
        <v>2260</v>
      </c>
      <c r="CL219" s="1045" t="s">
        <v>2260</v>
      </c>
      <c r="CM219" s="1086" t="s">
        <v>2260</v>
      </c>
      <c r="CN219" s="1044">
        <v>9.5</v>
      </c>
      <c r="CO219" s="1045">
        <v>9.5</v>
      </c>
      <c r="CP219" s="1045">
        <v>9.5</v>
      </c>
      <c r="CQ219" s="1045">
        <v>9.5</v>
      </c>
      <c r="CR219" s="1086">
        <v>9.5</v>
      </c>
      <c r="CS219" s="1044">
        <v>2</v>
      </c>
      <c r="CT219" s="1045">
        <v>2</v>
      </c>
      <c r="CU219" s="1045">
        <v>2</v>
      </c>
      <c r="CV219" s="1045">
        <v>2</v>
      </c>
      <c r="CW219" s="1086">
        <v>2</v>
      </c>
      <c r="CX219" s="1044" t="s">
        <v>2260</v>
      </c>
      <c r="CY219" s="1045" t="s">
        <v>2260</v>
      </c>
      <c r="CZ219" s="1045" t="s">
        <v>2260</v>
      </c>
      <c r="DA219" s="1045" t="s">
        <v>2260</v>
      </c>
      <c r="DB219" s="1086" t="s">
        <v>2260</v>
      </c>
      <c r="DC219" s="1045" t="s">
        <v>2260</v>
      </c>
      <c r="DD219" s="1045" t="s">
        <v>2260</v>
      </c>
      <c r="DE219" s="1045" t="s">
        <v>2260</v>
      </c>
      <c r="DF219" s="1045" t="s">
        <v>2260</v>
      </c>
      <c r="DG219" s="1086" t="s">
        <v>2260</v>
      </c>
      <c r="DH219" s="1044" t="s">
        <v>2260</v>
      </c>
      <c r="DI219" s="1045" t="s">
        <v>2260</v>
      </c>
      <c r="DJ219" s="1045" t="s">
        <v>2260</v>
      </c>
      <c r="DK219" s="1045" t="s">
        <v>2260</v>
      </c>
      <c r="DL219" s="1086" t="s">
        <v>2260</v>
      </c>
      <c r="DM219" s="1090">
        <v>-0.17499999999999999</v>
      </c>
      <c r="DN219" s="1091" t="s">
        <v>2260</v>
      </c>
      <c r="DO219" s="1091" t="s">
        <v>2260</v>
      </c>
      <c r="DP219" s="1092" t="s">
        <v>2260</v>
      </c>
      <c r="DQ219" s="1091">
        <v>0</v>
      </c>
      <c r="DR219" s="1091" t="s">
        <v>2260</v>
      </c>
      <c r="DS219" s="1091" t="s">
        <v>2260</v>
      </c>
      <c r="DT219" s="1092" t="s">
        <v>2260</v>
      </c>
      <c r="DU219" s="1088" t="s">
        <v>2260</v>
      </c>
      <c r="DV219" s="1093">
        <v>1</v>
      </c>
      <c r="DW219" s="1094" t="s">
        <v>2260</v>
      </c>
    </row>
    <row r="220" spans="1:127" s="382" customFormat="1" ht="15.75" customHeight="1">
      <c r="A220" s="1066" t="s">
        <v>1296</v>
      </c>
      <c r="B220" s="1026">
        <v>211</v>
      </c>
      <c r="C220" s="987"/>
      <c r="D220" s="987"/>
      <c r="E220" s="987"/>
      <c r="F220" s="987"/>
      <c r="G220" s="987"/>
      <c r="H220" s="987"/>
      <c r="I220" s="987"/>
      <c r="J220" s="987"/>
      <c r="K220" s="987"/>
      <c r="L220" s="987"/>
      <c r="M220" s="1026"/>
      <c r="N220" s="987"/>
      <c r="O220" s="987"/>
      <c r="P220" s="987"/>
      <c r="Q220" s="987"/>
      <c r="R220" s="987"/>
      <c r="S220" s="987"/>
      <c r="T220" s="988"/>
      <c r="U220" s="1067" t="s">
        <v>1327</v>
      </c>
      <c r="V220" s="1068" t="s">
        <v>2946</v>
      </c>
      <c r="W220" s="1068" t="s">
        <v>2223</v>
      </c>
      <c r="X220" s="1069" t="s">
        <v>2947</v>
      </c>
      <c r="Y220" s="1070" t="s">
        <v>2948</v>
      </c>
      <c r="Z220" s="1071" t="s">
        <v>2949</v>
      </c>
      <c r="AA220" s="1072" t="s">
        <v>2260</v>
      </c>
      <c r="AB220" s="1073" t="s">
        <v>2260</v>
      </c>
      <c r="AC220" s="1073" t="s">
        <v>2260</v>
      </c>
      <c r="AD220" s="1073" t="s">
        <v>2260</v>
      </c>
      <c r="AE220" s="1073">
        <v>1</v>
      </c>
      <c r="AF220" s="1073" t="s">
        <v>2260</v>
      </c>
      <c r="AG220" s="1073" t="s">
        <v>2260</v>
      </c>
      <c r="AH220" s="1073" t="s">
        <v>2260</v>
      </c>
      <c r="AI220" s="1074">
        <f t="shared" si="3"/>
        <v>1</v>
      </c>
      <c r="AJ220" s="1075" t="s">
        <v>1846</v>
      </c>
      <c r="AK220" s="1075" t="s">
        <v>1826</v>
      </c>
      <c r="AL220" s="1075" t="s">
        <v>1827</v>
      </c>
      <c r="AM220" s="1076" t="s">
        <v>2396</v>
      </c>
      <c r="AN220" s="987" t="s">
        <v>1857</v>
      </c>
      <c r="AO220" s="987" t="s">
        <v>2950</v>
      </c>
      <c r="AP220" s="1243">
        <v>0</v>
      </c>
      <c r="AQ220" s="1045" t="s">
        <v>1828</v>
      </c>
      <c r="AR220" s="1078" t="s">
        <v>2260</v>
      </c>
      <c r="AS220" s="1079"/>
      <c r="AT220" s="1069"/>
      <c r="AU220" s="1069"/>
      <c r="AV220" s="1069"/>
      <c r="AW220" s="1080"/>
      <c r="AX220" s="1081"/>
      <c r="AY220" s="1044"/>
      <c r="AZ220" s="1045"/>
      <c r="BA220" s="1045"/>
      <c r="BB220" s="1045"/>
      <c r="BC220" s="1045"/>
      <c r="BD220" s="1045"/>
      <c r="BE220" s="1045"/>
      <c r="BF220" s="1045"/>
      <c r="BG220" s="1045"/>
      <c r="BH220" s="1045"/>
      <c r="BI220" s="1369"/>
      <c r="BJ220" s="1319"/>
      <c r="BK220" s="1319"/>
      <c r="BL220" s="1319"/>
      <c r="BM220" s="1319"/>
      <c r="BN220" s="1044"/>
      <c r="BO220" s="1045"/>
      <c r="BP220" s="1045"/>
      <c r="BQ220" s="1045"/>
      <c r="BR220" s="1045"/>
      <c r="BS220" s="1084"/>
      <c r="BT220" s="1045"/>
      <c r="BU220" s="1045"/>
      <c r="BV220" s="1045"/>
      <c r="BW220" s="1085"/>
      <c r="BX220" s="1084"/>
      <c r="BY220" s="1045"/>
      <c r="BZ220" s="1045"/>
      <c r="CA220" s="1045"/>
      <c r="CB220" s="1085"/>
      <c r="CC220" s="1086"/>
      <c r="CD220" s="1327"/>
      <c r="CE220" s="1328"/>
      <c r="CF220" s="1328"/>
      <c r="CG220" s="1328"/>
      <c r="CH220" s="1389"/>
      <c r="CI220" s="1369"/>
      <c r="CJ220" s="1319"/>
      <c r="CK220" s="1319"/>
      <c r="CL220" s="1319"/>
      <c r="CM220" s="1320"/>
      <c r="CN220" s="1369"/>
      <c r="CO220" s="1319"/>
      <c r="CP220" s="1319"/>
      <c r="CQ220" s="1319"/>
      <c r="CR220" s="1320"/>
      <c r="CS220" s="1369"/>
      <c r="CT220" s="1319"/>
      <c r="CU220" s="1319"/>
      <c r="CV220" s="1319"/>
      <c r="CW220" s="1320"/>
      <c r="CX220" s="1369"/>
      <c r="CY220" s="1319"/>
      <c r="CZ220" s="1319"/>
      <c r="DA220" s="1319"/>
      <c r="DB220" s="1320"/>
      <c r="DC220" s="1319"/>
      <c r="DD220" s="1319"/>
      <c r="DE220" s="1319"/>
      <c r="DF220" s="1319"/>
      <c r="DG220" s="1320"/>
      <c r="DH220" s="1369"/>
      <c r="DI220" s="1319"/>
      <c r="DJ220" s="1319"/>
      <c r="DK220" s="1319"/>
      <c r="DL220" s="1320"/>
      <c r="DM220" s="1743"/>
      <c r="DN220" s="1744"/>
      <c r="DO220" s="1744"/>
      <c r="DP220" s="1745"/>
      <c r="DQ220" s="1744"/>
      <c r="DR220" s="1744"/>
      <c r="DS220" s="1744"/>
      <c r="DT220" s="1745"/>
      <c r="DU220" s="1328"/>
      <c r="DV220" s="1664"/>
      <c r="DW220" s="1746"/>
    </row>
    <row r="221" spans="1:127" s="382" customFormat="1" ht="15.75" customHeight="1">
      <c r="A221" s="1066" t="s">
        <v>1296</v>
      </c>
      <c r="B221" s="1026">
        <v>212</v>
      </c>
      <c r="C221" s="987"/>
      <c r="D221" s="987"/>
      <c r="E221" s="987"/>
      <c r="F221" s="987"/>
      <c r="G221" s="987"/>
      <c r="H221" s="987"/>
      <c r="I221" s="987"/>
      <c r="J221" s="987"/>
      <c r="K221" s="987"/>
      <c r="L221" s="987"/>
      <c r="M221" s="1026"/>
      <c r="N221" s="987"/>
      <c r="O221" s="987"/>
      <c r="P221" s="987"/>
      <c r="Q221" s="987"/>
      <c r="R221" s="987"/>
      <c r="S221" s="987"/>
      <c r="T221" s="988"/>
      <c r="U221" s="1067" t="s">
        <v>1593</v>
      </c>
      <c r="V221" s="1068" t="s">
        <v>2946</v>
      </c>
      <c r="W221" s="1068" t="s">
        <v>2231</v>
      </c>
      <c r="X221" s="1069" t="s">
        <v>2951</v>
      </c>
      <c r="Y221" s="1070" t="s">
        <v>2952</v>
      </c>
      <c r="Z221" s="1071" t="s">
        <v>2953</v>
      </c>
      <c r="AA221" s="1072" t="s">
        <v>2260</v>
      </c>
      <c r="AB221" s="1073" t="s">
        <v>2260</v>
      </c>
      <c r="AC221" s="1073" t="s">
        <v>2260</v>
      </c>
      <c r="AD221" s="1073" t="s">
        <v>2260</v>
      </c>
      <c r="AE221" s="1073">
        <v>1</v>
      </c>
      <c r="AF221" s="1073" t="s">
        <v>2260</v>
      </c>
      <c r="AG221" s="1073" t="s">
        <v>2260</v>
      </c>
      <c r="AH221" s="1073" t="s">
        <v>2260</v>
      </c>
      <c r="AI221" s="1074">
        <f t="shared" si="3"/>
        <v>1</v>
      </c>
      <c r="AJ221" s="1075" t="s">
        <v>1825</v>
      </c>
      <c r="AK221" s="1075" t="s">
        <v>2260</v>
      </c>
      <c r="AL221" s="1075" t="s">
        <v>2260</v>
      </c>
      <c r="AM221" s="1076" t="s">
        <v>2396</v>
      </c>
      <c r="AN221" s="987" t="s">
        <v>321</v>
      </c>
      <c r="AO221" s="987" t="s">
        <v>2657</v>
      </c>
      <c r="AP221" s="1243">
        <v>1</v>
      </c>
      <c r="AQ221" s="1045" t="s">
        <v>1828</v>
      </c>
      <c r="AR221" s="1078" t="s">
        <v>2260</v>
      </c>
      <c r="AS221" s="1079"/>
      <c r="AT221" s="1069"/>
      <c r="AU221" s="1069"/>
      <c r="AV221" s="1069"/>
      <c r="AW221" s="1080"/>
      <c r="AX221" s="1081"/>
      <c r="AY221" s="1044"/>
      <c r="AZ221" s="1045"/>
      <c r="BA221" s="1045"/>
      <c r="BB221" s="1045"/>
      <c r="BC221" s="1045"/>
      <c r="BD221" s="1045"/>
      <c r="BE221" s="1045"/>
      <c r="BF221" s="1045"/>
      <c r="BG221" s="1045"/>
      <c r="BH221" s="1045"/>
      <c r="BI221" s="1369"/>
      <c r="BJ221" s="1319"/>
      <c r="BK221" s="1319"/>
      <c r="BL221" s="1319"/>
      <c r="BM221" s="1319"/>
      <c r="BN221" s="1044"/>
      <c r="BO221" s="1045"/>
      <c r="BP221" s="1045"/>
      <c r="BQ221" s="1045"/>
      <c r="BR221" s="1045"/>
      <c r="BS221" s="1084"/>
      <c r="BT221" s="1045"/>
      <c r="BU221" s="1045"/>
      <c r="BV221" s="1045"/>
      <c r="BW221" s="1085"/>
      <c r="BX221" s="1084"/>
      <c r="BY221" s="1045"/>
      <c r="BZ221" s="1045"/>
      <c r="CA221" s="1045"/>
      <c r="CB221" s="1085"/>
      <c r="CC221" s="1086"/>
      <c r="CD221" s="1327"/>
      <c r="CE221" s="1328"/>
      <c r="CF221" s="1328"/>
      <c r="CG221" s="1328"/>
      <c r="CH221" s="1389"/>
      <c r="CI221" s="1369"/>
      <c r="CJ221" s="1319"/>
      <c r="CK221" s="1319"/>
      <c r="CL221" s="1319"/>
      <c r="CM221" s="1320"/>
      <c r="CN221" s="1369"/>
      <c r="CO221" s="1319"/>
      <c r="CP221" s="1319"/>
      <c r="CQ221" s="1319"/>
      <c r="CR221" s="1320"/>
      <c r="CS221" s="1369"/>
      <c r="CT221" s="1319"/>
      <c r="CU221" s="1319"/>
      <c r="CV221" s="1319"/>
      <c r="CW221" s="1320"/>
      <c r="CX221" s="1369"/>
      <c r="CY221" s="1319"/>
      <c r="CZ221" s="1319"/>
      <c r="DA221" s="1319"/>
      <c r="DB221" s="1320"/>
      <c r="DC221" s="1319"/>
      <c r="DD221" s="1319"/>
      <c r="DE221" s="1319"/>
      <c r="DF221" s="1319"/>
      <c r="DG221" s="1320"/>
      <c r="DH221" s="1369"/>
      <c r="DI221" s="1319"/>
      <c r="DJ221" s="1319"/>
      <c r="DK221" s="1319"/>
      <c r="DL221" s="1320"/>
      <c r="DM221" s="1743"/>
      <c r="DN221" s="1744"/>
      <c r="DO221" s="1744"/>
      <c r="DP221" s="1745"/>
      <c r="DQ221" s="1744"/>
      <c r="DR221" s="1744"/>
      <c r="DS221" s="1744"/>
      <c r="DT221" s="1745"/>
      <c r="DU221" s="1328"/>
      <c r="DV221" s="1664"/>
      <c r="DW221" s="1746"/>
    </row>
    <row r="222" spans="1:127" s="382" customFormat="1" ht="15.75" customHeight="1">
      <c r="A222" s="1066" t="s">
        <v>1296</v>
      </c>
      <c r="B222" s="1026">
        <v>213</v>
      </c>
      <c r="C222" s="987"/>
      <c r="D222" s="987"/>
      <c r="E222" s="987"/>
      <c r="F222" s="987"/>
      <c r="G222" s="987"/>
      <c r="H222" s="987"/>
      <c r="I222" s="987"/>
      <c r="J222" s="987"/>
      <c r="K222" s="987"/>
      <c r="L222" s="987"/>
      <c r="M222" s="1026"/>
      <c r="N222" s="987"/>
      <c r="O222" s="987"/>
      <c r="P222" s="987"/>
      <c r="Q222" s="987"/>
      <c r="R222" s="987"/>
      <c r="S222" s="987"/>
      <c r="T222" s="988"/>
      <c r="U222" s="1067" t="s">
        <v>1610</v>
      </c>
      <c r="V222" s="1068" t="s">
        <v>2946</v>
      </c>
      <c r="W222" s="1068" t="s">
        <v>2231</v>
      </c>
      <c r="X222" s="1069" t="s">
        <v>2954</v>
      </c>
      <c r="Y222" s="1070" t="s">
        <v>2955</v>
      </c>
      <c r="Z222" s="1071" t="s">
        <v>2956</v>
      </c>
      <c r="AA222" s="1072" t="s">
        <v>2260</v>
      </c>
      <c r="AB222" s="1073" t="s">
        <v>2260</v>
      </c>
      <c r="AC222" s="1073" t="s">
        <v>2260</v>
      </c>
      <c r="AD222" s="1073" t="s">
        <v>2260</v>
      </c>
      <c r="AE222" s="1073">
        <v>1</v>
      </c>
      <c r="AF222" s="1073" t="s">
        <v>2260</v>
      </c>
      <c r="AG222" s="1073" t="s">
        <v>2260</v>
      </c>
      <c r="AH222" s="1073" t="s">
        <v>2260</v>
      </c>
      <c r="AI222" s="1074">
        <f t="shared" si="3"/>
        <v>1</v>
      </c>
      <c r="AJ222" s="1075" t="s">
        <v>1825</v>
      </c>
      <c r="AK222" s="1075" t="s">
        <v>2260</v>
      </c>
      <c r="AL222" s="1075" t="s">
        <v>2260</v>
      </c>
      <c r="AM222" s="1076" t="s">
        <v>2396</v>
      </c>
      <c r="AN222" s="987" t="s">
        <v>321</v>
      </c>
      <c r="AO222" s="987" t="s">
        <v>2657</v>
      </c>
      <c r="AP222" s="1243">
        <v>1</v>
      </c>
      <c r="AQ222" s="1045" t="s">
        <v>1828</v>
      </c>
      <c r="AR222" s="1078" t="s">
        <v>2260</v>
      </c>
      <c r="AS222" s="1079"/>
      <c r="AT222" s="1069"/>
      <c r="AU222" s="1069"/>
      <c r="AV222" s="1069"/>
      <c r="AW222" s="1080"/>
      <c r="AX222" s="1081"/>
      <c r="AY222" s="1044"/>
      <c r="AZ222" s="1045"/>
      <c r="BA222" s="1045"/>
      <c r="BB222" s="1045"/>
      <c r="BC222" s="1045"/>
      <c r="BD222" s="1045"/>
      <c r="BE222" s="1045"/>
      <c r="BF222" s="1045"/>
      <c r="BG222" s="1045"/>
      <c r="BH222" s="1045"/>
      <c r="BI222" s="1369"/>
      <c r="BJ222" s="1319"/>
      <c r="BK222" s="1319"/>
      <c r="BL222" s="1319"/>
      <c r="BM222" s="1319"/>
      <c r="BN222" s="1044"/>
      <c r="BO222" s="1045"/>
      <c r="BP222" s="1045"/>
      <c r="BQ222" s="1045"/>
      <c r="BR222" s="1045"/>
      <c r="BS222" s="1084"/>
      <c r="BT222" s="1045"/>
      <c r="BU222" s="1045"/>
      <c r="BV222" s="1045"/>
      <c r="BW222" s="1085"/>
      <c r="BX222" s="1084"/>
      <c r="BY222" s="1045"/>
      <c r="BZ222" s="1045"/>
      <c r="CA222" s="1045"/>
      <c r="CB222" s="1085"/>
      <c r="CC222" s="1086"/>
      <c r="CD222" s="1327"/>
      <c r="CE222" s="1328"/>
      <c r="CF222" s="1328"/>
      <c r="CG222" s="1328"/>
      <c r="CH222" s="1389"/>
      <c r="CI222" s="1369"/>
      <c r="CJ222" s="1319"/>
      <c r="CK222" s="1319"/>
      <c r="CL222" s="1319"/>
      <c r="CM222" s="1320"/>
      <c r="CN222" s="1369"/>
      <c r="CO222" s="1319"/>
      <c r="CP222" s="1319"/>
      <c r="CQ222" s="1319"/>
      <c r="CR222" s="1320"/>
      <c r="CS222" s="1369"/>
      <c r="CT222" s="1319"/>
      <c r="CU222" s="1319"/>
      <c r="CV222" s="1319"/>
      <c r="CW222" s="1320"/>
      <c r="CX222" s="1369"/>
      <c r="CY222" s="1319"/>
      <c r="CZ222" s="1319"/>
      <c r="DA222" s="1319"/>
      <c r="DB222" s="1320"/>
      <c r="DC222" s="1319"/>
      <c r="DD222" s="1319"/>
      <c r="DE222" s="1319"/>
      <c r="DF222" s="1319"/>
      <c r="DG222" s="1320"/>
      <c r="DH222" s="1369"/>
      <c r="DI222" s="1319"/>
      <c r="DJ222" s="1319"/>
      <c r="DK222" s="1319"/>
      <c r="DL222" s="1320"/>
      <c r="DM222" s="1743"/>
      <c r="DN222" s="1744"/>
      <c r="DO222" s="1744"/>
      <c r="DP222" s="1745"/>
      <c r="DQ222" s="1744"/>
      <c r="DR222" s="1744"/>
      <c r="DS222" s="1744"/>
      <c r="DT222" s="1745"/>
      <c r="DU222" s="1328"/>
      <c r="DV222" s="1664"/>
      <c r="DW222" s="1746"/>
    </row>
    <row r="223" spans="1:127" s="382" customFormat="1" ht="15.75" customHeight="1">
      <c r="A223" s="1066" t="s">
        <v>1296</v>
      </c>
      <c r="B223" s="1026">
        <v>214</v>
      </c>
      <c r="C223" s="987"/>
      <c r="D223" s="987"/>
      <c r="E223" s="987"/>
      <c r="F223" s="987"/>
      <c r="G223" s="987"/>
      <c r="H223" s="987"/>
      <c r="I223" s="987"/>
      <c r="J223" s="987"/>
      <c r="K223" s="987"/>
      <c r="L223" s="987"/>
      <c r="M223" s="1026"/>
      <c r="N223" s="987"/>
      <c r="O223" s="987"/>
      <c r="P223" s="987"/>
      <c r="Q223" s="987"/>
      <c r="R223" s="987"/>
      <c r="S223" s="987"/>
      <c r="T223" s="988"/>
      <c r="U223" s="1067" t="s">
        <v>1344</v>
      </c>
      <c r="V223" s="1068" t="s">
        <v>2946</v>
      </c>
      <c r="W223" s="1068" t="s">
        <v>2231</v>
      </c>
      <c r="X223" s="1069" t="s">
        <v>2957</v>
      </c>
      <c r="Y223" s="1070" t="s">
        <v>2502</v>
      </c>
      <c r="Z223" s="1071" t="s">
        <v>2958</v>
      </c>
      <c r="AA223" s="1072" t="s">
        <v>2260</v>
      </c>
      <c r="AB223" s="1073" t="s">
        <v>2260</v>
      </c>
      <c r="AC223" s="1073" t="s">
        <v>2260</v>
      </c>
      <c r="AD223" s="1073" t="s">
        <v>2260</v>
      </c>
      <c r="AE223" s="1073">
        <v>1</v>
      </c>
      <c r="AF223" s="1073" t="s">
        <v>2260</v>
      </c>
      <c r="AG223" s="1073" t="s">
        <v>2260</v>
      </c>
      <c r="AH223" s="1073" t="s">
        <v>2260</v>
      </c>
      <c r="AI223" s="1074">
        <f t="shared" si="3"/>
        <v>1</v>
      </c>
      <c r="AJ223" s="1075" t="s">
        <v>1852</v>
      </c>
      <c r="AK223" s="1075" t="s">
        <v>1826</v>
      </c>
      <c r="AL223" s="1075" t="s">
        <v>1827</v>
      </c>
      <c r="AM223" s="1076" t="s">
        <v>2396</v>
      </c>
      <c r="AN223" s="987" t="s">
        <v>321</v>
      </c>
      <c r="AO223" s="987" t="s">
        <v>2959</v>
      </c>
      <c r="AP223" s="1243">
        <v>2</v>
      </c>
      <c r="AQ223" s="1045" t="s">
        <v>1838</v>
      </c>
      <c r="AR223" s="1078" t="s">
        <v>2260</v>
      </c>
      <c r="AS223" s="1079"/>
      <c r="AT223" s="1069"/>
      <c r="AU223" s="1069"/>
      <c r="AV223" s="1069"/>
      <c r="AW223" s="1080"/>
      <c r="AX223" s="1081"/>
      <c r="AY223" s="1044"/>
      <c r="AZ223" s="1045"/>
      <c r="BA223" s="1045"/>
      <c r="BB223" s="1045"/>
      <c r="BC223" s="1045"/>
      <c r="BD223" s="1045"/>
      <c r="BE223" s="1045"/>
      <c r="BF223" s="1045"/>
      <c r="BG223" s="1045"/>
      <c r="BH223" s="1045"/>
      <c r="BI223" s="1369"/>
      <c r="BJ223" s="1319"/>
      <c r="BK223" s="1319"/>
      <c r="BL223" s="1319"/>
      <c r="BM223" s="1319"/>
      <c r="BN223" s="1044"/>
      <c r="BO223" s="1045"/>
      <c r="BP223" s="1045"/>
      <c r="BQ223" s="1045"/>
      <c r="BR223" s="1045"/>
      <c r="BS223" s="1084"/>
      <c r="BT223" s="1045"/>
      <c r="BU223" s="1045"/>
      <c r="BV223" s="1045"/>
      <c r="BW223" s="1085"/>
      <c r="BX223" s="1084"/>
      <c r="BY223" s="1045"/>
      <c r="BZ223" s="1045"/>
      <c r="CA223" s="1045"/>
      <c r="CB223" s="1085"/>
      <c r="CC223" s="1086"/>
      <c r="CD223" s="1327"/>
      <c r="CE223" s="1328"/>
      <c r="CF223" s="1328"/>
      <c r="CG223" s="1328"/>
      <c r="CH223" s="1389"/>
      <c r="CI223" s="1369"/>
      <c r="CJ223" s="1319"/>
      <c r="CK223" s="1319"/>
      <c r="CL223" s="1319"/>
      <c r="CM223" s="1320"/>
      <c r="CN223" s="1369"/>
      <c r="CO223" s="1319"/>
      <c r="CP223" s="1319"/>
      <c r="CQ223" s="1319"/>
      <c r="CR223" s="1320"/>
      <c r="CS223" s="1369"/>
      <c r="CT223" s="1319"/>
      <c r="CU223" s="1319"/>
      <c r="CV223" s="1319"/>
      <c r="CW223" s="1320"/>
      <c r="CX223" s="1369"/>
      <c r="CY223" s="1319"/>
      <c r="CZ223" s="1319"/>
      <c r="DA223" s="1319"/>
      <c r="DB223" s="1320"/>
      <c r="DC223" s="1319"/>
      <c r="DD223" s="1319"/>
      <c r="DE223" s="1319"/>
      <c r="DF223" s="1319"/>
      <c r="DG223" s="1320"/>
      <c r="DH223" s="1369"/>
      <c r="DI223" s="1319"/>
      <c r="DJ223" s="1319"/>
      <c r="DK223" s="1319"/>
      <c r="DL223" s="1320"/>
      <c r="DM223" s="1743"/>
      <c r="DN223" s="1744"/>
      <c r="DO223" s="1744"/>
      <c r="DP223" s="1745"/>
      <c r="DQ223" s="1744"/>
      <c r="DR223" s="1744"/>
      <c r="DS223" s="1744"/>
      <c r="DT223" s="1745"/>
      <c r="DU223" s="1328"/>
      <c r="DV223" s="1664"/>
      <c r="DW223" s="1746"/>
    </row>
    <row r="224" spans="1:127" s="382" customFormat="1" ht="15.75" customHeight="1">
      <c r="A224" s="1066" t="s">
        <v>1296</v>
      </c>
      <c r="B224" s="1026">
        <v>215</v>
      </c>
      <c r="C224" s="987"/>
      <c r="D224" s="987"/>
      <c r="E224" s="987"/>
      <c r="F224" s="987"/>
      <c r="G224" s="987"/>
      <c r="H224" s="987"/>
      <c r="I224" s="987"/>
      <c r="J224" s="987"/>
      <c r="K224" s="987"/>
      <c r="L224" s="987"/>
      <c r="M224" s="1026"/>
      <c r="N224" s="987"/>
      <c r="O224" s="987"/>
      <c r="P224" s="987"/>
      <c r="Q224" s="987"/>
      <c r="R224" s="987"/>
      <c r="S224" s="987"/>
      <c r="T224" s="988"/>
      <c r="U224" s="1067" t="s">
        <v>1183</v>
      </c>
      <c r="V224" s="1068" t="s">
        <v>2946</v>
      </c>
      <c r="W224" s="1068" t="s">
        <v>2231</v>
      </c>
      <c r="X224" s="1069" t="s">
        <v>2960</v>
      </c>
      <c r="Y224" s="1070" t="s">
        <v>755</v>
      </c>
      <c r="Z224" s="1071" t="s">
        <v>2938</v>
      </c>
      <c r="AA224" s="1072" t="s">
        <v>2260</v>
      </c>
      <c r="AB224" s="1073" t="s">
        <v>2260</v>
      </c>
      <c r="AC224" s="1073" t="s">
        <v>2260</v>
      </c>
      <c r="AD224" s="1073" t="s">
        <v>2260</v>
      </c>
      <c r="AE224" s="1073">
        <v>1</v>
      </c>
      <c r="AF224" s="1073" t="s">
        <v>2260</v>
      </c>
      <c r="AG224" s="1073" t="s">
        <v>2260</v>
      </c>
      <c r="AH224" s="1073" t="s">
        <v>2260</v>
      </c>
      <c r="AI224" s="1074">
        <f t="shared" si="3"/>
        <v>1</v>
      </c>
      <c r="AJ224" s="1075" t="s">
        <v>1825</v>
      </c>
      <c r="AK224" s="1075" t="s">
        <v>2260</v>
      </c>
      <c r="AL224" s="1075" t="s">
        <v>2260</v>
      </c>
      <c r="AM224" s="1076" t="s">
        <v>2396</v>
      </c>
      <c r="AN224" s="987" t="s">
        <v>321</v>
      </c>
      <c r="AO224" s="987" t="s">
        <v>4424</v>
      </c>
      <c r="AP224" s="1276">
        <v>1</v>
      </c>
      <c r="AQ224" s="1045" t="s">
        <v>1828</v>
      </c>
      <c r="AR224" s="1078" t="s">
        <v>755</v>
      </c>
      <c r="AS224" s="1079"/>
      <c r="AT224" s="1069"/>
      <c r="AU224" s="1069"/>
      <c r="AV224" s="1069"/>
      <c r="AW224" s="1080"/>
      <c r="AX224" s="1081"/>
      <c r="AY224" s="1044"/>
      <c r="AZ224" s="1045"/>
      <c r="BA224" s="1045"/>
      <c r="BB224" s="1045"/>
      <c r="BC224" s="1045"/>
      <c r="BD224" s="1045"/>
      <c r="BE224" s="1045"/>
      <c r="BF224" s="1045"/>
      <c r="BG224" s="1045"/>
      <c r="BH224" s="1045"/>
      <c r="BI224" s="1044" t="s">
        <v>4465</v>
      </c>
      <c r="BJ224" s="1045" t="s">
        <v>4466</v>
      </c>
      <c r="BK224" s="1045" t="s">
        <v>4467</v>
      </c>
      <c r="BL224" s="1045" t="s">
        <v>4468</v>
      </c>
      <c r="BM224" s="1045" t="s">
        <v>4446</v>
      </c>
      <c r="BN224" s="1044"/>
      <c r="BO224" s="1045"/>
      <c r="BP224" s="1045"/>
      <c r="BQ224" s="1045"/>
      <c r="BR224" s="1045"/>
      <c r="BS224" s="1084"/>
      <c r="BT224" s="1045"/>
      <c r="BU224" s="1045"/>
      <c r="BV224" s="1045"/>
      <c r="BW224" s="1085"/>
      <c r="BX224" s="1084"/>
      <c r="BY224" s="1045"/>
      <c r="BZ224" s="1045"/>
      <c r="CA224" s="1045"/>
      <c r="CB224" s="1085"/>
      <c r="CC224" s="1086"/>
      <c r="CD224" s="1087" t="s">
        <v>2260</v>
      </c>
      <c r="CE224" s="1088" t="s">
        <v>2260</v>
      </c>
      <c r="CF224" s="1088" t="s">
        <v>2260</v>
      </c>
      <c r="CG224" s="1088" t="s">
        <v>2260</v>
      </c>
      <c r="CH224" s="1089" t="s">
        <v>2260</v>
      </c>
      <c r="CI224" s="1044" t="s">
        <v>2260</v>
      </c>
      <c r="CJ224" s="1045" t="s">
        <v>2260</v>
      </c>
      <c r="CK224" s="1045" t="s">
        <v>2260</v>
      </c>
      <c r="CL224" s="1045" t="s">
        <v>2260</v>
      </c>
      <c r="CM224" s="1086" t="s">
        <v>2260</v>
      </c>
      <c r="CN224" s="1044" t="s">
        <v>2260</v>
      </c>
      <c r="CO224" s="1045" t="s">
        <v>2260</v>
      </c>
      <c r="CP224" s="1045" t="s">
        <v>2260</v>
      </c>
      <c r="CQ224" s="1045" t="s">
        <v>2260</v>
      </c>
      <c r="CR224" s="1086" t="s">
        <v>2260</v>
      </c>
      <c r="CS224" s="1044" t="s">
        <v>2260</v>
      </c>
      <c r="CT224" s="1045" t="s">
        <v>2260</v>
      </c>
      <c r="CU224" s="1045" t="s">
        <v>2260</v>
      </c>
      <c r="CV224" s="1045" t="s">
        <v>2260</v>
      </c>
      <c r="CW224" s="1086" t="s">
        <v>2260</v>
      </c>
      <c r="CX224" s="1044" t="s">
        <v>2260</v>
      </c>
      <c r="CY224" s="1045" t="s">
        <v>2260</v>
      </c>
      <c r="CZ224" s="1045" t="s">
        <v>2260</v>
      </c>
      <c r="DA224" s="1045" t="s">
        <v>2260</v>
      </c>
      <c r="DB224" s="1086" t="s">
        <v>2260</v>
      </c>
      <c r="DC224" s="1045" t="s">
        <v>2260</v>
      </c>
      <c r="DD224" s="1045" t="s">
        <v>2260</v>
      </c>
      <c r="DE224" s="1045" t="s">
        <v>2260</v>
      </c>
      <c r="DF224" s="1045" t="s">
        <v>2260</v>
      </c>
      <c r="DG224" s="1086" t="s">
        <v>2260</v>
      </c>
      <c r="DH224" s="1044" t="s">
        <v>2260</v>
      </c>
      <c r="DI224" s="1045" t="s">
        <v>2260</v>
      </c>
      <c r="DJ224" s="1045" t="s">
        <v>2260</v>
      </c>
      <c r="DK224" s="1045" t="s">
        <v>2260</v>
      </c>
      <c r="DL224" s="1086" t="s">
        <v>2260</v>
      </c>
      <c r="DM224" s="1090" t="s">
        <v>2260</v>
      </c>
      <c r="DN224" s="1091" t="s">
        <v>2260</v>
      </c>
      <c r="DO224" s="1091" t="s">
        <v>2260</v>
      </c>
      <c r="DP224" s="1092" t="s">
        <v>2260</v>
      </c>
      <c r="DQ224" s="1091" t="s">
        <v>2260</v>
      </c>
      <c r="DR224" s="1091" t="s">
        <v>2260</v>
      </c>
      <c r="DS224" s="1091" t="s">
        <v>2260</v>
      </c>
      <c r="DT224" s="1092" t="s">
        <v>2260</v>
      </c>
      <c r="DU224" s="1088" t="s">
        <v>2260</v>
      </c>
      <c r="DV224" s="1093">
        <v>1</v>
      </c>
      <c r="DW224" s="1094" t="s">
        <v>2260</v>
      </c>
    </row>
    <row r="225" spans="1:127" s="382" customFormat="1" ht="15.75" customHeight="1">
      <c r="A225" s="1066" t="s">
        <v>1296</v>
      </c>
      <c r="B225" s="1026">
        <v>216</v>
      </c>
      <c r="C225" s="987"/>
      <c r="D225" s="987"/>
      <c r="E225" s="987"/>
      <c r="F225" s="987"/>
      <c r="G225" s="987"/>
      <c r="H225" s="987"/>
      <c r="I225" s="987"/>
      <c r="J225" s="987"/>
      <c r="K225" s="987"/>
      <c r="L225" s="987"/>
      <c r="M225" s="1026"/>
      <c r="N225" s="987"/>
      <c r="O225" s="987"/>
      <c r="P225" s="987"/>
      <c r="Q225" s="987"/>
      <c r="R225" s="987"/>
      <c r="S225" s="987"/>
      <c r="T225" s="988"/>
      <c r="U225" s="1067" t="s">
        <v>1182</v>
      </c>
      <c r="V225" s="1068" t="s">
        <v>2962</v>
      </c>
      <c r="W225" s="1068" t="s">
        <v>2231</v>
      </c>
      <c r="X225" s="1069" t="s">
        <v>2963</v>
      </c>
      <c r="Y225" s="1070" t="s">
        <v>567</v>
      </c>
      <c r="Z225" s="1071" t="s">
        <v>2938</v>
      </c>
      <c r="AA225" s="1072">
        <v>1</v>
      </c>
      <c r="AB225" s="1073" t="s">
        <v>2260</v>
      </c>
      <c r="AC225" s="1073" t="s">
        <v>2260</v>
      </c>
      <c r="AD225" s="1073" t="s">
        <v>2260</v>
      </c>
      <c r="AE225" s="1073" t="s">
        <v>2260</v>
      </c>
      <c r="AF225" s="1073" t="s">
        <v>2260</v>
      </c>
      <c r="AG225" s="1073" t="s">
        <v>2260</v>
      </c>
      <c r="AH225" s="1073" t="s">
        <v>2260</v>
      </c>
      <c r="AI225" s="1074">
        <f t="shared" si="3"/>
        <v>1</v>
      </c>
      <c r="AJ225" s="1075" t="s">
        <v>1825</v>
      </c>
      <c r="AK225" s="1075" t="s">
        <v>2260</v>
      </c>
      <c r="AL225" s="1075" t="s">
        <v>2260</v>
      </c>
      <c r="AM225" s="1076" t="s">
        <v>2234</v>
      </c>
      <c r="AN225" s="987" t="s">
        <v>321</v>
      </c>
      <c r="AO225" s="987" t="s">
        <v>4417</v>
      </c>
      <c r="AP225" s="1276">
        <v>1</v>
      </c>
      <c r="AQ225" s="1045" t="s">
        <v>1838</v>
      </c>
      <c r="AR225" s="1078" t="s">
        <v>567</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2260</v>
      </c>
      <c r="CE225" s="1088" t="s">
        <v>2260</v>
      </c>
      <c r="CF225" s="1088" t="s">
        <v>2260</v>
      </c>
      <c r="CG225" s="1088" t="s">
        <v>2260</v>
      </c>
      <c r="CH225" s="1089" t="s">
        <v>2260</v>
      </c>
      <c r="CI225" s="1044" t="s">
        <v>2260</v>
      </c>
      <c r="CJ225" s="1045" t="s">
        <v>2260</v>
      </c>
      <c r="CK225" s="1045" t="s">
        <v>2260</v>
      </c>
      <c r="CL225" s="1045" t="s">
        <v>2260</v>
      </c>
      <c r="CM225" s="1086" t="s">
        <v>2260</v>
      </c>
      <c r="CN225" s="1044" t="s">
        <v>2260</v>
      </c>
      <c r="CO225" s="1045" t="s">
        <v>2260</v>
      </c>
      <c r="CP225" s="1045" t="s">
        <v>2260</v>
      </c>
      <c r="CQ225" s="1045" t="s">
        <v>2260</v>
      </c>
      <c r="CR225" s="1086" t="s">
        <v>2260</v>
      </c>
      <c r="CS225" s="1044" t="s">
        <v>2260</v>
      </c>
      <c r="CT225" s="1045" t="s">
        <v>2260</v>
      </c>
      <c r="CU225" s="1045" t="s">
        <v>2260</v>
      </c>
      <c r="CV225" s="1045" t="s">
        <v>2260</v>
      </c>
      <c r="CW225" s="1086" t="s">
        <v>2260</v>
      </c>
      <c r="CX225" s="1044" t="s">
        <v>2260</v>
      </c>
      <c r="CY225" s="1045" t="s">
        <v>2260</v>
      </c>
      <c r="CZ225" s="1045" t="s">
        <v>2260</v>
      </c>
      <c r="DA225" s="1045" t="s">
        <v>2260</v>
      </c>
      <c r="DB225" s="1086" t="s">
        <v>2260</v>
      </c>
      <c r="DC225" s="1045" t="s">
        <v>2260</v>
      </c>
      <c r="DD225" s="1045" t="s">
        <v>2260</v>
      </c>
      <c r="DE225" s="1045" t="s">
        <v>2260</v>
      </c>
      <c r="DF225" s="1045" t="s">
        <v>2260</v>
      </c>
      <c r="DG225" s="1086" t="s">
        <v>2260</v>
      </c>
      <c r="DH225" s="1044" t="s">
        <v>2260</v>
      </c>
      <c r="DI225" s="1045" t="s">
        <v>2260</v>
      </c>
      <c r="DJ225" s="1045" t="s">
        <v>2260</v>
      </c>
      <c r="DK225" s="1045" t="s">
        <v>2260</v>
      </c>
      <c r="DL225" s="1086" t="s">
        <v>2260</v>
      </c>
      <c r="DM225" s="1090" t="s">
        <v>2260</v>
      </c>
      <c r="DN225" s="1091" t="s">
        <v>2260</v>
      </c>
      <c r="DO225" s="1091" t="s">
        <v>2260</v>
      </c>
      <c r="DP225" s="1092" t="s">
        <v>2260</v>
      </c>
      <c r="DQ225" s="1091" t="s">
        <v>2260</v>
      </c>
      <c r="DR225" s="1091" t="s">
        <v>2260</v>
      </c>
      <c r="DS225" s="1091" t="s">
        <v>2260</v>
      </c>
      <c r="DT225" s="1092" t="s">
        <v>2260</v>
      </c>
      <c r="DU225" s="1088" t="s">
        <v>2260</v>
      </c>
      <c r="DV225" s="1093">
        <v>1</v>
      </c>
      <c r="DW225" s="1094" t="s">
        <v>2260</v>
      </c>
    </row>
    <row r="226" spans="1:127" s="382" customFormat="1" ht="15.75" customHeight="1">
      <c r="A226" s="1066" t="s">
        <v>1296</v>
      </c>
      <c r="B226" s="1026">
        <v>217</v>
      </c>
      <c r="C226" s="987"/>
      <c r="D226" s="987"/>
      <c r="E226" s="987"/>
      <c r="F226" s="987"/>
      <c r="G226" s="987"/>
      <c r="H226" s="987"/>
      <c r="I226" s="987"/>
      <c r="J226" s="987"/>
      <c r="K226" s="987"/>
      <c r="L226" s="987"/>
      <c r="M226" s="1026"/>
      <c r="N226" s="987"/>
      <c r="O226" s="987"/>
      <c r="P226" s="987"/>
      <c r="Q226" s="987"/>
      <c r="R226" s="987"/>
      <c r="S226" s="987"/>
      <c r="T226" s="988"/>
      <c r="U226" s="1067" t="s">
        <v>1177</v>
      </c>
      <c r="V226" s="1068" t="s">
        <v>2962</v>
      </c>
      <c r="W226" s="1068" t="s">
        <v>2231</v>
      </c>
      <c r="X226" s="1069" t="s">
        <v>2965</v>
      </c>
      <c r="Y226" s="1070" t="s">
        <v>209</v>
      </c>
      <c r="Z226" s="1071" t="s">
        <v>2938</v>
      </c>
      <c r="AA226" s="1072" t="s">
        <v>2260</v>
      </c>
      <c r="AB226" s="1073">
        <v>1</v>
      </c>
      <c r="AC226" s="1073" t="s">
        <v>2260</v>
      </c>
      <c r="AD226" s="1073" t="s">
        <v>2260</v>
      </c>
      <c r="AE226" s="1073" t="s">
        <v>2260</v>
      </c>
      <c r="AF226" s="1073" t="s">
        <v>2260</v>
      </c>
      <c r="AG226" s="1073" t="s">
        <v>2260</v>
      </c>
      <c r="AH226" s="1073" t="s">
        <v>2260</v>
      </c>
      <c r="AI226" s="1074">
        <f t="shared" si="3"/>
        <v>1</v>
      </c>
      <c r="AJ226" s="1075" t="s">
        <v>1846</v>
      </c>
      <c r="AK226" s="1075" t="s">
        <v>1826</v>
      </c>
      <c r="AL226" s="1075" t="s">
        <v>1827</v>
      </c>
      <c r="AM226" s="1076" t="s">
        <v>2238</v>
      </c>
      <c r="AN226" s="987" t="s">
        <v>321</v>
      </c>
      <c r="AO226" s="987" t="s">
        <v>4418</v>
      </c>
      <c r="AP226" s="1276">
        <v>2</v>
      </c>
      <c r="AQ226" s="1045" t="s">
        <v>1838</v>
      </c>
      <c r="AR226" s="1078" t="s">
        <v>209</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210</v>
      </c>
      <c r="CE226" s="1088" t="s">
        <v>210</v>
      </c>
      <c r="CF226" s="1088" t="s">
        <v>210</v>
      </c>
      <c r="CG226" s="1088" t="s">
        <v>210</v>
      </c>
      <c r="CH226" s="1089" t="s">
        <v>210</v>
      </c>
      <c r="CI226" s="1044" t="s">
        <v>2260</v>
      </c>
      <c r="CJ226" s="1045" t="s">
        <v>2260</v>
      </c>
      <c r="CK226" s="1045" t="s">
        <v>2260</v>
      </c>
      <c r="CL226" s="1045" t="s">
        <v>2260</v>
      </c>
      <c r="CM226" s="1086" t="s">
        <v>2260</v>
      </c>
      <c r="CN226" s="1044">
        <v>4.68</v>
      </c>
      <c r="CO226" s="1045">
        <v>4.68</v>
      </c>
      <c r="CP226" s="1045">
        <v>4.68</v>
      </c>
      <c r="CQ226" s="1045">
        <v>4.68</v>
      </c>
      <c r="CR226" s="1086">
        <v>4.68</v>
      </c>
      <c r="CS226" s="1044" t="s">
        <v>2260</v>
      </c>
      <c r="CT226" s="1045" t="s">
        <v>2260</v>
      </c>
      <c r="CU226" s="1045" t="s">
        <v>2260</v>
      </c>
      <c r="CV226" s="1045" t="s">
        <v>2260</v>
      </c>
      <c r="CW226" s="1086" t="s">
        <v>2260</v>
      </c>
      <c r="CX226" s="1044" t="s">
        <v>2260</v>
      </c>
      <c r="CY226" s="1045" t="s">
        <v>2260</v>
      </c>
      <c r="CZ226" s="1045" t="s">
        <v>2260</v>
      </c>
      <c r="DA226" s="1045" t="s">
        <v>2260</v>
      </c>
      <c r="DB226" s="1086" t="s">
        <v>2260</v>
      </c>
      <c r="DC226" s="1045" t="s">
        <v>2260</v>
      </c>
      <c r="DD226" s="1045" t="s">
        <v>2260</v>
      </c>
      <c r="DE226" s="1045" t="s">
        <v>2260</v>
      </c>
      <c r="DF226" s="1045" t="s">
        <v>2260</v>
      </c>
      <c r="DG226" s="1086" t="s">
        <v>2260</v>
      </c>
      <c r="DH226" s="1044" t="s">
        <v>2260</v>
      </c>
      <c r="DI226" s="1045" t="s">
        <v>2260</v>
      </c>
      <c r="DJ226" s="1045" t="s">
        <v>2260</v>
      </c>
      <c r="DK226" s="1045" t="s">
        <v>2260</v>
      </c>
      <c r="DL226" s="1086" t="s">
        <v>2260</v>
      </c>
      <c r="DM226" s="1090">
        <v>-0.17599999999999999</v>
      </c>
      <c r="DN226" s="1091" t="s">
        <v>2260</v>
      </c>
      <c r="DO226" s="1091" t="s">
        <v>2260</v>
      </c>
      <c r="DP226" s="1092" t="s">
        <v>2260</v>
      </c>
      <c r="DQ226" s="1091" t="s">
        <v>2260</v>
      </c>
      <c r="DR226" s="1091" t="s">
        <v>2260</v>
      </c>
      <c r="DS226" s="1091" t="s">
        <v>2260</v>
      </c>
      <c r="DT226" s="1092" t="s">
        <v>2260</v>
      </c>
      <c r="DU226" s="1088" t="s">
        <v>2260</v>
      </c>
      <c r="DV226" s="1093">
        <v>1</v>
      </c>
      <c r="DW226" s="1094" t="s">
        <v>2260</v>
      </c>
    </row>
    <row r="227" spans="1:127" s="382" customFormat="1" ht="15.75" customHeight="1">
      <c r="A227" s="1023" t="s">
        <v>1296</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1188</v>
      </c>
      <c r="V227" s="1029" t="s">
        <v>2962</v>
      </c>
      <c r="W227" s="1029" t="s">
        <v>2223</v>
      </c>
      <c r="X227" s="1030" t="s">
        <v>2967</v>
      </c>
      <c r="Y227" s="1031" t="s">
        <v>705</v>
      </c>
      <c r="Z227" s="1032" t="s">
        <v>2938</v>
      </c>
      <c r="AA227" s="1033" t="s">
        <v>2260</v>
      </c>
      <c r="AB227" s="1034">
        <v>1</v>
      </c>
      <c r="AC227" s="1034" t="s">
        <v>2260</v>
      </c>
      <c r="AD227" s="1034" t="s">
        <v>2260</v>
      </c>
      <c r="AE227" s="1034" t="s">
        <v>2260</v>
      </c>
      <c r="AF227" s="1034" t="s">
        <v>2260</v>
      </c>
      <c r="AG227" s="1034" t="s">
        <v>2260</v>
      </c>
      <c r="AH227" s="1034" t="s">
        <v>2260</v>
      </c>
      <c r="AI227" s="1035">
        <f t="shared" si="3"/>
        <v>1</v>
      </c>
      <c r="AJ227" s="1036" t="s">
        <v>1852</v>
      </c>
      <c r="AK227" s="1036" t="s">
        <v>1826</v>
      </c>
      <c r="AL227" s="1036" t="s">
        <v>1827</v>
      </c>
      <c r="AM227" s="1037" t="s">
        <v>705</v>
      </c>
      <c r="AN227" s="1031" t="s">
        <v>321</v>
      </c>
      <c r="AO227" s="1031" t="s">
        <v>4416</v>
      </c>
      <c r="AP227" s="1275">
        <v>1</v>
      </c>
      <c r="AQ227" s="802" t="s">
        <v>1828</v>
      </c>
      <c r="AR227" s="1040" t="s">
        <v>705</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210</v>
      </c>
      <c r="CE227" s="1054" t="s">
        <v>210</v>
      </c>
      <c r="CF227" s="1054" t="s">
        <v>210</v>
      </c>
      <c r="CG227" s="1054" t="s">
        <v>210</v>
      </c>
      <c r="CH227" s="1055" t="s">
        <v>210</v>
      </c>
      <c r="CI227" s="1058">
        <v>-70.7</v>
      </c>
      <c r="CJ227" s="1056">
        <v>-70.7</v>
      </c>
      <c r="CK227" s="1056">
        <v>-70.7</v>
      </c>
      <c r="CL227" s="1056">
        <v>-70.7</v>
      </c>
      <c r="CM227" s="1057">
        <v>-70.7</v>
      </c>
      <c r="CN227" s="1058">
        <v>-50</v>
      </c>
      <c r="CO227" s="1056">
        <v>-50</v>
      </c>
      <c r="CP227" s="1056">
        <v>-50</v>
      </c>
      <c r="CQ227" s="1056">
        <v>-50</v>
      </c>
      <c r="CR227" s="1057">
        <v>-50</v>
      </c>
      <c r="CS227" s="1048" t="s">
        <v>2260</v>
      </c>
      <c r="CT227" s="1049" t="s">
        <v>2260</v>
      </c>
      <c r="CU227" s="1049" t="s">
        <v>2260</v>
      </c>
      <c r="CV227" s="1049" t="s">
        <v>2260</v>
      </c>
      <c r="CW227" s="1052" t="s">
        <v>2260</v>
      </c>
      <c r="CX227" s="1048" t="s">
        <v>2260</v>
      </c>
      <c r="CY227" s="1049" t="s">
        <v>2260</v>
      </c>
      <c r="CZ227" s="1049" t="s">
        <v>2260</v>
      </c>
      <c r="DA227" s="1049" t="s">
        <v>2260</v>
      </c>
      <c r="DB227" s="1052" t="s">
        <v>2260</v>
      </c>
      <c r="DC227" s="1056">
        <v>21.9</v>
      </c>
      <c r="DD227" s="1056">
        <v>23</v>
      </c>
      <c r="DE227" s="1056">
        <v>24.4</v>
      </c>
      <c r="DF227" s="1056">
        <v>26.1</v>
      </c>
      <c r="DG227" s="1057">
        <v>28.1</v>
      </c>
      <c r="DH227" s="1058" t="s">
        <v>4430</v>
      </c>
      <c r="DI227" s="1049" t="s">
        <v>4430</v>
      </c>
      <c r="DJ227" s="1049" t="s">
        <v>4430</v>
      </c>
      <c r="DK227" s="1049" t="s">
        <v>4430</v>
      </c>
      <c r="DL227" s="1052" t="s">
        <v>4430</v>
      </c>
      <c r="DM227" s="1060">
        <v>-0.41499999999999998</v>
      </c>
      <c r="DN227" s="1061">
        <v>-2.169</v>
      </c>
      <c r="DO227" s="1061" t="s">
        <v>2260</v>
      </c>
      <c r="DP227" s="1062">
        <v>-0.46300000000000002</v>
      </c>
      <c r="DQ227" s="1061">
        <v>0.34599999999999997</v>
      </c>
      <c r="DR227" s="1061" t="s">
        <v>2260</v>
      </c>
      <c r="DS227" s="1061" t="s">
        <v>2260</v>
      </c>
      <c r="DT227" s="1062">
        <v>0.46300000000000002</v>
      </c>
      <c r="DU227" s="1054" t="s">
        <v>2260</v>
      </c>
      <c r="DV227" s="1063">
        <v>1</v>
      </c>
      <c r="DW227" s="1064" t="s">
        <v>2260</v>
      </c>
    </row>
    <row r="228" spans="1:127" s="382" customFormat="1" ht="15.75" customHeight="1">
      <c r="A228" s="1066" t="s">
        <v>1296</v>
      </c>
      <c r="B228" s="1026">
        <v>219</v>
      </c>
      <c r="C228" s="987"/>
      <c r="D228" s="987"/>
      <c r="E228" s="987"/>
      <c r="F228" s="987"/>
      <c r="G228" s="987"/>
      <c r="H228" s="987"/>
      <c r="I228" s="987"/>
      <c r="J228" s="987"/>
      <c r="K228" s="987"/>
      <c r="L228" s="987"/>
      <c r="M228" s="1026"/>
      <c r="N228" s="987"/>
      <c r="O228" s="987"/>
      <c r="P228" s="987"/>
      <c r="Q228" s="987"/>
      <c r="R228" s="987"/>
      <c r="S228" s="987"/>
      <c r="T228" s="988"/>
      <c r="U228" s="1067" t="s">
        <v>1361</v>
      </c>
      <c r="V228" s="1068" t="s">
        <v>2969</v>
      </c>
      <c r="W228" s="1068" t="s">
        <v>2231</v>
      </c>
      <c r="X228" s="1069" t="s">
        <v>2970</v>
      </c>
      <c r="Y228" s="1070" t="s">
        <v>2971</v>
      </c>
      <c r="Z228" s="1071" t="s">
        <v>2972</v>
      </c>
      <c r="AA228" s="1072" t="s">
        <v>2260</v>
      </c>
      <c r="AB228" s="1073" t="s">
        <v>2260</v>
      </c>
      <c r="AC228" s="1073" t="s">
        <v>2260</v>
      </c>
      <c r="AD228" s="1073" t="s">
        <v>2260</v>
      </c>
      <c r="AE228" s="1073">
        <v>1</v>
      </c>
      <c r="AF228" s="1073" t="s">
        <v>2260</v>
      </c>
      <c r="AG228" s="1073" t="s">
        <v>2260</v>
      </c>
      <c r="AH228" s="1073" t="s">
        <v>2260</v>
      </c>
      <c r="AI228" s="1074">
        <f t="shared" si="3"/>
        <v>1</v>
      </c>
      <c r="AJ228" s="1075" t="s">
        <v>1846</v>
      </c>
      <c r="AK228" s="1075" t="s">
        <v>1826</v>
      </c>
      <c r="AL228" s="1075" t="s">
        <v>1827</v>
      </c>
      <c r="AM228" s="1076" t="s">
        <v>2264</v>
      </c>
      <c r="AN228" s="987" t="s">
        <v>321</v>
      </c>
      <c r="AO228" s="987" t="s">
        <v>2973</v>
      </c>
      <c r="AP228" s="1243">
        <v>1</v>
      </c>
      <c r="AQ228" s="1045" t="s">
        <v>1828</v>
      </c>
      <c r="AR228" s="1078" t="s">
        <v>2260</v>
      </c>
      <c r="AS228" s="1079"/>
      <c r="AT228" s="1069"/>
      <c r="AU228" s="1069"/>
      <c r="AV228" s="1069"/>
      <c r="AW228" s="1080"/>
      <c r="AX228" s="1081"/>
      <c r="AY228" s="1044"/>
      <c r="AZ228" s="1045"/>
      <c r="BA228" s="1045"/>
      <c r="BB228" s="1045"/>
      <c r="BC228" s="1045"/>
      <c r="BD228" s="1045"/>
      <c r="BE228" s="1045"/>
      <c r="BF228" s="1045"/>
      <c r="BG228" s="1045"/>
      <c r="BH228" s="1045"/>
      <c r="BI228" s="1369"/>
      <c r="BJ228" s="1319"/>
      <c r="BK228" s="1319"/>
      <c r="BL228" s="1319"/>
      <c r="BM228" s="1319"/>
      <c r="BN228" s="1044"/>
      <c r="BO228" s="1045"/>
      <c r="BP228" s="1045"/>
      <c r="BQ228" s="1045"/>
      <c r="BR228" s="1045"/>
      <c r="BS228" s="1084"/>
      <c r="BT228" s="1045"/>
      <c r="BU228" s="1045"/>
      <c r="BV228" s="1045"/>
      <c r="BW228" s="1085"/>
      <c r="BX228" s="1084"/>
      <c r="BY228" s="1045"/>
      <c r="BZ228" s="1045"/>
      <c r="CA228" s="1045"/>
      <c r="CB228" s="1085"/>
      <c r="CC228" s="1086"/>
      <c r="CD228" s="1327"/>
      <c r="CE228" s="1328"/>
      <c r="CF228" s="1328"/>
      <c r="CG228" s="1328"/>
      <c r="CH228" s="1389"/>
      <c r="CI228" s="1369"/>
      <c r="CJ228" s="1319"/>
      <c r="CK228" s="1319"/>
      <c r="CL228" s="1319"/>
      <c r="CM228" s="1320"/>
      <c r="CN228" s="1369"/>
      <c r="CO228" s="1319"/>
      <c r="CP228" s="1319"/>
      <c r="CQ228" s="1319"/>
      <c r="CR228" s="1320"/>
      <c r="CS228" s="1369"/>
      <c r="CT228" s="1319"/>
      <c r="CU228" s="1319"/>
      <c r="CV228" s="1319"/>
      <c r="CW228" s="1320"/>
      <c r="CX228" s="1369"/>
      <c r="CY228" s="1319"/>
      <c r="CZ228" s="1319"/>
      <c r="DA228" s="1319"/>
      <c r="DB228" s="1320"/>
      <c r="DC228" s="1319"/>
      <c r="DD228" s="1319"/>
      <c r="DE228" s="1319"/>
      <c r="DF228" s="1319"/>
      <c r="DG228" s="1320"/>
      <c r="DH228" s="1369"/>
      <c r="DI228" s="1319"/>
      <c r="DJ228" s="1319"/>
      <c r="DK228" s="1319"/>
      <c r="DL228" s="1320"/>
      <c r="DM228" s="1743"/>
      <c r="DN228" s="1744"/>
      <c r="DO228" s="1744"/>
      <c r="DP228" s="1745"/>
      <c r="DQ228" s="1744"/>
      <c r="DR228" s="1744"/>
      <c r="DS228" s="1744"/>
      <c r="DT228" s="1745"/>
      <c r="DU228" s="1328"/>
      <c r="DV228" s="1664"/>
      <c r="DW228" s="1746"/>
    </row>
    <row r="229" spans="1:127" s="382" customFormat="1" ht="15.75" customHeight="1">
      <c r="A229" s="1066" t="s">
        <v>1296</v>
      </c>
      <c r="B229" s="1026">
        <v>220</v>
      </c>
      <c r="C229" s="987"/>
      <c r="D229" s="987"/>
      <c r="E229" s="987"/>
      <c r="F229" s="987"/>
      <c r="G229" s="987"/>
      <c r="H229" s="987"/>
      <c r="I229" s="987"/>
      <c r="J229" s="987"/>
      <c r="K229" s="987"/>
      <c r="L229" s="987"/>
      <c r="M229" s="1026"/>
      <c r="N229" s="987"/>
      <c r="O229" s="987"/>
      <c r="P229" s="987"/>
      <c r="Q229" s="987"/>
      <c r="R229" s="987"/>
      <c r="S229" s="987"/>
      <c r="T229" s="988"/>
      <c r="U229" s="1067" t="s">
        <v>1765</v>
      </c>
      <c r="V229" s="1068" t="s">
        <v>2969</v>
      </c>
      <c r="W229" s="1068" t="s">
        <v>2231</v>
      </c>
      <c r="X229" s="1069" t="s">
        <v>2974</v>
      </c>
      <c r="Y229" s="1070" t="s">
        <v>2251</v>
      </c>
      <c r="Z229" s="1071" t="s">
        <v>2938</v>
      </c>
      <c r="AA229" s="1072" t="s">
        <v>2260</v>
      </c>
      <c r="AB229" s="1073" t="s">
        <v>2260</v>
      </c>
      <c r="AC229" s="1073" t="s">
        <v>2260</v>
      </c>
      <c r="AD229" s="1073" t="s">
        <v>2260</v>
      </c>
      <c r="AE229" s="1073">
        <v>1</v>
      </c>
      <c r="AF229" s="1073" t="s">
        <v>2260</v>
      </c>
      <c r="AG229" s="1073" t="s">
        <v>2260</v>
      </c>
      <c r="AH229" s="1073" t="s">
        <v>2260</v>
      </c>
      <c r="AI229" s="1074">
        <f t="shared" si="3"/>
        <v>1</v>
      </c>
      <c r="AJ229" s="1075" t="s">
        <v>1852</v>
      </c>
      <c r="AK229" s="1075" t="s">
        <v>1826</v>
      </c>
      <c r="AL229" s="1075" t="s">
        <v>1827</v>
      </c>
      <c r="AM229" s="1076" t="s">
        <v>1888</v>
      </c>
      <c r="AN229" s="987" t="s">
        <v>1897</v>
      </c>
      <c r="AO229" s="987" t="s">
        <v>2975</v>
      </c>
      <c r="AP229" s="1243">
        <v>2</v>
      </c>
      <c r="AQ229" s="1045" t="s">
        <v>1828</v>
      </c>
      <c r="AR229" s="1078" t="s">
        <v>2251</v>
      </c>
      <c r="AS229" s="1079"/>
      <c r="AT229" s="1069"/>
      <c r="AU229" s="1069"/>
      <c r="AV229" s="1069"/>
      <c r="AW229" s="1080"/>
      <c r="AX229" s="1081"/>
      <c r="AY229" s="1044"/>
      <c r="AZ229" s="1045"/>
      <c r="BA229" s="1045"/>
      <c r="BB229" s="1045"/>
      <c r="BC229" s="1045"/>
      <c r="BD229" s="1045"/>
      <c r="BE229" s="1045"/>
      <c r="BF229" s="1045"/>
      <c r="BG229" s="1045"/>
      <c r="BH229" s="1045"/>
      <c r="BI229" s="1044" t="s">
        <v>2260</v>
      </c>
      <c r="BJ229" s="1045" t="s">
        <v>2260</v>
      </c>
      <c r="BK229" s="1045" t="s">
        <v>2260</v>
      </c>
      <c r="BL229" s="1045" t="s">
        <v>2260</v>
      </c>
      <c r="BM229" s="1045" t="s">
        <v>2260</v>
      </c>
      <c r="BN229" s="1044"/>
      <c r="BO229" s="1045"/>
      <c r="BP229" s="1045"/>
      <c r="BQ229" s="1045"/>
      <c r="BR229" s="1045"/>
      <c r="BS229" s="1084"/>
      <c r="BT229" s="1045"/>
      <c r="BU229" s="1045"/>
      <c r="BV229" s="1045"/>
      <c r="BW229" s="1085"/>
      <c r="BX229" s="1084"/>
      <c r="BY229" s="1045"/>
      <c r="BZ229" s="1045"/>
      <c r="CA229" s="1045"/>
      <c r="CB229" s="1085"/>
      <c r="CC229" s="1086"/>
      <c r="CD229" s="1087" t="s">
        <v>210</v>
      </c>
      <c r="CE229" s="1088" t="s">
        <v>210</v>
      </c>
      <c r="CF229" s="1088" t="s">
        <v>210</v>
      </c>
      <c r="CG229" s="1088" t="s">
        <v>210</v>
      </c>
      <c r="CH229" s="1089" t="s">
        <v>210</v>
      </c>
      <c r="CI229" s="1044" t="s">
        <v>2260</v>
      </c>
      <c r="CJ229" s="1045" t="s">
        <v>2260</v>
      </c>
      <c r="CK229" s="1045" t="s">
        <v>2260</v>
      </c>
      <c r="CL229" s="1045" t="s">
        <v>2260</v>
      </c>
      <c r="CM229" s="1086" t="s">
        <v>2260</v>
      </c>
      <c r="CN229" s="1044" t="s">
        <v>2260</v>
      </c>
      <c r="CO229" s="1045" t="s">
        <v>2260</v>
      </c>
      <c r="CP229" s="1045" t="s">
        <v>2260</v>
      </c>
      <c r="CQ229" s="1045" t="s">
        <v>2260</v>
      </c>
      <c r="CR229" s="1086" t="s">
        <v>2260</v>
      </c>
      <c r="CS229" s="1044" t="s">
        <v>2260</v>
      </c>
      <c r="CT229" s="1045" t="s">
        <v>2260</v>
      </c>
      <c r="CU229" s="1045" t="s">
        <v>2260</v>
      </c>
      <c r="CV229" s="1045" t="s">
        <v>2260</v>
      </c>
      <c r="CW229" s="1086" t="s">
        <v>2260</v>
      </c>
      <c r="CX229" s="1044" t="s">
        <v>2260</v>
      </c>
      <c r="CY229" s="1045" t="s">
        <v>2260</v>
      </c>
      <c r="CZ229" s="1045" t="s">
        <v>2260</v>
      </c>
      <c r="DA229" s="1045" t="s">
        <v>2260</v>
      </c>
      <c r="DB229" s="1086" t="s">
        <v>2260</v>
      </c>
      <c r="DC229" s="1045" t="s">
        <v>2260</v>
      </c>
      <c r="DD229" s="1045" t="s">
        <v>2260</v>
      </c>
      <c r="DE229" s="1045" t="s">
        <v>2260</v>
      </c>
      <c r="DF229" s="1045" t="s">
        <v>2260</v>
      </c>
      <c r="DG229" s="1086" t="s">
        <v>2260</v>
      </c>
      <c r="DH229" s="1044" t="s">
        <v>2260</v>
      </c>
      <c r="DI229" s="1045" t="s">
        <v>2260</v>
      </c>
      <c r="DJ229" s="1045" t="s">
        <v>2260</v>
      </c>
      <c r="DK229" s="1045" t="s">
        <v>2260</v>
      </c>
      <c r="DL229" s="1086" t="s">
        <v>2260</v>
      </c>
      <c r="DM229" s="1090" t="s">
        <v>2260</v>
      </c>
      <c r="DN229" s="1091" t="s">
        <v>2260</v>
      </c>
      <c r="DO229" s="1091" t="s">
        <v>2260</v>
      </c>
      <c r="DP229" s="1092" t="s">
        <v>2260</v>
      </c>
      <c r="DQ229" s="1091" t="s">
        <v>2260</v>
      </c>
      <c r="DR229" s="1091" t="s">
        <v>2260</v>
      </c>
      <c r="DS229" s="1091" t="s">
        <v>2260</v>
      </c>
      <c r="DT229" s="1092" t="s">
        <v>2260</v>
      </c>
      <c r="DU229" s="1088" t="s">
        <v>2260</v>
      </c>
      <c r="DV229" s="1093">
        <v>1</v>
      </c>
      <c r="DW229" s="1094" t="s">
        <v>2260</v>
      </c>
    </row>
    <row r="230" spans="1:127" s="382" customFormat="1" ht="15.75" customHeight="1">
      <c r="A230" s="1066" t="s">
        <v>1296</v>
      </c>
      <c r="B230" s="1026">
        <v>221</v>
      </c>
      <c r="C230" s="987"/>
      <c r="D230" s="987"/>
      <c r="E230" s="987"/>
      <c r="F230" s="987"/>
      <c r="G230" s="987"/>
      <c r="H230" s="987"/>
      <c r="I230" s="987"/>
      <c r="J230" s="987"/>
      <c r="K230" s="987"/>
      <c r="L230" s="987"/>
      <c r="M230" s="1026"/>
      <c r="N230" s="987"/>
      <c r="O230" s="987"/>
      <c r="P230" s="987"/>
      <c r="Q230" s="987"/>
      <c r="R230" s="987"/>
      <c r="S230" s="987"/>
      <c r="T230" s="988"/>
      <c r="U230" s="1067" t="s">
        <v>1782</v>
      </c>
      <c r="V230" s="1068" t="s">
        <v>2969</v>
      </c>
      <c r="W230" s="1068" t="s">
        <v>2231</v>
      </c>
      <c r="X230" s="1069" t="s">
        <v>2976</v>
      </c>
      <c r="Y230" s="1070" t="s">
        <v>2254</v>
      </c>
      <c r="Z230" s="1071" t="s">
        <v>2938</v>
      </c>
      <c r="AA230" s="1072" t="s">
        <v>2260</v>
      </c>
      <c r="AB230" s="1073">
        <v>1</v>
      </c>
      <c r="AC230" s="1073" t="s">
        <v>2260</v>
      </c>
      <c r="AD230" s="1073" t="s">
        <v>2260</v>
      </c>
      <c r="AE230" s="1073" t="s">
        <v>2260</v>
      </c>
      <c r="AF230" s="1073" t="s">
        <v>2260</v>
      </c>
      <c r="AG230" s="1073" t="s">
        <v>2260</v>
      </c>
      <c r="AH230" s="1073" t="s">
        <v>2260</v>
      </c>
      <c r="AI230" s="1074">
        <f t="shared" si="3"/>
        <v>1</v>
      </c>
      <c r="AJ230" s="1075" t="s">
        <v>1852</v>
      </c>
      <c r="AK230" s="1075" t="s">
        <v>1826</v>
      </c>
      <c r="AL230" s="1075" t="s">
        <v>1827</v>
      </c>
      <c r="AM230" s="1076" t="s">
        <v>1891</v>
      </c>
      <c r="AN230" s="987" t="s">
        <v>1897</v>
      </c>
      <c r="AO230" s="987" t="s">
        <v>2902</v>
      </c>
      <c r="AP230" s="1243">
        <v>2</v>
      </c>
      <c r="AQ230" s="1045" t="s">
        <v>1828</v>
      </c>
      <c r="AR230" s="1078" t="s">
        <v>2254</v>
      </c>
      <c r="AS230" s="1079"/>
      <c r="AT230" s="1069"/>
      <c r="AU230" s="1069"/>
      <c r="AV230" s="1069"/>
      <c r="AW230" s="1080"/>
      <c r="AX230" s="1081"/>
      <c r="AY230" s="1044"/>
      <c r="AZ230" s="1045"/>
      <c r="BA230" s="1045"/>
      <c r="BB230" s="1045"/>
      <c r="BC230" s="1045"/>
      <c r="BD230" s="1045"/>
      <c r="BE230" s="1045"/>
      <c r="BF230" s="1045"/>
      <c r="BG230" s="1045"/>
      <c r="BH230" s="1045"/>
      <c r="BI230" s="1044" t="s">
        <v>2260</v>
      </c>
      <c r="BJ230" s="1045" t="s">
        <v>2260</v>
      </c>
      <c r="BK230" s="1045" t="s">
        <v>2260</v>
      </c>
      <c r="BL230" s="1045" t="s">
        <v>2260</v>
      </c>
      <c r="BM230" s="1045" t="s">
        <v>2260</v>
      </c>
      <c r="BN230" s="1044"/>
      <c r="BO230" s="1045"/>
      <c r="BP230" s="1045"/>
      <c r="BQ230" s="1045"/>
      <c r="BR230" s="1045"/>
      <c r="BS230" s="1084"/>
      <c r="BT230" s="1045"/>
      <c r="BU230" s="1045"/>
      <c r="BV230" s="1045"/>
      <c r="BW230" s="1085"/>
      <c r="BX230" s="1084"/>
      <c r="BY230" s="1045"/>
      <c r="BZ230" s="1045"/>
      <c r="CA230" s="1045"/>
      <c r="CB230" s="1085"/>
      <c r="CC230" s="1086"/>
      <c r="CD230" s="1087" t="s">
        <v>210</v>
      </c>
      <c r="CE230" s="1088" t="s">
        <v>210</v>
      </c>
      <c r="CF230" s="1088" t="s">
        <v>210</v>
      </c>
      <c r="CG230" s="1088" t="s">
        <v>210</v>
      </c>
      <c r="CH230" s="1089" t="s">
        <v>210</v>
      </c>
      <c r="CI230" s="1044" t="s">
        <v>2260</v>
      </c>
      <c r="CJ230" s="1045" t="s">
        <v>2260</v>
      </c>
      <c r="CK230" s="1045" t="s">
        <v>2260</v>
      </c>
      <c r="CL230" s="1045" t="s">
        <v>2260</v>
      </c>
      <c r="CM230" s="1086" t="s">
        <v>2260</v>
      </c>
      <c r="CN230" s="1044" t="s">
        <v>2260</v>
      </c>
      <c r="CO230" s="1045" t="s">
        <v>2260</v>
      </c>
      <c r="CP230" s="1045" t="s">
        <v>2260</v>
      </c>
      <c r="CQ230" s="1045" t="s">
        <v>2260</v>
      </c>
      <c r="CR230" s="1086" t="s">
        <v>2260</v>
      </c>
      <c r="CS230" s="1044" t="s">
        <v>2260</v>
      </c>
      <c r="CT230" s="1045" t="s">
        <v>2260</v>
      </c>
      <c r="CU230" s="1045" t="s">
        <v>2260</v>
      </c>
      <c r="CV230" s="1045" t="s">
        <v>2260</v>
      </c>
      <c r="CW230" s="1086" t="s">
        <v>2260</v>
      </c>
      <c r="CX230" s="1044" t="s">
        <v>2260</v>
      </c>
      <c r="CY230" s="1045" t="s">
        <v>2260</v>
      </c>
      <c r="CZ230" s="1045" t="s">
        <v>2260</v>
      </c>
      <c r="DA230" s="1045" t="s">
        <v>2260</v>
      </c>
      <c r="DB230" s="1086" t="s">
        <v>2260</v>
      </c>
      <c r="DC230" s="1045" t="s">
        <v>2260</v>
      </c>
      <c r="DD230" s="1045" t="s">
        <v>2260</v>
      </c>
      <c r="DE230" s="1045" t="s">
        <v>2260</v>
      </c>
      <c r="DF230" s="1045" t="s">
        <v>2260</v>
      </c>
      <c r="DG230" s="1086" t="s">
        <v>2260</v>
      </c>
      <c r="DH230" s="1044" t="s">
        <v>2260</v>
      </c>
      <c r="DI230" s="1045" t="s">
        <v>2260</v>
      </c>
      <c r="DJ230" s="1045" t="s">
        <v>2260</v>
      </c>
      <c r="DK230" s="1045" t="s">
        <v>2260</v>
      </c>
      <c r="DL230" s="1086" t="s">
        <v>2260</v>
      </c>
      <c r="DM230" s="1090" t="s">
        <v>2260</v>
      </c>
      <c r="DN230" s="1091" t="s">
        <v>2260</v>
      </c>
      <c r="DO230" s="1091" t="s">
        <v>2260</v>
      </c>
      <c r="DP230" s="1092" t="s">
        <v>2260</v>
      </c>
      <c r="DQ230" s="1091" t="s">
        <v>2260</v>
      </c>
      <c r="DR230" s="1091" t="s">
        <v>2260</v>
      </c>
      <c r="DS230" s="1091" t="s">
        <v>2260</v>
      </c>
      <c r="DT230" s="1092" t="s">
        <v>2260</v>
      </c>
      <c r="DU230" s="1088" t="s">
        <v>173</v>
      </c>
      <c r="DV230" s="1093">
        <v>1</v>
      </c>
      <c r="DW230" s="1094" t="s">
        <v>2260</v>
      </c>
    </row>
    <row r="231" spans="1:127" s="382" customFormat="1" ht="15.75" customHeight="1">
      <c r="A231" s="1023" t="s">
        <v>1296</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1175</v>
      </c>
      <c r="V231" s="1029" t="s">
        <v>2977</v>
      </c>
      <c r="W231" s="1029" t="s">
        <v>2217</v>
      </c>
      <c r="X231" s="1030" t="s">
        <v>2978</v>
      </c>
      <c r="Y231" s="1031" t="s">
        <v>1084</v>
      </c>
      <c r="Z231" s="1032" t="s">
        <v>2938</v>
      </c>
      <c r="AA231" s="1033" t="s">
        <v>2260</v>
      </c>
      <c r="AB231" s="1034">
        <v>1</v>
      </c>
      <c r="AC231" s="1034" t="s">
        <v>2260</v>
      </c>
      <c r="AD231" s="1034" t="s">
        <v>2260</v>
      </c>
      <c r="AE231" s="1034" t="s">
        <v>2260</v>
      </c>
      <c r="AF231" s="1034" t="s">
        <v>2260</v>
      </c>
      <c r="AG231" s="1034" t="s">
        <v>2260</v>
      </c>
      <c r="AH231" s="1034" t="s">
        <v>2260</v>
      </c>
      <c r="AI231" s="1035">
        <f t="shared" si="3"/>
        <v>1</v>
      </c>
      <c r="AJ231" s="1036" t="s">
        <v>1846</v>
      </c>
      <c r="AK231" s="1036" t="s">
        <v>1826</v>
      </c>
      <c r="AL231" s="1389" t="s">
        <v>1837</v>
      </c>
      <c r="AM231" s="1037" t="s">
        <v>2348</v>
      </c>
      <c r="AN231" s="1031" t="s">
        <v>2397</v>
      </c>
      <c r="AO231" s="1031" t="s">
        <v>4416</v>
      </c>
      <c r="AP231" s="1275">
        <v>1</v>
      </c>
      <c r="AQ231" s="802" t="s">
        <v>1828</v>
      </c>
      <c r="AR231" s="1040" t="s">
        <v>1084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210</v>
      </c>
      <c r="CE231" s="1054" t="s">
        <v>210</v>
      </c>
      <c r="CF231" s="1054" t="s">
        <v>210</v>
      </c>
      <c r="CG231" s="1054" t="s">
        <v>210</v>
      </c>
      <c r="CH231" s="1055" t="s">
        <v>210</v>
      </c>
      <c r="CI231" s="1058" t="s">
        <v>2260</v>
      </c>
      <c r="CJ231" s="1056" t="s">
        <v>2260</v>
      </c>
      <c r="CK231" s="1056" t="s">
        <v>2260</v>
      </c>
      <c r="CL231" s="1056" t="s">
        <v>2260</v>
      </c>
      <c r="CM231" s="1057" t="s">
        <v>2260</v>
      </c>
      <c r="CN231" s="1058">
        <v>-8.9</v>
      </c>
      <c r="CO231" s="1056">
        <v>-8.9</v>
      </c>
      <c r="CP231" s="1056">
        <v>-8.9</v>
      </c>
      <c r="CQ231" s="1056">
        <v>-8.9</v>
      </c>
      <c r="CR231" s="1057">
        <v>-8.9</v>
      </c>
      <c r="CS231" s="1048" t="s">
        <v>2260</v>
      </c>
      <c r="CT231" s="1049" t="s">
        <v>2260</v>
      </c>
      <c r="CU231" s="1049" t="s">
        <v>2260</v>
      </c>
      <c r="CV231" s="1049" t="s">
        <v>2260</v>
      </c>
      <c r="CW231" s="1052" t="s">
        <v>2260</v>
      </c>
      <c r="CX231" s="1048" t="s">
        <v>2260</v>
      </c>
      <c r="CY231" s="1049" t="s">
        <v>2260</v>
      </c>
      <c r="CZ231" s="1049" t="s">
        <v>2260</v>
      </c>
      <c r="DA231" s="1049" t="s">
        <v>2260</v>
      </c>
      <c r="DB231" s="1052" t="s">
        <v>2260</v>
      </c>
      <c r="DC231" s="1056" t="s">
        <v>2260</v>
      </c>
      <c r="DD231" s="1056" t="s">
        <v>2260</v>
      </c>
      <c r="DE231" s="1056" t="s">
        <v>2260</v>
      </c>
      <c r="DF231" s="1056" t="s">
        <v>2260</v>
      </c>
      <c r="DG231" s="1057" t="s">
        <v>2260</v>
      </c>
      <c r="DH231" s="1058" t="s">
        <v>2260</v>
      </c>
      <c r="DI231" s="1049" t="s">
        <v>2260</v>
      </c>
      <c r="DJ231" s="1049" t="s">
        <v>2260</v>
      </c>
      <c r="DK231" s="1049" t="s">
        <v>2260</v>
      </c>
      <c r="DL231" s="1052" t="s">
        <v>2260</v>
      </c>
      <c r="DM231" s="1060">
        <v>-8.7999999999999995E-2</v>
      </c>
      <c r="DN231" s="1061" t="s">
        <v>2260</v>
      </c>
      <c r="DO231" s="1061" t="s">
        <v>2260</v>
      </c>
      <c r="DP231" s="1062" t="s">
        <v>2260</v>
      </c>
      <c r="DQ231" s="1061" t="s">
        <v>2260</v>
      </c>
      <c r="DR231" s="1061" t="s">
        <v>2260</v>
      </c>
      <c r="DS231" s="1061" t="s">
        <v>2260</v>
      </c>
      <c r="DT231" s="1062" t="s">
        <v>2260</v>
      </c>
      <c r="DU231" s="1054" t="s">
        <v>173</v>
      </c>
      <c r="DV231" s="1063">
        <v>1</v>
      </c>
      <c r="DW231" s="1064" t="s">
        <v>2260</v>
      </c>
    </row>
    <row r="232" spans="1:127" s="382" customFormat="1" ht="15.75" customHeight="1">
      <c r="A232" s="1066" t="s">
        <v>1296</v>
      </c>
      <c r="B232" s="1026">
        <v>223</v>
      </c>
      <c r="C232" s="987"/>
      <c r="D232" s="987"/>
      <c r="E232" s="987"/>
      <c r="F232" s="987"/>
      <c r="G232" s="987"/>
      <c r="H232" s="987"/>
      <c r="I232" s="987"/>
      <c r="J232" s="987"/>
      <c r="K232" s="987"/>
      <c r="L232" s="987"/>
      <c r="M232" s="1026"/>
      <c r="N232" s="987"/>
      <c r="O232" s="987"/>
      <c r="P232" s="987"/>
      <c r="Q232" s="987"/>
      <c r="R232" s="987"/>
      <c r="S232" s="987"/>
      <c r="T232" s="988"/>
      <c r="U232" s="1067" t="s">
        <v>1378</v>
      </c>
      <c r="V232" s="1068" t="s">
        <v>2977</v>
      </c>
      <c r="W232" s="1068" t="s">
        <v>2223</v>
      </c>
      <c r="X232" s="1069" t="s">
        <v>2980</v>
      </c>
      <c r="Y232" s="1070" t="s">
        <v>2981</v>
      </c>
      <c r="Z232" s="1071" t="s">
        <v>2982</v>
      </c>
      <c r="AA232" s="1072" t="s">
        <v>2260</v>
      </c>
      <c r="AB232" s="1073">
        <v>1</v>
      </c>
      <c r="AC232" s="1073" t="s">
        <v>2260</v>
      </c>
      <c r="AD232" s="1073" t="s">
        <v>2260</v>
      </c>
      <c r="AE232" s="1073" t="s">
        <v>2260</v>
      </c>
      <c r="AF232" s="1073" t="s">
        <v>2260</v>
      </c>
      <c r="AG232" s="1073" t="s">
        <v>2260</v>
      </c>
      <c r="AH232" s="1073" t="s">
        <v>2260</v>
      </c>
      <c r="AI232" s="1074">
        <f t="shared" si="3"/>
        <v>1</v>
      </c>
      <c r="AJ232" s="1075" t="s">
        <v>1846</v>
      </c>
      <c r="AK232" s="1075" t="s">
        <v>1826</v>
      </c>
      <c r="AL232" s="1075" t="s">
        <v>1827</v>
      </c>
      <c r="AM232" s="1076" t="s">
        <v>2408</v>
      </c>
      <c r="AN232" s="987" t="s">
        <v>1857</v>
      </c>
      <c r="AO232" s="987" t="s">
        <v>2983</v>
      </c>
      <c r="AP232" s="1243">
        <v>0</v>
      </c>
      <c r="AQ232" s="1045" t="s">
        <v>1838</v>
      </c>
      <c r="AR232" s="1078" t="s">
        <v>2260</v>
      </c>
      <c r="AS232" s="1079"/>
      <c r="AT232" s="1069"/>
      <c r="AU232" s="1069"/>
      <c r="AV232" s="1069"/>
      <c r="AW232" s="1080"/>
      <c r="AX232" s="1081"/>
      <c r="AY232" s="1044"/>
      <c r="AZ232" s="1045"/>
      <c r="BA232" s="1045"/>
      <c r="BB232" s="1045"/>
      <c r="BC232" s="1045"/>
      <c r="BD232" s="1045"/>
      <c r="BE232" s="1045"/>
      <c r="BF232" s="1045"/>
      <c r="BG232" s="1045"/>
      <c r="BH232" s="1045"/>
      <c r="BI232" s="1369"/>
      <c r="BJ232" s="1319"/>
      <c r="BK232" s="1319"/>
      <c r="BL232" s="1319"/>
      <c r="BM232" s="1319"/>
      <c r="BN232" s="1044"/>
      <c r="BO232" s="1045"/>
      <c r="BP232" s="1045"/>
      <c r="BQ232" s="1045"/>
      <c r="BR232" s="1045"/>
      <c r="BS232" s="1084"/>
      <c r="BT232" s="1045"/>
      <c r="BU232" s="1045"/>
      <c r="BV232" s="1045"/>
      <c r="BW232" s="1085"/>
      <c r="BX232" s="1084"/>
      <c r="BY232" s="1045"/>
      <c r="BZ232" s="1045"/>
      <c r="CA232" s="1045"/>
      <c r="CB232" s="1085"/>
      <c r="CC232" s="1086"/>
      <c r="CD232" s="1327"/>
      <c r="CE232" s="1328"/>
      <c r="CF232" s="1328"/>
      <c r="CG232" s="1328"/>
      <c r="CH232" s="1389"/>
      <c r="CI232" s="1369"/>
      <c r="CJ232" s="1319"/>
      <c r="CK232" s="1319"/>
      <c r="CL232" s="1319"/>
      <c r="CM232" s="1320"/>
      <c r="CN232" s="1369"/>
      <c r="CO232" s="1319"/>
      <c r="CP232" s="1319"/>
      <c r="CQ232" s="1319"/>
      <c r="CR232" s="1320"/>
      <c r="CS232" s="1369"/>
      <c r="CT232" s="1319"/>
      <c r="CU232" s="1319"/>
      <c r="CV232" s="1319"/>
      <c r="CW232" s="1320"/>
      <c r="CX232" s="1369"/>
      <c r="CY232" s="1319"/>
      <c r="CZ232" s="1319"/>
      <c r="DA232" s="1319"/>
      <c r="DB232" s="1320"/>
      <c r="DC232" s="1319"/>
      <c r="DD232" s="1319"/>
      <c r="DE232" s="1319"/>
      <c r="DF232" s="1319"/>
      <c r="DG232" s="1320"/>
      <c r="DH232" s="1369"/>
      <c r="DI232" s="1319"/>
      <c r="DJ232" s="1319"/>
      <c r="DK232" s="1319"/>
      <c r="DL232" s="1320"/>
      <c r="DM232" s="1743"/>
      <c r="DN232" s="1744"/>
      <c r="DO232" s="1744"/>
      <c r="DP232" s="1745"/>
      <c r="DQ232" s="1744"/>
      <c r="DR232" s="1744"/>
      <c r="DS232" s="1744"/>
      <c r="DT232" s="1745"/>
      <c r="DU232" s="1328"/>
      <c r="DV232" s="1664"/>
      <c r="DW232" s="1746"/>
    </row>
    <row r="233" spans="1:127" s="382" customFormat="1" ht="15.75" customHeight="1">
      <c r="A233" s="1066" t="s">
        <v>1296</v>
      </c>
      <c r="B233" s="1026">
        <v>224</v>
      </c>
      <c r="C233" s="987"/>
      <c r="D233" s="987"/>
      <c r="E233" s="987"/>
      <c r="F233" s="987"/>
      <c r="G233" s="987"/>
      <c r="H233" s="987"/>
      <c r="I233" s="987"/>
      <c r="J233" s="987"/>
      <c r="K233" s="987"/>
      <c r="L233" s="987"/>
      <c r="M233" s="1026"/>
      <c r="N233" s="987"/>
      <c r="O233" s="987"/>
      <c r="P233" s="987"/>
      <c r="Q233" s="987"/>
      <c r="R233" s="987"/>
      <c r="S233" s="987"/>
      <c r="T233" s="988"/>
      <c r="U233" s="1067" t="s">
        <v>1627</v>
      </c>
      <c r="V233" s="1068" t="s">
        <v>2977</v>
      </c>
      <c r="W233" s="1068" t="s">
        <v>2217</v>
      </c>
      <c r="X233" s="1069" t="s">
        <v>2984</v>
      </c>
      <c r="Y233" s="1070" t="s">
        <v>788</v>
      </c>
      <c r="Z233" s="1071" t="s">
        <v>2985</v>
      </c>
      <c r="AA233" s="1072" t="s">
        <v>2260</v>
      </c>
      <c r="AB233" s="1073">
        <v>1</v>
      </c>
      <c r="AC233" s="1073" t="s">
        <v>2260</v>
      </c>
      <c r="AD233" s="1073" t="s">
        <v>2260</v>
      </c>
      <c r="AE233" s="1073" t="s">
        <v>2260</v>
      </c>
      <c r="AF233" s="1073" t="s">
        <v>2260</v>
      </c>
      <c r="AG233" s="1073" t="s">
        <v>2260</v>
      </c>
      <c r="AH233" s="1073" t="s">
        <v>2260</v>
      </c>
      <c r="AI233" s="1074">
        <f t="shared" si="3"/>
        <v>1</v>
      </c>
      <c r="AJ233" s="1075" t="s">
        <v>1825</v>
      </c>
      <c r="AK233" s="1075" t="s">
        <v>2260</v>
      </c>
      <c r="AL233" s="1075" t="s">
        <v>2260</v>
      </c>
      <c r="AM233" s="1076" t="s">
        <v>788</v>
      </c>
      <c r="AN233" s="987" t="s">
        <v>1857</v>
      </c>
      <c r="AO233" s="987" t="s">
        <v>2986</v>
      </c>
      <c r="AP233" s="1243">
        <v>0</v>
      </c>
      <c r="AQ233" s="1045" t="s">
        <v>1838</v>
      </c>
      <c r="AR233" s="1078" t="s">
        <v>2260</v>
      </c>
      <c r="AS233" s="1079"/>
      <c r="AT233" s="1069"/>
      <c r="AU233" s="1069"/>
      <c r="AV233" s="1069"/>
      <c r="AW233" s="1080"/>
      <c r="AX233" s="1081"/>
      <c r="AY233" s="1044"/>
      <c r="AZ233" s="1045"/>
      <c r="BA233" s="1045"/>
      <c r="BB233" s="1045"/>
      <c r="BC233" s="1045"/>
      <c r="BD233" s="1045"/>
      <c r="BE233" s="1045"/>
      <c r="BF233" s="1045"/>
      <c r="BG233" s="1045"/>
      <c r="BH233" s="1045"/>
      <c r="BI233" s="1044" t="s">
        <v>2260</v>
      </c>
      <c r="BJ233" s="1045" t="s">
        <v>2260</v>
      </c>
      <c r="BK233" s="1045" t="s">
        <v>2260</v>
      </c>
      <c r="BL233" s="1045" t="s">
        <v>2260</v>
      </c>
      <c r="BM233" s="1045" t="s">
        <v>2260</v>
      </c>
      <c r="BN233" s="1044"/>
      <c r="BO233" s="1045"/>
      <c r="BP233" s="1045"/>
      <c r="BQ233" s="1045"/>
      <c r="BR233" s="1045"/>
      <c r="BS233" s="1084"/>
      <c r="BT233" s="1045"/>
      <c r="BU233" s="1045"/>
      <c r="BV233" s="1045"/>
      <c r="BW233" s="1085"/>
      <c r="BX233" s="1084"/>
      <c r="BY233" s="1045"/>
      <c r="BZ233" s="1045"/>
      <c r="CA233" s="1045"/>
      <c r="CB233" s="1085"/>
      <c r="CC233" s="1086"/>
      <c r="CD233" s="1087" t="s">
        <v>2260</v>
      </c>
      <c r="CE233" s="1088" t="s">
        <v>2260</v>
      </c>
      <c r="CF233" s="1088" t="s">
        <v>2260</v>
      </c>
      <c r="CG233" s="1088" t="s">
        <v>2260</v>
      </c>
      <c r="CH233" s="1089" t="s">
        <v>2260</v>
      </c>
      <c r="CI233" s="1044" t="s">
        <v>2260</v>
      </c>
      <c r="CJ233" s="1045" t="s">
        <v>2260</v>
      </c>
      <c r="CK233" s="1045" t="s">
        <v>2260</v>
      </c>
      <c r="CL233" s="1045" t="s">
        <v>2260</v>
      </c>
      <c r="CM233" s="1086" t="s">
        <v>2260</v>
      </c>
      <c r="CN233" s="1044" t="s">
        <v>2260</v>
      </c>
      <c r="CO233" s="1045" t="s">
        <v>2260</v>
      </c>
      <c r="CP233" s="1045" t="s">
        <v>2260</v>
      </c>
      <c r="CQ233" s="1045" t="s">
        <v>2260</v>
      </c>
      <c r="CR233" s="1086" t="s">
        <v>2260</v>
      </c>
      <c r="CS233" s="1044" t="s">
        <v>2260</v>
      </c>
      <c r="CT233" s="1045" t="s">
        <v>2260</v>
      </c>
      <c r="CU233" s="1045" t="s">
        <v>2260</v>
      </c>
      <c r="CV233" s="1045" t="s">
        <v>2260</v>
      </c>
      <c r="CW233" s="1086" t="s">
        <v>2260</v>
      </c>
      <c r="CX233" s="1044" t="s">
        <v>2260</v>
      </c>
      <c r="CY233" s="1045" t="s">
        <v>2260</v>
      </c>
      <c r="CZ233" s="1045" t="s">
        <v>2260</v>
      </c>
      <c r="DA233" s="1045" t="s">
        <v>2260</v>
      </c>
      <c r="DB233" s="1086" t="s">
        <v>2260</v>
      </c>
      <c r="DC233" s="1045" t="s">
        <v>2260</v>
      </c>
      <c r="DD233" s="1045" t="s">
        <v>2260</v>
      </c>
      <c r="DE233" s="1045" t="s">
        <v>2260</v>
      </c>
      <c r="DF233" s="1045" t="s">
        <v>2260</v>
      </c>
      <c r="DG233" s="1086" t="s">
        <v>2260</v>
      </c>
      <c r="DH233" s="1044" t="s">
        <v>2260</v>
      </c>
      <c r="DI233" s="1045" t="s">
        <v>2260</v>
      </c>
      <c r="DJ233" s="1045" t="s">
        <v>2260</v>
      </c>
      <c r="DK233" s="1045" t="s">
        <v>2260</v>
      </c>
      <c r="DL233" s="1086" t="s">
        <v>2260</v>
      </c>
      <c r="DM233" s="1090" t="s">
        <v>2260</v>
      </c>
      <c r="DN233" s="1091" t="s">
        <v>2260</v>
      </c>
      <c r="DO233" s="1091" t="s">
        <v>2260</v>
      </c>
      <c r="DP233" s="1092" t="s">
        <v>2260</v>
      </c>
      <c r="DQ233" s="1091" t="s">
        <v>2260</v>
      </c>
      <c r="DR233" s="1091" t="s">
        <v>2260</v>
      </c>
      <c r="DS233" s="1091" t="s">
        <v>2260</v>
      </c>
      <c r="DT233" s="1092" t="s">
        <v>2260</v>
      </c>
      <c r="DU233" s="1088" t="s">
        <v>2260</v>
      </c>
      <c r="DV233" s="1093">
        <v>1</v>
      </c>
      <c r="DW233" s="1094" t="s">
        <v>2260</v>
      </c>
    </row>
    <row r="234" spans="1:127" s="382" customFormat="1" ht="15.75" customHeight="1">
      <c r="A234" s="1066" t="s">
        <v>1296</v>
      </c>
      <c r="B234" s="1026">
        <v>225</v>
      </c>
      <c r="C234" s="987"/>
      <c r="D234" s="987"/>
      <c r="E234" s="987"/>
      <c r="F234" s="987"/>
      <c r="G234" s="987"/>
      <c r="H234" s="987"/>
      <c r="I234" s="987"/>
      <c r="J234" s="987"/>
      <c r="K234" s="987"/>
      <c r="L234" s="987"/>
      <c r="M234" s="1026"/>
      <c r="N234" s="987"/>
      <c r="O234" s="987"/>
      <c r="P234" s="987"/>
      <c r="Q234" s="987"/>
      <c r="R234" s="987"/>
      <c r="S234" s="987"/>
      <c r="T234" s="988"/>
      <c r="U234" s="1067" t="s">
        <v>1644</v>
      </c>
      <c r="V234" s="1068" t="s">
        <v>2977</v>
      </c>
      <c r="W234" s="1068" t="s">
        <v>2231</v>
      </c>
      <c r="X234" s="1069" t="s">
        <v>2987</v>
      </c>
      <c r="Y234" s="1070" t="s">
        <v>2988</v>
      </c>
      <c r="Z234" s="1071" t="s">
        <v>2989</v>
      </c>
      <c r="AA234" s="1072">
        <v>1</v>
      </c>
      <c r="AB234" s="1073" t="s">
        <v>2260</v>
      </c>
      <c r="AC234" s="1073" t="s">
        <v>2260</v>
      </c>
      <c r="AD234" s="1073" t="s">
        <v>2260</v>
      </c>
      <c r="AE234" s="1073" t="s">
        <v>2260</v>
      </c>
      <c r="AF234" s="1073" t="s">
        <v>2260</v>
      </c>
      <c r="AG234" s="1073" t="s">
        <v>2260</v>
      </c>
      <c r="AH234" s="1073" t="s">
        <v>2260</v>
      </c>
      <c r="AI234" s="1074">
        <f t="shared" si="3"/>
        <v>1</v>
      </c>
      <c r="AJ234" s="1075" t="s">
        <v>1825</v>
      </c>
      <c r="AK234" s="1075" t="s">
        <v>2260</v>
      </c>
      <c r="AL234" s="1075" t="s">
        <v>2260</v>
      </c>
      <c r="AM234" s="1076" t="s">
        <v>2290</v>
      </c>
      <c r="AN234" s="987" t="s">
        <v>1857</v>
      </c>
      <c r="AO234" s="987" t="s">
        <v>2542</v>
      </c>
      <c r="AP234" s="1243">
        <v>0</v>
      </c>
      <c r="AQ234" s="1045" t="s">
        <v>1838</v>
      </c>
      <c r="AR234" s="1078" t="s">
        <v>2260</v>
      </c>
      <c r="AS234" s="1079"/>
      <c r="AT234" s="1069"/>
      <c r="AU234" s="1069"/>
      <c r="AV234" s="1069"/>
      <c r="AW234" s="1080"/>
      <c r="AX234" s="1081"/>
      <c r="AY234" s="1044"/>
      <c r="AZ234" s="1045"/>
      <c r="BA234" s="1045"/>
      <c r="BB234" s="1045"/>
      <c r="BC234" s="1045"/>
      <c r="BD234" s="1045"/>
      <c r="BE234" s="1045"/>
      <c r="BF234" s="1045"/>
      <c r="BG234" s="1045"/>
      <c r="BH234" s="1045"/>
      <c r="BI234" s="1369"/>
      <c r="BJ234" s="1319"/>
      <c r="BK234" s="1319"/>
      <c r="BL234" s="1319"/>
      <c r="BM234" s="1319"/>
      <c r="BN234" s="1044"/>
      <c r="BO234" s="1045"/>
      <c r="BP234" s="1045"/>
      <c r="BQ234" s="1045"/>
      <c r="BR234" s="1045"/>
      <c r="BS234" s="1084"/>
      <c r="BT234" s="1045"/>
      <c r="BU234" s="1045"/>
      <c r="BV234" s="1045"/>
      <c r="BW234" s="1085"/>
      <c r="BX234" s="1084"/>
      <c r="BY234" s="1045"/>
      <c r="BZ234" s="1045"/>
      <c r="CA234" s="1045"/>
      <c r="CB234" s="1085"/>
      <c r="CC234" s="1086"/>
      <c r="CD234" s="1327"/>
      <c r="CE234" s="1328"/>
      <c r="CF234" s="1328"/>
      <c r="CG234" s="1328"/>
      <c r="CH234" s="1389"/>
      <c r="CI234" s="1369"/>
      <c r="CJ234" s="1319"/>
      <c r="CK234" s="1319"/>
      <c r="CL234" s="1319"/>
      <c r="CM234" s="1320"/>
      <c r="CN234" s="1369"/>
      <c r="CO234" s="1319"/>
      <c r="CP234" s="1319"/>
      <c r="CQ234" s="1319"/>
      <c r="CR234" s="1320"/>
      <c r="CS234" s="1369"/>
      <c r="CT234" s="1319"/>
      <c r="CU234" s="1319"/>
      <c r="CV234" s="1319"/>
      <c r="CW234" s="1320"/>
      <c r="CX234" s="1369"/>
      <c r="CY234" s="1319"/>
      <c r="CZ234" s="1319"/>
      <c r="DA234" s="1319"/>
      <c r="DB234" s="1320"/>
      <c r="DC234" s="1319"/>
      <c r="DD234" s="1319"/>
      <c r="DE234" s="1319"/>
      <c r="DF234" s="1319"/>
      <c r="DG234" s="1320"/>
      <c r="DH234" s="1369"/>
      <c r="DI234" s="1319"/>
      <c r="DJ234" s="1319"/>
      <c r="DK234" s="1319"/>
      <c r="DL234" s="1320"/>
      <c r="DM234" s="1743"/>
      <c r="DN234" s="1744"/>
      <c r="DO234" s="1744"/>
      <c r="DP234" s="1745"/>
      <c r="DQ234" s="1744"/>
      <c r="DR234" s="1744"/>
      <c r="DS234" s="1744"/>
      <c r="DT234" s="1745"/>
      <c r="DU234" s="1328"/>
      <c r="DV234" s="1664"/>
      <c r="DW234" s="1746"/>
    </row>
    <row r="235" spans="1:127" s="382" customFormat="1" ht="15.75" customHeight="1">
      <c r="A235" s="1066" t="s">
        <v>1296</v>
      </c>
      <c r="B235" s="1026">
        <v>226</v>
      </c>
      <c r="C235" s="987"/>
      <c r="D235" s="987"/>
      <c r="E235" s="987"/>
      <c r="F235" s="987"/>
      <c r="G235" s="987"/>
      <c r="H235" s="987"/>
      <c r="I235" s="987"/>
      <c r="J235" s="987"/>
      <c r="K235" s="987"/>
      <c r="L235" s="987"/>
      <c r="M235" s="1026"/>
      <c r="N235" s="987"/>
      <c r="O235" s="987"/>
      <c r="P235" s="987"/>
      <c r="Q235" s="987"/>
      <c r="R235" s="987"/>
      <c r="S235" s="987"/>
      <c r="T235" s="988"/>
      <c r="U235" s="1067" t="s">
        <v>1660</v>
      </c>
      <c r="V235" s="1068" t="s">
        <v>2977</v>
      </c>
      <c r="W235" s="1068" t="s">
        <v>2231</v>
      </c>
      <c r="X235" s="1069" t="s">
        <v>2991</v>
      </c>
      <c r="Y235" s="1070" t="s">
        <v>2992</v>
      </c>
      <c r="Z235" s="1071" t="s">
        <v>2993</v>
      </c>
      <c r="AA235" s="1072" t="s">
        <v>2260</v>
      </c>
      <c r="AB235" s="1073">
        <v>1</v>
      </c>
      <c r="AC235" s="1073" t="s">
        <v>2260</v>
      </c>
      <c r="AD235" s="1073" t="s">
        <v>2260</v>
      </c>
      <c r="AE235" s="1073" t="s">
        <v>2260</v>
      </c>
      <c r="AF235" s="1073" t="s">
        <v>2260</v>
      </c>
      <c r="AG235" s="1073" t="s">
        <v>2260</v>
      </c>
      <c r="AH235" s="1073" t="s">
        <v>2260</v>
      </c>
      <c r="AI235" s="1074">
        <f t="shared" si="3"/>
        <v>1</v>
      </c>
      <c r="AJ235" s="1075" t="s">
        <v>1825</v>
      </c>
      <c r="AK235" s="1075" t="s">
        <v>2260</v>
      </c>
      <c r="AL235" s="1075" t="s">
        <v>2260</v>
      </c>
      <c r="AM235" s="1076" t="s">
        <v>2523</v>
      </c>
      <c r="AN235" s="987" t="s">
        <v>1857</v>
      </c>
      <c r="AO235" s="987" t="s">
        <v>2830</v>
      </c>
      <c r="AP235" s="1243">
        <v>0</v>
      </c>
      <c r="AQ235" s="1045" t="s">
        <v>1828</v>
      </c>
      <c r="AR235" s="1078" t="s">
        <v>2260</v>
      </c>
      <c r="AS235" s="1079"/>
      <c r="AT235" s="1069"/>
      <c r="AU235" s="1069"/>
      <c r="AV235" s="1069"/>
      <c r="AW235" s="1080"/>
      <c r="AX235" s="1081"/>
      <c r="AY235" s="1044"/>
      <c r="AZ235" s="1045"/>
      <c r="BA235" s="1045"/>
      <c r="BB235" s="1045"/>
      <c r="BC235" s="1045"/>
      <c r="BD235" s="1045"/>
      <c r="BE235" s="1045"/>
      <c r="BF235" s="1045"/>
      <c r="BG235" s="1045"/>
      <c r="BH235" s="1045"/>
      <c r="BI235" s="1369"/>
      <c r="BJ235" s="1319"/>
      <c r="BK235" s="1319"/>
      <c r="BL235" s="1319"/>
      <c r="BM235" s="1319"/>
      <c r="BN235" s="1044"/>
      <c r="BO235" s="1045"/>
      <c r="BP235" s="1045"/>
      <c r="BQ235" s="1045"/>
      <c r="BR235" s="1045"/>
      <c r="BS235" s="1084"/>
      <c r="BT235" s="1045"/>
      <c r="BU235" s="1045"/>
      <c r="BV235" s="1045"/>
      <c r="BW235" s="1085"/>
      <c r="BX235" s="1084"/>
      <c r="BY235" s="1045"/>
      <c r="BZ235" s="1045"/>
      <c r="CA235" s="1045"/>
      <c r="CB235" s="1085"/>
      <c r="CC235" s="1086"/>
      <c r="CD235" s="1327"/>
      <c r="CE235" s="1328"/>
      <c r="CF235" s="1328"/>
      <c r="CG235" s="1328"/>
      <c r="CH235" s="1389"/>
      <c r="CI235" s="1369"/>
      <c r="CJ235" s="1319"/>
      <c r="CK235" s="1319"/>
      <c r="CL235" s="1319"/>
      <c r="CM235" s="1320"/>
      <c r="CN235" s="1369"/>
      <c r="CO235" s="1319"/>
      <c r="CP235" s="1319"/>
      <c r="CQ235" s="1319"/>
      <c r="CR235" s="1320"/>
      <c r="CS235" s="1369"/>
      <c r="CT235" s="1319"/>
      <c r="CU235" s="1319"/>
      <c r="CV235" s="1319"/>
      <c r="CW235" s="1320"/>
      <c r="CX235" s="1369"/>
      <c r="CY235" s="1319"/>
      <c r="CZ235" s="1319"/>
      <c r="DA235" s="1319"/>
      <c r="DB235" s="1320"/>
      <c r="DC235" s="1319"/>
      <c r="DD235" s="1319"/>
      <c r="DE235" s="1319"/>
      <c r="DF235" s="1319"/>
      <c r="DG235" s="1320"/>
      <c r="DH235" s="1369"/>
      <c r="DI235" s="1319"/>
      <c r="DJ235" s="1319"/>
      <c r="DK235" s="1319"/>
      <c r="DL235" s="1320"/>
      <c r="DM235" s="1743"/>
      <c r="DN235" s="1744"/>
      <c r="DO235" s="1744"/>
      <c r="DP235" s="1745"/>
      <c r="DQ235" s="1744"/>
      <c r="DR235" s="1744"/>
      <c r="DS235" s="1744"/>
      <c r="DT235" s="1745"/>
      <c r="DU235" s="1328"/>
      <c r="DV235" s="1664"/>
      <c r="DW235" s="1746"/>
    </row>
    <row r="236" spans="1:127" s="382" customFormat="1" ht="15.75" customHeight="1">
      <c r="A236" s="1066" t="s">
        <v>1296</v>
      </c>
      <c r="B236" s="1026">
        <v>227</v>
      </c>
      <c r="C236" s="987"/>
      <c r="D236" s="987"/>
      <c r="E236" s="987"/>
      <c r="F236" s="987"/>
      <c r="G236" s="987"/>
      <c r="H236" s="987"/>
      <c r="I236" s="987"/>
      <c r="J236" s="987"/>
      <c r="K236" s="987"/>
      <c r="L236" s="987"/>
      <c r="M236" s="1026"/>
      <c r="N236" s="987"/>
      <c r="O236" s="987"/>
      <c r="P236" s="987"/>
      <c r="Q236" s="987"/>
      <c r="R236" s="987"/>
      <c r="S236" s="987"/>
      <c r="T236" s="988"/>
      <c r="U236" s="1067" t="s">
        <v>1395</v>
      </c>
      <c r="V236" s="1068" t="s">
        <v>2977</v>
      </c>
      <c r="W236" s="1068" t="s">
        <v>2223</v>
      </c>
      <c r="X236" s="1069" t="s">
        <v>2994</v>
      </c>
      <c r="Y236" s="1070" t="s">
        <v>2995</v>
      </c>
      <c r="Z236" s="1071" t="s">
        <v>2996</v>
      </c>
      <c r="AA236" s="1072">
        <v>0.34</v>
      </c>
      <c r="AB236" s="1073">
        <v>0.66</v>
      </c>
      <c r="AC236" s="1073" t="s">
        <v>2260</v>
      </c>
      <c r="AD236" s="1073" t="s">
        <v>2260</v>
      </c>
      <c r="AE236" s="1073" t="s">
        <v>2260</v>
      </c>
      <c r="AF236" s="1073" t="s">
        <v>2260</v>
      </c>
      <c r="AG236" s="1073" t="s">
        <v>2260</v>
      </c>
      <c r="AH236" s="1073" t="s">
        <v>2260</v>
      </c>
      <c r="AI236" s="1074">
        <f t="shared" si="3"/>
        <v>1</v>
      </c>
      <c r="AJ236" s="1075" t="s">
        <v>1846</v>
      </c>
      <c r="AK236" s="1075" t="s">
        <v>1826</v>
      </c>
      <c r="AL236" s="1075" t="s">
        <v>1827</v>
      </c>
      <c r="AM236" s="1076" t="s">
        <v>2387</v>
      </c>
      <c r="AN236" s="987" t="s">
        <v>1857</v>
      </c>
      <c r="AO236" s="987" t="s">
        <v>2997</v>
      </c>
      <c r="AP236" s="1243">
        <v>0</v>
      </c>
      <c r="AQ236" s="1045" t="s">
        <v>1828</v>
      </c>
      <c r="AR236" s="1078" t="s">
        <v>2260</v>
      </c>
      <c r="AS236" s="1079"/>
      <c r="AT236" s="1069"/>
      <c r="AU236" s="1069"/>
      <c r="AV236" s="1069"/>
      <c r="AW236" s="1080"/>
      <c r="AX236" s="1081"/>
      <c r="AY236" s="1044"/>
      <c r="AZ236" s="1045"/>
      <c r="BA236" s="1045"/>
      <c r="BB236" s="1045"/>
      <c r="BC236" s="1045"/>
      <c r="BD236" s="1045"/>
      <c r="BE236" s="1045"/>
      <c r="BF236" s="1045"/>
      <c r="BG236" s="1045"/>
      <c r="BH236" s="1045"/>
      <c r="BI236" s="1369"/>
      <c r="BJ236" s="1319"/>
      <c r="BK236" s="1319"/>
      <c r="BL236" s="1319"/>
      <c r="BM236" s="1319"/>
      <c r="BN236" s="1044"/>
      <c r="BO236" s="1045"/>
      <c r="BP236" s="1045"/>
      <c r="BQ236" s="1045"/>
      <c r="BR236" s="1045"/>
      <c r="BS236" s="1084"/>
      <c r="BT236" s="1045"/>
      <c r="BU236" s="1045"/>
      <c r="BV236" s="1045"/>
      <c r="BW236" s="1085"/>
      <c r="BX236" s="1084"/>
      <c r="BY236" s="1045"/>
      <c r="BZ236" s="1045"/>
      <c r="CA236" s="1045"/>
      <c r="CB236" s="1085"/>
      <c r="CC236" s="1086"/>
      <c r="CD236" s="1327"/>
      <c r="CE236" s="1328"/>
      <c r="CF236" s="1328"/>
      <c r="CG236" s="1328"/>
      <c r="CH236" s="1389"/>
      <c r="CI236" s="1369"/>
      <c r="CJ236" s="1319"/>
      <c r="CK236" s="1319"/>
      <c r="CL236" s="1319"/>
      <c r="CM236" s="1320"/>
      <c r="CN236" s="1369"/>
      <c r="CO236" s="1319"/>
      <c r="CP236" s="1319"/>
      <c r="CQ236" s="1319"/>
      <c r="CR236" s="1320"/>
      <c r="CS236" s="1369"/>
      <c r="CT236" s="1319"/>
      <c r="CU236" s="1319"/>
      <c r="CV236" s="1319"/>
      <c r="CW236" s="1320"/>
      <c r="CX236" s="1369"/>
      <c r="CY236" s="1319"/>
      <c r="CZ236" s="1319"/>
      <c r="DA236" s="1319"/>
      <c r="DB236" s="1320"/>
      <c r="DC236" s="1319"/>
      <c r="DD236" s="1319"/>
      <c r="DE236" s="1319"/>
      <c r="DF236" s="1319"/>
      <c r="DG236" s="1320"/>
      <c r="DH236" s="1369"/>
      <c r="DI236" s="1319"/>
      <c r="DJ236" s="1319"/>
      <c r="DK236" s="1319"/>
      <c r="DL236" s="1320"/>
      <c r="DM236" s="1743"/>
      <c r="DN236" s="1744"/>
      <c r="DO236" s="1744"/>
      <c r="DP236" s="1745"/>
      <c r="DQ236" s="1744"/>
      <c r="DR236" s="1744"/>
      <c r="DS236" s="1744"/>
      <c r="DT236" s="1745"/>
      <c r="DU236" s="1328"/>
      <c r="DV236" s="1664"/>
      <c r="DW236" s="1746"/>
    </row>
    <row r="237" spans="1:127" s="382" customFormat="1" ht="15.75" customHeight="1">
      <c r="A237" s="1066" t="s">
        <v>1296</v>
      </c>
      <c r="B237" s="1026">
        <v>228</v>
      </c>
      <c r="C237" s="987"/>
      <c r="D237" s="987"/>
      <c r="E237" s="987"/>
      <c r="F237" s="987"/>
      <c r="G237" s="987"/>
      <c r="H237" s="987"/>
      <c r="I237" s="987"/>
      <c r="J237" s="987"/>
      <c r="K237" s="987"/>
      <c r="L237" s="987"/>
      <c r="M237" s="1026"/>
      <c r="N237" s="987"/>
      <c r="O237" s="987"/>
      <c r="P237" s="987"/>
      <c r="Q237" s="987"/>
      <c r="R237" s="987"/>
      <c r="S237" s="987"/>
      <c r="T237" s="988"/>
      <c r="U237" s="1067" t="s">
        <v>1412</v>
      </c>
      <c r="V237" s="1068" t="s">
        <v>2936</v>
      </c>
      <c r="W237" s="1068" t="s">
        <v>2231</v>
      </c>
      <c r="X237" s="1069" t="s">
        <v>2998</v>
      </c>
      <c r="Y237" s="1070" t="s">
        <v>2999</v>
      </c>
      <c r="Z237" s="1071" t="s">
        <v>3000</v>
      </c>
      <c r="AA237" s="1072" t="s">
        <v>2260</v>
      </c>
      <c r="AB237" s="1073">
        <v>1</v>
      </c>
      <c r="AC237" s="1073" t="s">
        <v>2260</v>
      </c>
      <c r="AD237" s="1073" t="s">
        <v>2260</v>
      </c>
      <c r="AE237" s="1073" t="s">
        <v>2260</v>
      </c>
      <c r="AF237" s="1073" t="s">
        <v>2260</v>
      </c>
      <c r="AG237" s="1073" t="s">
        <v>2260</v>
      </c>
      <c r="AH237" s="1073" t="s">
        <v>2260</v>
      </c>
      <c r="AI237" s="1074">
        <f t="shared" si="3"/>
        <v>1</v>
      </c>
      <c r="AJ237" s="1075" t="s">
        <v>1846</v>
      </c>
      <c r="AK237" s="1075" t="s">
        <v>1826</v>
      </c>
      <c r="AL237" s="1075" t="s">
        <v>1827</v>
      </c>
      <c r="AM237" s="1076" t="s">
        <v>2260</v>
      </c>
      <c r="AN237" s="987" t="s">
        <v>1857</v>
      </c>
      <c r="AO237" s="987" t="s">
        <v>3001</v>
      </c>
      <c r="AP237" s="1243">
        <v>1</v>
      </c>
      <c r="AQ237" s="1045" t="s">
        <v>1838</v>
      </c>
      <c r="AR237" s="1078" t="s">
        <v>2260</v>
      </c>
      <c r="AS237" s="1079"/>
      <c r="AT237" s="1069"/>
      <c r="AU237" s="1069"/>
      <c r="AV237" s="1069"/>
      <c r="AW237" s="1080"/>
      <c r="AX237" s="1081"/>
      <c r="AY237" s="1044"/>
      <c r="AZ237" s="1045"/>
      <c r="BA237" s="1045"/>
      <c r="BB237" s="1045"/>
      <c r="BC237" s="1045"/>
      <c r="BD237" s="1045"/>
      <c r="BE237" s="1045"/>
      <c r="BF237" s="1045"/>
      <c r="BG237" s="1045"/>
      <c r="BH237" s="1045"/>
      <c r="BI237" s="1369"/>
      <c r="BJ237" s="1319"/>
      <c r="BK237" s="1319"/>
      <c r="BL237" s="1319"/>
      <c r="BM237" s="1319"/>
      <c r="BN237" s="1044"/>
      <c r="BO237" s="1045"/>
      <c r="BP237" s="1045"/>
      <c r="BQ237" s="1045"/>
      <c r="BR237" s="1045"/>
      <c r="BS237" s="1084"/>
      <c r="BT237" s="1045"/>
      <c r="BU237" s="1045"/>
      <c r="BV237" s="1045"/>
      <c r="BW237" s="1085"/>
      <c r="BX237" s="1084"/>
      <c r="BY237" s="1045"/>
      <c r="BZ237" s="1045"/>
      <c r="CA237" s="1045"/>
      <c r="CB237" s="1085"/>
      <c r="CC237" s="1086"/>
      <c r="CD237" s="1327"/>
      <c r="CE237" s="1328"/>
      <c r="CF237" s="1328"/>
      <c r="CG237" s="1328"/>
      <c r="CH237" s="1389"/>
      <c r="CI237" s="1369"/>
      <c r="CJ237" s="1319"/>
      <c r="CK237" s="1319"/>
      <c r="CL237" s="1319"/>
      <c r="CM237" s="1320"/>
      <c r="CN237" s="1369"/>
      <c r="CO237" s="1319"/>
      <c r="CP237" s="1319"/>
      <c r="CQ237" s="1319"/>
      <c r="CR237" s="1320"/>
      <c r="CS237" s="1369"/>
      <c r="CT237" s="1319"/>
      <c r="CU237" s="1319"/>
      <c r="CV237" s="1319"/>
      <c r="CW237" s="1320"/>
      <c r="CX237" s="1369"/>
      <c r="CY237" s="1319"/>
      <c r="CZ237" s="1319"/>
      <c r="DA237" s="1319"/>
      <c r="DB237" s="1320"/>
      <c r="DC237" s="1319"/>
      <c r="DD237" s="1319"/>
      <c r="DE237" s="1319"/>
      <c r="DF237" s="1319"/>
      <c r="DG237" s="1320"/>
      <c r="DH237" s="1369"/>
      <c r="DI237" s="1319"/>
      <c r="DJ237" s="1319"/>
      <c r="DK237" s="1319"/>
      <c r="DL237" s="1320"/>
      <c r="DM237" s="1743"/>
      <c r="DN237" s="1744"/>
      <c r="DO237" s="1744"/>
      <c r="DP237" s="1745"/>
      <c r="DQ237" s="1744"/>
      <c r="DR237" s="1744"/>
      <c r="DS237" s="1744"/>
      <c r="DT237" s="1745"/>
      <c r="DU237" s="1328"/>
      <c r="DV237" s="1664"/>
      <c r="DW237" s="1746"/>
    </row>
    <row r="238" spans="1:127" s="382" customFormat="1" ht="15.75" customHeight="1">
      <c r="A238" s="1066" t="s">
        <v>1296</v>
      </c>
      <c r="B238" s="1026">
        <v>229</v>
      </c>
      <c r="C238" s="987"/>
      <c r="D238" s="987"/>
      <c r="E238" s="987"/>
      <c r="F238" s="987"/>
      <c r="G238" s="987"/>
      <c r="H238" s="987"/>
      <c r="I238" s="987"/>
      <c r="J238" s="987"/>
      <c r="K238" s="987"/>
      <c r="L238" s="987"/>
      <c r="M238" s="1026"/>
      <c r="N238" s="987"/>
      <c r="O238" s="987"/>
      <c r="P238" s="987"/>
      <c r="Q238" s="987"/>
      <c r="R238" s="987"/>
      <c r="S238" s="987"/>
      <c r="T238" s="988"/>
      <c r="U238" s="1067" t="s">
        <v>1674</v>
      </c>
      <c r="V238" s="1068" t="s">
        <v>2946</v>
      </c>
      <c r="W238" s="1068" t="s">
        <v>2223</v>
      </c>
      <c r="X238" s="1069" t="s">
        <v>3002</v>
      </c>
      <c r="Y238" s="1070" t="s">
        <v>3003</v>
      </c>
      <c r="Z238" s="1071" t="s">
        <v>3004</v>
      </c>
      <c r="AA238" s="1072" t="s">
        <v>2260</v>
      </c>
      <c r="AB238" s="1073" t="s">
        <v>2260</v>
      </c>
      <c r="AC238" s="1073" t="s">
        <v>2260</v>
      </c>
      <c r="AD238" s="1073" t="s">
        <v>2260</v>
      </c>
      <c r="AE238" s="1073">
        <v>1</v>
      </c>
      <c r="AF238" s="1073" t="s">
        <v>2260</v>
      </c>
      <c r="AG238" s="1073" t="s">
        <v>2260</v>
      </c>
      <c r="AH238" s="1073" t="s">
        <v>2260</v>
      </c>
      <c r="AI238" s="1074">
        <f t="shared" si="3"/>
        <v>1</v>
      </c>
      <c r="AJ238" s="1075" t="s">
        <v>1825</v>
      </c>
      <c r="AK238" s="1075" t="s">
        <v>2260</v>
      </c>
      <c r="AL238" s="1075" t="s">
        <v>2260</v>
      </c>
      <c r="AM238" s="1076" t="s">
        <v>2396</v>
      </c>
      <c r="AN238" s="987" t="s">
        <v>321</v>
      </c>
      <c r="AO238" s="987" t="s">
        <v>2657</v>
      </c>
      <c r="AP238" s="1243">
        <v>0</v>
      </c>
      <c r="AQ238" s="1045" t="s">
        <v>1838</v>
      </c>
      <c r="AR238" s="1078" t="s">
        <v>2260</v>
      </c>
      <c r="AS238" s="1079"/>
      <c r="AT238" s="1069"/>
      <c r="AU238" s="1069"/>
      <c r="AV238" s="1069"/>
      <c r="AW238" s="1080"/>
      <c r="AX238" s="1081"/>
      <c r="AY238" s="1044"/>
      <c r="AZ238" s="1045"/>
      <c r="BA238" s="1045"/>
      <c r="BB238" s="1045"/>
      <c r="BC238" s="1045"/>
      <c r="BD238" s="1045"/>
      <c r="BE238" s="1045"/>
      <c r="BF238" s="1045"/>
      <c r="BG238" s="1045"/>
      <c r="BH238" s="1045"/>
      <c r="BI238" s="1369"/>
      <c r="BJ238" s="1319"/>
      <c r="BK238" s="1319"/>
      <c r="BL238" s="1319"/>
      <c r="BM238" s="1319"/>
      <c r="BN238" s="1044"/>
      <c r="BO238" s="1045"/>
      <c r="BP238" s="1045"/>
      <c r="BQ238" s="1045"/>
      <c r="BR238" s="1045"/>
      <c r="BS238" s="1084"/>
      <c r="BT238" s="1045"/>
      <c r="BU238" s="1045"/>
      <c r="BV238" s="1045"/>
      <c r="BW238" s="1085"/>
      <c r="BX238" s="1084"/>
      <c r="BY238" s="1045"/>
      <c r="BZ238" s="1045"/>
      <c r="CA238" s="1045"/>
      <c r="CB238" s="1085"/>
      <c r="CC238" s="1086"/>
      <c r="CD238" s="1327"/>
      <c r="CE238" s="1328"/>
      <c r="CF238" s="1328"/>
      <c r="CG238" s="1328"/>
      <c r="CH238" s="1389"/>
      <c r="CI238" s="1369"/>
      <c r="CJ238" s="1319"/>
      <c r="CK238" s="1319"/>
      <c r="CL238" s="1319"/>
      <c r="CM238" s="1320"/>
      <c r="CN238" s="1369"/>
      <c r="CO238" s="1319"/>
      <c r="CP238" s="1319"/>
      <c r="CQ238" s="1319"/>
      <c r="CR238" s="1320"/>
      <c r="CS238" s="1369"/>
      <c r="CT238" s="1319"/>
      <c r="CU238" s="1319"/>
      <c r="CV238" s="1319"/>
      <c r="CW238" s="1320"/>
      <c r="CX238" s="1369"/>
      <c r="CY238" s="1319"/>
      <c r="CZ238" s="1319"/>
      <c r="DA238" s="1319"/>
      <c r="DB238" s="1320"/>
      <c r="DC238" s="1319"/>
      <c r="DD238" s="1319"/>
      <c r="DE238" s="1319"/>
      <c r="DF238" s="1319"/>
      <c r="DG238" s="1320"/>
      <c r="DH238" s="1369"/>
      <c r="DI238" s="1319"/>
      <c r="DJ238" s="1319"/>
      <c r="DK238" s="1319"/>
      <c r="DL238" s="1320"/>
      <c r="DM238" s="1743"/>
      <c r="DN238" s="1744"/>
      <c r="DO238" s="1744"/>
      <c r="DP238" s="1745"/>
      <c r="DQ238" s="1744"/>
      <c r="DR238" s="1744"/>
      <c r="DS238" s="1744"/>
      <c r="DT238" s="1745"/>
      <c r="DU238" s="1328"/>
      <c r="DV238" s="1664"/>
      <c r="DW238" s="1746"/>
    </row>
    <row r="239" spans="1:127" s="382" customFormat="1" ht="15.75" customHeight="1">
      <c r="A239" s="1066" t="s">
        <v>1296</v>
      </c>
      <c r="B239" s="1026">
        <v>230</v>
      </c>
      <c r="C239" s="987"/>
      <c r="D239" s="987"/>
      <c r="E239" s="987"/>
      <c r="F239" s="987"/>
      <c r="G239" s="987"/>
      <c r="H239" s="987"/>
      <c r="I239" s="987"/>
      <c r="J239" s="987"/>
      <c r="K239" s="987"/>
      <c r="L239" s="987"/>
      <c r="M239" s="1026"/>
      <c r="N239" s="987"/>
      <c r="O239" s="987"/>
      <c r="P239" s="987"/>
      <c r="Q239" s="987"/>
      <c r="R239" s="987"/>
      <c r="S239" s="987"/>
      <c r="T239" s="988"/>
      <c r="U239" s="1067" t="s">
        <v>1686</v>
      </c>
      <c r="V239" s="1068" t="s">
        <v>2260</v>
      </c>
      <c r="W239" s="1068" t="s">
        <v>2260</v>
      </c>
      <c r="X239" s="1069" t="s">
        <v>2331</v>
      </c>
      <c r="Y239" s="1070" t="s">
        <v>2332</v>
      </c>
      <c r="Z239" s="1071" t="s">
        <v>2260</v>
      </c>
      <c r="AA239" s="1072" t="s">
        <v>2260</v>
      </c>
      <c r="AB239" s="1073" t="s">
        <v>2260</v>
      </c>
      <c r="AC239" s="1073" t="s">
        <v>2260</v>
      </c>
      <c r="AD239" s="1073" t="s">
        <v>2260</v>
      </c>
      <c r="AE239" s="1073" t="s">
        <v>2260</v>
      </c>
      <c r="AF239" s="1073" t="s">
        <v>2260</v>
      </c>
      <c r="AG239" s="1073" t="s">
        <v>2260</v>
      </c>
      <c r="AH239" s="1073" t="s">
        <v>2260</v>
      </c>
      <c r="AI239" s="1074">
        <f t="shared" si="3"/>
        <v>0</v>
      </c>
      <c r="AJ239" s="1075" t="s">
        <v>1825</v>
      </c>
      <c r="AK239" s="1075" t="s">
        <v>2260</v>
      </c>
      <c r="AL239" s="1075" t="s">
        <v>2260</v>
      </c>
      <c r="AM239" s="1076" t="s">
        <v>2260</v>
      </c>
      <c r="AN239" s="987" t="s">
        <v>2260</v>
      </c>
      <c r="AO239" s="987" t="s">
        <v>2333</v>
      </c>
      <c r="AP239" s="1243">
        <v>0</v>
      </c>
      <c r="AQ239" s="1045" t="s">
        <v>2260</v>
      </c>
      <c r="AR239" s="1078" t="s">
        <v>2260</v>
      </c>
      <c r="AS239" s="1079"/>
      <c r="AT239" s="1069"/>
      <c r="AU239" s="1069"/>
      <c r="AV239" s="1069"/>
      <c r="AW239" s="1080"/>
      <c r="AX239" s="1081"/>
      <c r="AY239" s="1044"/>
      <c r="AZ239" s="1045"/>
      <c r="BA239" s="1045"/>
      <c r="BB239" s="1045"/>
      <c r="BC239" s="1045"/>
      <c r="BD239" s="1045"/>
      <c r="BE239" s="1045"/>
      <c r="BF239" s="1045"/>
      <c r="BG239" s="1045"/>
      <c r="BH239" s="1045"/>
      <c r="BI239" s="1369"/>
      <c r="BJ239" s="1319"/>
      <c r="BK239" s="1319"/>
      <c r="BL239" s="1319"/>
      <c r="BM239" s="1319"/>
      <c r="BN239" s="1044"/>
      <c r="BO239" s="1045"/>
      <c r="BP239" s="1045"/>
      <c r="BQ239" s="1045"/>
      <c r="BR239" s="1045"/>
      <c r="BS239" s="1084"/>
      <c r="BT239" s="1045"/>
      <c r="BU239" s="1045"/>
      <c r="BV239" s="1045"/>
      <c r="BW239" s="1085"/>
      <c r="BX239" s="1084"/>
      <c r="BY239" s="1045"/>
      <c r="BZ239" s="1045"/>
      <c r="CA239" s="1045"/>
      <c r="CB239" s="1085"/>
      <c r="CC239" s="1086"/>
      <c r="CD239" s="1327"/>
      <c r="CE239" s="1328"/>
      <c r="CF239" s="1328"/>
      <c r="CG239" s="1328"/>
      <c r="CH239" s="1389"/>
      <c r="CI239" s="1369"/>
      <c r="CJ239" s="1319"/>
      <c r="CK239" s="1319"/>
      <c r="CL239" s="1319"/>
      <c r="CM239" s="1320"/>
      <c r="CN239" s="1369"/>
      <c r="CO239" s="1319"/>
      <c r="CP239" s="1319"/>
      <c r="CQ239" s="1319"/>
      <c r="CR239" s="1320"/>
      <c r="CS239" s="1369"/>
      <c r="CT239" s="1319"/>
      <c r="CU239" s="1319"/>
      <c r="CV239" s="1319"/>
      <c r="CW239" s="1320"/>
      <c r="CX239" s="1369"/>
      <c r="CY239" s="1319"/>
      <c r="CZ239" s="1319"/>
      <c r="DA239" s="1319"/>
      <c r="DB239" s="1320"/>
      <c r="DC239" s="1319"/>
      <c r="DD239" s="1319"/>
      <c r="DE239" s="1319"/>
      <c r="DF239" s="1319"/>
      <c r="DG239" s="1320"/>
      <c r="DH239" s="1369"/>
      <c r="DI239" s="1319"/>
      <c r="DJ239" s="1319"/>
      <c r="DK239" s="1319"/>
      <c r="DL239" s="1320"/>
      <c r="DM239" s="1743"/>
      <c r="DN239" s="1744"/>
      <c r="DO239" s="1744"/>
      <c r="DP239" s="1745"/>
      <c r="DQ239" s="1744"/>
      <c r="DR239" s="1744"/>
      <c r="DS239" s="1744"/>
      <c r="DT239" s="1745"/>
      <c r="DU239" s="1328"/>
      <c r="DV239" s="1664"/>
      <c r="DW239" s="1746"/>
    </row>
    <row r="240" spans="1:127" s="382" customFormat="1" ht="15.75" customHeight="1">
      <c r="A240" s="1066" t="s">
        <v>1278</v>
      </c>
      <c r="B240" s="1026">
        <v>231</v>
      </c>
      <c r="C240" s="987"/>
      <c r="D240" s="987"/>
      <c r="E240" s="987"/>
      <c r="F240" s="987"/>
      <c r="G240" s="987"/>
      <c r="H240" s="987"/>
      <c r="I240" s="987"/>
      <c r="J240" s="987"/>
      <c r="K240" s="987"/>
      <c r="L240" s="987"/>
      <c r="M240" s="1026"/>
      <c r="N240" s="987"/>
      <c r="O240" s="987"/>
      <c r="P240" s="987"/>
      <c r="Q240" s="987"/>
      <c r="R240" s="987"/>
      <c r="S240" s="987"/>
      <c r="T240" s="988"/>
      <c r="U240" s="1067" t="s">
        <v>1766</v>
      </c>
      <c r="V240" s="1068" t="s">
        <v>3008</v>
      </c>
      <c r="W240" s="1068" t="s">
        <v>2231</v>
      </c>
      <c r="X240" s="1069" t="s">
        <v>2963</v>
      </c>
      <c r="Y240" s="1070" t="s">
        <v>2251</v>
      </c>
      <c r="Z240" s="1071" t="s">
        <v>3009</v>
      </c>
      <c r="AA240" s="1072" t="s">
        <v>2260</v>
      </c>
      <c r="AB240" s="1073" t="s">
        <v>2260</v>
      </c>
      <c r="AC240" s="1073" t="s">
        <v>2260</v>
      </c>
      <c r="AD240" s="1073" t="s">
        <v>2260</v>
      </c>
      <c r="AE240" s="1073">
        <v>1</v>
      </c>
      <c r="AF240" s="1073" t="s">
        <v>2260</v>
      </c>
      <c r="AG240" s="1073" t="s">
        <v>2260</v>
      </c>
      <c r="AH240" s="1073" t="s">
        <v>2260</v>
      </c>
      <c r="AI240" s="1074">
        <f t="shared" si="3"/>
        <v>1</v>
      </c>
      <c r="AJ240" s="1075" t="s">
        <v>1852</v>
      </c>
      <c r="AK240" s="1075" t="s">
        <v>1826</v>
      </c>
      <c r="AL240" s="1075" t="s">
        <v>1827</v>
      </c>
      <c r="AM240" s="1076" t="s">
        <v>1888</v>
      </c>
      <c r="AN240" s="987" t="s">
        <v>1897</v>
      </c>
      <c r="AO240" s="987" t="s">
        <v>3010</v>
      </c>
      <c r="AP240" s="1285">
        <v>2</v>
      </c>
      <c r="AQ240" s="1045" t="s">
        <v>1828</v>
      </c>
      <c r="AR240" s="1078" t="s">
        <v>2251</v>
      </c>
      <c r="AS240" s="1079"/>
      <c r="AT240" s="1069"/>
      <c r="AU240" s="1069"/>
      <c r="AV240" s="1069"/>
      <c r="AW240" s="1080"/>
      <c r="AX240" s="1081"/>
      <c r="AY240" s="1044"/>
      <c r="AZ240" s="1045"/>
      <c r="BA240" s="1045"/>
      <c r="BB240" s="1045"/>
      <c r="BC240" s="1045"/>
      <c r="BD240" s="1045"/>
      <c r="BE240" s="1045"/>
      <c r="BF240" s="1045"/>
      <c r="BG240" s="1045"/>
      <c r="BH240" s="1045"/>
      <c r="BI240" s="1044" t="s">
        <v>2260</v>
      </c>
      <c r="BJ240" s="1045" t="s">
        <v>2260</v>
      </c>
      <c r="BK240" s="1045" t="s">
        <v>2260</v>
      </c>
      <c r="BL240" s="1045" t="s">
        <v>2260</v>
      </c>
      <c r="BM240" s="1045" t="s">
        <v>2260</v>
      </c>
      <c r="BN240" s="1044"/>
      <c r="BO240" s="1045"/>
      <c r="BP240" s="1045"/>
      <c r="BQ240" s="1045"/>
      <c r="BR240" s="1045"/>
      <c r="BS240" s="1084"/>
      <c r="BT240" s="1045"/>
      <c r="BU240" s="1045"/>
      <c r="BV240" s="1045"/>
      <c r="BW240" s="1085"/>
      <c r="BX240" s="1084"/>
      <c r="BY240" s="1045"/>
      <c r="BZ240" s="1045"/>
      <c r="CA240" s="1045"/>
      <c r="CB240" s="1085"/>
      <c r="CC240" s="1086"/>
      <c r="CD240" s="1087" t="s">
        <v>210</v>
      </c>
      <c r="CE240" s="1088" t="s">
        <v>210</v>
      </c>
      <c r="CF240" s="1088" t="s">
        <v>210</v>
      </c>
      <c r="CG240" s="1088" t="s">
        <v>210</v>
      </c>
      <c r="CH240" s="1089" t="s">
        <v>210</v>
      </c>
      <c r="CI240" s="1044" t="s">
        <v>2260</v>
      </c>
      <c r="CJ240" s="1045" t="s">
        <v>2260</v>
      </c>
      <c r="CK240" s="1045" t="s">
        <v>2260</v>
      </c>
      <c r="CL240" s="1045" t="s">
        <v>2260</v>
      </c>
      <c r="CM240" s="1086" t="s">
        <v>2260</v>
      </c>
      <c r="CN240" s="1044" t="s">
        <v>2260</v>
      </c>
      <c r="CO240" s="1045" t="s">
        <v>2260</v>
      </c>
      <c r="CP240" s="1045" t="s">
        <v>2260</v>
      </c>
      <c r="CQ240" s="1045" t="s">
        <v>2260</v>
      </c>
      <c r="CR240" s="1086" t="s">
        <v>2260</v>
      </c>
      <c r="CS240" s="1044" t="s">
        <v>2260</v>
      </c>
      <c r="CT240" s="1045" t="s">
        <v>2260</v>
      </c>
      <c r="CU240" s="1045" t="s">
        <v>2260</v>
      </c>
      <c r="CV240" s="1045" t="s">
        <v>2260</v>
      </c>
      <c r="CW240" s="1086" t="s">
        <v>2260</v>
      </c>
      <c r="CX240" s="1044" t="s">
        <v>2260</v>
      </c>
      <c r="CY240" s="1045" t="s">
        <v>2260</v>
      </c>
      <c r="CZ240" s="1045" t="s">
        <v>2260</v>
      </c>
      <c r="DA240" s="1045" t="s">
        <v>2260</v>
      </c>
      <c r="DB240" s="1086" t="s">
        <v>2260</v>
      </c>
      <c r="DC240" s="1045" t="s">
        <v>2260</v>
      </c>
      <c r="DD240" s="1045" t="s">
        <v>2260</v>
      </c>
      <c r="DE240" s="1045" t="s">
        <v>2260</v>
      </c>
      <c r="DF240" s="1045" t="s">
        <v>2260</v>
      </c>
      <c r="DG240" s="1086" t="s">
        <v>2260</v>
      </c>
      <c r="DH240" s="1044" t="s">
        <v>2260</v>
      </c>
      <c r="DI240" s="1045" t="s">
        <v>2260</v>
      </c>
      <c r="DJ240" s="1045" t="s">
        <v>2260</v>
      </c>
      <c r="DK240" s="1045" t="s">
        <v>2260</v>
      </c>
      <c r="DL240" s="1086" t="s">
        <v>2260</v>
      </c>
      <c r="DM240" s="1090" t="s">
        <v>2260</v>
      </c>
      <c r="DN240" s="1091" t="s">
        <v>2260</v>
      </c>
      <c r="DO240" s="1091" t="s">
        <v>2260</v>
      </c>
      <c r="DP240" s="1092" t="s">
        <v>2260</v>
      </c>
      <c r="DQ240" s="1091" t="s">
        <v>2260</v>
      </c>
      <c r="DR240" s="1091" t="s">
        <v>2260</v>
      </c>
      <c r="DS240" s="1091" t="s">
        <v>2260</v>
      </c>
      <c r="DT240" s="1092" t="s">
        <v>2260</v>
      </c>
      <c r="DU240" s="1088" t="s">
        <v>2260</v>
      </c>
      <c r="DV240" s="1093" t="s">
        <v>2260</v>
      </c>
      <c r="DW240" s="1094" t="s">
        <v>2260</v>
      </c>
    </row>
    <row r="241" spans="1:127" s="382" customFormat="1" ht="15.75" customHeight="1">
      <c r="A241" s="1066" t="s">
        <v>1278</v>
      </c>
      <c r="B241" s="1026">
        <v>232</v>
      </c>
      <c r="C241" s="987"/>
      <c r="D241" s="987"/>
      <c r="E241" s="987"/>
      <c r="F241" s="987"/>
      <c r="G241" s="987"/>
      <c r="H241" s="987"/>
      <c r="I241" s="987"/>
      <c r="J241" s="987"/>
      <c r="K241" s="987"/>
      <c r="L241" s="987"/>
      <c r="M241" s="1026"/>
      <c r="N241" s="987"/>
      <c r="O241" s="987"/>
      <c r="P241" s="987"/>
      <c r="Q241" s="987"/>
      <c r="R241" s="987"/>
      <c r="S241" s="987"/>
      <c r="T241" s="988"/>
      <c r="U241" s="1067" t="s">
        <v>1783</v>
      </c>
      <c r="V241" s="1068" t="s">
        <v>3011</v>
      </c>
      <c r="W241" s="1068" t="s">
        <v>2231</v>
      </c>
      <c r="X241" s="1069" t="s">
        <v>3012</v>
      </c>
      <c r="Y241" s="1070" t="s">
        <v>2254</v>
      </c>
      <c r="Z241" s="1071" t="s">
        <v>3013</v>
      </c>
      <c r="AA241" s="1072" t="s">
        <v>2260</v>
      </c>
      <c r="AB241" s="1073">
        <v>1</v>
      </c>
      <c r="AC241" s="1073" t="s">
        <v>2260</v>
      </c>
      <c r="AD241" s="1073" t="s">
        <v>2260</v>
      </c>
      <c r="AE241" s="1073" t="s">
        <v>2260</v>
      </c>
      <c r="AF241" s="1073" t="s">
        <v>2260</v>
      </c>
      <c r="AG241" s="1073" t="s">
        <v>2260</v>
      </c>
      <c r="AH241" s="1073" t="s">
        <v>2260</v>
      </c>
      <c r="AI241" s="1074">
        <f t="shared" si="3"/>
        <v>1</v>
      </c>
      <c r="AJ241" s="1075" t="s">
        <v>1852</v>
      </c>
      <c r="AK241" s="1075" t="s">
        <v>1826</v>
      </c>
      <c r="AL241" s="1075" t="s">
        <v>1827</v>
      </c>
      <c r="AM241" s="1076" t="s">
        <v>1891</v>
      </c>
      <c r="AN241" s="987" t="s">
        <v>1897</v>
      </c>
      <c r="AO241" s="987" t="s">
        <v>3010</v>
      </c>
      <c r="AP241" s="1285">
        <v>2</v>
      </c>
      <c r="AQ241" s="1045" t="s">
        <v>1828</v>
      </c>
      <c r="AR241" s="1078" t="s">
        <v>2254</v>
      </c>
      <c r="AS241" s="1079"/>
      <c r="AT241" s="1069"/>
      <c r="AU241" s="1069"/>
      <c r="AV241" s="1069"/>
      <c r="AW241" s="1080"/>
      <c r="AX241" s="1081"/>
      <c r="AY241" s="1044"/>
      <c r="AZ241" s="1045"/>
      <c r="BA241" s="1045"/>
      <c r="BB241" s="1045"/>
      <c r="BC241" s="1045"/>
      <c r="BD241" s="1045"/>
      <c r="BE241" s="1045"/>
      <c r="BF241" s="1045"/>
      <c r="BG241" s="1045"/>
      <c r="BH241" s="1045"/>
      <c r="BI241" s="1044" t="s">
        <v>2260</v>
      </c>
      <c r="BJ241" s="1045" t="s">
        <v>2260</v>
      </c>
      <c r="BK241" s="1045" t="s">
        <v>2260</v>
      </c>
      <c r="BL241" s="1045" t="s">
        <v>2260</v>
      </c>
      <c r="BM241" s="1045" t="s">
        <v>2260</v>
      </c>
      <c r="BN241" s="1044"/>
      <c r="BO241" s="1045"/>
      <c r="BP241" s="1045"/>
      <c r="BQ241" s="1045"/>
      <c r="BR241" s="1045"/>
      <c r="BS241" s="1084"/>
      <c r="BT241" s="1045"/>
      <c r="BU241" s="1045"/>
      <c r="BV241" s="1045"/>
      <c r="BW241" s="1085"/>
      <c r="BX241" s="1084"/>
      <c r="BY241" s="1045"/>
      <c r="BZ241" s="1045"/>
      <c r="CA241" s="1045"/>
      <c r="CB241" s="1085"/>
      <c r="CC241" s="1086"/>
      <c r="CD241" s="1087" t="s">
        <v>210</v>
      </c>
      <c r="CE241" s="1088" t="s">
        <v>210</v>
      </c>
      <c r="CF241" s="1088" t="s">
        <v>210</v>
      </c>
      <c r="CG241" s="1088" t="s">
        <v>210</v>
      </c>
      <c r="CH241" s="1089" t="s">
        <v>210</v>
      </c>
      <c r="CI241" s="1044" t="s">
        <v>2260</v>
      </c>
      <c r="CJ241" s="1045" t="s">
        <v>2260</v>
      </c>
      <c r="CK241" s="1045" t="s">
        <v>2260</v>
      </c>
      <c r="CL241" s="1045" t="s">
        <v>2260</v>
      </c>
      <c r="CM241" s="1086" t="s">
        <v>2260</v>
      </c>
      <c r="CN241" s="1044" t="s">
        <v>2260</v>
      </c>
      <c r="CO241" s="1045" t="s">
        <v>2260</v>
      </c>
      <c r="CP241" s="1045" t="s">
        <v>2260</v>
      </c>
      <c r="CQ241" s="1045" t="s">
        <v>2260</v>
      </c>
      <c r="CR241" s="1086" t="s">
        <v>2260</v>
      </c>
      <c r="CS241" s="1044" t="s">
        <v>2260</v>
      </c>
      <c r="CT241" s="1045" t="s">
        <v>2260</v>
      </c>
      <c r="CU241" s="1045" t="s">
        <v>2260</v>
      </c>
      <c r="CV241" s="1045" t="s">
        <v>2260</v>
      </c>
      <c r="CW241" s="1086" t="s">
        <v>2260</v>
      </c>
      <c r="CX241" s="1044" t="s">
        <v>2260</v>
      </c>
      <c r="CY241" s="1045" t="s">
        <v>2260</v>
      </c>
      <c r="CZ241" s="1045" t="s">
        <v>2260</v>
      </c>
      <c r="DA241" s="1045" t="s">
        <v>2260</v>
      </c>
      <c r="DB241" s="1086" t="s">
        <v>2260</v>
      </c>
      <c r="DC241" s="1045" t="s">
        <v>2260</v>
      </c>
      <c r="DD241" s="1045" t="s">
        <v>2260</v>
      </c>
      <c r="DE241" s="1045" t="s">
        <v>2260</v>
      </c>
      <c r="DF241" s="1045" t="s">
        <v>2260</v>
      </c>
      <c r="DG241" s="1086" t="s">
        <v>2260</v>
      </c>
      <c r="DH241" s="1044" t="s">
        <v>2260</v>
      </c>
      <c r="DI241" s="1045" t="s">
        <v>2260</v>
      </c>
      <c r="DJ241" s="1045" t="s">
        <v>2260</v>
      </c>
      <c r="DK241" s="1045" t="s">
        <v>2260</v>
      </c>
      <c r="DL241" s="1086" t="s">
        <v>2260</v>
      </c>
      <c r="DM241" s="1090" t="s">
        <v>2260</v>
      </c>
      <c r="DN241" s="1091" t="s">
        <v>2260</v>
      </c>
      <c r="DO241" s="1091" t="s">
        <v>2260</v>
      </c>
      <c r="DP241" s="1092" t="s">
        <v>2260</v>
      </c>
      <c r="DQ241" s="1091" t="s">
        <v>2260</v>
      </c>
      <c r="DR241" s="1091" t="s">
        <v>2260</v>
      </c>
      <c r="DS241" s="1091" t="s">
        <v>2260</v>
      </c>
      <c r="DT241" s="1092" t="s">
        <v>2260</v>
      </c>
      <c r="DU241" s="1088" t="s">
        <v>2260</v>
      </c>
      <c r="DV241" s="1093" t="s">
        <v>2260</v>
      </c>
      <c r="DW241" s="1094" t="s">
        <v>2260</v>
      </c>
    </row>
    <row r="242" spans="1:127" s="382" customFormat="1" ht="15.75" customHeight="1">
      <c r="A242" s="1066" t="s">
        <v>1278</v>
      </c>
      <c r="B242" s="1026">
        <v>233</v>
      </c>
      <c r="C242" s="987"/>
      <c r="D242" s="987"/>
      <c r="E242" s="987"/>
      <c r="F242" s="987"/>
      <c r="G242" s="987"/>
      <c r="H242" s="987"/>
      <c r="I242" s="987"/>
      <c r="J242" s="987"/>
      <c r="K242" s="987"/>
      <c r="L242" s="987"/>
      <c r="M242" s="1026"/>
      <c r="N242" s="987"/>
      <c r="O242" s="987"/>
      <c r="P242" s="987"/>
      <c r="Q242" s="987"/>
      <c r="R242" s="987"/>
      <c r="S242" s="987"/>
      <c r="T242" s="988"/>
      <c r="U242" s="1067" t="s">
        <v>1186</v>
      </c>
      <c r="V242" s="1068" t="s">
        <v>3014</v>
      </c>
      <c r="W242" s="1068" t="s">
        <v>2231</v>
      </c>
      <c r="X242" s="1069" t="s">
        <v>2937</v>
      </c>
      <c r="Y242" s="1070" t="s">
        <v>172</v>
      </c>
      <c r="Z242" s="1071" t="s">
        <v>3015</v>
      </c>
      <c r="AA242" s="1072">
        <v>0.1</v>
      </c>
      <c r="AB242" s="1073">
        <v>0.9</v>
      </c>
      <c r="AC242" s="1073" t="s">
        <v>2260</v>
      </c>
      <c r="AD242" s="1073" t="s">
        <v>2260</v>
      </c>
      <c r="AE242" s="1073" t="s">
        <v>2260</v>
      </c>
      <c r="AF242" s="1073" t="s">
        <v>2260</v>
      </c>
      <c r="AG242" s="1073" t="s">
        <v>2260</v>
      </c>
      <c r="AH242" s="1073" t="s">
        <v>2260</v>
      </c>
      <c r="AI242" s="1074">
        <f t="shared" si="3"/>
        <v>1</v>
      </c>
      <c r="AJ242" s="1075" t="s">
        <v>1846</v>
      </c>
      <c r="AK242" s="1075" t="s">
        <v>1826</v>
      </c>
      <c r="AL242" s="1075" t="s">
        <v>1827</v>
      </c>
      <c r="AM242" s="1076" t="s">
        <v>2247</v>
      </c>
      <c r="AN242" s="987" t="s">
        <v>2439</v>
      </c>
      <c r="AO242" s="987" t="s">
        <v>4420</v>
      </c>
      <c r="AP242" s="1276">
        <v>2</v>
      </c>
      <c r="AQ242" s="1045" t="s">
        <v>1838</v>
      </c>
      <c r="AR242" s="1078" t="s">
        <v>172</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210</v>
      </c>
      <c r="CE242" s="1088" t="s">
        <v>210</v>
      </c>
      <c r="CF242" s="1088" t="s">
        <v>210</v>
      </c>
      <c r="CG242" s="1088" t="s">
        <v>210</v>
      </c>
      <c r="CH242" s="1089" t="s">
        <v>210</v>
      </c>
      <c r="CI242" s="1044" t="s">
        <v>2260</v>
      </c>
      <c r="CJ242" s="1045" t="s">
        <v>2260</v>
      </c>
      <c r="CK242" s="1045" t="s">
        <v>2260</v>
      </c>
      <c r="CL242" s="1045" t="s">
        <v>2260</v>
      </c>
      <c r="CM242" s="1086" t="s">
        <v>2260</v>
      </c>
      <c r="CN242" s="1044">
        <v>9.5</v>
      </c>
      <c r="CO242" s="1045">
        <v>9.5</v>
      </c>
      <c r="CP242" s="1045">
        <v>9.5</v>
      </c>
      <c r="CQ242" s="1045">
        <v>9.5</v>
      </c>
      <c r="CR242" s="1086">
        <v>9.5</v>
      </c>
      <c r="CS242" s="1044">
        <v>2</v>
      </c>
      <c r="CT242" s="1045">
        <v>2</v>
      </c>
      <c r="CU242" s="1045">
        <v>2</v>
      </c>
      <c r="CV242" s="1045">
        <v>2</v>
      </c>
      <c r="CW242" s="1086">
        <v>2</v>
      </c>
      <c r="CX242" s="1044" t="s">
        <v>2260</v>
      </c>
      <c r="CY242" s="1045" t="s">
        <v>2260</v>
      </c>
      <c r="CZ242" s="1045" t="s">
        <v>2260</v>
      </c>
      <c r="DA242" s="1045" t="s">
        <v>2260</v>
      </c>
      <c r="DB242" s="1086" t="s">
        <v>2260</v>
      </c>
      <c r="DC242" s="1045" t="s">
        <v>2260</v>
      </c>
      <c r="DD242" s="1045" t="s">
        <v>2260</v>
      </c>
      <c r="DE242" s="1045" t="s">
        <v>2260</v>
      </c>
      <c r="DF242" s="1045" t="s">
        <v>2260</v>
      </c>
      <c r="DG242" s="1086" t="s">
        <v>2260</v>
      </c>
      <c r="DH242" s="1044" t="s">
        <v>2260</v>
      </c>
      <c r="DI242" s="1045" t="s">
        <v>2260</v>
      </c>
      <c r="DJ242" s="1045" t="s">
        <v>2260</v>
      </c>
      <c r="DK242" s="1045" t="s">
        <v>2260</v>
      </c>
      <c r="DL242" s="1086" t="s">
        <v>2260</v>
      </c>
      <c r="DM242" s="1090">
        <v>-0.52100000000000002</v>
      </c>
      <c r="DN242" s="1091" t="s">
        <v>2260</v>
      </c>
      <c r="DO242" s="1091" t="s">
        <v>2260</v>
      </c>
      <c r="DP242" s="1092" t="s">
        <v>2260</v>
      </c>
      <c r="DQ242" s="1091">
        <v>0</v>
      </c>
      <c r="DR242" s="1091" t="s">
        <v>2260</v>
      </c>
      <c r="DS242" s="1091" t="s">
        <v>2260</v>
      </c>
      <c r="DT242" s="1092" t="s">
        <v>2260</v>
      </c>
      <c r="DU242" s="1088" t="s">
        <v>173</v>
      </c>
      <c r="DV242" s="1093">
        <v>1</v>
      </c>
      <c r="DW242" s="1094" t="s">
        <v>2260</v>
      </c>
    </row>
    <row r="243" spans="1:127" s="382" customFormat="1" ht="15.75" customHeight="1">
      <c r="A243" s="1066" t="s">
        <v>1278</v>
      </c>
      <c r="B243" s="1026">
        <v>234</v>
      </c>
      <c r="C243" s="987"/>
      <c r="D243" s="987"/>
      <c r="E243" s="987"/>
      <c r="F243" s="987"/>
      <c r="G243" s="987"/>
      <c r="H243" s="987"/>
      <c r="I243" s="987"/>
      <c r="J243" s="987"/>
      <c r="K243" s="987"/>
      <c r="L243" s="987"/>
      <c r="M243" s="1026"/>
      <c r="N243" s="987"/>
      <c r="O243" s="987"/>
      <c r="P243" s="987"/>
      <c r="Q243" s="987"/>
      <c r="R243" s="987"/>
      <c r="S243" s="987"/>
      <c r="T243" s="988"/>
      <c r="U243" s="1067" t="s">
        <v>1187</v>
      </c>
      <c r="V243" s="1068" t="s">
        <v>3017</v>
      </c>
      <c r="W243" s="1068" t="s">
        <v>2223</v>
      </c>
      <c r="X243" s="1069" t="s">
        <v>2947</v>
      </c>
      <c r="Y243" s="1070" t="s">
        <v>179</v>
      </c>
      <c r="Z243" s="1071" t="s">
        <v>3018</v>
      </c>
      <c r="AA243" s="1072">
        <v>0.05</v>
      </c>
      <c r="AB243" s="1073">
        <v>0.95</v>
      </c>
      <c r="AC243" s="1073" t="s">
        <v>2260</v>
      </c>
      <c r="AD243" s="1073" t="s">
        <v>2260</v>
      </c>
      <c r="AE243" s="1073" t="s">
        <v>2260</v>
      </c>
      <c r="AF243" s="1073" t="s">
        <v>2260</v>
      </c>
      <c r="AG243" s="1073" t="s">
        <v>2260</v>
      </c>
      <c r="AH243" s="1073" t="s">
        <v>2260</v>
      </c>
      <c r="AI243" s="1074">
        <f t="shared" si="3"/>
        <v>1</v>
      </c>
      <c r="AJ243" s="1075" t="s">
        <v>1852</v>
      </c>
      <c r="AK243" s="1075" t="s">
        <v>1826</v>
      </c>
      <c r="AL243" s="1075" t="s">
        <v>1827</v>
      </c>
      <c r="AM243" s="1076" t="s">
        <v>2220</v>
      </c>
      <c r="AN243" s="987" t="s">
        <v>4414</v>
      </c>
      <c r="AO243" s="987" t="s">
        <v>4415</v>
      </c>
      <c r="AP243" s="1276">
        <v>0</v>
      </c>
      <c r="AQ243" s="1045" t="s">
        <v>1838</v>
      </c>
      <c r="AR243" s="1078" t="s">
        <v>179</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210</v>
      </c>
      <c r="CE243" s="1088" t="s">
        <v>210</v>
      </c>
      <c r="CF243" s="1088" t="s">
        <v>210</v>
      </c>
      <c r="CG243" s="1088" t="s">
        <v>210</v>
      </c>
      <c r="CH243" s="1089" t="s">
        <v>210</v>
      </c>
      <c r="CI243" s="1118" t="s">
        <v>2260</v>
      </c>
      <c r="CJ243" s="1119" t="s">
        <v>2260</v>
      </c>
      <c r="CK243" s="1119" t="s">
        <v>2260</v>
      </c>
      <c r="CL243" s="1119" t="s">
        <v>2260</v>
      </c>
      <c r="CM243" s="1122" t="s">
        <v>2260</v>
      </c>
      <c r="CN243" s="1118">
        <v>1.5798611111111114E-2</v>
      </c>
      <c r="CO243" s="1119">
        <v>1.5798611111111114E-2</v>
      </c>
      <c r="CP243" s="1119">
        <v>1.5798611111111114E-2</v>
      </c>
      <c r="CQ243" s="1119">
        <v>1.5798611111111114E-2</v>
      </c>
      <c r="CR243" s="1122">
        <v>1.5798611111111114E-2</v>
      </c>
      <c r="CS243" s="1118" t="s">
        <v>2260</v>
      </c>
      <c r="CT243" s="1119" t="s">
        <v>2260</v>
      </c>
      <c r="CU243" s="1119" t="s">
        <v>2260</v>
      </c>
      <c r="CV243" s="1119" t="s">
        <v>2260</v>
      </c>
      <c r="CW243" s="1122" t="s">
        <v>2260</v>
      </c>
      <c r="CX243" s="1118" t="s">
        <v>2260</v>
      </c>
      <c r="CY243" s="1119" t="s">
        <v>2260</v>
      </c>
      <c r="CZ243" s="1119" t="s">
        <v>2260</v>
      </c>
      <c r="DA243" s="1119" t="s">
        <v>2260</v>
      </c>
      <c r="DB243" s="1122" t="s">
        <v>2260</v>
      </c>
      <c r="DC243" s="1119">
        <v>4.0972222222222226E-3</v>
      </c>
      <c r="DD243" s="1119">
        <v>3.8425925925925932E-3</v>
      </c>
      <c r="DE243" s="1119">
        <v>3.5763888888888898E-3</v>
      </c>
      <c r="DF243" s="1119">
        <v>3.3217592592592595E-3</v>
      </c>
      <c r="DG243" s="1122">
        <v>3.0555555555555553E-3</v>
      </c>
      <c r="DH243" s="1118" t="s">
        <v>2260</v>
      </c>
      <c r="DI243" s="1119" t="s">
        <v>2260</v>
      </c>
      <c r="DJ243" s="1119" t="s">
        <v>2260</v>
      </c>
      <c r="DK243" s="1119" t="s">
        <v>2260</v>
      </c>
      <c r="DL243" s="1122" t="s">
        <v>2260</v>
      </c>
      <c r="DM243" s="1090">
        <v>-0.19</v>
      </c>
      <c r="DN243" s="1091" t="s">
        <v>2260</v>
      </c>
      <c r="DO243" s="1091" t="s">
        <v>2260</v>
      </c>
      <c r="DP243" s="1092" t="s">
        <v>2260</v>
      </c>
      <c r="DQ243" s="1091">
        <v>0.19</v>
      </c>
      <c r="DR243" s="1091" t="s">
        <v>2260</v>
      </c>
      <c r="DS243" s="1091" t="s">
        <v>2260</v>
      </c>
      <c r="DT243" s="1092" t="s">
        <v>2260</v>
      </c>
      <c r="DU243" s="1088" t="s">
        <v>173</v>
      </c>
      <c r="DV243" s="1093">
        <v>1</v>
      </c>
      <c r="DW243" s="1094" t="s">
        <v>2260</v>
      </c>
    </row>
    <row r="244" spans="1:127" s="382" customFormat="1" ht="15.75" customHeight="1">
      <c r="A244" s="1023" t="s">
        <v>1278</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1202</v>
      </c>
      <c r="V244" s="1029" t="s">
        <v>3020</v>
      </c>
      <c r="W244" s="1029" t="s">
        <v>2217</v>
      </c>
      <c r="X244" s="1030" t="s">
        <v>2970</v>
      </c>
      <c r="Y244" s="1031" t="s">
        <v>705</v>
      </c>
      <c r="Z244" s="1032" t="s">
        <v>3021</v>
      </c>
      <c r="AA244" s="1033" t="s">
        <v>2260</v>
      </c>
      <c r="AB244" s="1034">
        <v>1</v>
      </c>
      <c r="AC244" s="1034" t="s">
        <v>2260</v>
      </c>
      <c r="AD244" s="1034" t="s">
        <v>2260</v>
      </c>
      <c r="AE244" s="1034" t="s">
        <v>2260</v>
      </c>
      <c r="AF244" s="1034" t="s">
        <v>2260</v>
      </c>
      <c r="AG244" s="1034" t="s">
        <v>2260</v>
      </c>
      <c r="AH244" s="1034" t="s">
        <v>2260</v>
      </c>
      <c r="AI244" s="1035">
        <f t="shared" si="3"/>
        <v>1</v>
      </c>
      <c r="AJ244" s="1036" t="s">
        <v>1852</v>
      </c>
      <c r="AK244" s="1036" t="s">
        <v>1826</v>
      </c>
      <c r="AL244" s="1036" t="s">
        <v>1827</v>
      </c>
      <c r="AM244" s="1037" t="s">
        <v>705</v>
      </c>
      <c r="AN244" s="1031" t="s">
        <v>321</v>
      </c>
      <c r="AO244" s="1031" t="s">
        <v>4416</v>
      </c>
      <c r="AP244" s="1276">
        <v>1</v>
      </c>
      <c r="AQ244" s="802" t="s">
        <v>1828</v>
      </c>
      <c r="AR244" s="1040" t="s">
        <v>705</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210</v>
      </c>
      <c r="CE244" s="1054" t="s">
        <v>210</v>
      </c>
      <c r="CF244" s="1054" t="s">
        <v>210</v>
      </c>
      <c r="CG244" s="1054" t="s">
        <v>210</v>
      </c>
      <c r="CH244" s="1055" t="s">
        <v>210</v>
      </c>
      <c r="CI244" s="1058" t="s">
        <v>2260</v>
      </c>
      <c r="CJ244" s="1056" t="s">
        <v>2260</v>
      </c>
      <c r="CK244" s="1056" t="s">
        <v>2260</v>
      </c>
      <c r="CL244" s="1056" t="s">
        <v>2260</v>
      </c>
      <c r="CM244" s="1057" t="s">
        <v>2260</v>
      </c>
      <c r="CN244" s="1058">
        <v>-5</v>
      </c>
      <c r="CO244" s="1056">
        <v>-5</v>
      </c>
      <c r="CP244" s="1056">
        <v>-5</v>
      </c>
      <c r="CQ244" s="1056">
        <v>-5</v>
      </c>
      <c r="CR244" s="1057">
        <v>-5</v>
      </c>
      <c r="CS244" s="1048" t="s">
        <v>2260</v>
      </c>
      <c r="CT244" s="1049" t="s">
        <v>2260</v>
      </c>
      <c r="CU244" s="1049" t="s">
        <v>2260</v>
      </c>
      <c r="CV244" s="1049" t="s">
        <v>2260</v>
      </c>
      <c r="CW244" s="1052" t="s">
        <v>2260</v>
      </c>
      <c r="CX244" s="1048" t="s">
        <v>2260</v>
      </c>
      <c r="CY244" s="1049" t="s">
        <v>2260</v>
      </c>
      <c r="CZ244" s="1049" t="s">
        <v>2260</v>
      </c>
      <c r="DA244" s="1049" t="s">
        <v>2260</v>
      </c>
      <c r="DB244" s="1052" t="s">
        <v>2260</v>
      </c>
      <c r="DC244" s="1056">
        <v>4.7</v>
      </c>
      <c r="DD244" s="1056">
        <v>5</v>
      </c>
      <c r="DE244" s="1056">
        <v>6.7</v>
      </c>
      <c r="DF244" s="1056">
        <v>9.6999999999999993</v>
      </c>
      <c r="DG244" s="1057">
        <v>14.3</v>
      </c>
      <c r="DH244" s="1058" t="s">
        <v>2260</v>
      </c>
      <c r="DI244" s="1049" t="s">
        <v>2260</v>
      </c>
      <c r="DJ244" s="1049" t="s">
        <v>2260</v>
      </c>
      <c r="DK244" s="1049" t="s">
        <v>2260</v>
      </c>
      <c r="DL244" s="1052" t="s">
        <v>2260</v>
      </c>
      <c r="DM244" s="1060">
        <v>-0.45400000000000001</v>
      </c>
      <c r="DN244" s="1061">
        <v>-0.66300000000000003</v>
      </c>
      <c r="DO244" s="1061" t="s">
        <v>2260</v>
      </c>
      <c r="DP244" s="1062" t="s">
        <v>2260</v>
      </c>
      <c r="DQ244" s="1061">
        <v>0.379</v>
      </c>
      <c r="DR244" s="1061" t="s">
        <v>2260</v>
      </c>
      <c r="DS244" s="1061" t="s">
        <v>2260</v>
      </c>
      <c r="DT244" s="1062" t="s">
        <v>2260</v>
      </c>
      <c r="DU244" s="1054" t="s">
        <v>2260</v>
      </c>
      <c r="DV244" s="1063">
        <v>1</v>
      </c>
      <c r="DW244" s="1064" t="s">
        <v>2260</v>
      </c>
    </row>
    <row r="245" spans="1:127" s="382" customFormat="1" ht="15.75" customHeight="1">
      <c r="A245" s="1023" t="s">
        <v>1278</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1189</v>
      </c>
      <c r="V245" s="1029" t="s">
        <v>3023</v>
      </c>
      <c r="W245" s="1029" t="s">
        <v>2231</v>
      </c>
      <c r="X245" s="1030" t="s">
        <v>2978</v>
      </c>
      <c r="Y245" s="1031" t="s">
        <v>1084</v>
      </c>
      <c r="Z245" s="1032" t="s">
        <v>3024</v>
      </c>
      <c r="AA245" s="1033" t="s">
        <v>2260</v>
      </c>
      <c r="AB245" s="1034">
        <v>0.25</v>
      </c>
      <c r="AC245" s="1034" t="s">
        <v>2260</v>
      </c>
      <c r="AD245" s="1034" t="s">
        <v>2260</v>
      </c>
      <c r="AE245" s="1034">
        <v>0.75</v>
      </c>
      <c r="AF245" s="1034" t="s">
        <v>2260</v>
      </c>
      <c r="AG245" s="1034" t="s">
        <v>2260</v>
      </c>
      <c r="AH245" s="1034" t="s">
        <v>2260</v>
      </c>
      <c r="AI245" s="1035">
        <f t="shared" si="3"/>
        <v>1</v>
      </c>
      <c r="AJ245" s="1036" t="s">
        <v>1852</v>
      </c>
      <c r="AK245" s="1036" t="s">
        <v>1826</v>
      </c>
      <c r="AL245" s="1389" t="s">
        <v>1837</v>
      </c>
      <c r="AM245" s="1037" t="s">
        <v>2348</v>
      </c>
      <c r="AN245" s="1031" t="s">
        <v>2397</v>
      </c>
      <c r="AO245" s="1031" t="s">
        <v>4416</v>
      </c>
      <c r="AP245" s="1276">
        <v>1</v>
      </c>
      <c r="AQ245" s="802" t="s">
        <v>1828</v>
      </c>
      <c r="AR245" s="1040" t="s">
        <v>1084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210</v>
      </c>
      <c r="CE245" s="1054" t="s">
        <v>210</v>
      </c>
      <c r="CF245" s="1054" t="s">
        <v>210</v>
      </c>
      <c r="CG245" s="1054" t="s">
        <v>210</v>
      </c>
      <c r="CH245" s="1055" t="s">
        <v>210</v>
      </c>
      <c r="CI245" s="1058" t="s">
        <v>2260</v>
      </c>
      <c r="CJ245" s="1056" t="s">
        <v>2260</v>
      </c>
      <c r="CK245" s="1056" t="s">
        <v>2260</v>
      </c>
      <c r="CL245" s="1056" t="s">
        <v>2260</v>
      </c>
      <c r="CM245" s="1057" t="s">
        <v>2260</v>
      </c>
      <c r="CN245" s="1121" t="s">
        <v>2260</v>
      </c>
      <c r="CO245" s="1056" t="s">
        <v>2260</v>
      </c>
      <c r="CP245" s="1056" t="s">
        <v>2260</v>
      </c>
      <c r="CQ245" s="1056" t="s">
        <v>2260</v>
      </c>
      <c r="CR245" s="1057" t="s">
        <v>2260</v>
      </c>
      <c r="CS245" s="1048" t="s">
        <v>2260</v>
      </c>
      <c r="CT245" s="1049" t="s">
        <v>2260</v>
      </c>
      <c r="CU245" s="1049" t="s">
        <v>2260</v>
      </c>
      <c r="CV245" s="1049" t="s">
        <v>2260</v>
      </c>
      <c r="CW245" s="1052" t="s">
        <v>2260</v>
      </c>
      <c r="CX245" s="1048" t="s">
        <v>2260</v>
      </c>
      <c r="CY245" s="1049" t="s">
        <v>2260</v>
      </c>
      <c r="CZ245" s="1049" t="s">
        <v>2260</v>
      </c>
      <c r="DA245" s="1049" t="s">
        <v>2260</v>
      </c>
      <c r="DB245" s="1052" t="s">
        <v>2260</v>
      </c>
      <c r="DC245" s="1056" t="s">
        <v>2260</v>
      </c>
      <c r="DD245" s="1056" t="s">
        <v>2260</v>
      </c>
      <c r="DE245" s="1056" t="s">
        <v>2260</v>
      </c>
      <c r="DF245" s="1056" t="s">
        <v>2260</v>
      </c>
      <c r="DG245" s="1057" t="s">
        <v>2260</v>
      </c>
      <c r="DH245" s="1058" t="s">
        <v>2260</v>
      </c>
      <c r="DI245" s="1049" t="s">
        <v>2260</v>
      </c>
      <c r="DJ245" s="1049" t="s">
        <v>2260</v>
      </c>
      <c r="DK245" s="1049" t="s">
        <v>2260</v>
      </c>
      <c r="DL245" s="1052" t="s">
        <v>2260</v>
      </c>
      <c r="DM245" s="1060">
        <v>-0.13600000000000001</v>
      </c>
      <c r="DN245" s="1061" t="s">
        <v>2260</v>
      </c>
      <c r="DO245" s="1061" t="s">
        <v>2260</v>
      </c>
      <c r="DP245" s="1062" t="s">
        <v>2260</v>
      </c>
      <c r="DQ245" s="1061">
        <v>0.13600000000000001</v>
      </c>
      <c r="DR245" s="1061" t="s">
        <v>2260</v>
      </c>
      <c r="DS245" s="1061" t="s">
        <v>2260</v>
      </c>
      <c r="DT245" s="1062" t="s">
        <v>2260</v>
      </c>
      <c r="DU245" s="1054" t="s">
        <v>2260</v>
      </c>
      <c r="DV245" s="1063">
        <v>1</v>
      </c>
      <c r="DW245" s="1064" t="s">
        <v>2260</v>
      </c>
    </row>
    <row r="246" spans="1:127" s="382" customFormat="1" ht="15.75" customHeight="1">
      <c r="A246" s="1066" t="s">
        <v>1278</v>
      </c>
      <c r="B246" s="1026">
        <v>237</v>
      </c>
      <c r="C246" s="987"/>
      <c r="D246" s="987"/>
      <c r="E246" s="987"/>
      <c r="F246" s="987"/>
      <c r="G246" s="987"/>
      <c r="H246" s="987"/>
      <c r="I246" s="987"/>
      <c r="J246" s="987"/>
      <c r="K246" s="987"/>
      <c r="L246" s="987"/>
      <c r="M246" s="1026"/>
      <c r="N246" s="987"/>
      <c r="O246" s="987"/>
      <c r="P246" s="987"/>
      <c r="Q246" s="987"/>
      <c r="R246" s="987"/>
      <c r="S246" s="987"/>
      <c r="T246" s="988"/>
      <c r="U246" s="1067" t="s">
        <v>1196</v>
      </c>
      <c r="V246" s="1068" t="s">
        <v>3026</v>
      </c>
      <c r="W246" s="1068" t="s">
        <v>2231</v>
      </c>
      <c r="X246" s="1069" t="s">
        <v>3027</v>
      </c>
      <c r="Y246" s="1070" t="s">
        <v>567</v>
      </c>
      <c r="Z246" s="1071" t="s">
        <v>2697</v>
      </c>
      <c r="AA246" s="1072">
        <v>0.75</v>
      </c>
      <c r="AB246" s="1073">
        <v>0.25</v>
      </c>
      <c r="AC246" s="1073" t="s">
        <v>2260</v>
      </c>
      <c r="AD246" s="1073" t="s">
        <v>2260</v>
      </c>
      <c r="AE246" s="1073" t="s">
        <v>2260</v>
      </c>
      <c r="AF246" s="1073" t="s">
        <v>2260</v>
      </c>
      <c r="AG246" s="1073" t="s">
        <v>2260</v>
      </c>
      <c r="AH246" s="1073" t="s">
        <v>2260</v>
      </c>
      <c r="AI246" s="1074">
        <f t="shared" si="3"/>
        <v>1</v>
      </c>
      <c r="AJ246" s="1075" t="s">
        <v>1825</v>
      </c>
      <c r="AK246" s="1075" t="s">
        <v>2260</v>
      </c>
      <c r="AL246" s="1075" t="s">
        <v>2260</v>
      </c>
      <c r="AM246" s="1076" t="s">
        <v>3028</v>
      </c>
      <c r="AN246" s="987" t="s">
        <v>321</v>
      </c>
      <c r="AO246" s="987" t="s">
        <v>4417</v>
      </c>
      <c r="AP246" s="1276">
        <v>1</v>
      </c>
      <c r="AQ246" s="1045" t="s">
        <v>1838</v>
      </c>
      <c r="AR246" s="1078" t="s">
        <v>567</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2260</v>
      </c>
      <c r="CE246" s="1088" t="s">
        <v>2260</v>
      </c>
      <c r="CF246" s="1088" t="s">
        <v>2260</v>
      </c>
      <c r="CG246" s="1088" t="s">
        <v>2260</v>
      </c>
      <c r="CH246" s="1089" t="s">
        <v>2260</v>
      </c>
      <c r="CI246" s="1044" t="s">
        <v>2260</v>
      </c>
      <c r="CJ246" s="1045" t="s">
        <v>2260</v>
      </c>
      <c r="CK246" s="1045" t="s">
        <v>2260</v>
      </c>
      <c r="CL246" s="1045" t="s">
        <v>2260</v>
      </c>
      <c r="CM246" s="1086" t="s">
        <v>2260</v>
      </c>
      <c r="CN246" s="1044" t="s">
        <v>2260</v>
      </c>
      <c r="CO246" s="1045" t="s">
        <v>2260</v>
      </c>
      <c r="CP246" s="1045" t="s">
        <v>2260</v>
      </c>
      <c r="CQ246" s="1045" t="s">
        <v>2260</v>
      </c>
      <c r="CR246" s="1086" t="s">
        <v>2260</v>
      </c>
      <c r="CS246" s="1044" t="s">
        <v>2260</v>
      </c>
      <c r="CT246" s="1045" t="s">
        <v>2260</v>
      </c>
      <c r="CU246" s="1045" t="s">
        <v>2260</v>
      </c>
      <c r="CV246" s="1045" t="s">
        <v>2260</v>
      </c>
      <c r="CW246" s="1086" t="s">
        <v>2260</v>
      </c>
      <c r="CX246" s="1044" t="s">
        <v>2260</v>
      </c>
      <c r="CY246" s="1045" t="s">
        <v>2260</v>
      </c>
      <c r="CZ246" s="1045" t="s">
        <v>2260</v>
      </c>
      <c r="DA246" s="1045" t="s">
        <v>2260</v>
      </c>
      <c r="DB246" s="1086" t="s">
        <v>2260</v>
      </c>
      <c r="DC246" s="1045" t="s">
        <v>2260</v>
      </c>
      <c r="DD246" s="1045" t="s">
        <v>2260</v>
      </c>
      <c r="DE246" s="1045" t="s">
        <v>2260</v>
      </c>
      <c r="DF246" s="1045" t="s">
        <v>2260</v>
      </c>
      <c r="DG246" s="1086" t="s">
        <v>2260</v>
      </c>
      <c r="DH246" s="1044" t="s">
        <v>2260</v>
      </c>
      <c r="DI246" s="1045" t="s">
        <v>2260</v>
      </c>
      <c r="DJ246" s="1045" t="s">
        <v>2260</v>
      </c>
      <c r="DK246" s="1045" t="s">
        <v>2260</v>
      </c>
      <c r="DL246" s="1086" t="s">
        <v>2260</v>
      </c>
      <c r="DM246" s="1090" t="s">
        <v>2260</v>
      </c>
      <c r="DN246" s="1091" t="s">
        <v>2260</v>
      </c>
      <c r="DO246" s="1091" t="s">
        <v>2260</v>
      </c>
      <c r="DP246" s="1092" t="s">
        <v>2260</v>
      </c>
      <c r="DQ246" s="1091" t="s">
        <v>2260</v>
      </c>
      <c r="DR246" s="1091" t="s">
        <v>2260</v>
      </c>
      <c r="DS246" s="1091" t="s">
        <v>2260</v>
      </c>
      <c r="DT246" s="1092" t="s">
        <v>2260</v>
      </c>
      <c r="DU246" s="1088" t="s">
        <v>2260</v>
      </c>
      <c r="DV246" s="1093">
        <v>1</v>
      </c>
      <c r="DW246" s="1094" t="s">
        <v>2260</v>
      </c>
    </row>
    <row r="247" spans="1:127" s="382" customFormat="1" ht="15.75" customHeight="1">
      <c r="A247" s="1066" t="s">
        <v>1278</v>
      </c>
      <c r="B247" s="1026">
        <v>238</v>
      </c>
      <c r="C247" s="987"/>
      <c r="D247" s="987"/>
      <c r="E247" s="987"/>
      <c r="F247" s="987"/>
      <c r="G247" s="987"/>
      <c r="H247" s="987"/>
      <c r="I247" s="987"/>
      <c r="J247" s="987"/>
      <c r="K247" s="987"/>
      <c r="L247" s="987"/>
      <c r="M247" s="1026"/>
      <c r="N247" s="987"/>
      <c r="O247" s="987"/>
      <c r="P247" s="987"/>
      <c r="Q247" s="987"/>
      <c r="R247" s="987"/>
      <c r="S247" s="987"/>
      <c r="T247" s="988"/>
      <c r="U247" s="1067" t="s">
        <v>1190</v>
      </c>
      <c r="V247" s="1068" t="s">
        <v>3017</v>
      </c>
      <c r="W247" s="1068" t="s">
        <v>2217</v>
      </c>
      <c r="X247" s="1069" t="s">
        <v>2951</v>
      </c>
      <c r="Y247" s="1070" t="s">
        <v>203</v>
      </c>
      <c r="Z247" s="1071" t="s">
        <v>3030</v>
      </c>
      <c r="AA247" s="1072" t="s">
        <v>2260</v>
      </c>
      <c r="AB247" s="1073">
        <v>1</v>
      </c>
      <c r="AC247" s="1073" t="s">
        <v>2260</v>
      </c>
      <c r="AD247" s="1073" t="s">
        <v>2260</v>
      </c>
      <c r="AE247" s="1073" t="s">
        <v>2260</v>
      </c>
      <c r="AF247" s="1073" t="s">
        <v>2260</v>
      </c>
      <c r="AG247" s="1073" t="s">
        <v>2260</v>
      </c>
      <c r="AH247" s="1073" t="s">
        <v>2260</v>
      </c>
      <c r="AI247" s="1074">
        <f t="shared" si="3"/>
        <v>1</v>
      </c>
      <c r="AJ247" s="1075" t="s">
        <v>1846</v>
      </c>
      <c r="AK247" s="1075" t="s">
        <v>1826</v>
      </c>
      <c r="AL247" s="1075" t="s">
        <v>1827</v>
      </c>
      <c r="AM247" s="1076" t="s">
        <v>2363</v>
      </c>
      <c r="AN247" s="987" t="s">
        <v>2439</v>
      </c>
      <c r="AO247" s="987" t="s">
        <v>4419</v>
      </c>
      <c r="AP247" s="1276">
        <v>1</v>
      </c>
      <c r="AQ247" s="1045" t="s">
        <v>1838</v>
      </c>
      <c r="AR247" s="1078" t="s">
        <v>203</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210</v>
      </c>
      <c r="CE247" s="1088" t="s">
        <v>210</v>
      </c>
      <c r="CF247" s="1088" t="s">
        <v>210</v>
      </c>
      <c r="CG247" s="1088" t="s">
        <v>210</v>
      </c>
      <c r="CH247" s="1089" t="s">
        <v>210</v>
      </c>
      <c r="CI247" s="1044" t="s">
        <v>2260</v>
      </c>
      <c r="CJ247" s="1045" t="s">
        <v>2260</v>
      </c>
      <c r="CK247" s="1045" t="s">
        <v>2260</v>
      </c>
      <c r="CL247" s="1045" t="s">
        <v>2260</v>
      </c>
      <c r="CM247" s="1086" t="s">
        <v>2260</v>
      </c>
      <c r="CN247" s="1044" t="s">
        <v>2260</v>
      </c>
      <c r="CO247" s="1045" t="s">
        <v>2260</v>
      </c>
      <c r="CP247" s="1045" t="s">
        <v>2260</v>
      </c>
      <c r="CQ247" s="1045" t="s">
        <v>2260</v>
      </c>
      <c r="CR247" s="1086" t="s">
        <v>2260</v>
      </c>
      <c r="CS247" s="1044" t="s">
        <v>2260</v>
      </c>
      <c r="CT247" s="1045" t="s">
        <v>2260</v>
      </c>
      <c r="CU247" s="1045" t="s">
        <v>2260</v>
      </c>
      <c r="CV247" s="1045" t="s">
        <v>2260</v>
      </c>
      <c r="CW247" s="1086" t="s">
        <v>2260</v>
      </c>
      <c r="CX247" s="1044" t="s">
        <v>2260</v>
      </c>
      <c r="CY247" s="1045" t="s">
        <v>2260</v>
      </c>
      <c r="CZ247" s="1045" t="s">
        <v>2260</v>
      </c>
      <c r="DA247" s="1045" t="s">
        <v>2260</v>
      </c>
      <c r="DB247" s="1086" t="s">
        <v>2260</v>
      </c>
      <c r="DC247" s="1045" t="s">
        <v>2260</v>
      </c>
      <c r="DD247" s="1045" t="s">
        <v>2260</v>
      </c>
      <c r="DE247" s="1045" t="s">
        <v>2260</v>
      </c>
      <c r="DF247" s="1045" t="s">
        <v>2260</v>
      </c>
      <c r="DG247" s="1086" t="s">
        <v>2260</v>
      </c>
      <c r="DH247" s="1044" t="s">
        <v>2260</v>
      </c>
      <c r="DI247" s="1045" t="s">
        <v>2260</v>
      </c>
      <c r="DJ247" s="1045" t="s">
        <v>2260</v>
      </c>
      <c r="DK247" s="1045" t="s">
        <v>2260</v>
      </c>
      <c r="DL247" s="1086" t="s">
        <v>2260</v>
      </c>
      <c r="DM247" s="1090">
        <v>-7.0000000000000007E-2</v>
      </c>
      <c r="DN247" s="1091" t="s">
        <v>2260</v>
      </c>
      <c r="DO247" s="1091" t="s">
        <v>2260</v>
      </c>
      <c r="DP247" s="1092" t="s">
        <v>2260</v>
      </c>
      <c r="DQ247" s="1091" t="s">
        <v>2260</v>
      </c>
      <c r="DR247" s="1091" t="s">
        <v>2260</v>
      </c>
      <c r="DS247" s="1091" t="s">
        <v>2260</v>
      </c>
      <c r="DT247" s="1092" t="s">
        <v>2260</v>
      </c>
      <c r="DU247" s="1088" t="s">
        <v>2260</v>
      </c>
      <c r="DV247" s="1093">
        <v>1</v>
      </c>
      <c r="DW247" s="1094" t="s">
        <v>2260</v>
      </c>
    </row>
    <row r="248" spans="1:127" s="382" customFormat="1" ht="15.75" customHeight="1">
      <c r="A248" s="1066" t="s">
        <v>1278</v>
      </c>
      <c r="B248" s="1026">
        <v>239</v>
      </c>
      <c r="C248" s="987"/>
      <c r="D248" s="987"/>
      <c r="E248" s="987"/>
      <c r="F248" s="987"/>
      <c r="G248" s="987"/>
      <c r="H248" s="987"/>
      <c r="I248" s="987"/>
      <c r="J248" s="987"/>
      <c r="K248" s="987"/>
      <c r="L248" s="987"/>
      <c r="M248" s="1026"/>
      <c r="N248" s="987"/>
      <c r="O248" s="987"/>
      <c r="P248" s="987"/>
      <c r="Q248" s="987"/>
      <c r="R248" s="987"/>
      <c r="S248" s="987"/>
      <c r="T248" s="988"/>
      <c r="U248" s="1067" t="s">
        <v>1191</v>
      </c>
      <c r="V248" s="1068" t="s">
        <v>3017</v>
      </c>
      <c r="W248" s="1068" t="s">
        <v>2231</v>
      </c>
      <c r="X248" s="1069" t="s">
        <v>2954</v>
      </c>
      <c r="Y248" s="1070" t="s">
        <v>209</v>
      </c>
      <c r="Z248" s="1071" t="s">
        <v>3032</v>
      </c>
      <c r="AA248" s="1072">
        <v>0.05</v>
      </c>
      <c r="AB248" s="1073">
        <v>0.95</v>
      </c>
      <c r="AC248" s="1073" t="s">
        <v>2260</v>
      </c>
      <c r="AD248" s="1073" t="s">
        <v>2260</v>
      </c>
      <c r="AE248" s="1073" t="s">
        <v>2260</v>
      </c>
      <c r="AF248" s="1073" t="s">
        <v>2260</v>
      </c>
      <c r="AG248" s="1073" t="s">
        <v>2260</v>
      </c>
      <c r="AH248" s="1073" t="s">
        <v>2260</v>
      </c>
      <c r="AI248" s="1074">
        <f t="shared" si="3"/>
        <v>1</v>
      </c>
      <c r="AJ248" s="1075" t="s">
        <v>1846</v>
      </c>
      <c r="AK248" s="1075" t="s">
        <v>1826</v>
      </c>
      <c r="AL248" s="1075" t="s">
        <v>1827</v>
      </c>
      <c r="AM248" s="1076" t="s">
        <v>2238</v>
      </c>
      <c r="AN248" s="987" t="s">
        <v>321</v>
      </c>
      <c r="AO248" s="987" t="s">
        <v>4418</v>
      </c>
      <c r="AP248" s="1276">
        <v>2</v>
      </c>
      <c r="AQ248" s="1045" t="s">
        <v>1838</v>
      </c>
      <c r="AR248" s="1078" t="s">
        <v>209</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210</v>
      </c>
      <c r="CE248" s="1088" t="s">
        <v>210</v>
      </c>
      <c r="CF248" s="1088" t="s">
        <v>210</v>
      </c>
      <c r="CG248" s="1088" t="s">
        <v>210</v>
      </c>
      <c r="CH248" s="1089" t="s">
        <v>210</v>
      </c>
      <c r="CI248" s="1044" t="s">
        <v>2260</v>
      </c>
      <c r="CJ248" s="1045" t="s">
        <v>2260</v>
      </c>
      <c r="CK248" s="1045" t="s">
        <v>2260</v>
      </c>
      <c r="CL248" s="1045" t="s">
        <v>2260</v>
      </c>
      <c r="CM248" s="1086" t="s">
        <v>2260</v>
      </c>
      <c r="CN248" s="1044">
        <v>8.4600000000000009</v>
      </c>
      <c r="CO248" s="1045">
        <v>8.4600000000000009</v>
      </c>
      <c r="CP248" s="1045">
        <v>8.4600000000000009</v>
      </c>
      <c r="CQ248" s="1045">
        <v>8.4600000000000009</v>
      </c>
      <c r="CR248" s="1086">
        <v>8.4600000000000009</v>
      </c>
      <c r="CS248" s="1044" t="s">
        <v>2260</v>
      </c>
      <c r="CT248" s="1045" t="s">
        <v>2260</v>
      </c>
      <c r="CU248" s="1045" t="s">
        <v>2260</v>
      </c>
      <c r="CV248" s="1045" t="s">
        <v>2260</v>
      </c>
      <c r="CW248" s="1086" t="s">
        <v>2260</v>
      </c>
      <c r="CX248" s="1044" t="s">
        <v>2260</v>
      </c>
      <c r="CY248" s="1045" t="s">
        <v>2260</v>
      </c>
      <c r="CZ248" s="1045" t="s">
        <v>2260</v>
      </c>
      <c r="DA248" s="1045" t="s">
        <v>2260</v>
      </c>
      <c r="DB248" s="1086" t="s">
        <v>2260</v>
      </c>
      <c r="DC248" s="1045" t="s">
        <v>2260</v>
      </c>
      <c r="DD248" s="1045" t="s">
        <v>2260</v>
      </c>
      <c r="DE248" s="1045" t="s">
        <v>2260</v>
      </c>
      <c r="DF248" s="1045" t="s">
        <v>2260</v>
      </c>
      <c r="DG248" s="1086" t="s">
        <v>2260</v>
      </c>
      <c r="DH248" s="1044" t="s">
        <v>2260</v>
      </c>
      <c r="DI248" s="1045" t="s">
        <v>2260</v>
      </c>
      <c r="DJ248" s="1045" t="s">
        <v>2260</v>
      </c>
      <c r="DK248" s="1045" t="s">
        <v>2260</v>
      </c>
      <c r="DL248" s="1086" t="s">
        <v>2260</v>
      </c>
      <c r="DM248" s="1090">
        <v>-0.625</v>
      </c>
      <c r="DN248" s="1091" t="s">
        <v>2260</v>
      </c>
      <c r="DO248" s="1091" t="s">
        <v>2260</v>
      </c>
      <c r="DP248" s="1092" t="s">
        <v>2260</v>
      </c>
      <c r="DQ248" s="1091" t="s">
        <v>2260</v>
      </c>
      <c r="DR248" s="1091" t="s">
        <v>2260</v>
      </c>
      <c r="DS248" s="1091" t="s">
        <v>2260</v>
      </c>
      <c r="DT248" s="1092" t="s">
        <v>2260</v>
      </c>
      <c r="DU248" s="1088" t="s">
        <v>2260</v>
      </c>
      <c r="DV248" s="1093">
        <v>1</v>
      </c>
      <c r="DW248" s="1094" t="s">
        <v>2260</v>
      </c>
    </row>
    <row r="249" spans="1:127" s="382" customFormat="1" ht="15.75" customHeight="1">
      <c r="A249" s="1066" t="s">
        <v>1278</v>
      </c>
      <c r="B249" s="1026">
        <v>240</v>
      </c>
      <c r="C249" s="987"/>
      <c r="D249" s="987"/>
      <c r="E249" s="987"/>
      <c r="F249" s="987"/>
      <c r="G249" s="987"/>
      <c r="H249" s="987"/>
      <c r="I249" s="987"/>
      <c r="J249" s="987"/>
      <c r="K249" s="987"/>
      <c r="L249" s="987"/>
      <c r="M249" s="1026"/>
      <c r="N249" s="987"/>
      <c r="O249" s="987"/>
      <c r="P249" s="987"/>
      <c r="Q249" s="987"/>
      <c r="R249" s="987"/>
      <c r="S249" s="987"/>
      <c r="T249" s="988"/>
      <c r="U249" s="1067" t="s">
        <v>1594</v>
      </c>
      <c r="V249" s="1068" t="s">
        <v>3008</v>
      </c>
      <c r="W249" s="1068" t="s">
        <v>2231</v>
      </c>
      <c r="X249" s="1069" t="s">
        <v>3005</v>
      </c>
      <c r="Y249" s="1070" t="s">
        <v>3034</v>
      </c>
      <c r="Z249" s="1071" t="s">
        <v>3035</v>
      </c>
      <c r="AA249" s="1072" t="s">
        <v>2260</v>
      </c>
      <c r="AB249" s="1073">
        <v>0.25</v>
      </c>
      <c r="AC249" s="1073" t="s">
        <v>2260</v>
      </c>
      <c r="AD249" s="1073" t="s">
        <v>2260</v>
      </c>
      <c r="AE249" s="1073">
        <v>0.75</v>
      </c>
      <c r="AF249" s="1073" t="s">
        <v>2260</v>
      </c>
      <c r="AG249" s="1073" t="s">
        <v>2260</v>
      </c>
      <c r="AH249" s="1073" t="s">
        <v>2260</v>
      </c>
      <c r="AI249" s="1074">
        <f t="shared" si="3"/>
        <v>1</v>
      </c>
      <c r="AJ249" s="1075" t="s">
        <v>1825</v>
      </c>
      <c r="AK249" s="1075" t="s">
        <v>2260</v>
      </c>
      <c r="AL249" s="1075" t="s">
        <v>2260</v>
      </c>
      <c r="AM249" s="1076" t="s">
        <v>2264</v>
      </c>
      <c r="AN249" s="987" t="s">
        <v>1897</v>
      </c>
      <c r="AO249" s="987" t="s">
        <v>3036</v>
      </c>
      <c r="AP249" s="1285">
        <v>1</v>
      </c>
      <c r="AQ249" s="1045" t="s">
        <v>1828</v>
      </c>
      <c r="AR249" s="1078" t="s">
        <v>2260</v>
      </c>
      <c r="AS249" s="1079"/>
      <c r="AT249" s="1069"/>
      <c r="AU249" s="1069"/>
      <c r="AV249" s="1069"/>
      <c r="AW249" s="1080"/>
      <c r="AX249" s="1081"/>
      <c r="AY249" s="1044"/>
      <c r="AZ249" s="1045"/>
      <c r="BA249" s="1045"/>
      <c r="BB249" s="1045"/>
      <c r="BC249" s="1045"/>
      <c r="BD249" s="1045"/>
      <c r="BE249" s="1045"/>
      <c r="BF249" s="1045"/>
      <c r="BG249" s="1045"/>
      <c r="BH249" s="1045"/>
      <c r="BI249" s="1369"/>
      <c r="BJ249" s="1319"/>
      <c r="BK249" s="1319"/>
      <c r="BL249" s="1319"/>
      <c r="BM249" s="1319"/>
      <c r="BN249" s="1044"/>
      <c r="BO249" s="1045"/>
      <c r="BP249" s="1045"/>
      <c r="BQ249" s="1045"/>
      <c r="BR249" s="1045"/>
      <c r="BS249" s="1084"/>
      <c r="BT249" s="1045"/>
      <c r="BU249" s="1045"/>
      <c r="BV249" s="1045"/>
      <c r="BW249" s="1085"/>
      <c r="BX249" s="1084"/>
      <c r="BY249" s="1045"/>
      <c r="BZ249" s="1045"/>
      <c r="CA249" s="1045"/>
      <c r="CB249" s="1085"/>
      <c r="CC249" s="1086"/>
      <c r="CD249" s="1327"/>
      <c r="CE249" s="1328"/>
      <c r="CF249" s="1328"/>
      <c r="CG249" s="1328"/>
      <c r="CH249" s="1389"/>
      <c r="CI249" s="1369"/>
      <c r="CJ249" s="1319"/>
      <c r="CK249" s="1319"/>
      <c r="CL249" s="1319"/>
      <c r="CM249" s="1320"/>
      <c r="CN249" s="1369"/>
      <c r="CO249" s="1319"/>
      <c r="CP249" s="1319"/>
      <c r="CQ249" s="1319"/>
      <c r="CR249" s="1320"/>
      <c r="CS249" s="1369"/>
      <c r="CT249" s="1319"/>
      <c r="CU249" s="1319"/>
      <c r="CV249" s="1319"/>
      <c r="CW249" s="1320"/>
      <c r="CX249" s="1369"/>
      <c r="CY249" s="1319"/>
      <c r="CZ249" s="1319"/>
      <c r="DA249" s="1319"/>
      <c r="DB249" s="1320"/>
      <c r="DC249" s="1319"/>
      <c r="DD249" s="1319"/>
      <c r="DE249" s="1319"/>
      <c r="DF249" s="1319"/>
      <c r="DG249" s="1320"/>
      <c r="DH249" s="1369"/>
      <c r="DI249" s="1319"/>
      <c r="DJ249" s="1319"/>
      <c r="DK249" s="1319"/>
      <c r="DL249" s="1320"/>
      <c r="DM249" s="1743"/>
      <c r="DN249" s="1744"/>
      <c r="DO249" s="1744"/>
      <c r="DP249" s="1745"/>
      <c r="DQ249" s="1744"/>
      <c r="DR249" s="1744"/>
      <c r="DS249" s="1744"/>
      <c r="DT249" s="1745"/>
      <c r="DU249" s="1328"/>
      <c r="DV249" s="1664"/>
      <c r="DW249" s="1746"/>
    </row>
    <row r="250" spans="1:127" s="382" customFormat="1" ht="15.75" customHeight="1">
      <c r="A250" s="1066" t="s">
        <v>1278</v>
      </c>
      <c r="B250" s="1026">
        <v>241</v>
      </c>
      <c r="C250" s="987"/>
      <c r="D250" s="987"/>
      <c r="E250" s="987"/>
      <c r="F250" s="987"/>
      <c r="G250" s="987"/>
      <c r="H250" s="987"/>
      <c r="I250" s="987"/>
      <c r="J250" s="987"/>
      <c r="K250" s="987"/>
      <c r="L250" s="987"/>
      <c r="M250" s="1026"/>
      <c r="N250" s="987"/>
      <c r="O250" s="987"/>
      <c r="P250" s="987"/>
      <c r="Q250" s="987"/>
      <c r="R250" s="987"/>
      <c r="S250" s="987"/>
      <c r="T250" s="988"/>
      <c r="U250" s="1067" t="s">
        <v>1611</v>
      </c>
      <c r="V250" s="1068" t="s">
        <v>3008</v>
      </c>
      <c r="W250" s="1068" t="s">
        <v>2231</v>
      </c>
      <c r="X250" s="1069" t="s">
        <v>2965</v>
      </c>
      <c r="Y250" s="1070" t="s">
        <v>3037</v>
      </c>
      <c r="Z250" s="1071" t="s">
        <v>3038</v>
      </c>
      <c r="AA250" s="1072" t="s">
        <v>2260</v>
      </c>
      <c r="AB250" s="1073">
        <v>0.25</v>
      </c>
      <c r="AC250" s="1073" t="s">
        <v>2260</v>
      </c>
      <c r="AD250" s="1073" t="s">
        <v>2260</v>
      </c>
      <c r="AE250" s="1073">
        <v>0.75</v>
      </c>
      <c r="AF250" s="1073" t="s">
        <v>2260</v>
      </c>
      <c r="AG250" s="1073" t="s">
        <v>2260</v>
      </c>
      <c r="AH250" s="1073" t="s">
        <v>2260</v>
      </c>
      <c r="AI250" s="1074">
        <f t="shared" si="3"/>
        <v>1</v>
      </c>
      <c r="AJ250" s="1075" t="s">
        <v>1825</v>
      </c>
      <c r="AK250" s="1075" t="s">
        <v>2260</v>
      </c>
      <c r="AL250" s="1075" t="s">
        <v>2260</v>
      </c>
      <c r="AM250" s="1076" t="s">
        <v>2264</v>
      </c>
      <c r="AN250" s="987" t="s">
        <v>1897</v>
      </c>
      <c r="AO250" s="987" t="s">
        <v>3036</v>
      </c>
      <c r="AP250" s="1285">
        <v>1</v>
      </c>
      <c r="AQ250" s="1045" t="s">
        <v>1828</v>
      </c>
      <c r="AR250" s="1078" t="s">
        <v>2260</v>
      </c>
      <c r="AS250" s="1079"/>
      <c r="AT250" s="1069"/>
      <c r="AU250" s="1069"/>
      <c r="AV250" s="1069"/>
      <c r="AW250" s="1080"/>
      <c r="AX250" s="1081"/>
      <c r="AY250" s="1044"/>
      <c r="AZ250" s="1045"/>
      <c r="BA250" s="1045"/>
      <c r="BB250" s="1045"/>
      <c r="BC250" s="1045"/>
      <c r="BD250" s="1045"/>
      <c r="BE250" s="1045"/>
      <c r="BF250" s="1045"/>
      <c r="BG250" s="1045"/>
      <c r="BH250" s="1045"/>
      <c r="BI250" s="1369"/>
      <c r="BJ250" s="1319"/>
      <c r="BK250" s="1319"/>
      <c r="BL250" s="1319"/>
      <c r="BM250" s="1319"/>
      <c r="BN250" s="1044"/>
      <c r="BO250" s="1045"/>
      <c r="BP250" s="1045"/>
      <c r="BQ250" s="1045"/>
      <c r="BR250" s="1045"/>
      <c r="BS250" s="1084"/>
      <c r="BT250" s="1045"/>
      <c r="BU250" s="1045"/>
      <c r="BV250" s="1045"/>
      <c r="BW250" s="1085"/>
      <c r="BX250" s="1084"/>
      <c r="BY250" s="1045"/>
      <c r="BZ250" s="1045"/>
      <c r="CA250" s="1045"/>
      <c r="CB250" s="1085"/>
      <c r="CC250" s="1086"/>
      <c r="CD250" s="1327"/>
      <c r="CE250" s="1328"/>
      <c r="CF250" s="1328"/>
      <c r="CG250" s="1328"/>
      <c r="CH250" s="1389"/>
      <c r="CI250" s="1369"/>
      <c r="CJ250" s="1319"/>
      <c r="CK250" s="1319"/>
      <c r="CL250" s="1319"/>
      <c r="CM250" s="1320"/>
      <c r="CN250" s="1369"/>
      <c r="CO250" s="1319"/>
      <c r="CP250" s="1319"/>
      <c r="CQ250" s="1319"/>
      <c r="CR250" s="1320"/>
      <c r="CS250" s="1369"/>
      <c r="CT250" s="1319"/>
      <c r="CU250" s="1319"/>
      <c r="CV250" s="1319"/>
      <c r="CW250" s="1320"/>
      <c r="CX250" s="1369"/>
      <c r="CY250" s="1319"/>
      <c r="CZ250" s="1319"/>
      <c r="DA250" s="1319"/>
      <c r="DB250" s="1320"/>
      <c r="DC250" s="1319"/>
      <c r="DD250" s="1319"/>
      <c r="DE250" s="1319"/>
      <c r="DF250" s="1319"/>
      <c r="DG250" s="1320"/>
      <c r="DH250" s="1369"/>
      <c r="DI250" s="1319"/>
      <c r="DJ250" s="1319"/>
      <c r="DK250" s="1319"/>
      <c r="DL250" s="1320"/>
      <c r="DM250" s="1743"/>
      <c r="DN250" s="1744"/>
      <c r="DO250" s="1744"/>
      <c r="DP250" s="1745"/>
      <c r="DQ250" s="1744"/>
      <c r="DR250" s="1744"/>
      <c r="DS250" s="1744"/>
      <c r="DT250" s="1745"/>
      <c r="DU250" s="1328"/>
      <c r="DV250" s="1664"/>
      <c r="DW250" s="1746"/>
    </row>
    <row r="251" spans="1:127" s="382" customFormat="1" ht="15.75" customHeight="1">
      <c r="A251" s="1066" t="s">
        <v>1278</v>
      </c>
      <c r="B251" s="1026">
        <v>242</v>
      </c>
      <c r="C251" s="987"/>
      <c r="D251" s="987"/>
      <c r="E251" s="987"/>
      <c r="F251" s="987"/>
      <c r="G251" s="987"/>
      <c r="H251" s="987"/>
      <c r="I251" s="987"/>
      <c r="J251" s="987"/>
      <c r="K251" s="987"/>
      <c r="L251" s="987"/>
      <c r="M251" s="1026"/>
      <c r="N251" s="987"/>
      <c r="O251" s="987"/>
      <c r="P251" s="987"/>
      <c r="Q251" s="987"/>
      <c r="R251" s="987"/>
      <c r="S251" s="987"/>
      <c r="T251" s="988"/>
      <c r="U251" s="1067" t="s">
        <v>1628</v>
      </c>
      <c r="V251" s="1068" t="s">
        <v>3008</v>
      </c>
      <c r="W251" s="1068" t="s">
        <v>2231</v>
      </c>
      <c r="X251" s="1069" t="s">
        <v>2967</v>
      </c>
      <c r="Y251" s="1070" t="s">
        <v>3039</v>
      </c>
      <c r="Z251" s="1071" t="s">
        <v>3040</v>
      </c>
      <c r="AA251" s="1072" t="s">
        <v>2260</v>
      </c>
      <c r="AB251" s="1073">
        <v>0.25</v>
      </c>
      <c r="AC251" s="1073" t="s">
        <v>2260</v>
      </c>
      <c r="AD251" s="1073" t="s">
        <v>2260</v>
      </c>
      <c r="AE251" s="1073">
        <v>0.75</v>
      </c>
      <c r="AF251" s="1073" t="s">
        <v>2260</v>
      </c>
      <c r="AG251" s="1073" t="s">
        <v>2260</v>
      </c>
      <c r="AH251" s="1073" t="s">
        <v>2260</v>
      </c>
      <c r="AI251" s="1074">
        <f t="shared" si="3"/>
        <v>1</v>
      </c>
      <c r="AJ251" s="1075" t="s">
        <v>1825</v>
      </c>
      <c r="AK251" s="1075" t="s">
        <v>2260</v>
      </c>
      <c r="AL251" s="1075" t="s">
        <v>2260</v>
      </c>
      <c r="AM251" s="1076" t="s">
        <v>2264</v>
      </c>
      <c r="AN251" s="987" t="s">
        <v>1897</v>
      </c>
      <c r="AO251" s="987" t="s">
        <v>3036</v>
      </c>
      <c r="AP251" s="1285">
        <v>1</v>
      </c>
      <c r="AQ251" s="1045" t="s">
        <v>1828</v>
      </c>
      <c r="AR251" s="1078" t="s">
        <v>2260</v>
      </c>
      <c r="AS251" s="1079"/>
      <c r="AT251" s="1069"/>
      <c r="AU251" s="1069"/>
      <c r="AV251" s="1069"/>
      <c r="AW251" s="1080"/>
      <c r="AX251" s="1081"/>
      <c r="AY251" s="1044"/>
      <c r="AZ251" s="1045"/>
      <c r="BA251" s="1045"/>
      <c r="BB251" s="1045"/>
      <c r="BC251" s="1045"/>
      <c r="BD251" s="1045"/>
      <c r="BE251" s="1045"/>
      <c r="BF251" s="1045"/>
      <c r="BG251" s="1045"/>
      <c r="BH251" s="1045"/>
      <c r="BI251" s="1369"/>
      <c r="BJ251" s="1319"/>
      <c r="BK251" s="1319"/>
      <c r="BL251" s="1319"/>
      <c r="BM251" s="1319"/>
      <c r="BN251" s="1044"/>
      <c r="BO251" s="1045"/>
      <c r="BP251" s="1045"/>
      <c r="BQ251" s="1045"/>
      <c r="BR251" s="1045"/>
      <c r="BS251" s="1084"/>
      <c r="BT251" s="1045"/>
      <c r="BU251" s="1045"/>
      <c r="BV251" s="1045"/>
      <c r="BW251" s="1085"/>
      <c r="BX251" s="1084"/>
      <c r="BY251" s="1045"/>
      <c r="BZ251" s="1045"/>
      <c r="CA251" s="1045"/>
      <c r="CB251" s="1085"/>
      <c r="CC251" s="1086"/>
      <c r="CD251" s="1327"/>
      <c r="CE251" s="1328"/>
      <c r="CF251" s="1328"/>
      <c r="CG251" s="1328"/>
      <c r="CH251" s="1389"/>
      <c r="CI251" s="1369"/>
      <c r="CJ251" s="1319"/>
      <c r="CK251" s="1319"/>
      <c r="CL251" s="1319"/>
      <c r="CM251" s="1320"/>
      <c r="CN251" s="1369"/>
      <c r="CO251" s="1319"/>
      <c r="CP251" s="1319"/>
      <c r="CQ251" s="1319"/>
      <c r="CR251" s="1320"/>
      <c r="CS251" s="1369"/>
      <c r="CT251" s="1319"/>
      <c r="CU251" s="1319"/>
      <c r="CV251" s="1319"/>
      <c r="CW251" s="1320"/>
      <c r="CX251" s="1369"/>
      <c r="CY251" s="1319"/>
      <c r="CZ251" s="1319"/>
      <c r="DA251" s="1319"/>
      <c r="DB251" s="1320"/>
      <c r="DC251" s="1319"/>
      <c r="DD251" s="1319"/>
      <c r="DE251" s="1319"/>
      <c r="DF251" s="1319"/>
      <c r="DG251" s="1320"/>
      <c r="DH251" s="1369"/>
      <c r="DI251" s="1319"/>
      <c r="DJ251" s="1319"/>
      <c r="DK251" s="1319"/>
      <c r="DL251" s="1320"/>
      <c r="DM251" s="1743"/>
      <c r="DN251" s="1744"/>
      <c r="DO251" s="1744"/>
      <c r="DP251" s="1745"/>
      <c r="DQ251" s="1744"/>
      <c r="DR251" s="1744"/>
      <c r="DS251" s="1744"/>
      <c r="DT251" s="1745"/>
      <c r="DU251" s="1328"/>
      <c r="DV251" s="1664"/>
      <c r="DW251" s="1746"/>
    </row>
    <row r="252" spans="1:127" s="382" customFormat="1" ht="15.75" customHeight="1">
      <c r="A252" s="1066" t="s">
        <v>1278</v>
      </c>
      <c r="B252" s="1026">
        <v>243</v>
      </c>
      <c r="C252" s="987"/>
      <c r="D252" s="987"/>
      <c r="E252" s="987"/>
      <c r="F252" s="987"/>
      <c r="G252" s="987"/>
      <c r="H252" s="987"/>
      <c r="I252" s="987"/>
      <c r="J252" s="987"/>
      <c r="K252" s="987"/>
      <c r="L252" s="987"/>
      <c r="M252" s="1026"/>
      <c r="N252" s="987"/>
      <c r="O252" s="987"/>
      <c r="P252" s="987"/>
      <c r="Q252" s="987"/>
      <c r="R252" s="987"/>
      <c r="S252" s="987"/>
      <c r="T252" s="988"/>
      <c r="U252" s="1067" t="s">
        <v>1645</v>
      </c>
      <c r="V252" s="1068" t="s">
        <v>3008</v>
      </c>
      <c r="W252" s="1068" t="s">
        <v>2231</v>
      </c>
      <c r="X252" s="1069" t="s">
        <v>3041</v>
      </c>
      <c r="Y252" s="1070" t="s">
        <v>3042</v>
      </c>
      <c r="Z252" s="1071" t="s">
        <v>3043</v>
      </c>
      <c r="AA252" s="1072" t="s">
        <v>2260</v>
      </c>
      <c r="AB252" s="1073">
        <v>0.25</v>
      </c>
      <c r="AC252" s="1073" t="s">
        <v>2260</v>
      </c>
      <c r="AD252" s="1073" t="s">
        <v>2260</v>
      </c>
      <c r="AE252" s="1073">
        <v>0.75</v>
      </c>
      <c r="AF252" s="1073" t="s">
        <v>2260</v>
      </c>
      <c r="AG252" s="1073" t="s">
        <v>2260</v>
      </c>
      <c r="AH252" s="1073" t="s">
        <v>2260</v>
      </c>
      <c r="AI252" s="1074">
        <f t="shared" si="3"/>
        <v>1</v>
      </c>
      <c r="AJ252" s="1075" t="s">
        <v>1825</v>
      </c>
      <c r="AK252" s="1075" t="s">
        <v>2260</v>
      </c>
      <c r="AL252" s="1075" t="s">
        <v>2260</v>
      </c>
      <c r="AM252" s="1076" t="s">
        <v>2264</v>
      </c>
      <c r="AN252" s="987" t="s">
        <v>1897</v>
      </c>
      <c r="AO252" s="987" t="s">
        <v>3036</v>
      </c>
      <c r="AP252" s="1285">
        <v>1</v>
      </c>
      <c r="AQ252" s="1045" t="s">
        <v>1828</v>
      </c>
      <c r="AR252" s="1078" t="s">
        <v>2260</v>
      </c>
      <c r="AS252" s="1079"/>
      <c r="AT252" s="1069"/>
      <c r="AU252" s="1069"/>
      <c r="AV252" s="1069"/>
      <c r="AW252" s="1080"/>
      <c r="AX252" s="1081"/>
      <c r="AY252" s="1044"/>
      <c r="AZ252" s="1045"/>
      <c r="BA252" s="1045"/>
      <c r="BB252" s="1045"/>
      <c r="BC252" s="1045"/>
      <c r="BD252" s="1045"/>
      <c r="BE252" s="1045"/>
      <c r="BF252" s="1045"/>
      <c r="BG252" s="1045"/>
      <c r="BH252" s="1045"/>
      <c r="BI252" s="1369"/>
      <c r="BJ252" s="1319"/>
      <c r="BK252" s="1319"/>
      <c r="BL252" s="1319"/>
      <c r="BM252" s="1319"/>
      <c r="BN252" s="1044"/>
      <c r="BO252" s="1045"/>
      <c r="BP252" s="1045"/>
      <c r="BQ252" s="1045"/>
      <c r="BR252" s="1045"/>
      <c r="BS252" s="1084"/>
      <c r="BT252" s="1045"/>
      <c r="BU252" s="1045"/>
      <c r="BV252" s="1045"/>
      <c r="BW252" s="1085"/>
      <c r="BX252" s="1084"/>
      <c r="BY252" s="1045"/>
      <c r="BZ252" s="1045"/>
      <c r="CA252" s="1045"/>
      <c r="CB252" s="1085"/>
      <c r="CC252" s="1086"/>
      <c r="CD252" s="1327"/>
      <c r="CE252" s="1328"/>
      <c r="CF252" s="1328"/>
      <c r="CG252" s="1328"/>
      <c r="CH252" s="1389"/>
      <c r="CI252" s="1369"/>
      <c r="CJ252" s="1319"/>
      <c r="CK252" s="1319"/>
      <c r="CL252" s="1319"/>
      <c r="CM252" s="1320"/>
      <c r="CN252" s="1369"/>
      <c r="CO252" s="1319"/>
      <c r="CP252" s="1319"/>
      <c r="CQ252" s="1319"/>
      <c r="CR252" s="1320"/>
      <c r="CS252" s="1369"/>
      <c r="CT252" s="1319"/>
      <c r="CU252" s="1319"/>
      <c r="CV252" s="1319"/>
      <c r="CW252" s="1320"/>
      <c r="CX252" s="1369"/>
      <c r="CY252" s="1319"/>
      <c r="CZ252" s="1319"/>
      <c r="DA252" s="1319"/>
      <c r="DB252" s="1320"/>
      <c r="DC252" s="1319"/>
      <c r="DD252" s="1319"/>
      <c r="DE252" s="1319"/>
      <c r="DF252" s="1319"/>
      <c r="DG252" s="1320"/>
      <c r="DH252" s="1369"/>
      <c r="DI252" s="1319"/>
      <c r="DJ252" s="1319"/>
      <c r="DK252" s="1319"/>
      <c r="DL252" s="1320"/>
      <c r="DM252" s="1743"/>
      <c r="DN252" s="1744"/>
      <c r="DO252" s="1744"/>
      <c r="DP252" s="1745"/>
      <c r="DQ252" s="1744"/>
      <c r="DR252" s="1744"/>
      <c r="DS252" s="1744"/>
      <c r="DT252" s="1745"/>
      <c r="DU252" s="1328"/>
      <c r="DV252" s="1664"/>
      <c r="DW252" s="1746"/>
    </row>
    <row r="253" spans="1:127" s="382" customFormat="1" ht="15.75" customHeight="1">
      <c r="A253" s="1066" t="s">
        <v>1278</v>
      </c>
      <c r="B253" s="1026">
        <v>244</v>
      </c>
      <c r="C253" s="987"/>
      <c r="D253" s="987"/>
      <c r="E253" s="987"/>
      <c r="F253" s="987"/>
      <c r="G253" s="987"/>
      <c r="H253" s="987"/>
      <c r="I253" s="987"/>
      <c r="J253" s="987"/>
      <c r="K253" s="987"/>
      <c r="L253" s="987"/>
      <c r="M253" s="1026"/>
      <c r="N253" s="987"/>
      <c r="O253" s="987"/>
      <c r="P253" s="987"/>
      <c r="Q253" s="987"/>
      <c r="R253" s="987"/>
      <c r="S253" s="987"/>
      <c r="T253" s="988"/>
      <c r="U253" s="1067" t="s">
        <v>1661</v>
      </c>
      <c r="V253" s="1068" t="s">
        <v>3008</v>
      </c>
      <c r="W253" s="1068" t="s">
        <v>2231</v>
      </c>
      <c r="X253" s="1069" t="s">
        <v>3044</v>
      </c>
      <c r="Y253" s="1070" t="s">
        <v>3045</v>
      </c>
      <c r="Z253" s="1071" t="s">
        <v>3046</v>
      </c>
      <c r="AA253" s="1072" t="s">
        <v>2260</v>
      </c>
      <c r="AB253" s="1073">
        <v>0.25</v>
      </c>
      <c r="AC253" s="1073" t="s">
        <v>2260</v>
      </c>
      <c r="AD253" s="1073" t="s">
        <v>2260</v>
      </c>
      <c r="AE253" s="1073">
        <v>0.75</v>
      </c>
      <c r="AF253" s="1073" t="s">
        <v>2260</v>
      </c>
      <c r="AG253" s="1073" t="s">
        <v>2260</v>
      </c>
      <c r="AH253" s="1073" t="s">
        <v>2260</v>
      </c>
      <c r="AI253" s="1074">
        <f t="shared" si="3"/>
        <v>1</v>
      </c>
      <c r="AJ253" s="1075" t="s">
        <v>1825</v>
      </c>
      <c r="AK253" s="1075" t="s">
        <v>2260</v>
      </c>
      <c r="AL253" s="1075" t="s">
        <v>2260</v>
      </c>
      <c r="AM253" s="1076" t="s">
        <v>2264</v>
      </c>
      <c r="AN253" s="987" t="s">
        <v>1897</v>
      </c>
      <c r="AO253" s="987" t="s">
        <v>3036</v>
      </c>
      <c r="AP253" s="1285">
        <v>1</v>
      </c>
      <c r="AQ253" s="1045" t="s">
        <v>1828</v>
      </c>
      <c r="AR253" s="1078" t="s">
        <v>2260</v>
      </c>
      <c r="AS253" s="1079"/>
      <c r="AT253" s="1069"/>
      <c r="AU253" s="1069"/>
      <c r="AV253" s="1069"/>
      <c r="AW253" s="1080"/>
      <c r="AX253" s="1081"/>
      <c r="AY253" s="1044"/>
      <c r="AZ253" s="1045"/>
      <c r="BA253" s="1045"/>
      <c r="BB253" s="1045"/>
      <c r="BC253" s="1045"/>
      <c r="BD253" s="1045"/>
      <c r="BE253" s="1045"/>
      <c r="BF253" s="1045"/>
      <c r="BG253" s="1045"/>
      <c r="BH253" s="1045"/>
      <c r="BI253" s="1369"/>
      <c r="BJ253" s="1319"/>
      <c r="BK253" s="1319"/>
      <c r="BL253" s="1319"/>
      <c r="BM253" s="1319"/>
      <c r="BN253" s="1044"/>
      <c r="BO253" s="1045"/>
      <c r="BP253" s="1045"/>
      <c r="BQ253" s="1045"/>
      <c r="BR253" s="1045"/>
      <c r="BS253" s="1084"/>
      <c r="BT253" s="1045"/>
      <c r="BU253" s="1045"/>
      <c r="BV253" s="1045"/>
      <c r="BW253" s="1085"/>
      <c r="BX253" s="1084"/>
      <c r="BY253" s="1045"/>
      <c r="BZ253" s="1045"/>
      <c r="CA253" s="1045"/>
      <c r="CB253" s="1085"/>
      <c r="CC253" s="1086"/>
      <c r="CD253" s="1327"/>
      <c r="CE253" s="1328"/>
      <c r="CF253" s="1328"/>
      <c r="CG253" s="1328"/>
      <c r="CH253" s="1389"/>
      <c r="CI253" s="1369"/>
      <c r="CJ253" s="1319"/>
      <c r="CK253" s="1319"/>
      <c r="CL253" s="1319"/>
      <c r="CM253" s="1320"/>
      <c r="CN253" s="1369"/>
      <c r="CO253" s="1319"/>
      <c r="CP253" s="1319"/>
      <c r="CQ253" s="1319"/>
      <c r="CR253" s="1320"/>
      <c r="CS253" s="1369"/>
      <c r="CT253" s="1319"/>
      <c r="CU253" s="1319"/>
      <c r="CV253" s="1319"/>
      <c r="CW253" s="1320"/>
      <c r="CX253" s="1369"/>
      <c r="CY253" s="1319"/>
      <c r="CZ253" s="1319"/>
      <c r="DA253" s="1319"/>
      <c r="DB253" s="1320"/>
      <c r="DC253" s="1319"/>
      <c r="DD253" s="1319"/>
      <c r="DE253" s="1319"/>
      <c r="DF253" s="1319"/>
      <c r="DG253" s="1320"/>
      <c r="DH253" s="1369"/>
      <c r="DI253" s="1319"/>
      <c r="DJ253" s="1319"/>
      <c r="DK253" s="1319"/>
      <c r="DL253" s="1320"/>
      <c r="DM253" s="1743"/>
      <c r="DN253" s="1744"/>
      <c r="DO253" s="1744"/>
      <c r="DP253" s="1745"/>
      <c r="DQ253" s="1744"/>
      <c r="DR253" s="1744"/>
      <c r="DS253" s="1744"/>
      <c r="DT253" s="1745"/>
      <c r="DU253" s="1328"/>
      <c r="DV253" s="1664"/>
      <c r="DW253" s="1746"/>
    </row>
    <row r="254" spans="1:127" s="382" customFormat="1" ht="15.75" customHeight="1">
      <c r="A254" s="1066" t="s">
        <v>1278</v>
      </c>
      <c r="B254" s="1026">
        <v>245</v>
      </c>
      <c r="C254" s="987"/>
      <c r="D254" s="987"/>
      <c r="E254" s="987"/>
      <c r="F254" s="987"/>
      <c r="G254" s="987"/>
      <c r="H254" s="987"/>
      <c r="I254" s="987"/>
      <c r="J254" s="987"/>
      <c r="K254" s="987"/>
      <c r="L254" s="987"/>
      <c r="M254" s="1026"/>
      <c r="N254" s="987"/>
      <c r="O254" s="987"/>
      <c r="P254" s="987"/>
      <c r="Q254" s="987"/>
      <c r="R254" s="987"/>
      <c r="S254" s="987"/>
      <c r="T254" s="988"/>
      <c r="U254" s="1067" t="s">
        <v>1675</v>
      </c>
      <c r="V254" s="1068" t="s">
        <v>3008</v>
      </c>
      <c r="W254" s="1068" t="s">
        <v>2231</v>
      </c>
      <c r="X254" s="1069" t="s">
        <v>3047</v>
      </c>
      <c r="Y254" s="1070" t="s">
        <v>3048</v>
      </c>
      <c r="Z254" s="1071" t="s">
        <v>3049</v>
      </c>
      <c r="AA254" s="1072" t="s">
        <v>2260</v>
      </c>
      <c r="AB254" s="1073">
        <v>0.25</v>
      </c>
      <c r="AC254" s="1073" t="s">
        <v>2260</v>
      </c>
      <c r="AD254" s="1073" t="s">
        <v>2260</v>
      </c>
      <c r="AE254" s="1073">
        <v>0.75</v>
      </c>
      <c r="AF254" s="1073" t="s">
        <v>2260</v>
      </c>
      <c r="AG254" s="1073" t="s">
        <v>2260</v>
      </c>
      <c r="AH254" s="1073" t="s">
        <v>2260</v>
      </c>
      <c r="AI254" s="1074">
        <f t="shared" si="3"/>
        <v>1</v>
      </c>
      <c r="AJ254" s="1075" t="s">
        <v>1825</v>
      </c>
      <c r="AK254" s="1075" t="s">
        <v>2260</v>
      </c>
      <c r="AL254" s="1075" t="s">
        <v>2260</v>
      </c>
      <c r="AM254" s="1076" t="s">
        <v>2264</v>
      </c>
      <c r="AN254" s="987" t="s">
        <v>1897</v>
      </c>
      <c r="AO254" s="987" t="s">
        <v>3036</v>
      </c>
      <c r="AP254" s="1285">
        <v>1</v>
      </c>
      <c r="AQ254" s="1045" t="s">
        <v>1828</v>
      </c>
      <c r="AR254" s="1078" t="s">
        <v>2260</v>
      </c>
      <c r="AS254" s="1079"/>
      <c r="AT254" s="1069"/>
      <c r="AU254" s="1069"/>
      <c r="AV254" s="1069"/>
      <c r="AW254" s="1080"/>
      <c r="AX254" s="1081"/>
      <c r="AY254" s="1044"/>
      <c r="AZ254" s="1045"/>
      <c r="BA254" s="1045"/>
      <c r="BB254" s="1045"/>
      <c r="BC254" s="1045"/>
      <c r="BD254" s="1045"/>
      <c r="BE254" s="1045"/>
      <c r="BF254" s="1045"/>
      <c r="BG254" s="1045"/>
      <c r="BH254" s="1045"/>
      <c r="BI254" s="1369"/>
      <c r="BJ254" s="1319"/>
      <c r="BK254" s="1319"/>
      <c r="BL254" s="1319"/>
      <c r="BM254" s="1319"/>
      <c r="BN254" s="1044"/>
      <c r="BO254" s="1045"/>
      <c r="BP254" s="1045"/>
      <c r="BQ254" s="1045"/>
      <c r="BR254" s="1045"/>
      <c r="BS254" s="1084"/>
      <c r="BT254" s="1045"/>
      <c r="BU254" s="1045"/>
      <c r="BV254" s="1045"/>
      <c r="BW254" s="1085"/>
      <c r="BX254" s="1084"/>
      <c r="BY254" s="1045"/>
      <c r="BZ254" s="1045"/>
      <c r="CA254" s="1045"/>
      <c r="CB254" s="1085"/>
      <c r="CC254" s="1086"/>
      <c r="CD254" s="1327"/>
      <c r="CE254" s="1328"/>
      <c r="CF254" s="1328"/>
      <c r="CG254" s="1328"/>
      <c r="CH254" s="1389"/>
      <c r="CI254" s="1369"/>
      <c r="CJ254" s="1319"/>
      <c r="CK254" s="1319"/>
      <c r="CL254" s="1319"/>
      <c r="CM254" s="1320"/>
      <c r="CN254" s="1369"/>
      <c r="CO254" s="1319"/>
      <c r="CP254" s="1319"/>
      <c r="CQ254" s="1319"/>
      <c r="CR254" s="1320"/>
      <c r="CS254" s="1369"/>
      <c r="CT254" s="1319"/>
      <c r="CU254" s="1319"/>
      <c r="CV254" s="1319"/>
      <c r="CW254" s="1320"/>
      <c r="CX254" s="1369"/>
      <c r="CY254" s="1319"/>
      <c r="CZ254" s="1319"/>
      <c r="DA254" s="1319"/>
      <c r="DB254" s="1320"/>
      <c r="DC254" s="1319"/>
      <c r="DD254" s="1319"/>
      <c r="DE254" s="1319"/>
      <c r="DF254" s="1319"/>
      <c r="DG254" s="1320"/>
      <c r="DH254" s="1369"/>
      <c r="DI254" s="1319"/>
      <c r="DJ254" s="1319"/>
      <c r="DK254" s="1319"/>
      <c r="DL254" s="1320"/>
      <c r="DM254" s="1743"/>
      <c r="DN254" s="1744"/>
      <c r="DO254" s="1744"/>
      <c r="DP254" s="1745"/>
      <c r="DQ254" s="1744"/>
      <c r="DR254" s="1744"/>
      <c r="DS254" s="1744"/>
      <c r="DT254" s="1745"/>
      <c r="DU254" s="1328"/>
      <c r="DV254" s="1664"/>
      <c r="DW254" s="1746"/>
    </row>
    <row r="255" spans="1:127" s="382" customFormat="1" ht="15.75" customHeight="1">
      <c r="A255" s="1066" t="s">
        <v>1278</v>
      </c>
      <c r="B255" s="1026">
        <v>246</v>
      </c>
      <c r="C255" s="987"/>
      <c r="D255" s="987"/>
      <c r="E255" s="987"/>
      <c r="F255" s="987"/>
      <c r="G255" s="987"/>
      <c r="H255" s="987"/>
      <c r="I255" s="987"/>
      <c r="J255" s="987"/>
      <c r="K255" s="987"/>
      <c r="L255" s="987"/>
      <c r="M255" s="1026"/>
      <c r="N255" s="987"/>
      <c r="O255" s="987"/>
      <c r="P255" s="987"/>
      <c r="Q255" s="987"/>
      <c r="R255" s="987"/>
      <c r="S255" s="987"/>
      <c r="T255" s="988"/>
      <c r="U255" s="1067" t="s">
        <v>1687</v>
      </c>
      <c r="V255" s="1068" t="s">
        <v>3008</v>
      </c>
      <c r="W255" s="1068" t="s">
        <v>2231</v>
      </c>
      <c r="X255" s="1069" t="s">
        <v>3050</v>
      </c>
      <c r="Y255" s="1070" t="s">
        <v>3051</v>
      </c>
      <c r="Z255" s="1071" t="s">
        <v>3052</v>
      </c>
      <c r="AA255" s="1072" t="s">
        <v>2260</v>
      </c>
      <c r="AB255" s="1073" t="s">
        <v>2260</v>
      </c>
      <c r="AC255" s="1073" t="s">
        <v>2260</v>
      </c>
      <c r="AD255" s="1073" t="s">
        <v>2260</v>
      </c>
      <c r="AE255" s="1073">
        <v>1</v>
      </c>
      <c r="AF255" s="1073" t="s">
        <v>2260</v>
      </c>
      <c r="AG255" s="1073" t="s">
        <v>2260</v>
      </c>
      <c r="AH255" s="1073" t="s">
        <v>2260</v>
      </c>
      <c r="AI255" s="1074">
        <f t="shared" si="3"/>
        <v>1</v>
      </c>
      <c r="AJ255" s="1075" t="s">
        <v>1825</v>
      </c>
      <c r="AK255" s="1075" t="s">
        <v>2260</v>
      </c>
      <c r="AL255" s="1075" t="s">
        <v>2260</v>
      </c>
      <c r="AM255" s="1076" t="s">
        <v>2396</v>
      </c>
      <c r="AN255" s="987" t="s">
        <v>1897</v>
      </c>
      <c r="AO255" s="987" t="s">
        <v>3036</v>
      </c>
      <c r="AP255" s="1285">
        <v>1</v>
      </c>
      <c r="AQ255" s="1045" t="s">
        <v>1828</v>
      </c>
      <c r="AR255" s="1078" t="s">
        <v>2260</v>
      </c>
      <c r="AS255" s="1079"/>
      <c r="AT255" s="1069"/>
      <c r="AU255" s="1069"/>
      <c r="AV255" s="1069"/>
      <c r="AW255" s="1080"/>
      <c r="AX255" s="1081"/>
      <c r="AY255" s="1044"/>
      <c r="AZ255" s="1045"/>
      <c r="BA255" s="1045"/>
      <c r="BB255" s="1045"/>
      <c r="BC255" s="1045"/>
      <c r="BD255" s="1045"/>
      <c r="BE255" s="1045"/>
      <c r="BF255" s="1045"/>
      <c r="BG255" s="1045"/>
      <c r="BH255" s="1045"/>
      <c r="BI255" s="1369"/>
      <c r="BJ255" s="1319"/>
      <c r="BK255" s="1319"/>
      <c r="BL255" s="1319"/>
      <c r="BM255" s="1319"/>
      <c r="BN255" s="1044"/>
      <c r="BO255" s="1045"/>
      <c r="BP255" s="1045"/>
      <c r="BQ255" s="1045"/>
      <c r="BR255" s="1045"/>
      <c r="BS255" s="1084"/>
      <c r="BT255" s="1045"/>
      <c r="BU255" s="1045"/>
      <c r="BV255" s="1045"/>
      <c r="BW255" s="1085"/>
      <c r="BX255" s="1084"/>
      <c r="BY255" s="1045"/>
      <c r="BZ255" s="1045"/>
      <c r="CA255" s="1045"/>
      <c r="CB255" s="1085"/>
      <c r="CC255" s="1086"/>
      <c r="CD255" s="1327"/>
      <c r="CE255" s="1328"/>
      <c r="CF255" s="1328"/>
      <c r="CG255" s="1328"/>
      <c r="CH255" s="1389"/>
      <c r="CI255" s="1369"/>
      <c r="CJ255" s="1319"/>
      <c r="CK255" s="1319"/>
      <c r="CL255" s="1319"/>
      <c r="CM255" s="1320"/>
      <c r="CN255" s="1369"/>
      <c r="CO255" s="1319"/>
      <c r="CP255" s="1319"/>
      <c r="CQ255" s="1319"/>
      <c r="CR255" s="1320"/>
      <c r="CS255" s="1369"/>
      <c r="CT255" s="1319"/>
      <c r="CU255" s="1319"/>
      <c r="CV255" s="1319"/>
      <c r="CW255" s="1320"/>
      <c r="CX255" s="1369"/>
      <c r="CY255" s="1319"/>
      <c r="CZ255" s="1319"/>
      <c r="DA255" s="1319"/>
      <c r="DB255" s="1320"/>
      <c r="DC255" s="1319"/>
      <c r="DD255" s="1319"/>
      <c r="DE255" s="1319"/>
      <c r="DF255" s="1319"/>
      <c r="DG255" s="1320"/>
      <c r="DH255" s="1369"/>
      <c r="DI255" s="1319"/>
      <c r="DJ255" s="1319"/>
      <c r="DK255" s="1319"/>
      <c r="DL255" s="1320"/>
      <c r="DM255" s="1743"/>
      <c r="DN255" s="1744"/>
      <c r="DO255" s="1744"/>
      <c r="DP255" s="1745"/>
      <c r="DQ255" s="1744"/>
      <c r="DR255" s="1744"/>
      <c r="DS255" s="1744"/>
      <c r="DT255" s="1745"/>
      <c r="DU255" s="1328"/>
      <c r="DV255" s="1664"/>
      <c r="DW255" s="1746"/>
    </row>
    <row r="256" spans="1:127" s="382" customFormat="1" ht="15.75" customHeight="1">
      <c r="A256" s="1066" t="s">
        <v>1278</v>
      </c>
      <c r="B256" s="1026">
        <v>247</v>
      </c>
      <c r="C256" s="987"/>
      <c r="D256" s="987"/>
      <c r="E256" s="987"/>
      <c r="F256" s="987"/>
      <c r="G256" s="987"/>
      <c r="H256" s="987"/>
      <c r="I256" s="987"/>
      <c r="J256" s="987"/>
      <c r="K256" s="987"/>
      <c r="L256" s="987"/>
      <c r="M256" s="1026"/>
      <c r="N256" s="987"/>
      <c r="O256" s="987"/>
      <c r="P256" s="987"/>
      <c r="Q256" s="987"/>
      <c r="R256" s="987"/>
      <c r="S256" s="987"/>
      <c r="T256" s="988"/>
      <c r="U256" s="1067" t="s">
        <v>1698</v>
      </c>
      <c r="V256" s="1068" t="s">
        <v>3008</v>
      </c>
      <c r="W256" s="1068" t="s">
        <v>2231</v>
      </c>
      <c r="X256" s="1069" t="s">
        <v>3053</v>
      </c>
      <c r="Y256" s="1070" t="s">
        <v>3054</v>
      </c>
      <c r="Z256" s="1071" t="s">
        <v>3055</v>
      </c>
      <c r="AA256" s="1072" t="s">
        <v>2260</v>
      </c>
      <c r="AB256" s="1073">
        <v>0.5</v>
      </c>
      <c r="AC256" s="1073" t="s">
        <v>2260</v>
      </c>
      <c r="AD256" s="1073" t="s">
        <v>2260</v>
      </c>
      <c r="AE256" s="1073">
        <v>0.5</v>
      </c>
      <c r="AF256" s="1073" t="s">
        <v>2260</v>
      </c>
      <c r="AG256" s="1073" t="s">
        <v>2260</v>
      </c>
      <c r="AH256" s="1073" t="s">
        <v>2260</v>
      </c>
      <c r="AI256" s="1074">
        <f t="shared" si="3"/>
        <v>1</v>
      </c>
      <c r="AJ256" s="1075" t="s">
        <v>1825</v>
      </c>
      <c r="AK256" s="1075" t="s">
        <v>2260</v>
      </c>
      <c r="AL256" s="1075" t="s">
        <v>2260</v>
      </c>
      <c r="AM256" s="1076" t="s">
        <v>2396</v>
      </c>
      <c r="AN256" s="987" t="s">
        <v>1897</v>
      </c>
      <c r="AO256" s="987" t="s">
        <v>3036</v>
      </c>
      <c r="AP256" s="1285">
        <v>1</v>
      </c>
      <c r="AQ256" s="1045" t="s">
        <v>1828</v>
      </c>
      <c r="AR256" s="1078" t="s">
        <v>2260</v>
      </c>
      <c r="AS256" s="1079"/>
      <c r="AT256" s="1069"/>
      <c r="AU256" s="1069"/>
      <c r="AV256" s="1069"/>
      <c r="AW256" s="1080"/>
      <c r="AX256" s="1081"/>
      <c r="AY256" s="1044"/>
      <c r="AZ256" s="1045"/>
      <c r="BA256" s="1045"/>
      <c r="BB256" s="1045"/>
      <c r="BC256" s="1045"/>
      <c r="BD256" s="1045"/>
      <c r="BE256" s="1045"/>
      <c r="BF256" s="1045"/>
      <c r="BG256" s="1045"/>
      <c r="BH256" s="1045"/>
      <c r="BI256" s="1369"/>
      <c r="BJ256" s="1319"/>
      <c r="BK256" s="1319"/>
      <c r="BL256" s="1319"/>
      <c r="BM256" s="1319"/>
      <c r="BN256" s="1044"/>
      <c r="BO256" s="1045"/>
      <c r="BP256" s="1045"/>
      <c r="BQ256" s="1045"/>
      <c r="BR256" s="1045"/>
      <c r="BS256" s="1084"/>
      <c r="BT256" s="1045"/>
      <c r="BU256" s="1045"/>
      <c r="BV256" s="1045"/>
      <c r="BW256" s="1085"/>
      <c r="BX256" s="1084"/>
      <c r="BY256" s="1045"/>
      <c r="BZ256" s="1045"/>
      <c r="CA256" s="1045"/>
      <c r="CB256" s="1085"/>
      <c r="CC256" s="1086"/>
      <c r="CD256" s="1327"/>
      <c r="CE256" s="1328"/>
      <c r="CF256" s="1328"/>
      <c r="CG256" s="1328"/>
      <c r="CH256" s="1389"/>
      <c r="CI256" s="1369"/>
      <c r="CJ256" s="1319"/>
      <c r="CK256" s="1319"/>
      <c r="CL256" s="1319"/>
      <c r="CM256" s="1320"/>
      <c r="CN256" s="1369"/>
      <c r="CO256" s="1319"/>
      <c r="CP256" s="1319"/>
      <c r="CQ256" s="1319"/>
      <c r="CR256" s="1320"/>
      <c r="CS256" s="1369"/>
      <c r="CT256" s="1319"/>
      <c r="CU256" s="1319"/>
      <c r="CV256" s="1319"/>
      <c r="CW256" s="1320"/>
      <c r="CX256" s="1369"/>
      <c r="CY256" s="1319"/>
      <c r="CZ256" s="1319"/>
      <c r="DA256" s="1319"/>
      <c r="DB256" s="1320"/>
      <c r="DC256" s="1319"/>
      <c r="DD256" s="1319"/>
      <c r="DE256" s="1319"/>
      <c r="DF256" s="1319"/>
      <c r="DG256" s="1320"/>
      <c r="DH256" s="1369"/>
      <c r="DI256" s="1319"/>
      <c r="DJ256" s="1319"/>
      <c r="DK256" s="1319"/>
      <c r="DL256" s="1320"/>
      <c r="DM256" s="1743"/>
      <c r="DN256" s="1744"/>
      <c r="DO256" s="1744"/>
      <c r="DP256" s="1745"/>
      <c r="DQ256" s="1744"/>
      <c r="DR256" s="1744"/>
      <c r="DS256" s="1744"/>
      <c r="DT256" s="1745"/>
      <c r="DU256" s="1328"/>
      <c r="DV256" s="1664"/>
      <c r="DW256" s="1746"/>
    </row>
    <row r="257" spans="1:127" s="382" customFormat="1" ht="15.75" customHeight="1">
      <c r="A257" s="1066" t="s">
        <v>1278</v>
      </c>
      <c r="B257" s="1026">
        <v>248</v>
      </c>
      <c r="C257" s="987"/>
      <c r="D257" s="987"/>
      <c r="E257" s="987"/>
      <c r="F257" s="987"/>
      <c r="G257" s="987"/>
      <c r="H257" s="987"/>
      <c r="I257" s="987"/>
      <c r="J257" s="987"/>
      <c r="K257" s="987"/>
      <c r="L257" s="987"/>
      <c r="M257" s="1026"/>
      <c r="N257" s="987"/>
      <c r="O257" s="987"/>
      <c r="P257" s="987"/>
      <c r="Q257" s="987"/>
      <c r="R257" s="987"/>
      <c r="S257" s="987"/>
      <c r="T257" s="988"/>
      <c r="U257" s="1067" t="s">
        <v>1708</v>
      </c>
      <c r="V257" s="1068" t="s">
        <v>3008</v>
      </c>
      <c r="W257" s="1068" t="s">
        <v>2231</v>
      </c>
      <c r="X257" s="1069" t="s">
        <v>3056</v>
      </c>
      <c r="Y257" s="1070" t="s">
        <v>3057</v>
      </c>
      <c r="Z257" s="1071" t="s">
        <v>3058</v>
      </c>
      <c r="AA257" s="1072" t="s">
        <v>2260</v>
      </c>
      <c r="AB257" s="1073">
        <v>0.5</v>
      </c>
      <c r="AC257" s="1073" t="s">
        <v>2260</v>
      </c>
      <c r="AD257" s="1073" t="s">
        <v>2260</v>
      </c>
      <c r="AE257" s="1073">
        <v>0.5</v>
      </c>
      <c r="AF257" s="1073" t="s">
        <v>2260</v>
      </c>
      <c r="AG257" s="1073" t="s">
        <v>2260</v>
      </c>
      <c r="AH257" s="1073" t="s">
        <v>2260</v>
      </c>
      <c r="AI257" s="1074">
        <f t="shared" si="3"/>
        <v>1</v>
      </c>
      <c r="AJ257" s="1075" t="s">
        <v>1825</v>
      </c>
      <c r="AK257" s="1075" t="s">
        <v>2260</v>
      </c>
      <c r="AL257" s="1075" t="s">
        <v>2260</v>
      </c>
      <c r="AM257" s="1076" t="s">
        <v>2396</v>
      </c>
      <c r="AN257" s="825" t="s">
        <v>1897</v>
      </c>
      <c r="AO257" s="1302" t="s">
        <v>3059</v>
      </c>
      <c r="AP257" s="1285">
        <v>1</v>
      </c>
      <c r="AQ257" s="1045" t="s">
        <v>1828</v>
      </c>
      <c r="AR257" s="1078" t="s">
        <v>2260</v>
      </c>
      <c r="AS257" s="1079"/>
      <c r="AT257" s="1069"/>
      <c r="AU257" s="1069"/>
      <c r="AV257" s="1069"/>
      <c r="AW257" s="1080"/>
      <c r="AX257" s="1081"/>
      <c r="AY257" s="1044"/>
      <c r="AZ257" s="1045"/>
      <c r="BA257" s="1045"/>
      <c r="BB257" s="1045"/>
      <c r="BC257" s="1045"/>
      <c r="BD257" s="1045"/>
      <c r="BE257" s="1045"/>
      <c r="BF257" s="1045"/>
      <c r="BG257" s="1045"/>
      <c r="BH257" s="1045"/>
      <c r="BI257" s="1369"/>
      <c r="BJ257" s="1319"/>
      <c r="BK257" s="1319"/>
      <c r="BL257" s="1319"/>
      <c r="BM257" s="1319"/>
      <c r="BN257" s="1044"/>
      <c r="BO257" s="1045"/>
      <c r="BP257" s="1045"/>
      <c r="BQ257" s="1045"/>
      <c r="BR257" s="1045"/>
      <c r="BS257" s="1084"/>
      <c r="BT257" s="1045"/>
      <c r="BU257" s="1045"/>
      <c r="BV257" s="1045"/>
      <c r="BW257" s="1085"/>
      <c r="BX257" s="1084"/>
      <c r="BY257" s="1045"/>
      <c r="BZ257" s="1045"/>
      <c r="CA257" s="1045"/>
      <c r="CB257" s="1085"/>
      <c r="CC257" s="1086"/>
      <c r="CD257" s="1327"/>
      <c r="CE257" s="1328"/>
      <c r="CF257" s="1328"/>
      <c r="CG257" s="1328"/>
      <c r="CH257" s="1389"/>
      <c r="CI257" s="1369"/>
      <c r="CJ257" s="1319"/>
      <c r="CK257" s="1319"/>
      <c r="CL257" s="1319"/>
      <c r="CM257" s="1320"/>
      <c r="CN257" s="1369"/>
      <c r="CO257" s="1319"/>
      <c r="CP257" s="1319"/>
      <c r="CQ257" s="1319"/>
      <c r="CR257" s="1320"/>
      <c r="CS257" s="1369"/>
      <c r="CT257" s="1319"/>
      <c r="CU257" s="1319"/>
      <c r="CV257" s="1319"/>
      <c r="CW257" s="1320"/>
      <c r="CX257" s="1369"/>
      <c r="CY257" s="1319"/>
      <c r="CZ257" s="1319"/>
      <c r="DA257" s="1319"/>
      <c r="DB257" s="1320"/>
      <c r="DC257" s="1319"/>
      <c r="DD257" s="1319"/>
      <c r="DE257" s="1319"/>
      <c r="DF257" s="1319"/>
      <c r="DG257" s="1320"/>
      <c r="DH257" s="1369"/>
      <c r="DI257" s="1319"/>
      <c r="DJ257" s="1319"/>
      <c r="DK257" s="1319"/>
      <c r="DL257" s="1320"/>
      <c r="DM257" s="1743"/>
      <c r="DN257" s="1744"/>
      <c r="DO257" s="1744"/>
      <c r="DP257" s="1745"/>
      <c r="DQ257" s="1744"/>
      <c r="DR257" s="1744"/>
      <c r="DS257" s="1744"/>
      <c r="DT257" s="1745"/>
      <c r="DU257" s="1328"/>
      <c r="DV257" s="1664"/>
      <c r="DW257" s="1746"/>
    </row>
    <row r="258" spans="1:127" s="382" customFormat="1" ht="15.75" customHeight="1">
      <c r="A258" s="1066" t="s">
        <v>1278</v>
      </c>
      <c r="B258" s="1026">
        <v>249</v>
      </c>
      <c r="C258" s="987"/>
      <c r="D258" s="987"/>
      <c r="E258" s="987"/>
      <c r="F258" s="987"/>
      <c r="G258" s="987"/>
      <c r="H258" s="987"/>
      <c r="I258" s="987"/>
      <c r="J258" s="987"/>
      <c r="K258" s="987"/>
      <c r="L258" s="987"/>
      <c r="M258" s="1026"/>
      <c r="N258" s="987"/>
      <c r="O258" s="987"/>
      <c r="P258" s="987"/>
      <c r="Q258" s="987"/>
      <c r="R258" s="987"/>
      <c r="S258" s="987"/>
      <c r="T258" s="988"/>
      <c r="U258" s="1067" t="s">
        <v>1311</v>
      </c>
      <c r="V258" s="1068" t="s">
        <v>3014</v>
      </c>
      <c r="W258" s="1068" t="s">
        <v>2217</v>
      </c>
      <c r="X258" s="1069" t="s">
        <v>2940</v>
      </c>
      <c r="Y258" s="1070" t="s">
        <v>3060</v>
      </c>
      <c r="Z258" s="1071" t="s">
        <v>3061</v>
      </c>
      <c r="AA258" s="1072">
        <v>0.2</v>
      </c>
      <c r="AB258" s="1073">
        <v>0.8</v>
      </c>
      <c r="AC258" s="1073" t="s">
        <v>2260</v>
      </c>
      <c r="AD258" s="1073" t="s">
        <v>2260</v>
      </c>
      <c r="AE258" s="1073" t="s">
        <v>2260</v>
      </c>
      <c r="AF258" s="1073" t="s">
        <v>2260</v>
      </c>
      <c r="AG258" s="1073" t="s">
        <v>2260</v>
      </c>
      <c r="AH258" s="1073" t="s">
        <v>2260</v>
      </c>
      <c r="AI258" s="1074">
        <f t="shared" si="3"/>
        <v>1</v>
      </c>
      <c r="AJ258" s="1075" t="s">
        <v>1852</v>
      </c>
      <c r="AK258" s="1075" t="s">
        <v>1826</v>
      </c>
      <c r="AL258" s="1075" t="s">
        <v>1827</v>
      </c>
      <c r="AM258" s="1076" t="s">
        <v>2421</v>
      </c>
      <c r="AN258" s="987" t="s">
        <v>439</v>
      </c>
      <c r="AO258" s="987" t="s">
        <v>4423</v>
      </c>
      <c r="AP258" s="1276">
        <v>2</v>
      </c>
      <c r="AQ258" s="1045" t="s">
        <v>1838</v>
      </c>
      <c r="AR258" s="1078"/>
      <c r="AS258" s="1079"/>
      <c r="AT258" s="1069"/>
      <c r="AU258" s="1069"/>
      <c r="AV258" s="1069"/>
      <c r="AW258" s="1080"/>
      <c r="AX258" s="1081"/>
      <c r="AY258" s="1044"/>
      <c r="AZ258" s="1045"/>
      <c r="BA258" s="1045"/>
      <c r="BB258" s="1045"/>
      <c r="BC258" s="1045"/>
      <c r="BD258" s="1045"/>
      <c r="BE258" s="1045"/>
      <c r="BF258" s="1045"/>
      <c r="BG258" s="1045"/>
      <c r="BH258" s="1045"/>
      <c r="BI258" s="1369"/>
      <c r="BJ258" s="1319"/>
      <c r="BK258" s="1319"/>
      <c r="BL258" s="1319"/>
      <c r="BM258" s="1319"/>
      <c r="BN258" s="1044"/>
      <c r="BO258" s="1045"/>
      <c r="BP258" s="1045"/>
      <c r="BQ258" s="1045"/>
      <c r="BR258" s="1045"/>
      <c r="BS258" s="1084"/>
      <c r="BT258" s="1045"/>
      <c r="BU258" s="1045"/>
      <c r="BV258" s="1045"/>
      <c r="BW258" s="1085"/>
      <c r="BX258" s="1084"/>
      <c r="BY258" s="1045"/>
      <c r="BZ258" s="1045"/>
      <c r="CA258" s="1045"/>
      <c r="CB258" s="1085"/>
      <c r="CC258" s="1086"/>
      <c r="CD258" s="1327"/>
      <c r="CE258" s="1328"/>
      <c r="CF258" s="1328"/>
      <c r="CG258" s="1328"/>
      <c r="CH258" s="1389"/>
      <c r="CI258" s="1369"/>
      <c r="CJ258" s="1319"/>
      <c r="CK258" s="1319"/>
      <c r="CL258" s="1319"/>
      <c r="CM258" s="1320"/>
      <c r="CN258" s="1369"/>
      <c r="CO258" s="1319"/>
      <c r="CP258" s="1319"/>
      <c r="CQ258" s="1319"/>
      <c r="CR258" s="1320"/>
      <c r="CS258" s="1369"/>
      <c r="CT258" s="1319"/>
      <c r="CU258" s="1319"/>
      <c r="CV258" s="1319"/>
      <c r="CW258" s="1320"/>
      <c r="CX258" s="1369"/>
      <c r="CY258" s="1319"/>
      <c r="CZ258" s="1319"/>
      <c r="DA258" s="1319"/>
      <c r="DB258" s="1320"/>
      <c r="DC258" s="1319"/>
      <c r="DD258" s="1319"/>
      <c r="DE258" s="1319"/>
      <c r="DF258" s="1319"/>
      <c r="DG258" s="1320"/>
      <c r="DH258" s="1369"/>
      <c r="DI258" s="1319"/>
      <c r="DJ258" s="1319"/>
      <c r="DK258" s="1319"/>
      <c r="DL258" s="1320"/>
      <c r="DM258" s="1743"/>
      <c r="DN258" s="1744"/>
      <c r="DO258" s="1744"/>
      <c r="DP258" s="1745"/>
      <c r="DQ258" s="1744"/>
      <c r="DR258" s="1744"/>
      <c r="DS258" s="1744"/>
      <c r="DT258" s="1745"/>
      <c r="DU258" s="1328"/>
      <c r="DV258" s="1664"/>
      <c r="DW258" s="1746"/>
    </row>
    <row r="259" spans="1:127" s="382" customFormat="1" ht="15.75" customHeight="1">
      <c r="A259" s="1066" t="s">
        <v>1278</v>
      </c>
      <c r="B259" s="1026">
        <v>250</v>
      </c>
      <c r="C259" s="987"/>
      <c r="D259" s="987"/>
      <c r="E259" s="987"/>
      <c r="F259" s="987"/>
      <c r="G259" s="987"/>
      <c r="H259" s="987"/>
      <c r="I259" s="987"/>
      <c r="J259" s="987"/>
      <c r="K259" s="987"/>
      <c r="L259" s="987"/>
      <c r="M259" s="1026"/>
      <c r="N259" s="987"/>
      <c r="O259" s="987"/>
      <c r="P259" s="987"/>
      <c r="Q259" s="987"/>
      <c r="R259" s="987"/>
      <c r="S259" s="987"/>
      <c r="T259" s="988"/>
      <c r="U259" s="1067" t="s">
        <v>1328</v>
      </c>
      <c r="V259" s="1068" t="s">
        <v>3014</v>
      </c>
      <c r="W259" s="1068" t="s">
        <v>2231</v>
      </c>
      <c r="X259" s="1069" t="s">
        <v>2941</v>
      </c>
      <c r="Y259" s="1070" t="s">
        <v>3063</v>
      </c>
      <c r="Z259" s="1071" t="s">
        <v>3064</v>
      </c>
      <c r="AA259" s="1072">
        <v>0.2</v>
      </c>
      <c r="AB259" s="1073">
        <v>0.8</v>
      </c>
      <c r="AC259" s="1073" t="s">
        <v>2260</v>
      </c>
      <c r="AD259" s="1073" t="s">
        <v>2260</v>
      </c>
      <c r="AE259" s="1073" t="s">
        <v>2260</v>
      </c>
      <c r="AF259" s="1073" t="s">
        <v>2260</v>
      </c>
      <c r="AG259" s="1073" t="s">
        <v>2260</v>
      </c>
      <c r="AH259" s="1073" t="s">
        <v>2260</v>
      </c>
      <c r="AI259" s="1074">
        <f t="shared" si="3"/>
        <v>1</v>
      </c>
      <c r="AJ259" s="1075" t="s">
        <v>1852</v>
      </c>
      <c r="AK259" s="1075" t="s">
        <v>1826</v>
      </c>
      <c r="AL259" s="1075" t="s">
        <v>1827</v>
      </c>
      <c r="AM259" s="1076" t="s">
        <v>2421</v>
      </c>
      <c r="AN259" s="987" t="s">
        <v>439</v>
      </c>
      <c r="AO259" s="987" t="s">
        <v>4423</v>
      </c>
      <c r="AP259" s="1276">
        <v>2</v>
      </c>
      <c r="AQ259" s="1045" t="s">
        <v>1838</v>
      </c>
      <c r="AR259" s="1078"/>
      <c r="AS259" s="1079"/>
      <c r="AT259" s="1069"/>
      <c r="AU259" s="1069"/>
      <c r="AV259" s="1069"/>
      <c r="AW259" s="1080"/>
      <c r="AX259" s="1081"/>
      <c r="AY259" s="1044"/>
      <c r="AZ259" s="1045"/>
      <c r="BA259" s="1045"/>
      <c r="BB259" s="1045"/>
      <c r="BC259" s="1045"/>
      <c r="BD259" s="1045"/>
      <c r="BE259" s="1045"/>
      <c r="BF259" s="1045"/>
      <c r="BG259" s="1045"/>
      <c r="BH259" s="1045"/>
      <c r="BI259" s="1369"/>
      <c r="BJ259" s="1319"/>
      <c r="BK259" s="1319"/>
      <c r="BL259" s="1319"/>
      <c r="BM259" s="1319"/>
      <c r="BN259" s="1044"/>
      <c r="BO259" s="1045"/>
      <c r="BP259" s="1045"/>
      <c r="BQ259" s="1045"/>
      <c r="BR259" s="1045"/>
      <c r="BS259" s="1084"/>
      <c r="BT259" s="1045"/>
      <c r="BU259" s="1045"/>
      <c r="BV259" s="1045"/>
      <c r="BW259" s="1085"/>
      <c r="BX259" s="1084"/>
      <c r="BY259" s="1045"/>
      <c r="BZ259" s="1045"/>
      <c r="CA259" s="1045"/>
      <c r="CB259" s="1085"/>
      <c r="CC259" s="1086"/>
      <c r="CD259" s="1327"/>
      <c r="CE259" s="1328"/>
      <c r="CF259" s="1328"/>
      <c r="CG259" s="1328"/>
      <c r="CH259" s="1389"/>
      <c r="CI259" s="1369"/>
      <c r="CJ259" s="1319"/>
      <c r="CK259" s="1319"/>
      <c r="CL259" s="1319"/>
      <c r="CM259" s="1320"/>
      <c r="CN259" s="1369"/>
      <c r="CO259" s="1319"/>
      <c r="CP259" s="1319"/>
      <c r="CQ259" s="1319"/>
      <c r="CR259" s="1320"/>
      <c r="CS259" s="1369"/>
      <c r="CT259" s="1319"/>
      <c r="CU259" s="1319"/>
      <c r="CV259" s="1319"/>
      <c r="CW259" s="1320"/>
      <c r="CX259" s="1369"/>
      <c r="CY259" s="1319"/>
      <c r="CZ259" s="1319"/>
      <c r="DA259" s="1319"/>
      <c r="DB259" s="1320"/>
      <c r="DC259" s="1319"/>
      <c r="DD259" s="1319"/>
      <c r="DE259" s="1319"/>
      <c r="DF259" s="1319"/>
      <c r="DG259" s="1320"/>
      <c r="DH259" s="1369"/>
      <c r="DI259" s="1319"/>
      <c r="DJ259" s="1319"/>
      <c r="DK259" s="1319"/>
      <c r="DL259" s="1320"/>
      <c r="DM259" s="1743"/>
      <c r="DN259" s="1744"/>
      <c r="DO259" s="1744"/>
      <c r="DP259" s="1745"/>
      <c r="DQ259" s="1744"/>
      <c r="DR259" s="1744"/>
      <c r="DS259" s="1744"/>
      <c r="DT259" s="1745"/>
      <c r="DU259" s="1328"/>
      <c r="DV259" s="1664"/>
      <c r="DW259" s="1746"/>
    </row>
    <row r="260" spans="1:127" s="382" customFormat="1" ht="15.75" customHeight="1">
      <c r="A260" s="1066" t="s">
        <v>1278</v>
      </c>
      <c r="B260" s="1026">
        <v>251</v>
      </c>
      <c r="C260" s="987"/>
      <c r="D260" s="987"/>
      <c r="E260" s="987"/>
      <c r="F260" s="987"/>
      <c r="G260" s="987"/>
      <c r="H260" s="987"/>
      <c r="I260" s="987"/>
      <c r="J260" s="987"/>
      <c r="K260" s="987"/>
      <c r="L260" s="987"/>
      <c r="M260" s="1026"/>
      <c r="N260" s="987"/>
      <c r="O260" s="987"/>
      <c r="P260" s="987"/>
      <c r="Q260" s="987"/>
      <c r="R260" s="987"/>
      <c r="S260" s="987"/>
      <c r="T260" s="988"/>
      <c r="U260" s="1067" t="s">
        <v>1717</v>
      </c>
      <c r="V260" s="1068" t="s">
        <v>3065</v>
      </c>
      <c r="W260" s="1068" t="s">
        <v>2231</v>
      </c>
      <c r="X260" s="1069" t="s">
        <v>3066</v>
      </c>
      <c r="Y260" s="1070" t="s">
        <v>3067</v>
      </c>
      <c r="Z260" s="1071" t="s">
        <v>3068</v>
      </c>
      <c r="AA260" s="1072" t="s">
        <v>2260</v>
      </c>
      <c r="AB260" s="1073">
        <v>0.1</v>
      </c>
      <c r="AC260" s="1073" t="s">
        <v>2260</v>
      </c>
      <c r="AD260" s="1073" t="s">
        <v>2260</v>
      </c>
      <c r="AE260" s="1073">
        <v>0.9</v>
      </c>
      <c r="AF260" s="1073" t="s">
        <v>2260</v>
      </c>
      <c r="AG260" s="1073" t="s">
        <v>2260</v>
      </c>
      <c r="AH260" s="1073" t="s">
        <v>2260</v>
      </c>
      <c r="AI260" s="1074">
        <f t="shared" si="3"/>
        <v>1</v>
      </c>
      <c r="AJ260" s="1075" t="s">
        <v>1825</v>
      </c>
      <c r="AK260" s="1075" t="s">
        <v>2260</v>
      </c>
      <c r="AL260" s="1075" t="s">
        <v>2260</v>
      </c>
      <c r="AM260" s="1076" t="s">
        <v>2396</v>
      </c>
      <c r="AN260" s="987" t="s">
        <v>1857</v>
      </c>
      <c r="AO260" s="987" t="s">
        <v>2950</v>
      </c>
      <c r="AP260" s="1285">
        <v>0</v>
      </c>
      <c r="AQ260" s="1045" t="s">
        <v>1828</v>
      </c>
      <c r="AR260" s="1078" t="s">
        <v>2260</v>
      </c>
      <c r="AS260" s="1079"/>
      <c r="AT260" s="1069"/>
      <c r="AU260" s="1069"/>
      <c r="AV260" s="1069"/>
      <c r="AW260" s="1080"/>
      <c r="AX260" s="1081"/>
      <c r="AY260" s="1044"/>
      <c r="AZ260" s="1045"/>
      <c r="BA260" s="1045"/>
      <c r="BB260" s="1045"/>
      <c r="BC260" s="1045"/>
      <c r="BD260" s="1045"/>
      <c r="BE260" s="1045"/>
      <c r="BF260" s="1045"/>
      <c r="BG260" s="1045"/>
      <c r="BH260" s="1045"/>
      <c r="BI260" s="1369"/>
      <c r="BJ260" s="1319"/>
      <c r="BK260" s="1319"/>
      <c r="BL260" s="1319"/>
      <c r="BM260" s="1319"/>
      <c r="BN260" s="1044"/>
      <c r="BO260" s="1045"/>
      <c r="BP260" s="1045"/>
      <c r="BQ260" s="1045"/>
      <c r="BR260" s="1045"/>
      <c r="BS260" s="1084"/>
      <c r="BT260" s="1045"/>
      <c r="BU260" s="1045"/>
      <c r="BV260" s="1045"/>
      <c r="BW260" s="1085"/>
      <c r="BX260" s="1084"/>
      <c r="BY260" s="1045"/>
      <c r="BZ260" s="1045"/>
      <c r="CA260" s="1045"/>
      <c r="CB260" s="1085"/>
      <c r="CC260" s="1086"/>
      <c r="CD260" s="1327"/>
      <c r="CE260" s="1328"/>
      <c r="CF260" s="1328"/>
      <c r="CG260" s="1328"/>
      <c r="CH260" s="1389"/>
      <c r="CI260" s="1369"/>
      <c r="CJ260" s="1319"/>
      <c r="CK260" s="1319"/>
      <c r="CL260" s="1319"/>
      <c r="CM260" s="1320"/>
      <c r="CN260" s="1369"/>
      <c r="CO260" s="1319"/>
      <c r="CP260" s="1319"/>
      <c r="CQ260" s="1319"/>
      <c r="CR260" s="1320"/>
      <c r="CS260" s="1369"/>
      <c r="CT260" s="1319"/>
      <c r="CU260" s="1319"/>
      <c r="CV260" s="1319"/>
      <c r="CW260" s="1320"/>
      <c r="CX260" s="1369"/>
      <c r="CY260" s="1319"/>
      <c r="CZ260" s="1319"/>
      <c r="DA260" s="1319"/>
      <c r="DB260" s="1320"/>
      <c r="DC260" s="1319"/>
      <c r="DD260" s="1319"/>
      <c r="DE260" s="1319"/>
      <c r="DF260" s="1319"/>
      <c r="DG260" s="1320"/>
      <c r="DH260" s="1369"/>
      <c r="DI260" s="1319"/>
      <c r="DJ260" s="1319"/>
      <c r="DK260" s="1319"/>
      <c r="DL260" s="1320"/>
      <c r="DM260" s="1743"/>
      <c r="DN260" s="1744"/>
      <c r="DO260" s="1744"/>
      <c r="DP260" s="1745"/>
      <c r="DQ260" s="1744"/>
      <c r="DR260" s="1744"/>
      <c r="DS260" s="1744"/>
      <c r="DT260" s="1745"/>
      <c r="DU260" s="1328"/>
      <c r="DV260" s="1664"/>
      <c r="DW260" s="1746"/>
    </row>
    <row r="261" spans="1:127" s="382" customFormat="1" ht="15.75" customHeight="1">
      <c r="A261" s="1066" t="s">
        <v>1278</v>
      </c>
      <c r="B261" s="1026">
        <v>252</v>
      </c>
      <c r="C261" s="987"/>
      <c r="D261" s="987"/>
      <c r="E261" s="987"/>
      <c r="F261" s="987"/>
      <c r="G261" s="987"/>
      <c r="H261" s="987"/>
      <c r="I261" s="987"/>
      <c r="J261" s="987"/>
      <c r="K261" s="987"/>
      <c r="L261" s="987"/>
      <c r="M261" s="1026"/>
      <c r="N261" s="987"/>
      <c r="O261" s="987"/>
      <c r="P261" s="987"/>
      <c r="Q261" s="987"/>
      <c r="R261" s="987"/>
      <c r="S261" s="987"/>
      <c r="T261" s="988"/>
      <c r="U261" s="1067" t="s">
        <v>1197</v>
      </c>
      <c r="V261" s="1068" t="s">
        <v>3069</v>
      </c>
      <c r="W261" s="1068" t="s">
        <v>2231</v>
      </c>
      <c r="X261" s="1069" t="s">
        <v>3070</v>
      </c>
      <c r="Y261" s="1070" t="s">
        <v>755</v>
      </c>
      <c r="Z261" s="1071" t="s">
        <v>3071</v>
      </c>
      <c r="AA261" s="1072" t="s">
        <v>2260</v>
      </c>
      <c r="AB261" s="1073">
        <v>0.5</v>
      </c>
      <c r="AC261" s="1073" t="s">
        <v>2260</v>
      </c>
      <c r="AD261" s="1073" t="s">
        <v>2260</v>
      </c>
      <c r="AE261" s="1073">
        <v>0.5</v>
      </c>
      <c r="AF261" s="1073" t="s">
        <v>2260</v>
      </c>
      <c r="AG261" s="1073" t="s">
        <v>2260</v>
      </c>
      <c r="AH261" s="1073" t="s">
        <v>2260</v>
      </c>
      <c r="AI261" s="1074">
        <f t="shared" si="3"/>
        <v>1</v>
      </c>
      <c r="AJ261" s="1075" t="s">
        <v>1825</v>
      </c>
      <c r="AK261" s="1075" t="s">
        <v>2260</v>
      </c>
      <c r="AL261" s="1075" t="s">
        <v>2260</v>
      </c>
      <c r="AM261" s="1076" t="s">
        <v>2396</v>
      </c>
      <c r="AN261" s="987" t="s">
        <v>321</v>
      </c>
      <c r="AO261" s="987" t="s">
        <v>4424</v>
      </c>
      <c r="AP261" s="1276">
        <v>1</v>
      </c>
      <c r="AQ261" s="1045" t="s">
        <v>1828</v>
      </c>
      <c r="AR261" s="1078" t="s">
        <v>755</v>
      </c>
      <c r="AS261" s="1079"/>
      <c r="AT261" s="1069"/>
      <c r="AU261" s="1069"/>
      <c r="AV261" s="1069"/>
      <c r="AW261" s="1080"/>
      <c r="AX261" s="1081"/>
      <c r="AY261" s="1044"/>
      <c r="AZ261" s="1045"/>
      <c r="BA261" s="1045"/>
      <c r="BB261" s="1045"/>
      <c r="BC261" s="1045"/>
      <c r="BD261" s="1045"/>
      <c r="BE261" s="1045"/>
      <c r="BF261" s="1045"/>
      <c r="BG261" s="1045"/>
      <c r="BH261" s="1045"/>
      <c r="BI261" s="1044" t="s">
        <v>4469</v>
      </c>
      <c r="BJ261" s="1045" t="s">
        <v>4470</v>
      </c>
      <c r="BK261" s="1045" t="s">
        <v>4446</v>
      </c>
      <c r="BL261" s="1045" t="s">
        <v>4471</v>
      </c>
      <c r="BM261" s="1045" t="s">
        <v>4472</v>
      </c>
      <c r="BN261" s="1044"/>
      <c r="BO261" s="1045"/>
      <c r="BP261" s="1045"/>
      <c r="BQ261" s="1045"/>
      <c r="BR261" s="1045"/>
      <c r="BS261" s="1084"/>
      <c r="BT261" s="1045"/>
      <c r="BU261" s="1045"/>
      <c r="BV261" s="1045"/>
      <c r="BW261" s="1085"/>
      <c r="BX261" s="1084"/>
      <c r="BY261" s="1045"/>
      <c r="BZ261" s="1045"/>
      <c r="CA261" s="1045"/>
      <c r="CB261" s="1085"/>
      <c r="CC261" s="1086"/>
      <c r="CD261" s="1087" t="s">
        <v>2260</v>
      </c>
      <c r="CE261" s="1088" t="s">
        <v>2260</v>
      </c>
      <c r="CF261" s="1088" t="s">
        <v>2260</v>
      </c>
      <c r="CG261" s="1088" t="s">
        <v>2260</v>
      </c>
      <c r="CH261" s="1089" t="s">
        <v>2260</v>
      </c>
      <c r="CI261" s="1044" t="s">
        <v>2260</v>
      </c>
      <c r="CJ261" s="1045" t="s">
        <v>2260</v>
      </c>
      <c r="CK261" s="1045" t="s">
        <v>2260</v>
      </c>
      <c r="CL261" s="1045" t="s">
        <v>2260</v>
      </c>
      <c r="CM261" s="1086" t="s">
        <v>2260</v>
      </c>
      <c r="CN261" s="1044" t="s">
        <v>2260</v>
      </c>
      <c r="CO261" s="1045" t="s">
        <v>2260</v>
      </c>
      <c r="CP261" s="1045" t="s">
        <v>2260</v>
      </c>
      <c r="CQ261" s="1045" t="s">
        <v>2260</v>
      </c>
      <c r="CR261" s="1086" t="s">
        <v>2260</v>
      </c>
      <c r="CS261" s="1044" t="s">
        <v>2260</v>
      </c>
      <c r="CT261" s="1045" t="s">
        <v>2260</v>
      </c>
      <c r="CU261" s="1045" t="s">
        <v>2260</v>
      </c>
      <c r="CV261" s="1045" t="s">
        <v>2260</v>
      </c>
      <c r="CW261" s="1086" t="s">
        <v>2260</v>
      </c>
      <c r="CX261" s="1044" t="s">
        <v>2260</v>
      </c>
      <c r="CY261" s="1045" t="s">
        <v>2260</v>
      </c>
      <c r="CZ261" s="1045" t="s">
        <v>2260</v>
      </c>
      <c r="DA261" s="1045" t="s">
        <v>2260</v>
      </c>
      <c r="DB261" s="1086" t="s">
        <v>2260</v>
      </c>
      <c r="DC261" s="1045" t="s">
        <v>2260</v>
      </c>
      <c r="DD261" s="1045" t="s">
        <v>2260</v>
      </c>
      <c r="DE261" s="1045" t="s">
        <v>2260</v>
      </c>
      <c r="DF261" s="1045" t="s">
        <v>2260</v>
      </c>
      <c r="DG261" s="1086" t="s">
        <v>2260</v>
      </c>
      <c r="DH261" s="1044" t="s">
        <v>2260</v>
      </c>
      <c r="DI261" s="1045" t="s">
        <v>2260</v>
      </c>
      <c r="DJ261" s="1045" t="s">
        <v>2260</v>
      </c>
      <c r="DK261" s="1045" t="s">
        <v>2260</v>
      </c>
      <c r="DL261" s="1086" t="s">
        <v>2260</v>
      </c>
      <c r="DM261" s="1090" t="s">
        <v>2260</v>
      </c>
      <c r="DN261" s="1091" t="s">
        <v>2260</v>
      </c>
      <c r="DO261" s="1091" t="s">
        <v>2260</v>
      </c>
      <c r="DP261" s="1092" t="s">
        <v>2260</v>
      </c>
      <c r="DQ261" s="1091" t="s">
        <v>2260</v>
      </c>
      <c r="DR261" s="1091" t="s">
        <v>2260</v>
      </c>
      <c r="DS261" s="1091" t="s">
        <v>2260</v>
      </c>
      <c r="DT261" s="1092" t="s">
        <v>2260</v>
      </c>
      <c r="DU261" s="1088" t="s">
        <v>2260</v>
      </c>
      <c r="DV261" s="1093">
        <v>1</v>
      </c>
      <c r="DW261" s="1094" t="s">
        <v>2260</v>
      </c>
    </row>
    <row r="262" spans="1:127" s="382" customFormat="1" ht="15.75" customHeight="1">
      <c r="A262" s="1066" t="s">
        <v>1278</v>
      </c>
      <c r="B262" s="1026">
        <v>253</v>
      </c>
      <c r="C262" s="987"/>
      <c r="D262" s="987"/>
      <c r="E262" s="987"/>
      <c r="F262" s="987"/>
      <c r="G262" s="987"/>
      <c r="H262" s="987"/>
      <c r="I262" s="987"/>
      <c r="J262" s="987"/>
      <c r="K262" s="987"/>
      <c r="L262" s="987"/>
      <c r="M262" s="1026"/>
      <c r="N262" s="987"/>
      <c r="O262" s="987"/>
      <c r="P262" s="987"/>
      <c r="Q262" s="987"/>
      <c r="R262" s="987"/>
      <c r="S262" s="987"/>
      <c r="T262" s="988"/>
      <c r="U262" s="1067" t="s">
        <v>1725</v>
      </c>
      <c r="V262" s="1068" t="s">
        <v>3069</v>
      </c>
      <c r="W262" s="1068" t="s">
        <v>2231</v>
      </c>
      <c r="X262" s="1069" t="s">
        <v>3073</v>
      </c>
      <c r="Y262" s="1070" t="s">
        <v>3074</v>
      </c>
      <c r="Z262" s="1071" t="s">
        <v>3075</v>
      </c>
      <c r="AA262" s="1072" t="s">
        <v>2260</v>
      </c>
      <c r="AB262" s="1073">
        <v>0.5</v>
      </c>
      <c r="AC262" s="1073" t="s">
        <v>2260</v>
      </c>
      <c r="AD262" s="1073" t="s">
        <v>2260</v>
      </c>
      <c r="AE262" s="1073">
        <v>0.5</v>
      </c>
      <c r="AF262" s="1073" t="s">
        <v>2260</v>
      </c>
      <c r="AG262" s="1073" t="s">
        <v>2260</v>
      </c>
      <c r="AH262" s="1073" t="s">
        <v>2260</v>
      </c>
      <c r="AI262" s="1074">
        <f t="shared" si="3"/>
        <v>1</v>
      </c>
      <c r="AJ262" s="1075" t="s">
        <v>1825</v>
      </c>
      <c r="AK262" s="1075" t="s">
        <v>2260</v>
      </c>
      <c r="AL262" s="1075" t="s">
        <v>2260</v>
      </c>
      <c r="AM262" s="1076" t="s">
        <v>2396</v>
      </c>
      <c r="AN262" s="825" t="s">
        <v>1897</v>
      </c>
      <c r="AO262" s="1302" t="s">
        <v>3059</v>
      </c>
      <c r="AP262" s="1285">
        <v>1</v>
      </c>
      <c r="AQ262" s="1045" t="s">
        <v>1828</v>
      </c>
      <c r="AR262" s="1078" t="s">
        <v>2260</v>
      </c>
      <c r="AS262" s="1079"/>
      <c r="AT262" s="1069"/>
      <c r="AU262" s="1069"/>
      <c r="AV262" s="1069"/>
      <c r="AW262" s="1080"/>
      <c r="AX262" s="1081"/>
      <c r="AY262" s="1044"/>
      <c r="AZ262" s="1045"/>
      <c r="BA262" s="1045"/>
      <c r="BB262" s="1045"/>
      <c r="BC262" s="1045"/>
      <c r="BD262" s="1045"/>
      <c r="BE262" s="1045"/>
      <c r="BF262" s="1045"/>
      <c r="BG262" s="1045"/>
      <c r="BH262" s="1045"/>
      <c r="BI262" s="1369"/>
      <c r="BJ262" s="1319"/>
      <c r="BK262" s="1319"/>
      <c r="BL262" s="1319"/>
      <c r="BM262" s="1319"/>
      <c r="BN262" s="1044"/>
      <c r="BO262" s="1045"/>
      <c r="BP262" s="1045"/>
      <c r="BQ262" s="1045"/>
      <c r="BR262" s="1045"/>
      <c r="BS262" s="1084"/>
      <c r="BT262" s="1045"/>
      <c r="BU262" s="1045"/>
      <c r="BV262" s="1045"/>
      <c r="BW262" s="1085"/>
      <c r="BX262" s="1084"/>
      <c r="BY262" s="1045"/>
      <c r="BZ262" s="1045"/>
      <c r="CA262" s="1045"/>
      <c r="CB262" s="1085"/>
      <c r="CC262" s="1086"/>
      <c r="CD262" s="1327"/>
      <c r="CE262" s="1328"/>
      <c r="CF262" s="1328"/>
      <c r="CG262" s="1328"/>
      <c r="CH262" s="1389"/>
      <c r="CI262" s="1369"/>
      <c r="CJ262" s="1319"/>
      <c r="CK262" s="1319"/>
      <c r="CL262" s="1319"/>
      <c r="CM262" s="1320"/>
      <c r="CN262" s="1369"/>
      <c r="CO262" s="1319"/>
      <c r="CP262" s="1319"/>
      <c r="CQ262" s="1319"/>
      <c r="CR262" s="1320"/>
      <c r="CS262" s="1369"/>
      <c r="CT262" s="1319"/>
      <c r="CU262" s="1319"/>
      <c r="CV262" s="1319"/>
      <c r="CW262" s="1320"/>
      <c r="CX262" s="1369"/>
      <c r="CY262" s="1319"/>
      <c r="CZ262" s="1319"/>
      <c r="DA262" s="1319"/>
      <c r="DB262" s="1320"/>
      <c r="DC262" s="1319"/>
      <c r="DD262" s="1319"/>
      <c r="DE262" s="1319"/>
      <c r="DF262" s="1319"/>
      <c r="DG262" s="1320"/>
      <c r="DH262" s="1369"/>
      <c r="DI262" s="1319"/>
      <c r="DJ262" s="1319"/>
      <c r="DK262" s="1319"/>
      <c r="DL262" s="1320"/>
      <c r="DM262" s="1743"/>
      <c r="DN262" s="1744"/>
      <c r="DO262" s="1744"/>
      <c r="DP262" s="1745"/>
      <c r="DQ262" s="1744"/>
      <c r="DR262" s="1744"/>
      <c r="DS262" s="1744"/>
      <c r="DT262" s="1745"/>
      <c r="DU262" s="1328"/>
      <c r="DV262" s="1664"/>
      <c r="DW262" s="1746"/>
    </row>
    <row r="263" spans="1:127" s="382" customFormat="1" ht="15.75" customHeight="1">
      <c r="A263" s="1066" t="s">
        <v>1278</v>
      </c>
      <c r="B263" s="1026">
        <v>254</v>
      </c>
      <c r="C263" s="987"/>
      <c r="D263" s="987"/>
      <c r="E263" s="987"/>
      <c r="F263" s="987"/>
      <c r="G263" s="987"/>
      <c r="H263" s="987"/>
      <c r="I263" s="987"/>
      <c r="J263" s="987"/>
      <c r="K263" s="987"/>
      <c r="L263" s="987"/>
      <c r="M263" s="1026"/>
      <c r="N263" s="987"/>
      <c r="O263" s="987"/>
      <c r="P263" s="987"/>
      <c r="Q263" s="987"/>
      <c r="R263" s="987"/>
      <c r="S263" s="987"/>
      <c r="T263" s="988"/>
      <c r="U263" s="1067" t="s">
        <v>1732</v>
      </c>
      <c r="V263" s="1068" t="s">
        <v>3076</v>
      </c>
      <c r="W263" s="1068" t="s">
        <v>2231</v>
      </c>
      <c r="X263" s="1069" t="s">
        <v>3077</v>
      </c>
      <c r="Y263" s="1070" t="s">
        <v>2745</v>
      </c>
      <c r="Z263" s="1071" t="s">
        <v>3078</v>
      </c>
      <c r="AA263" s="1072" t="s">
        <v>2260</v>
      </c>
      <c r="AB263" s="1073">
        <v>0.5</v>
      </c>
      <c r="AC263" s="1073" t="s">
        <v>2260</v>
      </c>
      <c r="AD263" s="1073" t="s">
        <v>2260</v>
      </c>
      <c r="AE263" s="1073">
        <v>0.5</v>
      </c>
      <c r="AF263" s="1073" t="s">
        <v>2260</v>
      </c>
      <c r="AG263" s="1073" t="s">
        <v>2260</v>
      </c>
      <c r="AH263" s="1073" t="s">
        <v>2260</v>
      </c>
      <c r="AI263" s="1074">
        <f t="shared" si="3"/>
        <v>1</v>
      </c>
      <c r="AJ263" s="1075" t="s">
        <v>1825</v>
      </c>
      <c r="AK263" s="1075" t="s">
        <v>2260</v>
      </c>
      <c r="AL263" s="1075" t="s">
        <v>2260</v>
      </c>
      <c r="AM263" s="1076" t="s">
        <v>2396</v>
      </c>
      <c r="AN263" s="987" t="s">
        <v>1857</v>
      </c>
      <c r="AO263" s="987" t="s">
        <v>3079</v>
      </c>
      <c r="AP263" s="1285">
        <v>0</v>
      </c>
      <c r="AQ263" s="1045">
        <v>0</v>
      </c>
      <c r="AR263" s="1078" t="s">
        <v>2260</v>
      </c>
      <c r="AS263" s="1079"/>
      <c r="AT263" s="1069"/>
      <c r="AU263" s="1069"/>
      <c r="AV263" s="1069"/>
      <c r="AW263" s="1080"/>
      <c r="AX263" s="1081"/>
      <c r="AY263" s="1044"/>
      <c r="AZ263" s="1045"/>
      <c r="BA263" s="1045"/>
      <c r="BB263" s="1045"/>
      <c r="BC263" s="1045"/>
      <c r="BD263" s="1045"/>
      <c r="BE263" s="1045"/>
      <c r="BF263" s="1045"/>
      <c r="BG263" s="1045"/>
      <c r="BH263" s="1045"/>
      <c r="BI263" s="1369"/>
      <c r="BJ263" s="1319"/>
      <c r="BK263" s="1319"/>
      <c r="BL263" s="1319"/>
      <c r="BM263" s="1319"/>
      <c r="BN263" s="1044"/>
      <c r="BO263" s="1045"/>
      <c r="BP263" s="1045"/>
      <c r="BQ263" s="1045"/>
      <c r="BR263" s="1045"/>
      <c r="BS263" s="1084"/>
      <c r="BT263" s="1045"/>
      <c r="BU263" s="1045"/>
      <c r="BV263" s="1045"/>
      <c r="BW263" s="1085"/>
      <c r="BX263" s="1084"/>
      <c r="BY263" s="1045"/>
      <c r="BZ263" s="1045"/>
      <c r="CA263" s="1045"/>
      <c r="CB263" s="1085"/>
      <c r="CC263" s="1086"/>
      <c r="CD263" s="1327"/>
      <c r="CE263" s="1328"/>
      <c r="CF263" s="1328"/>
      <c r="CG263" s="1328"/>
      <c r="CH263" s="1389"/>
      <c r="CI263" s="1369"/>
      <c r="CJ263" s="1319"/>
      <c r="CK263" s="1319"/>
      <c r="CL263" s="1319"/>
      <c r="CM263" s="1320"/>
      <c r="CN263" s="1369"/>
      <c r="CO263" s="1319"/>
      <c r="CP263" s="1319"/>
      <c r="CQ263" s="1319"/>
      <c r="CR263" s="1320"/>
      <c r="CS263" s="1369"/>
      <c r="CT263" s="1319"/>
      <c r="CU263" s="1319"/>
      <c r="CV263" s="1319"/>
      <c r="CW263" s="1320"/>
      <c r="CX263" s="1369"/>
      <c r="CY263" s="1319"/>
      <c r="CZ263" s="1319"/>
      <c r="DA263" s="1319"/>
      <c r="DB263" s="1320"/>
      <c r="DC263" s="1319"/>
      <c r="DD263" s="1319"/>
      <c r="DE263" s="1319"/>
      <c r="DF263" s="1319"/>
      <c r="DG263" s="1320"/>
      <c r="DH263" s="1369"/>
      <c r="DI263" s="1319"/>
      <c r="DJ263" s="1319"/>
      <c r="DK263" s="1319"/>
      <c r="DL263" s="1320"/>
      <c r="DM263" s="1743"/>
      <c r="DN263" s="1744"/>
      <c r="DO263" s="1744"/>
      <c r="DP263" s="1745"/>
      <c r="DQ263" s="1744"/>
      <c r="DR263" s="1744"/>
      <c r="DS263" s="1744"/>
      <c r="DT263" s="1745"/>
      <c r="DU263" s="1328"/>
      <c r="DV263" s="1664"/>
      <c r="DW263" s="1746"/>
    </row>
    <row r="264" spans="1:127" s="382" customFormat="1" ht="15.75" customHeight="1">
      <c r="A264" s="1066" t="s">
        <v>1278</v>
      </c>
      <c r="B264" s="1026">
        <v>255</v>
      </c>
      <c r="C264" s="987"/>
      <c r="D264" s="987"/>
      <c r="E264" s="987"/>
      <c r="F264" s="987"/>
      <c r="G264" s="987"/>
      <c r="H264" s="987"/>
      <c r="I264" s="987"/>
      <c r="J264" s="987"/>
      <c r="K264" s="987"/>
      <c r="L264" s="987"/>
      <c r="M264" s="1026"/>
      <c r="N264" s="987"/>
      <c r="O264" s="987"/>
      <c r="P264" s="987"/>
      <c r="Q264" s="987"/>
      <c r="R264" s="987"/>
      <c r="S264" s="987"/>
      <c r="T264" s="988"/>
      <c r="U264" s="1067" t="s">
        <v>1345</v>
      </c>
      <c r="V264" s="1068" t="s">
        <v>3076</v>
      </c>
      <c r="W264" s="1068" t="s">
        <v>2231</v>
      </c>
      <c r="X264" s="1069" t="s">
        <v>3080</v>
      </c>
      <c r="Y264" s="1070" t="s">
        <v>3081</v>
      </c>
      <c r="Z264" s="1071" t="s">
        <v>3082</v>
      </c>
      <c r="AA264" s="1072" t="s">
        <v>2260</v>
      </c>
      <c r="AB264" s="1073">
        <v>0.25</v>
      </c>
      <c r="AC264" s="1073" t="s">
        <v>2260</v>
      </c>
      <c r="AD264" s="1073" t="s">
        <v>2260</v>
      </c>
      <c r="AE264" s="1073">
        <v>0.75</v>
      </c>
      <c r="AF264" s="1073" t="s">
        <v>2260</v>
      </c>
      <c r="AG264" s="1073" t="s">
        <v>2260</v>
      </c>
      <c r="AH264" s="1073" t="s">
        <v>2260</v>
      </c>
      <c r="AI264" s="1074">
        <f t="shared" si="3"/>
        <v>1</v>
      </c>
      <c r="AJ264" s="1075" t="s">
        <v>1852</v>
      </c>
      <c r="AK264" s="1075" t="s">
        <v>1826</v>
      </c>
      <c r="AL264" s="1075" t="s">
        <v>1827</v>
      </c>
      <c r="AM264" s="1076" t="s">
        <v>2396</v>
      </c>
      <c r="AN264" s="987" t="s">
        <v>321</v>
      </c>
      <c r="AO264" s="987" t="s">
        <v>3083</v>
      </c>
      <c r="AP264" s="1285">
        <v>2</v>
      </c>
      <c r="AQ264" s="1045" t="s">
        <v>1838</v>
      </c>
      <c r="AR264" s="1078" t="s">
        <v>2260</v>
      </c>
      <c r="AS264" s="1079"/>
      <c r="AT264" s="1069"/>
      <c r="AU264" s="1069"/>
      <c r="AV264" s="1069"/>
      <c r="AW264" s="1080"/>
      <c r="AX264" s="1081"/>
      <c r="AY264" s="1044"/>
      <c r="AZ264" s="1045"/>
      <c r="BA264" s="1045"/>
      <c r="BB264" s="1045"/>
      <c r="BC264" s="1045"/>
      <c r="BD264" s="1045"/>
      <c r="BE264" s="1045"/>
      <c r="BF264" s="1045"/>
      <c r="BG264" s="1045"/>
      <c r="BH264" s="1045"/>
      <c r="BI264" s="1369"/>
      <c r="BJ264" s="1319"/>
      <c r="BK264" s="1319"/>
      <c r="BL264" s="1319"/>
      <c r="BM264" s="1319"/>
      <c r="BN264" s="1044"/>
      <c r="BO264" s="1045"/>
      <c r="BP264" s="1045"/>
      <c r="BQ264" s="1045"/>
      <c r="BR264" s="1045"/>
      <c r="BS264" s="1084"/>
      <c r="BT264" s="1045"/>
      <c r="BU264" s="1045"/>
      <c r="BV264" s="1045"/>
      <c r="BW264" s="1085"/>
      <c r="BX264" s="1084"/>
      <c r="BY264" s="1045"/>
      <c r="BZ264" s="1045"/>
      <c r="CA264" s="1045"/>
      <c r="CB264" s="1085"/>
      <c r="CC264" s="1086"/>
      <c r="CD264" s="1327"/>
      <c r="CE264" s="1328"/>
      <c r="CF264" s="1328"/>
      <c r="CG264" s="1328"/>
      <c r="CH264" s="1389"/>
      <c r="CI264" s="1369"/>
      <c r="CJ264" s="1319"/>
      <c r="CK264" s="1319"/>
      <c r="CL264" s="1319"/>
      <c r="CM264" s="1320"/>
      <c r="CN264" s="1369"/>
      <c r="CO264" s="1319"/>
      <c r="CP264" s="1319"/>
      <c r="CQ264" s="1319"/>
      <c r="CR264" s="1320"/>
      <c r="CS264" s="1369"/>
      <c r="CT264" s="1319"/>
      <c r="CU264" s="1319"/>
      <c r="CV264" s="1319"/>
      <c r="CW264" s="1320"/>
      <c r="CX264" s="1369"/>
      <c r="CY264" s="1319"/>
      <c r="CZ264" s="1319"/>
      <c r="DA264" s="1319"/>
      <c r="DB264" s="1320"/>
      <c r="DC264" s="1319"/>
      <c r="DD264" s="1319"/>
      <c r="DE264" s="1319"/>
      <c r="DF264" s="1319"/>
      <c r="DG264" s="1320"/>
      <c r="DH264" s="1369"/>
      <c r="DI264" s="1319"/>
      <c r="DJ264" s="1319"/>
      <c r="DK264" s="1319"/>
      <c r="DL264" s="1320"/>
      <c r="DM264" s="1743"/>
      <c r="DN264" s="1744"/>
      <c r="DO264" s="1744"/>
      <c r="DP264" s="1745"/>
      <c r="DQ264" s="1744"/>
      <c r="DR264" s="1744"/>
      <c r="DS264" s="1744"/>
      <c r="DT264" s="1745"/>
      <c r="DU264" s="1328"/>
      <c r="DV264" s="1664"/>
      <c r="DW264" s="1746"/>
    </row>
    <row r="265" spans="1:127" s="382" customFormat="1" ht="15.75" customHeight="1">
      <c r="A265" s="1066" t="s">
        <v>1278</v>
      </c>
      <c r="B265" s="1026">
        <v>256</v>
      </c>
      <c r="C265" s="987"/>
      <c r="D265" s="987"/>
      <c r="E265" s="987"/>
      <c r="F265" s="987"/>
      <c r="G265" s="987"/>
      <c r="H265" s="987"/>
      <c r="I265" s="987"/>
      <c r="J265" s="987"/>
      <c r="K265" s="987"/>
      <c r="L265" s="987"/>
      <c r="M265" s="1026"/>
      <c r="N265" s="987"/>
      <c r="O265" s="987"/>
      <c r="P265" s="987"/>
      <c r="Q265" s="987"/>
      <c r="R265" s="987"/>
      <c r="S265" s="987"/>
      <c r="T265" s="988"/>
      <c r="U265" s="1067" t="s">
        <v>1362</v>
      </c>
      <c r="V265" s="1068" t="s">
        <v>3076</v>
      </c>
      <c r="W265" s="1068" t="s">
        <v>2231</v>
      </c>
      <c r="X265" s="1069" t="s">
        <v>3084</v>
      </c>
      <c r="Y265" s="1070" t="s">
        <v>2091</v>
      </c>
      <c r="Z265" s="1071" t="s">
        <v>3085</v>
      </c>
      <c r="AA265" s="1072" t="s">
        <v>2260</v>
      </c>
      <c r="AB265" s="1073">
        <v>1</v>
      </c>
      <c r="AC265" s="1073" t="s">
        <v>2260</v>
      </c>
      <c r="AD265" s="1073" t="s">
        <v>2260</v>
      </c>
      <c r="AE265" s="1073" t="s">
        <v>2260</v>
      </c>
      <c r="AF265" s="1073" t="s">
        <v>2260</v>
      </c>
      <c r="AG265" s="1073" t="s">
        <v>2260</v>
      </c>
      <c r="AH265" s="1073" t="s">
        <v>2260</v>
      </c>
      <c r="AI265" s="1074">
        <f t="shared" si="3"/>
        <v>1</v>
      </c>
      <c r="AJ265" s="1075" t="s">
        <v>1852</v>
      </c>
      <c r="AK265" s="1075" t="s">
        <v>1826</v>
      </c>
      <c r="AL265" s="1389" t="s">
        <v>1837</v>
      </c>
      <c r="AM265" s="1076" t="s">
        <v>2396</v>
      </c>
      <c r="AN265" s="987" t="s">
        <v>321</v>
      </c>
      <c r="AO265" s="987" t="s">
        <v>3083</v>
      </c>
      <c r="AP265" s="1285">
        <v>2</v>
      </c>
      <c r="AQ265" s="1045" t="s">
        <v>1838</v>
      </c>
      <c r="AR265" s="1078" t="s">
        <v>2260</v>
      </c>
      <c r="AS265" s="1079"/>
      <c r="AT265" s="1069"/>
      <c r="AU265" s="1069"/>
      <c r="AV265" s="1069"/>
      <c r="AW265" s="1080"/>
      <c r="AX265" s="1081"/>
      <c r="AY265" s="1044"/>
      <c r="AZ265" s="1045"/>
      <c r="BA265" s="1045"/>
      <c r="BB265" s="1045"/>
      <c r="BC265" s="1045"/>
      <c r="BD265" s="1045"/>
      <c r="BE265" s="1045"/>
      <c r="BF265" s="1045"/>
      <c r="BG265" s="1045"/>
      <c r="BH265" s="1045"/>
      <c r="BI265" s="1369"/>
      <c r="BJ265" s="1319"/>
      <c r="BK265" s="1319"/>
      <c r="BL265" s="1319"/>
      <c r="BM265" s="1319"/>
      <c r="BN265" s="1044"/>
      <c r="BO265" s="1045"/>
      <c r="BP265" s="1045"/>
      <c r="BQ265" s="1045"/>
      <c r="BR265" s="1045"/>
      <c r="BS265" s="1084"/>
      <c r="BT265" s="1045"/>
      <c r="BU265" s="1045"/>
      <c r="BV265" s="1045"/>
      <c r="BW265" s="1085"/>
      <c r="BX265" s="1084"/>
      <c r="BY265" s="1045"/>
      <c r="BZ265" s="1045"/>
      <c r="CA265" s="1045"/>
      <c r="CB265" s="1085"/>
      <c r="CC265" s="1086"/>
      <c r="CD265" s="1327"/>
      <c r="CE265" s="1328"/>
      <c r="CF265" s="1328"/>
      <c r="CG265" s="1328"/>
      <c r="CH265" s="1389"/>
      <c r="CI265" s="1369"/>
      <c r="CJ265" s="1319"/>
      <c r="CK265" s="1319"/>
      <c r="CL265" s="1319"/>
      <c r="CM265" s="1320"/>
      <c r="CN265" s="1369"/>
      <c r="CO265" s="1319"/>
      <c r="CP265" s="1319"/>
      <c r="CQ265" s="1319"/>
      <c r="CR265" s="1320"/>
      <c r="CS265" s="1369"/>
      <c r="CT265" s="1319"/>
      <c r="CU265" s="1319"/>
      <c r="CV265" s="1319"/>
      <c r="CW265" s="1320"/>
      <c r="CX265" s="1369"/>
      <c r="CY265" s="1319"/>
      <c r="CZ265" s="1319"/>
      <c r="DA265" s="1319"/>
      <c r="DB265" s="1320"/>
      <c r="DC265" s="1319"/>
      <c r="DD265" s="1319"/>
      <c r="DE265" s="1319"/>
      <c r="DF265" s="1319"/>
      <c r="DG265" s="1320"/>
      <c r="DH265" s="1369"/>
      <c r="DI265" s="1319"/>
      <c r="DJ265" s="1319"/>
      <c r="DK265" s="1319"/>
      <c r="DL265" s="1320"/>
      <c r="DM265" s="1743"/>
      <c r="DN265" s="1744"/>
      <c r="DO265" s="1744"/>
      <c r="DP265" s="1745"/>
      <c r="DQ265" s="1744"/>
      <c r="DR265" s="1744"/>
      <c r="DS265" s="1744"/>
      <c r="DT265" s="1745"/>
      <c r="DU265" s="1328"/>
      <c r="DV265" s="1664"/>
      <c r="DW265" s="1746"/>
    </row>
    <row r="266" spans="1:127" s="382" customFormat="1" ht="15.75" customHeight="1">
      <c r="A266" s="1066" t="s">
        <v>1278</v>
      </c>
      <c r="B266" s="1026">
        <v>257</v>
      </c>
      <c r="C266" s="987"/>
      <c r="D266" s="987"/>
      <c r="E266" s="987"/>
      <c r="F266" s="987"/>
      <c r="G266" s="987"/>
      <c r="H266" s="987"/>
      <c r="I266" s="987"/>
      <c r="J266" s="987"/>
      <c r="K266" s="987"/>
      <c r="L266" s="987"/>
      <c r="M266" s="1026"/>
      <c r="N266" s="987"/>
      <c r="O266" s="987"/>
      <c r="P266" s="987"/>
      <c r="Q266" s="987"/>
      <c r="R266" s="987"/>
      <c r="S266" s="987"/>
      <c r="T266" s="988"/>
      <c r="U266" s="1067" t="s">
        <v>1379</v>
      </c>
      <c r="V266" s="1068" t="s">
        <v>3017</v>
      </c>
      <c r="W266" s="1068" t="s">
        <v>2217</v>
      </c>
      <c r="X266" s="1069" t="s">
        <v>2957</v>
      </c>
      <c r="Y266" s="1070" t="s">
        <v>3086</v>
      </c>
      <c r="Z266" s="1071" t="s">
        <v>3087</v>
      </c>
      <c r="AA266" s="1072">
        <v>0.05</v>
      </c>
      <c r="AB266" s="1073">
        <v>0.95</v>
      </c>
      <c r="AC266" s="1073" t="s">
        <v>2260</v>
      </c>
      <c r="AD266" s="1073" t="s">
        <v>2260</v>
      </c>
      <c r="AE266" s="1073" t="s">
        <v>2260</v>
      </c>
      <c r="AF266" s="1073" t="s">
        <v>2260</v>
      </c>
      <c r="AG266" s="1073" t="s">
        <v>2260</v>
      </c>
      <c r="AH266" s="1073" t="s">
        <v>2260</v>
      </c>
      <c r="AI266" s="1074">
        <f t="shared" ref="AI266:AI329" si="4">SUM(AA266:AH266)</f>
        <v>1</v>
      </c>
      <c r="AJ266" s="1075" t="s">
        <v>1846</v>
      </c>
      <c r="AK266" s="1075" t="s">
        <v>1826</v>
      </c>
      <c r="AL266" s="1075" t="s">
        <v>1837</v>
      </c>
      <c r="AM266" s="1076" t="s">
        <v>2234</v>
      </c>
      <c r="AN266" s="987" t="s">
        <v>1857</v>
      </c>
      <c r="AO266" s="987" t="s">
        <v>3088</v>
      </c>
      <c r="AP266" s="1285">
        <v>0</v>
      </c>
      <c r="AQ266" s="1045" t="s">
        <v>1828</v>
      </c>
      <c r="AR266" s="1078" t="s">
        <v>2260</v>
      </c>
      <c r="AS266" s="1079"/>
      <c r="AT266" s="1069"/>
      <c r="AU266" s="1069"/>
      <c r="AV266" s="1069"/>
      <c r="AW266" s="1080"/>
      <c r="AX266" s="1081"/>
      <c r="AY266" s="1044"/>
      <c r="AZ266" s="1045"/>
      <c r="BA266" s="1045"/>
      <c r="BB266" s="1045"/>
      <c r="BC266" s="1045"/>
      <c r="BD266" s="1045"/>
      <c r="BE266" s="1045"/>
      <c r="BF266" s="1045"/>
      <c r="BG266" s="1045"/>
      <c r="BH266" s="1045"/>
      <c r="BI266" s="1369"/>
      <c r="BJ266" s="1319"/>
      <c r="BK266" s="1319"/>
      <c r="BL266" s="1319"/>
      <c r="BM266" s="1319"/>
      <c r="BN266" s="1044"/>
      <c r="BO266" s="1045"/>
      <c r="BP266" s="1045"/>
      <c r="BQ266" s="1045"/>
      <c r="BR266" s="1045"/>
      <c r="BS266" s="1084"/>
      <c r="BT266" s="1045"/>
      <c r="BU266" s="1045"/>
      <c r="BV266" s="1045"/>
      <c r="BW266" s="1085"/>
      <c r="BX266" s="1084"/>
      <c r="BY266" s="1045"/>
      <c r="BZ266" s="1045"/>
      <c r="CA266" s="1045"/>
      <c r="CB266" s="1085"/>
      <c r="CC266" s="1086"/>
      <c r="CD266" s="1327"/>
      <c r="CE266" s="1328"/>
      <c r="CF266" s="1328"/>
      <c r="CG266" s="1328"/>
      <c r="CH266" s="1389"/>
      <c r="CI266" s="1369"/>
      <c r="CJ266" s="1319"/>
      <c r="CK266" s="1319"/>
      <c r="CL266" s="1319"/>
      <c r="CM266" s="1320"/>
      <c r="CN266" s="1369"/>
      <c r="CO266" s="1319"/>
      <c r="CP266" s="1319"/>
      <c r="CQ266" s="1319"/>
      <c r="CR266" s="1320"/>
      <c r="CS266" s="1369"/>
      <c r="CT266" s="1319"/>
      <c r="CU266" s="1319"/>
      <c r="CV266" s="1319"/>
      <c r="CW266" s="1320"/>
      <c r="CX266" s="1369"/>
      <c r="CY266" s="1319"/>
      <c r="CZ266" s="1319"/>
      <c r="DA266" s="1319"/>
      <c r="DB266" s="1320"/>
      <c r="DC266" s="1319"/>
      <c r="DD266" s="1319"/>
      <c r="DE266" s="1319"/>
      <c r="DF266" s="1319"/>
      <c r="DG266" s="1320"/>
      <c r="DH266" s="1369"/>
      <c r="DI266" s="1319"/>
      <c r="DJ266" s="1319"/>
      <c r="DK266" s="1319"/>
      <c r="DL266" s="1320"/>
      <c r="DM266" s="1743"/>
      <c r="DN266" s="1744"/>
      <c r="DO266" s="1744"/>
      <c r="DP266" s="1745"/>
      <c r="DQ266" s="1744"/>
      <c r="DR266" s="1744"/>
      <c r="DS266" s="1744"/>
      <c r="DT266" s="1745"/>
      <c r="DU266" s="1328"/>
      <c r="DV266" s="1664"/>
      <c r="DW266" s="1746"/>
    </row>
    <row r="267" spans="1:127" s="382" customFormat="1" ht="15.75" customHeight="1">
      <c r="A267" s="1066" t="s">
        <v>1278</v>
      </c>
      <c r="B267" s="1026">
        <v>258</v>
      </c>
      <c r="C267" s="987"/>
      <c r="D267" s="987"/>
      <c r="E267" s="987"/>
      <c r="F267" s="987"/>
      <c r="G267" s="987"/>
      <c r="H267" s="987"/>
      <c r="I267" s="987"/>
      <c r="J267" s="987"/>
      <c r="K267" s="987"/>
      <c r="L267" s="987"/>
      <c r="M267" s="1026"/>
      <c r="N267" s="987"/>
      <c r="O267" s="987"/>
      <c r="P267" s="987"/>
      <c r="Q267" s="987"/>
      <c r="R267" s="987"/>
      <c r="S267" s="987"/>
      <c r="T267" s="988"/>
      <c r="U267" s="1067" t="s">
        <v>1739</v>
      </c>
      <c r="V267" s="1068" t="s">
        <v>3017</v>
      </c>
      <c r="W267" s="1068" t="s">
        <v>2231</v>
      </c>
      <c r="X267" s="1069" t="s">
        <v>2960</v>
      </c>
      <c r="Y267" s="1070" t="s">
        <v>2423</v>
      </c>
      <c r="Z267" s="1071" t="s">
        <v>3089</v>
      </c>
      <c r="AA267" s="1072">
        <v>0.1</v>
      </c>
      <c r="AB267" s="1073">
        <v>0.9</v>
      </c>
      <c r="AC267" s="1073" t="s">
        <v>2260</v>
      </c>
      <c r="AD267" s="1073" t="s">
        <v>2260</v>
      </c>
      <c r="AE267" s="1073" t="s">
        <v>2260</v>
      </c>
      <c r="AF267" s="1073" t="s">
        <v>2260</v>
      </c>
      <c r="AG267" s="1073" t="s">
        <v>2260</v>
      </c>
      <c r="AH267" s="1073" t="s">
        <v>2260</v>
      </c>
      <c r="AI267" s="1074">
        <f t="shared" si="4"/>
        <v>1</v>
      </c>
      <c r="AJ267" s="1075" t="s">
        <v>1825</v>
      </c>
      <c r="AK267" s="1075" t="s">
        <v>2260</v>
      </c>
      <c r="AL267" s="1075" t="s">
        <v>2260</v>
      </c>
      <c r="AM267" s="1076" t="s">
        <v>2247</v>
      </c>
      <c r="AN267" s="987" t="s">
        <v>1897</v>
      </c>
      <c r="AO267" s="987" t="s">
        <v>3016</v>
      </c>
      <c r="AP267" s="1285">
        <v>3</v>
      </c>
      <c r="AQ267" s="1045" t="s">
        <v>1838</v>
      </c>
      <c r="AR267" s="1078" t="s">
        <v>2260</v>
      </c>
      <c r="AS267" s="1079"/>
      <c r="AT267" s="1069"/>
      <c r="AU267" s="1069"/>
      <c r="AV267" s="1069"/>
      <c r="AW267" s="1080"/>
      <c r="AX267" s="1081"/>
      <c r="AY267" s="1044"/>
      <c r="AZ267" s="1045"/>
      <c r="BA267" s="1045"/>
      <c r="BB267" s="1045"/>
      <c r="BC267" s="1045"/>
      <c r="BD267" s="1045"/>
      <c r="BE267" s="1045"/>
      <c r="BF267" s="1045"/>
      <c r="BG267" s="1045"/>
      <c r="BH267" s="1045"/>
      <c r="BI267" s="1369"/>
      <c r="BJ267" s="1319"/>
      <c r="BK267" s="1319"/>
      <c r="BL267" s="1319"/>
      <c r="BM267" s="1319"/>
      <c r="BN267" s="1044"/>
      <c r="BO267" s="1045"/>
      <c r="BP267" s="1045"/>
      <c r="BQ267" s="1045"/>
      <c r="BR267" s="1045"/>
      <c r="BS267" s="1084"/>
      <c r="BT267" s="1045"/>
      <c r="BU267" s="1045"/>
      <c r="BV267" s="1045"/>
      <c r="BW267" s="1085"/>
      <c r="BX267" s="1084"/>
      <c r="BY267" s="1045"/>
      <c r="BZ267" s="1045"/>
      <c r="CA267" s="1045"/>
      <c r="CB267" s="1085"/>
      <c r="CC267" s="1086"/>
      <c r="CD267" s="1327"/>
      <c r="CE267" s="1328"/>
      <c r="CF267" s="1328"/>
      <c r="CG267" s="1328"/>
      <c r="CH267" s="1389"/>
      <c r="CI267" s="1369"/>
      <c r="CJ267" s="1319"/>
      <c r="CK267" s="1319"/>
      <c r="CL267" s="1319"/>
      <c r="CM267" s="1320"/>
      <c r="CN267" s="1369"/>
      <c r="CO267" s="1319"/>
      <c r="CP267" s="1319"/>
      <c r="CQ267" s="1319"/>
      <c r="CR267" s="1320"/>
      <c r="CS267" s="1369"/>
      <c r="CT267" s="1319"/>
      <c r="CU267" s="1319"/>
      <c r="CV267" s="1319"/>
      <c r="CW267" s="1320"/>
      <c r="CX267" s="1369"/>
      <c r="CY267" s="1319"/>
      <c r="CZ267" s="1319"/>
      <c r="DA267" s="1319"/>
      <c r="DB267" s="1320"/>
      <c r="DC267" s="1319"/>
      <c r="DD267" s="1319"/>
      <c r="DE267" s="1319"/>
      <c r="DF267" s="1319"/>
      <c r="DG267" s="1320"/>
      <c r="DH267" s="1369"/>
      <c r="DI267" s="1319"/>
      <c r="DJ267" s="1319"/>
      <c r="DK267" s="1319"/>
      <c r="DL267" s="1320"/>
      <c r="DM267" s="1743"/>
      <c r="DN267" s="1744"/>
      <c r="DO267" s="1744"/>
      <c r="DP267" s="1745"/>
      <c r="DQ267" s="1744"/>
      <c r="DR267" s="1744"/>
      <c r="DS267" s="1744"/>
      <c r="DT267" s="1745"/>
      <c r="DU267" s="1328"/>
      <c r="DV267" s="1664"/>
      <c r="DW267" s="1746"/>
    </row>
    <row r="268" spans="1:127" s="382" customFormat="1" ht="15.75" customHeight="1">
      <c r="A268" s="1066" t="s">
        <v>1278</v>
      </c>
      <c r="B268" s="1026">
        <v>259</v>
      </c>
      <c r="C268" s="987"/>
      <c r="D268" s="987"/>
      <c r="E268" s="987"/>
      <c r="F268" s="987"/>
      <c r="G268" s="987"/>
      <c r="H268" s="987"/>
      <c r="I268" s="987"/>
      <c r="J268" s="987"/>
      <c r="K268" s="987"/>
      <c r="L268" s="987"/>
      <c r="M268" s="1026"/>
      <c r="N268" s="987"/>
      <c r="O268" s="987"/>
      <c r="P268" s="987"/>
      <c r="Q268" s="987"/>
      <c r="R268" s="987"/>
      <c r="S268" s="987"/>
      <c r="T268" s="988"/>
      <c r="U268" s="1067" t="s">
        <v>1396</v>
      </c>
      <c r="V268" s="1068" t="s">
        <v>3017</v>
      </c>
      <c r="W268" s="1068" t="s">
        <v>2217</v>
      </c>
      <c r="X268" s="1069" t="s">
        <v>3002</v>
      </c>
      <c r="Y268" s="1070" t="s">
        <v>2297</v>
      </c>
      <c r="Z268" s="1071" t="s">
        <v>3090</v>
      </c>
      <c r="AA268" s="1072" t="s">
        <v>2260</v>
      </c>
      <c r="AB268" s="1073">
        <v>1</v>
      </c>
      <c r="AC268" s="1073" t="s">
        <v>2260</v>
      </c>
      <c r="AD268" s="1073" t="s">
        <v>2260</v>
      </c>
      <c r="AE268" s="1073" t="s">
        <v>2260</v>
      </c>
      <c r="AF268" s="1073" t="s">
        <v>2260</v>
      </c>
      <c r="AG268" s="1073" t="s">
        <v>2260</v>
      </c>
      <c r="AH268" s="1073" t="s">
        <v>2260</v>
      </c>
      <c r="AI268" s="1074">
        <f t="shared" si="4"/>
        <v>1</v>
      </c>
      <c r="AJ268" s="1075" t="s">
        <v>1852</v>
      </c>
      <c r="AK268" s="1075" t="s">
        <v>1826</v>
      </c>
      <c r="AL268" s="1075" t="s">
        <v>1827</v>
      </c>
      <c r="AM268" s="1076" t="s">
        <v>2295</v>
      </c>
      <c r="AN268" s="987" t="s">
        <v>2439</v>
      </c>
      <c r="AO268" s="987" t="s">
        <v>4421</v>
      </c>
      <c r="AP268" s="1285">
        <v>1</v>
      </c>
      <c r="AQ268" s="1045" t="s">
        <v>1838</v>
      </c>
      <c r="AR268" s="1078"/>
      <c r="AS268" s="1079"/>
      <c r="AT268" s="1069"/>
      <c r="AU268" s="1069"/>
      <c r="AV268" s="1069"/>
      <c r="AW268" s="1080"/>
      <c r="AX268" s="1081"/>
      <c r="AY268" s="1044"/>
      <c r="AZ268" s="1045"/>
      <c r="BA268" s="1045"/>
      <c r="BB268" s="1045"/>
      <c r="BC268" s="1045"/>
      <c r="BD268" s="1045"/>
      <c r="BE268" s="1045"/>
      <c r="BF268" s="1045"/>
      <c r="BG268" s="1045"/>
      <c r="BH268" s="1045"/>
      <c r="BI268" s="1369"/>
      <c r="BJ268" s="1319"/>
      <c r="BK268" s="1319"/>
      <c r="BL268" s="1319"/>
      <c r="BM268" s="1319"/>
      <c r="BN268" s="1044"/>
      <c r="BO268" s="1045"/>
      <c r="BP268" s="1045"/>
      <c r="BQ268" s="1045"/>
      <c r="BR268" s="1045"/>
      <c r="BS268" s="1084"/>
      <c r="BT268" s="1045"/>
      <c r="BU268" s="1045"/>
      <c r="BV268" s="1045"/>
      <c r="BW268" s="1085"/>
      <c r="BX268" s="1084"/>
      <c r="BY268" s="1045"/>
      <c r="BZ268" s="1045"/>
      <c r="CA268" s="1045"/>
      <c r="CB268" s="1085"/>
      <c r="CC268" s="1086"/>
      <c r="CD268" s="1327"/>
      <c r="CE268" s="1328"/>
      <c r="CF268" s="1328"/>
      <c r="CG268" s="1328"/>
      <c r="CH268" s="1389"/>
      <c r="CI268" s="1369"/>
      <c r="CJ268" s="1319"/>
      <c r="CK268" s="1319"/>
      <c r="CL268" s="1319"/>
      <c r="CM268" s="1320"/>
      <c r="CN268" s="1369"/>
      <c r="CO268" s="1319"/>
      <c r="CP268" s="1319"/>
      <c r="CQ268" s="1319"/>
      <c r="CR268" s="1320"/>
      <c r="CS268" s="1369"/>
      <c r="CT268" s="1319"/>
      <c r="CU268" s="1319"/>
      <c r="CV268" s="1319"/>
      <c r="CW268" s="1320"/>
      <c r="CX268" s="1369"/>
      <c r="CY268" s="1319"/>
      <c r="CZ268" s="1319"/>
      <c r="DA268" s="1319"/>
      <c r="DB268" s="1320"/>
      <c r="DC268" s="1319"/>
      <c r="DD268" s="1319"/>
      <c r="DE268" s="1319"/>
      <c r="DF268" s="1319"/>
      <c r="DG268" s="1320"/>
      <c r="DH268" s="1369"/>
      <c r="DI268" s="1319"/>
      <c r="DJ268" s="1319"/>
      <c r="DK268" s="1319"/>
      <c r="DL268" s="1320"/>
      <c r="DM268" s="1743"/>
      <c r="DN268" s="1744"/>
      <c r="DO268" s="1744"/>
      <c r="DP268" s="1745"/>
      <c r="DQ268" s="1744"/>
      <c r="DR268" s="1744"/>
      <c r="DS268" s="1744"/>
      <c r="DT268" s="1745"/>
      <c r="DU268" s="1328"/>
      <c r="DV268" s="1664"/>
      <c r="DW268" s="1746"/>
    </row>
    <row r="269" spans="1:127" s="382" customFormat="1" ht="15.75" customHeight="1">
      <c r="A269" s="1066" t="s">
        <v>1278</v>
      </c>
      <c r="B269" s="1026">
        <v>260</v>
      </c>
      <c r="C269" s="987"/>
      <c r="D269" s="987"/>
      <c r="E269" s="987"/>
      <c r="F269" s="987"/>
      <c r="G269" s="987"/>
      <c r="H269" s="987"/>
      <c r="I269" s="987"/>
      <c r="J269" s="987"/>
      <c r="K269" s="987"/>
      <c r="L269" s="987"/>
      <c r="M269" s="1026"/>
      <c r="N269" s="987"/>
      <c r="O269" s="987"/>
      <c r="P269" s="987"/>
      <c r="Q269" s="987"/>
      <c r="R269" s="987"/>
      <c r="S269" s="987"/>
      <c r="T269" s="988"/>
      <c r="U269" s="1067" t="s">
        <v>1413</v>
      </c>
      <c r="V269" s="1068" t="s">
        <v>3092</v>
      </c>
      <c r="W269" s="1068" t="s">
        <v>2231</v>
      </c>
      <c r="X269" s="1069" t="s">
        <v>3093</v>
      </c>
      <c r="Y269" s="1070" t="s">
        <v>3094</v>
      </c>
      <c r="Z269" s="1071" t="s">
        <v>3095</v>
      </c>
      <c r="AA269" s="1072">
        <v>1</v>
      </c>
      <c r="AB269" s="1073" t="s">
        <v>2260</v>
      </c>
      <c r="AC269" s="1073" t="s">
        <v>2260</v>
      </c>
      <c r="AD269" s="1073" t="s">
        <v>2260</v>
      </c>
      <c r="AE269" s="1073" t="s">
        <v>2260</v>
      </c>
      <c r="AF269" s="1073" t="s">
        <v>2260</v>
      </c>
      <c r="AG269" s="1073" t="s">
        <v>2260</v>
      </c>
      <c r="AH269" s="1073" t="s">
        <v>2260</v>
      </c>
      <c r="AI269" s="1074">
        <f t="shared" si="4"/>
        <v>1</v>
      </c>
      <c r="AJ269" s="1075" t="s">
        <v>1852</v>
      </c>
      <c r="AK269" s="1075" t="s">
        <v>1826</v>
      </c>
      <c r="AL269" s="1075" t="s">
        <v>1837</v>
      </c>
      <c r="AM269" s="1076" t="s">
        <v>2280</v>
      </c>
      <c r="AN269" s="987" t="s">
        <v>1857</v>
      </c>
      <c r="AO269" s="987" t="s">
        <v>3096</v>
      </c>
      <c r="AP269" s="1285">
        <v>1</v>
      </c>
      <c r="AQ269" s="1045" t="s">
        <v>1828</v>
      </c>
      <c r="AR269" s="1078" t="s">
        <v>2260</v>
      </c>
      <c r="AS269" s="1079"/>
      <c r="AT269" s="1069"/>
      <c r="AU269" s="1069"/>
      <c r="AV269" s="1069"/>
      <c r="AW269" s="1080"/>
      <c r="AX269" s="1081"/>
      <c r="AY269" s="1044"/>
      <c r="AZ269" s="1045"/>
      <c r="BA269" s="1045"/>
      <c r="BB269" s="1045"/>
      <c r="BC269" s="1045"/>
      <c r="BD269" s="1045"/>
      <c r="BE269" s="1045"/>
      <c r="BF269" s="1045"/>
      <c r="BG269" s="1045"/>
      <c r="BH269" s="1045"/>
      <c r="BI269" s="1369"/>
      <c r="BJ269" s="1319"/>
      <c r="BK269" s="1319"/>
      <c r="BL269" s="1319"/>
      <c r="BM269" s="1319"/>
      <c r="BN269" s="1044"/>
      <c r="BO269" s="1045"/>
      <c r="BP269" s="1045"/>
      <c r="BQ269" s="1045"/>
      <c r="BR269" s="1045"/>
      <c r="BS269" s="1084"/>
      <c r="BT269" s="1045"/>
      <c r="BU269" s="1045"/>
      <c r="BV269" s="1045"/>
      <c r="BW269" s="1085"/>
      <c r="BX269" s="1084"/>
      <c r="BY269" s="1045"/>
      <c r="BZ269" s="1045"/>
      <c r="CA269" s="1045"/>
      <c r="CB269" s="1085"/>
      <c r="CC269" s="1086"/>
      <c r="CD269" s="1327"/>
      <c r="CE269" s="1328"/>
      <c r="CF269" s="1328"/>
      <c r="CG269" s="1328"/>
      <c r="CH269" s="1389"/>
      <c r="CI269" s="1369"/>
      <c r="CJ269" s="1319"/>
      <c r="CK269" s="1319"/>
      <c r="CL269" s="1319"/>
      <c r="CM269" s="1320"/>
      <c r="CN269" s="1369"/>
      <c r="CO269" s="1319"/>
      <c r="CP269" s="1319"/>
      <c r="CQ269" s="1319"/>
      <c r="CR269" s="1320"/>
      <c r="CS269" s="1369"/>
      <c r="CT269" s="1319"/>
      <c r="CU269" s="1319"/>
      <c r="CV269" s="1319"/>
      <c r="CW269" s="1320"/>
      <c r="CX269" s="1369"/>
      <c r="CY269" s="1319"/>
      <c r="CZ269" s="1319"/>
      <c r="DA269" s="1319"/>
      <c r="DB269" s="1320"/>
      <c r="DC269" s="1319"/>
      <c r="DD269" s="1319"/>
      <c r="DE269" s="1319"/>
      <c r="DF269" s="1319"/>
      <c r="DG269" s="1320"/>
      <c r="DH269" s="1369"/>
      <c r="DI269" s="1319"/>
      <c r="DJ269" s="1319"/>
      <c r="DK269" s="1319"/>
      <c r="DL269" s="1320"/>
      <c r="DM269" s="1743"/>
      <c r="DN269" s="1744"/>
      <c r="DO269" s="1744"/>
      <c r="DP269" s="1745"/>
      <c r="DQ269" s="1744"/>
      <c r="DR269" s="1744"/>
      <c r="DS269" s="1744"/>
      <c r="DT269" s="1745"/>
      <c r="DU269" s="1328"/>
      <c r="DV269" s="1664"/>
      <c r="DW269" s="1746"/>
    </row>
    <row r="270" spans="1:127" s="382" customFormat="1" ht="15.75" customHeight="1">
      <c r="A270" s="1066" t="s">
        <v>1278</v>
      </c>
      <c r="B270" s="1026">
        <v>261</v>
      </c>
      <c r="C270" s="987"/>
      <c r="D270" s="987"/>
      <c r="E270" s="987"/>
      <c r="F270" s="987"/>
      <c r="G270" s="987"/>
      <c r="H270" s="987"/>
      <c r="I270" s="987"/>
      <c r="J270" s="987"/>
      <c r="K270" s="987"/>
      <c r="L270" s="987"/>
      <c r="M270" s="1026"/>
      <c r="N270" s="987"/>
      <c r="O270" s="987"/>
      <c r="P270" s="987"/>
      <c r="Q270" s="987"/>
      <c r="R270" s="987"/>
      <c r="S270" s="987"/>
      <c r="T270" s="988"/>
      <c r="U270" s="1067" t="s">
        <v>1429</v>
      </c>
      <c r="V270" s="1068" t="s">
        <v>3092</v>
      </c>
      <c r="W270" s="1068" t="s">
        <v>2231</v>
      </c>
      <c r="X270" s="1069" t="s">
        <v>3097</v>
      </c>
      <c r="Y270" s="1070" t="s">
        <v>3098</v>
      </c>
      <c r="Z270" s="1071" t="s">
        <v>3099</v>
      </c>
      <c r="AA270" s="1072">
        <v>0.5</v>
      </c>
      <c r="AB270" s="1073">
        <v>0.5</v>
      </c>
      <c r="AC270" s="1073" t="s">
        <v>2260</v>
      </c>
      <c r="AD270" s="1073" t="s">
        <v>2260</v>
      </c>
      <c r="AE270" s="1073" t="s">
        <v>2260</v>
      </c>
      <c r="AF270" s="1073" t="s">
        <v>2260</v>
      </c>
      <c r="AG270" s="1073" t="s">
        <v>2260</v>
      </c>
      <c r="AH270" s="1073" t="s">
        <v>2260</v>
      </c>
      <c r="AI270" s="1074">
        <f t="shared" si="4"/>
        <v>1</v>
      </c>
      <c r="AJ270" s="1075" t="s">
        <v>1852</v>
      </c>
      <c r="AK270" s="1075" t="s">
        <v>1826</v>
      </c>
      <c r="AL270" s="1075" t="s">
        <v>1837</v>
      </c>
      <c r="AM270" s="1076" t="s">
        <v>2523</v>
      </c>
      <c r="AN270" s="987" t="s">
        <v>1857</v>
      </c>
      <c r="AO270" s="987" t="s">
        <v>3100</v>
      </c>
      <c r="AP270" s="1285">
        <v>1</v>
      </c>
      <c r="AQ270" s="1045" t="s">
        <v>1828</v>
      </c>
      <c r="AR270" s="1078" t="s">
        <v>2260</v>
      </c>
      <c r="AS270" s="1079"/>
      <c r="AT270" s="1069"/>
      <c r="AU270" s="1069"/>
      <c r="AV270" s="1069"/>
      <c r="AW270" s="1080"/>
      <c r="AX270" s="1081"/>
      <c r="AY270" s="1044"/>
      <c r="AZ270" s="1045"/>
      <c r="BA270" s="1045"/>
      <c r="BB270" s="1045"/>
      <c r="BC270" s="1045"/>
      <c r="BD270" s="1045"/>
      <c r="BE270" s="1045"/>
      <c r="BF270" s="1045"/>
      <c r="BG270" s="1045"/>
      <c r="BH270" s="1045"/>
      <c r="BI270" s="1369"/>
      <c r="BJ270" s="1319"/>
      <c r="BK270" s="1319"/>
      <c r="BL270" s="1319"/>
      <c r="BM270" s="1319"/>
      <c r="BN270" s="1044"/>
      <c r="BO270" s="1045"/>
      <c r="BP270" s="1045"/>
      <c r="BQ270" s="1045"/>
      <c r="BR270" s="1045"/>
      <c r="BS270" s="1084"/>
      <c r="BT270" s="1045"/>
      <c r="BU270" s="1045"/>
      <c r="BV270" s="1045"/>
      <c r="BW270" s="1085"/>
      <c r="BX270" s="1084"/>
      <c r="BY270" s="1045"/>
      <c r="BZ270" s="1045"/>
      <c r="CA270" s="1045"/>
      <c r="CB270" s="1085"/>
      <c r="CC270" s="1086"/>
      <c r="CD270" s="1327"/>
      <c r="CE270" s="1328"/>
      <c r="CF270" s="1328"/>
      <c r="CG270" s="1328"/>
      <c r="CH270" s="1389"/>
      <c r="CI270" s="1369"/>
      <c r="CJ270" s="1319"/>
      <c r="CK270" s="1319"/>
      <c r="CL270" s="1319"/>
      <c r="CM270" s="1320"/>
      <c r="CN270" s="1369"/>
      <c r="CO270" s="1319"/>
      <c r="CP270" s="1319"/>
      <c r="CQ270" s="1319"/>
      <c r="CR270" s="1320"/>
      <c r="CS270" s="1369"/>
      <c r="CT270" s="1319"/>
      <c r="CU270" s="1319"/>
      <c r="CV270" s="1319"/>
      <c r="CW270" s="1320"/>
      <c r="CX270" s="1369"/>
      <c r="CY270" s="1319"/>
      <c r="CZ270" s="1319"/>
      <c r="DA270" s="1319"/>
      <c r="DB270" s="1320"/>
      <c r="DC270" s="1319"/>
      <c r="DD270" s="1319"/>
      <c r="DE270" s="1319"/>
      <c r="DF270" s="1319"/>
      <c r="DG270" s="1320"/>
      <c r="DH270" s="1369"/>
      <c r="DI270" s="1319"/>
      <c r="DJ270" s="1319"/>
      <c r="DK270" s="1319"/>
      <c r="DL270" s="1320"/>
      <c r="DM270" s="1743"/>
      <c r="DN270" s="1744"/>
      <c r="DO270" s="1744"/>
      <c r="DP270" s="1745"/>
      <c r="DQ270" s="1744"/>
      <c r="DR270" s="1744"/>
      <c r="DS270" s="1744"/>
      <c r="DT270" s="1745"/>
      <c r="DU270" s="1328"/>
      <c r="DV270" s="1664"/>
      <c r="DW270" s="1746"/>
    </row>
    <row r="271" spans="1:127" s="382" customFormat="1" ht="15.75" customHeight="1">
      <c r="A271" s="1066" t="s">
        <v>1278</v>
      </c>
      <c r="B271" s="1026">
        <v>262</v>
      </c>
      <c r="C271" s="987"/>
      <c r="D271" s="987"/>
      <c r="E271" s="987"/>
      <c r="F271" s="987"/>
      <c r="G271" s="987"/>
      <c r="H271" s="987"/>
      <c r="I271" s="987"/>
      <c r="J271" s="987"/>
      <c r="K271" s="987"/>
      <c r="L271" s="987"/>
      <c r="M271" s="1026"/>
      <c r="N271" s="987"/>
      <c r="O271" s="987"/>
      <c r="P271" s="987"/>
      <c r="Q271" s="987"/>
      <c r="R271" s="987"/>
      <c r="S271" s="987"/>
      <c r="T271" s="988"/>
      <c r="U271" s="1067" t="s">
        <v>1444</v>
      </c>
      <c r="V271" s="1068" t="s">
        <v>3092</v>
      </c>
      <c r="W271" s="1068" t="s">
        <v>2231</v>
      </c>
      <c r="X271" s="1069" t="s">
        <v>3101</v>
      </c>
      <c r="Y271" s="1070" t="s">
        <v>3102</v>
      </c>
      <c r="Z271" s="1071" t="s">
        <v>3103</v>
      </c>
      <c r="AA271" s="1072">
        <v>1</v>
      </c>
      <c r="AB271" s="1073" t="s">
        <v>2260</v>
      </c>
      <c r="AC271" s="1073" t="s">
        <v>2260</v>
      </c>
      <c r="AD271" s="1073" t="s">
        <v>2260</v>
      </c>
      <c r="AE271" s="1073" t="s">
        <v>2260</v>
      </c>
      <c r="AF271" s="1073" t="s">
        <v>2260</v>
      </c>
      <c r="AG271" s="1073" t="s">
        <v>2260</v>
      </c>
      <c r="AH271" s="1073" t="s">
        <v>2260</v>
      </c>
      <c r="AI271" s="1074">
        <f t="shared" si="4"/>
        <v>1</v>
      </c>
      <c r="AJ271" s="1075" t="s">
        <v>1846</v>
      </c>
      <c r="AK271" s="1075" t="s">
        <v>1826</v>
      </c>
      <c r="AL271" s="1075" t="s">
        <v>1827</v>
      </c>
      <c r="AM271" s="1076" t="s">
        <v>2387</v>
      </c>
      <c r="AN271" s="987" t="s">
        <v>1857</v>
      </c>
      <c r="AO271" s="987" t="s">
        <v>2933</v>
      </c>
      <c r="AP271" s="1285">
        <v>0</v>
      </c>
      <c r="AQ271" s="1045" t="s">
        <v>1828</v>
      </c>
      <c r="AR271" s="1078" t="s">
        <v>2260</v>
      </c>
      <c r="AS271" s="1079"/>
      <c r="AT271" s="1069"/>
      <c r="AU271" s="1069"/>
      <c r="AV271" s="1069"/>
      <c r="AW271" s="1080"/>
      <c r="AX271" s="1081"/>
      <c r="AY271" s="1044"/>
      <c r="AZ271" s="1045"/>
      <c r="BA271" s="1045"/>
      <c r="BB271" s="1045"/>
      <c r="BC271" s="1045"/>
      <c r="BD271" s="1045"/>
      <c r="BE271" s="1045"/>
      <c r="BF271" s="1045"/>
      <c r="BG271" s="1045"/>
      <c r="BH271" s="1045"/>
      <c r="BI271" s="1369"/>
      <c r="BJ271" s="1319"/>
      <c r="BK271" s="1319"/>
      <c r="BL271" s="1319"/>
      <c r="BM271" s="1319"/>
      <c r="BN271" s="1044"/>
      <c r="BO271" s="1045"/>
      <c r="BP271" s="1045"/>
      <c r="BQ271" s="1045"/>
      <c r="BR271" s="1045"/>
      <c r="BS271" s="1084"/>
      <c r="BT271" s="1045"/>
      <c r="BU271" s="1045"/>
      <c r="BV271" s="1045"/>
      <c r="BW271" s="1085"/>
      <c r="BX271" s="1084"/>
      <c r="BY271" s="1045"/>
      <c r="BZ271" s="1045"/>
      <c r="CA271" s="1045"/>
      <c r="CB271" s="1085"/>
      <c r="CC271" s="1086"/>
      <c r="CD271" s="1327"/>
      <c r="CE271" s="1328"/>
      <c r="CF271" s="1328"/>
      <c r="CG271" s="1328"/>
      <c r="CH271" s="1389"/>
      <c r="CI271" s="1369"/>
      <c r="CJ271" s="1319"/>
      <c r="CK271" s="1319"/>
      <c r="CL271" s="1319"/>
      <c r="CM271" s="1320"/>
      <c r="CN271" s="1369"/>
      <c r="CO271" s="1319"/>
      <c r="CP271" s="1319"/>
      <c r="CQ271" s="1319"/>
      <c r="CR271" s="1320"/>
      <c r="CS271" s="1369"/>
      <c r="CT271" s="1319"/>
      <c r="CU271" s="1319"/>
      <c r="CV271" s="1319"/>
      <c r="CW271" s="1320"/>
      <c r="CX271" s="1369"/>
      <c r="CY271" s="1319"/>
      <c r="CZ271" s="1319"/>
      <c r="DA271" s="1319"/>
      <c r="DB271" s="1320"/>
      <c r="DC271" s="1319"/>
      <c r="DD271" s="1319"/>
      <c r="DE271" s="1319"/>
      <c r="DF271" s="1319"/>
      <c r="DG271" s="1320"/>
      <c r="DH271" s="1369"/>
      <c r="DI271" s="1319"/>
      <c r="DJ271" s="1319"/>
      <c r="DK271" s="1319"/>
      <c r="DL271" s="1320"/>
      <c r="DM271" s="1743"/>
      <c r="DN271" s="1744"/>
      <c r="DO271" s="1744"/>
      <c r="DP271" s="1745"/>
      <c r="DQ271" s="1744"/>
      <c r="DR271" s="1744"/>
      <c r="DS271" s="1744"/>
      <c r="DT271" s="1745"/>
      <c r="DU271" s="1328"/>
      <c r="DV271" s="1664"/>
      <c r="DW271" s="1746"/>
    </row>
    <row r="272" spans="1:127" s="382" customFormat="1" ht="15.75" customHeight="1">
      <c r="A272" s="1066" t="s">
        <v>1278</v>
      </c>
      <c r="B272" s="1026">
        <v>263</v>
      </c>
      <c r="C272" s="987"/>
      <c r="D272" s="987"/>
      <c r="E272" s="987"/>
      <c r="F272" s="987"/>
      <c r="G272" s="987"/>
      <c r="H272" s="987"/>
      <c r="I272" s="987"/>
      <c r="J272" s="987"/>
      <c r="K272" s="987"/>
      <c r="L272" s="987"/>
      <c r="M272" s="1026"/>
      <c r="N272" s="987"/>
      <c r="O272" s="987"/>
      <c r="P272" s="987"/>
      <c r="Q272" s="987"/>
      <c r="R272" s="987"/>
      <c r="S272" s="987"/>
      <c r="T272" s="988"/>
      <c r="U272" s="1067" t="s">
        <v>1744</v>
      </c>
      <c r="V272" s="1068" t="s">
        <v>3092</v>
      </c>
      <c r="W272" s="1068" t="s">
        <v>2217</v>
      </c>
      <c r="X272" s="1069" t="s">
        <v>3104</v>
      </c>
      <c r="Y272" s="1070" t="s">
        <v>2981</v>
      </c>
      <c r="Z272" s="1071" t="s">
        <v>3105</v>
      </c>
      <c r="AA272" s="1072">
        <v>0.25</v>
      </c>
      <c r="AB272" s="1073">
        <v>0.745</v>
      </c>
      <c r="AC272" s="1073" t="s">
        <v>2260</v>
      </c>
      <c r="AD272" s="1073" t="s">
        <v>2260</v>
      </c>
      <c r="AE272" s="1073">
        <v>5.0000000000000001E-3</v>
      </c>
      <c r="AF272" s="1073" t="s">
        <v>2260</v>
      </c>
      <c r="AG272" s="1073" t="s">
        <v>2260</v>
      </c>
      <c r="AH272" s="1073" t="s">
        <v>2260</v>
      </c>
      <c r="AI272" s="1074">
        <f t="shared" si="4"/>
        <v>1</v>
      </c>
      <c r="AJ272" s="1075" t="s">
        <v>1825</v>
      </c>
      <c r="AK272" s="1075" t="s">
        <v>2260</v>
      </c>
      <c r="AL272" s="1075" t="s">
        <v>2260</v>
      </c>
      <c r="AM272" s="1076" t="s">
        <v>2408</v>
      </c>
      <c r="AN272" s="987" t="s">
        <v>1857</v>
      </c>
      <c r="AO272" s="987" t="s">
        <v>3106</v>
      </c>
      <c r="AP272" s="1285">
        <v>1</v>
      </c>
      <c r="AQ272" s="1045" t="s">
        <v>1838</v>
      </c>
      <c r="AR272" s="1078" t="s">
        <v>2260</v>
      </c>
      <c r="AS272" s="1079"/>
      <c r="AT272" s="1069"/>
      <c r="AU272" s="1069"/>
      <c r="AV272" s="1069"/>
      <c r="AW272" s="1080"/>
      <c r="AX272" s="1081"/>
      <c r="AY272" s="1044"/>
      <c r="AZ272" s="1045"/>
      <c r="BA272" s="1045"/>
      <c r="BB272" s="1045"/>
      <c r="BC272" s="1045"/>
      <c r="BD272" s="1045"/>
      <c r="BE272" s="1045"/>
      <c r="BF272" s="1045"/>
      <c r="BG272" s="1045"/>
      <c r="BH272" s="1045"/>
      <c r="BI272" s="1369"/>
      <c r="BJ272" s="1319"/>
      <c r="BK272" s="1319"/>
      <c r="BL272" s="1319"/>
      <c r="BM272" s="1319"/>
      <c r="BN272" s="1044"/>
      <c r="BO272" s="1045"/>
      <c r="BP272" s="1045"/>
      <c r="BQ272" s="1045"/>
      <c r="BR272" s="1045"/>
      <c r="BS272" s="1084"/>
      <c r="BT272" s="1045"/>
      <c r="BU272" s="1045"/>
      <c r="BV272" s="1045"/>
      <c r="BW272" s="1085"/>
      <c r="BX272" s="1084"/>
      <c r="BY272" s="1045"/>
      <c r="BZ272" s="1045"/>
      <c r="CA272" s="1045"/>
      <c r="CB272" s="1085"/>
      <c r="CC272" s="1086"/>
      <c r="CD272" s="1327"/>
      <c r="CE272" s="1328"/>
      <c r="CF272" s="1328"/>
      <c r="CG272" s="1328"/>
      <c r="CH272" s="1389"/>
      <c r="CI272" s="1369"/>
      <c r="CJ272" s="1319"/>
      <c r="CK272" s="1319"/>
      <c r="CL272" s="1319"/>
      <c r="CM272" s="1320"/>
      <c r="CN272" s="1369"/>
      <c r="CO272" s="1319"/>
      <c r="CP272" s="1319"/>
      <c r="CQ272" s="1319"/>
      <c r="CR272" s="1320"/>
      <c r="CS272" s="1369"/>
      <c r="CT272" s="1319"/>
      <c r="CU272" s="1319"/>
      <c r="CV272" s="1319"/>
      <c r="CW272" s="1320"/>
      <c r="CX272" s="1369"/>
      <c r="CY272" s="1319"/>
      <c r="CZ272" s="1319"/>
      <c r="DA272" s="1319"/>
      <c r="DB272" s="1320"/>
      <c r="DC272" s="1319"/>
      <c r="DD272" s="1319"/>
      <c r="DE272" s="1319"/>
      <c r="DF272" s="1319"/>
      <c r="DG272" s="1320"/>
      <c r="DH272" s="1369"/>
      <c r="DI272" s="1319"/>
      <c r="DJ272" s="1319"/>
      <c r="DK272" s="1319"/>
      <c r="DL272" s="1320"/>
      <c r="DM272" s="1743"/>
      <c r="DN272" s="1744"/>
      <c r="DO272" s="1744"/>
      <c r="DP272" s="1745"/>
      <c r="DQ272" s="1744"/>
      <c r="DR272" s="1744"/>
      <c r="DS272" s="1744"/>
      <c r="DT272" s="1745"/>
      <c r="DU272" s="1328"/>
      <c r="DV272" s="1664"/>
      <c r="DW272" s="1746"/>
    </row>
    <row r="273" spans="1:127" s="382" customFormat="1" ht="15.75" customHeight="1">
      <c r="A273" s="1066" t="s">
        <v>1278</v>
      </c>
      <c r="B273" s="1026">
        <v>264</v>
      </c>
      <c r="C273" s="987"/>
      <c r="D273" s="987"/>
      <c r="E273" s="987"/>
      <c r="F273" s="987"/>
      <c r="G273" s="987"/>
      <c r="H273" s="987"/>
      <c r="I273" s="987"/>
      <c r="J273" s="987"/>
      <c r="K273" s="987"/>
      <c r="L273" s="987"/>
      <c r="M273" s="1026"/>
      <c r="N273" s="987"/>
      <c r="O273" s="987"/>
      <c r="P273" s="987"/>
      <c r="Q273" s="987"/>
      <c r="R273" s="987"/>
      <c r="S273" s="987"/>
      <c r="T273" s="988"/>
      <c r="U273" s="1067" t="s">
        <v>1458</v>
      </c>
      <c r="V273" s="1068" t="s">
        <v>3092</v>
      </c>
      <c r="W273" s="1068" t="s">
        <v>2217</v>
      </c>
      <c r="X273" s="1069" t="s">
        <v>3107</v>
      </c>
      <c r="Y273" s="1070" t="s">
        <v>3108</v>
      </c>
      <c r="Z273" s="1071" t="s">
        <v>3109</v>
      </c>
      <c r="AA273" s="1072">
        <v>1</v>
      </c>
      <c r="AB273" s="1073" t="s">
        <v>2260</v>
      </c>
      <c r="AC273" s="1073" t="s">
        <v>2260</v>
      </c>
      <c r="AD273" s="1073" t="s">
        <v>2260</v>
      </c>
      <c r="AE273" s="1073" t="s">
        <v>2260</v>
      </c>
      <c r="AF273" s="1073" t="s">
        <v>2260</v>
      </c>
      <c r="AG273" s="1073" t="s">
        <v>2260</v>
      </c>
      <c r="AH273" s="1073" t="s">
        <v>2260</v>
      </c>
      <c r="AI273" s="1074">
        <f t="shared" si="4"/>
        <v>1</v>
      </c>
      <c r="AJ273" s="1075" t="s">
        <v>1846</v>
      </c>
      <c r="AK273" s="1075" t="s">
        <v>1826</v>
      </c>
      <c r="AL273" s="1075" t="s">
        <v>1827</v>
      </c>
      <c r="AM273" s="1076" t="s">
        <v>2290</v>
      </c>
      <c r="AN273" s="987" t="s">
        <v>1857</v>
      </c>
      <c r="AO273" s="987" t="s">
        <v>3110</v>
      </c>
      <c r="AP273" s="1285">
        <v>0</v>
      </c>
      <c r="AQ273" s="1045" t="s">
        <v>1838</v>
      </c>
      <c r="AR273" s="1078" t="s">
        <v>2260</v>
      </c>
      <c r="AS273" s="1079"/>
      <c r="AT273" s="1069"/>
      <c r="AU273" s="1069"/>
      <c r="AV273" s="1069"/>
      <c r="AW273" s="1080"/>
      <c r="AX273" s="1081"/>
      <c r="AY273" s="1044"/>
      <c r="AZ273" s="1045"/>
      <c r="BA273" s="1045"/>
      <c r="BB273" s="1045"/>
      <c r="BC273" s="1045"/>
      <c r="BD273" s="1045"/>
      <c r="BE273" s="1045"/>
      <c r="BF273" s="1045"/>
      <c r="BG273" s="1045"/>
      <c r="BH273" s="1045"/>
      <c r="BI273" s="1369"/>
      <c r="BJ273" s="1319"/>
      <c r="BK273" s="1319"/>
      <c r="BL273" s="1319"/>
      <c r="BM273" s="1319"/>
      <c r="BN273" s="1044"/>
      <c r="BO273" s="1045"/>
      <c r="BP273" s="1045"/>
      <c r="BQ273" s="1045"/>
      <c r="BR273" s="1045"/>
      <c r="BS273" s="1084"/>
      <c r="BT273" s="1045"/>
      <c r="BU273" s="1045"/>
      <c r="BV273" s="1045"/>
      <c r="BW273" s="1085"/>
      <c r="BX273" s="1084"/>
      <c r="BY273" s="1045"/>
      <c r="BZ273" s="1045"/>
      <c r="CA273" s="1045"/>
      <c r="CB273" s="1085"/>
      <c r="CC273" s="1086"/>
      <c r="CD273" s="1327"/>
      <c r="CE273" s="1328"/>
      <c r="CF273" s="1328"/>
      <c r="CG273" s="1328"/>
      <c r="CH273" s="1389"/>
      <c r="CI273" s="1369"/>
      <c r="CJ273" s="1319"/>
      <c r="CK273" s="1319"/>
      <c r="CL273" s="1319"/>
      <c r="CM273" s="1320"/>
      <c r="CN273" s="1369"/>
      <c r="CO273" s="1319"/>
      <c r="CP273" s="1319"/>
      <c r="CQ273" s="1319"/>
      <c r="CR273" s="1320"/>
      <c r="CS273" s="1369"/>
      <c r="CT273" s="1319"/>
      <c r="CU273" s="1319"/>
      <c r="CV273" s="1319"/>
      <c r="CW273" s="1320"/>
      <c r="CX273" s="1369"/>
      <c r="CY273" s="1319"/>
      <c r="CZ273" s="1319"/>
      <c r="DA273" s="1319"/>
      <c r="DB273" s="1320"/>
      <c r="DC273" s="1319"/>
      <c r="DD273" s="1319"/>
      <c r="DE273" s="1319"/>
      <c r="DF273" s="1319"/>
      <c r="DG273" s="1320"/>
      <c r="DH273" s="1369"/>
      <c r="DI273" s="1319"/>
      <c r="DJ273" s="1319"/>
      <c r="DK273" s="1319"/>
      <c r="DL273" s="1320"/>
      <c r="DM273" s="1743"/>
      <c r="DN273" s="1744"/>
      <c r="DO273" s="1744"/>
      <c r="DP273" s="1745"/>
      <c r="DQ273" s="1744"/>
      <c r="DR273" s="1744"/>
      <c r="DS273" s="1744"/>
      <c r="DT273" s="1745"/>
      <c r="DU273" s="1328"/>
      <c r="DV273" s="1664"/>
      <c r="DW273" s="1746"/>
    </row>
    <row r="274" spans="1:127" s="382" customFormat="1" ht="15.75" customHeight="1">
      <c r="A274" s="1066" t="s">
        <v>1278</v>
      </c>
      <c r="B274" s="1026">
        <v>265</v>
      </c>
      <c r="C274" s="987"/>
      <c r="D274" s="987"/>
      <c r="E274" s="987"/>
      <c r="F274" s="987"/>
      <c r="G274" s="987"/>
      <c r="H274" s="987"/>
      <c r="I274" s="987"/>
      <c r="J274" s="987"/>
      <c r="K274" s="987"/>
      <c r="L274" s="987"/>
      <c r="M274" s="1026"/>
      <c r="N274" s="987"/>
      <c r="O274" s="987"/>
      <c r="P274" s="987"/>
      <c r="Q274" s="987"/>
      <c r="R274" s="987"/>
      <c r="S274" s="987"/>
      <c r="T274" s="988"/>
      <c r="U274" s="1067" t="s">
        <v>1747</v>
      </c>
      <c r="V274" s="1068" t="s">
        <v>3092</v>
      </c>
      <c r="W274" s="1068" t="s">
        <v>2231</v>
      </c>
      <c r="X274" s="1069" t="s">
        <v>3111</v>
      </c>
      <c r="Y274" s="1070" t="s">
        <v>3112</v>
      </c>
      <c r="Z274" s="1071" t="s">
        <v>3113</v>
      </c>
      <c r="AA274" s="1072">
        <v>1</v>
      </c>
      <c r="AB274" s="1073" t="s">
        <v>2260</v>
      </c>
      <c r="AC274" s="1073" t="s">
        <v>2260</v>
      </c>
      <c r="AD274" s="1073" t="s">
        <v>2260</v>
      </c>
      <c r="AE274" s="1073" t="s">
        <v>2260</v>
      </c>
      <c r="AF274" s="1073" t="s">
        <v>2260</v>
      </c>
      <c r="AG274" s="1073" t="s">
        <v>2260</v>
      </c>
      <c r="AH274" s="1073" t="s">
        <v>2260</v>
      </c>
      <c r="AI274" s="1074">
        <f t="shared" si="4"/>
        <v>1</v>
      </c>
      <c r="AJ274" s="1075" t="s">
        <v>1825</v>
      </c>
      <c r="AK274" s="1075" t="s">
        <v>2260</v>
      </c>
      <c r="AL274" s="1075" t="s">
        <v>2260</v>
      </c>
      <c r="AM274" s="1076" t="s">
        <v>2290</v>
      </c>
      <c r="AN274" s="987" t="s">
        <v>321</v>
      </c>
      <c r="AO274" s="987" t="s">
        <v>3114</v>
      </c>
      <c r="AP274" s="1285">
        <v>0</v>
      </c>
      <c r="AQ274" s="1045" t="s">
        <v>1828</v>
      </c>
      <c r="AR274" s="1078" t="s">
        <v>2260</v>
      </c>
      <c r="AS274" s="1079"/>
      <c r="AT274" s="1069"/>
      <c r="AU274" s="1069"/>
      <c r="AV274" s="1069"/>
      <c r="AW274" s="1080"/>
      <c r="AX274" s="1081"/>
      <c r="AY274" s="1044"/>
      <c r="AZ274" s="1045"/>
      <c r="BA274" s="1045"/>
      <c r="BB274" s="1045"/>
      <c r="BC274" s="1045"/>
      <c r="BD274" s="1045"/>
      <c r="BE274" s="1045"/>
      <c r="BF274" s="1045"/>
      <c r="BG274" s="1045"/>
      <c r="BH274" s="1045"/>
      <c r="BI274" s="1369"/>
      <c r="BJ274" s="1319"/>
      <c r="BK274" s="1319"/>
      <c r="BL274" s="1319"/>
      <c r="BM274" s="1319"/>
      <c r="BN274" s="1044"/>
      <c r="BO274" s="1045"/>
      <c r="BP274" s="1045"/>
      <c r="BQ274" s="1045"/>
      <c r="BR274" s="1045"/>
      <c r="BS274" s="1084"/>
      <c r="BT274" s="1045"/>
      <c r="BU274" s="1045"/>
      <c r="BV274" s="1045"/>
      <c r="BW274" s="1085"/>
      <c r="BX274" s="1084"/>
      <c r="BY274" s="1045"/>
      <c r="BZ274" s="1045"/>
      <c r="CA274" s="1045"/>
      <c r="CB274" s="1085"/>
      <c r="CC274" s="1086"/>
      <c r="CD274" s="1327"/>
      <c r="CE274" s="1328"/>
      <c r="CF274" s="1328"/>
      <c r="CG274" s="1328"/>
      <c r="CH274" s="1389"/>
      <c r="CI274" s="1369"/>
      <c r="CJ274" s="1319"/>
      <c r="CK274" s="1319"/>
      <c r="CL274" s="1319"/>
      <c r="CM274" s="1320"/>
      <c r="CN274" s="1369"/>
      <c r="CO274" s="1319"/>
      <c r="CP274" s="1319"/>
      <c r="CQ274" s="1319"/>
      <c r="CR274" s="1320"/>
      <c r="CS274" s="1369"/>
      <c r="CT274" s="1319"/>
      <c r="CU274" s="1319"/>
      <c r="CV274" s="1319"/>
      <c r="CW274" s="1320"/>
      <c r="CX274" s="1369"/>
      <c r="CY274" s="1319"/>
      <c r="CZ274" s="1319"/>
      <c r="DA274" s="1319"/>
      <c r="DB274" s="1320"/>
      <c r="DC274" s="1319"/>
      <c r="DD274" s="1319"/>
      <c r="DE274" s="1319"/>
      <c r="DF274" s="1319"/>
      <c r="DG274" s="1320"/>
      <c r="DH274" s="1369"/>
      <c r="DI274" s="1319"/>
      <c r="DJ274" s="1319"/>
      <c r="DK274" s="1319"/>
      <c r="DL274" s="1320"/>
      <c r="DM274" s="1743"/>
      <c r="DN274" s="1744"/>
      <c r="DO274" s="1744"/>
      <c r="DP274" s="1745"/>
      <c r="DQ274" s="1744"/>
      <c r="DR274" s="1744"/>
      <c r="DS274" s="1744"/>
      <c r="DT274" s="1745"/>
      <c r="DU274" s="1328"/>
      <c r="DV274" s="1664"/>
      <c r="DW274" s="1746"/>
    </row>
    <row r="275" spans="1:127" s="382" customFormat="1" ht="15.75" customHeight="1">
      <c r="A275" s="1066" t="s">
        <v>1278</v>
      </c>
      <c r="B275" s="1026">
        <v>266</v>
      </c>
      <c r="C275" s="987"/>
      <c r="D275" s="987"/>
      <c r="E275" s="987"/>
      <c r="F275" s="987"/>
      <c r="G275" s="987"/>
      <c r="H275" s="987"/>
      <c r="I275" s="987"/>
      <c r="J275" s="987"/>
      <c r="K275" s="987"/>
      <c r="L275" s="987"/>
      <c r="M275" s="1026"/>
      <c r="N275" s="987"/>
      <c r="O275" s="987"/>
      <c r="P275" s="987"/>
      <c r="Q275" s="987"/>
      <c r="R275" s="987"/>
      <c r="S275" s="987"/>
      <c r="T275" s="988"/>
      <c r="U275" s="1067" t="s">
        <v>1749</v>
      </c>
      <c r="V275" s="1068" t="s">
        <v>3008</v>
      </c>
      <c r="W275" s="1068" t="s">
        <v>2217</v>
      </c>
      <c r="X275" s="1069" t="s">
        <v>3115</v>
      </c>
      <c r="Y275" s="1070" t="s">
        <v>3116</v>
      </c>
      <c r="Z275" s="1071" t="s">
        <v>3117</v>
      </c>
      <c r="AA275" s="1072" t="s">
        <v>2260</v>
      </c>
      <c r="AB275" s="1073">
        <v>0.5</v>
      </c>
      <c r="AC275" s="1073" t="s">
        <v>2260</v>
      </c>
      <c r="AD275" s="1073" t="s">
        <v>2260</v>
      </c>
      <c r="AE275" s="1073">
        <v>0.5</v>
      </c>
      <c r="AF275" s="1073" t="s">
        <v>2260</v>
      </c>
      <c r="AG275" s="1073" t="s">
        <v>2260</v>
      </c>
      <c r="AH275" s="1073" t="s">
        <v>2260</v>
      </c>
      <c r="AI275" s="1074">
        <f t="shared" si="4"/>
        <v>1</v>
      </c>
      <c r="AJ275" s="1075" t="s">
        <v>1825</v>
      </c>
      <c r="AK275" s="1075" t="s">
        <v>2260</v>
      </c>
      <c r="AL275" s="1075" t="s">
        <v>2260</v>
      </c>
      <c r="AM275" s="1076" t="s">
        <v>2264</v>
      </c>
      <c r="AN275" s="987" t="s">
        <v>1897</v>
      </c>
      <c r="AO275" s="987" t="s">
        <v>3036</v>
      </c>
      <c r="AP275" s="1285">
        <v>1</v>
      </c>
      <c r="AQ275" s="1045" t="s">
        <v>1828</v>
      </c>
      <c r="AR275" s="1078" t="s">
        <v>2260</v>
      </c>
      <c r="AS275" s="1079"/>
      <c r="AT275" s="1069"/>
      <c r="AU275" s="1069"/>
      <c r="AV275" s="1069"/>
      <c r="AW275" s="1080"/>
      <c r="AX275" s="1081"/>
      <c r="AY275" s="1044"/>
      <c r="AZ275" s="1045"/>
      <c r="BA275" s="1045"/>
      <c r="BB275" s="1045"/>
      <c r="BC275" s="1045"/>
      <c r="BD275" s="1045"/>
      <c r="BE275" s="1045"/>
      <c r="BF275" s="1045"/>
      <c r="BG275" s="1045"/>
      <c r="BH275" s="1045"/>
      <c r="BI275" s="1369"/>
      <c r="BJ275" s="1319"/>
      <c r="BK275" s="1319"/>
      <c r="BL275" s="1319"/>
      <c r="BM275" s="1319"/>
      <c r="BN275" s="1044"/>
      <c r="BO275" s="1045"/>
      <c r="BP275" s="1045"/>
      <c r="BQ275" s="1045"/>
      <c r="BR275" s="1045"/>
      <c r="BS275" s="1084"/>
      <c r="BT275" s="1045"/>
      <c r="BU275" s="1045"/>
      <c r="BV275" s="1045"/>
      <c r="BW275" s="1085"/>
      <c r="BX275" s="1084"/>
      <c r="BY275" s="1045"/>
      <c r="BZ275" s="1045"/>
      <c r="CA275" s="1045"/>
      <c r="CB275" s="1085"/>
      <c r="CC275" s="1086"/>
      <c r="CD275" s="1327"/>
      <c r="CE275" s="1328"/>
      <c r="CF275" s="1328"/>
      <c r="CG275" s="1328"/>
      <c r="CH275" s="1389"/>
      <c r="CI275" s="1369"/>
      <c r="CJ275" s="1319"/>
      <c r="CK275" s="1319"/>
      <c r="CL275" s="1319"/>
      <c r="CM275" s="1320"/>
      <c r="CN275" s="1369"/>
      <c r="CO275" s="1319"/>
      <c r="CP275" s="1319"/>
      <c r="CQ275" s="1319"/>
      <c r="CR275" s="1320"/>
      <c r="CS275" s="1369"/>
      <c r="CT275" s="1319"/>
      <c r="CU275" s="1319"/>
      <c r="CV275" s="1319"/>
      <c r="CW275" s="1320"/>
      <c r="CX275" s="1369"/>
      <c r="CY275" s="1319"/>
      <c r="CZ275" s="1319"/>
      <c r="DA275" s="1319"/>
      <c r="DB275" s="1320"/>
      <c r="DC275" s="1319"/>
      <c r="DD275" s="1319"/>
      <c r="DE275" s="1319"/>
      <c r="DF275" s="1319"/>
      <c r="DG275" s="1320"/>
      <c r="DH275" s="1369"/>
      <c r="DI275" s="1319"/>
      <c r="DJ275" s="1319"/>
      <c r="DK275" s="1319"/>
      <c r="DL275" s="1320"/>
      <c r="DM275" s="1743"/>
      <c r="DN275" s="1744"/>
      <c r="DO275" s="1744"/>
      <c r="DP275" s="1745"/>
      <c r="DQ275" s="1744"/>
      <c r="DR275" s="1744"/>
      <c r="DS275" s="1744"/>
      <c r="DT275" s="1745"/>
      <c r="DU275" s="1328"/>
      <c r="DV275" s="1664"/>
      <c r="DW275" s="1746"/>
    </row>
    <row r="276" spans="1:127" s="382" customFormat="1" ht="15.75" customHeight="1">
      <c r="A276" s="1066" t="s">
        <v>1278</v>
      </c>
      <c r="B276" s="1026">
        <v>267</v>
      </c>
      <c r="C276" s="987"/>
      <c r="D276" s="987"/>
      <c r="E276" s="987"/>
      <c r="F276" s="987"/>
      <c r="G276" s="987"/>
      <c r="H276" s="987"/>
      <c r="I276" s="987"/>
      <c r="J276" s="987"/>
      <c r="K276" s="987"/>
      <c r="L276" s="987"/>
      <c r="M276" s="1026"/>
      <c r="N276" s="987"/>
      <c r="O276" s="987"/>
      <c r="P276" s="987"/>
      <c r="Q276" s="987"/>
      <c r="R276" s="987"/>
      <c r="S276" s="987"/>
      <c r="T276" s="988"/>
      <c r="U276" s="1067" t="s">
        <v>1751</v>
      </c>
      <c r="V276" s="1068" t="s">
        <v>2260</v>
      </c>
      <c r="W276" s="1068" t="s">
        <v>2260</v>
      </c>
      <c r="X276" s="1069" t="s">
        <v>2331</v>
      </c>
      <c r="Y276" s="1070" t="s">
        <v>2332</v>
      </c>
      <c r="Z276" s="1071" t="s">
        <v>2260</v>
      </c>
      <c r="AA276" s="1072" t="s">
        <v>2260</v>
      </c>
      <c r="AB276" s="1073" t="s">
        <v>2260</v>
      </c>
      <c r="AC276" s="1073" t="s">
        <v>2260</v>
      </c>
      <c r="AD276" s="1073" t="s">
        <v>2260</v>
      </c>
      <c r="AE276" s="1073" t="s">
        <v>2260</v>
      </c>
      <c r="AF276" s="1073" t="s">
        <v>2260</v>
      </c>
      <c r="AG276" s="1073" t="s">
        <v>2260</v>
      </c>
      <c r="AH276" s="1073" t="s">
        <v>2260</v>
      </c>
      <c r="AI276" s="1074">
        <f t="shared" si="4"/>
        <v>0</v>
      </c>
      <c r="AJ276" s="1075" t="s">
        <v>1825</v>
      </c>
      <c r="AK276" s="1075" t="s">
        <v>2260</v>
      </c>
      <c r="AL276" s="1075" t="s">
        <v>2260</v>
      </c>
      <c r="AM276" s="1076" t="s">
        <v>2260</v>
      </c>
      <c r="AN276" s="987" t="s">
        <v>2260</v>
      </c>
      <c r="AO276" s="987" t="s">
        <v>2333</v>
      </c>
      <c r="AP276" s="1285">
        <v>0</v>
      </c>
      <c r="AQ276" s="1045" t="s">
        <v>2260</v>
      </c>
      <c r="AR276" s="1078" t="s">
        <v>2260</v>
      </c>
      <c r="AS276" s="1079"/>
      <c r="AT276" s="1069"/>
      <c r="AU276" s="1069"/>
      <c r="AV276" s="1069"/>
      <c r="AW276" s="1080"/>
      <c r="AX276" s="1081"/>
      <c r="AY276" s="1044"/>
      <c r="AZ276" s="1045"/>
      <c r="BA276" s="1045"/>
      <c r="BB276" s="1045"/>
      <c r="BC276" s="1045"/>
      <c r="BD276" s="1045"/>
      <c r="BE276" s="1045"/>
      <c r="BF276" s="1045"/>
      <c r="BG276" s="1045"/>
      <c r="BH276" s="1045"/>
      <c r="BI276" s="1369"/>
      <c r="BJ276" s="1319"/>
      <c r="BK276" s="1319"/>
      <c r="BL276" s="1319"/>
      <c r="BM276" s="1319"/>
      <c r="BN276" s="1044"/>
      <c r="BO276" s="1045"/>
      <c r="BP276" s="1045"/>
      <c r="BQ276" s="1045"/>
      <c r="BR276" s="1045"/>
      <c r="BS276" s="1084"/>
      <c r="BT276" s="1045"/>
      <c r="BU276" s="1045"/>
      <c r="BV276" s="1045"/>
      <c r="BW276" s="1085"/>
      <c r="BX276" s="1084"/>
      <c r="BY276" s="1045"/>
      <c r="BZ276" s="1045"/>
      <c r="CA276" s="1045"/>
      <c r="CB276" s="1085"/>
      <c r="CC276" s="1086"/>
      <c r="CD276" s="1327"/>
      <c r="CE276" s="1328"/>
      <c r="CF276" s="1328"/>
      <c r="CG276" s="1328"/>
      <c r="CH276" s="1389"/>
      <c r="CI276" s="1369"/>
      <c r="CJ276" s="1319"/>
      <c r="CK276" s="1319"/>
      <c r="CL276" s="1319"/>
      <c r="CM276" s="1320"/>
      <c r="CN276" s="1369"/>
      <c r="CO276" s="1319"/>
      <c r="CP276" s="1319"/>
      <c r="CQ276" s="1319"/>
      <c r="CR276" s="1320"/>
      <c r="CS276" s="1369"/>
      <c r="CT276" s="1319"/>
      <c r="CU276" s="1319"/>
      <c r="CV276" s="1319"/>
      <c r="CW276" s="1320"/>
      <c r="CX276" s="1369"/>
      <c r="CY276" s="1319"/>
      <c r="CZ276" s="1319"/>
      <c r="DA276" s="1319"/>
      <c r="DB276" s="1320"/>
      <c r="DC276" s="1319"/>
      <c r="DD276" s="1319"/>
      <c r="DE276" s="1319"/>
      <c r="DF276" s="1319"/>
      <c r="DG276" s="1320"/>
      <c r="DH276" s="1369"/>
      <c r="DI276" s="1319"/>
      <c r="DJ276" s="1319"/>
      <c r="DK276" s="1319"/>
      <c r="DL276" s="1320"/>
      <c r="DM276" s="1743"/>
      <c r="DN276" s="1744"/>
      <c r="DO276" s="1744"/>
      <c r="DP276" s="1745"/>
      <c r="DQ276" s="1744"/>
      <c r="DR276" s="1744"/>
      <c r="DS276" s="1744"/>
      <c r="DT276" s="1745"/>
      <c r="DU276" s="1328"/>
      <c r="DV276" s="1664"/>
      <c r="DW276" s="1746"/>
    </row>
    <row r="277" spans="1:127" s="382" customFormat="1" ht="15.75" customHeight="1">
      <c r="A277" s="1066" t="s">
        <v>1278</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4473</v>
      </c>
      <c r="V277" s="1068" t="s">
        <v>2260</v>
      </c>
      <c r="W277" s="1068" t="s">
        <v>2260</v>
      </c>
      <c r="X277" s="1069" t="s">
        <v>1876</v>
      </c>
      <c r="Y277" s="1070" t="s">
        <v>4474</v>
      </c>
      <c r="Z277" s="1071" t="s">
        <v>2260</v>
      </c>
      <c r="AA277" s="1072" t="s">
        <v>2260</v>
      </c>
      <c r="AB277" s="1073">
        <v>1</v>
      </c>
      <c r="AC277" s="1073" t="s">
        <v>2260</v>
      </c>
      <c r="AD277" s="1073" t="s">
        <v>2260</v>
      </c>
      <c r="AE277" s="1073" t="s">
        <v>2260</v>
      </c>
      <c r="AF277" s="1073" t="s">
        <v>2260</v>
      </c>
      <c r="AG277" s="1073" t="s">
        <v>2260</v>
      </c>
      <c r="AH277" s="1073" t="s">
        <v>2260</v>
      </c>
      <c r="AI277" s="1074">
        <f t="shared" si="4"/>
        <v>1</v>
      </c>
      <c r="AJ277" s="1075"/>
      <c r="AK277" s="1075"/>
      <c r="AL277" s="1075"/>
      <c r="AM277" s="1076"/>
      <c r="AN277" s="987"/>
      <c r="AO277" s="987"/>
      <c r="AP277" s="1285">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69"/>
      <c r="BJ277" s="1319"/>
      <c r="BK277" s="1319"/>
      <c r="BL277" s="1319"/>
      <c r="BM277" s="1319"/>
      <c r="BN277" s="1044"/>
      <c r="BO277" s="1045"/>
      <c r="BP277" s="1045"/>
      <c r="BQ277" s="1045"/>
      <c r="BR277" s="1045"/>
      <c r="BS277" s="1084"/>
      <c r="BT277" s="1045"/>
      <c r="BU277" s="1045"/>
      <c r="BV277" s="1045"/>
      <c r="BW277" s="1085"/>
      <c r="BX277" s="1084"/>
      <c r="BY277" s="1045"/>
      <c r="BZ277" s="1045"/>
      <c r="CA277" s="1045"/>
      <c r="CB277" s="1085"/>
      <c r="CC277" s="1086"/>
      <c r="CD277" s="1327"/>
      <c r="CE277" s="1328"/>
      <c r="CF277" s="1328"/>
      <c r="CG277" s="1328"/>
      <c r="CH277" s="1389"/>
      <c r="CI277" s="1369"/>
      <c r="CJ277" s="1319"/>
      <c r="CK277" s="1319"/>
      <c r="CL277" s="1319"/>
      <c r="CM277" s="1320"/>
      <c r="CN277" s="1369"/>
      <c r="CO277" s="1319"/>
      <c r="CP277" s="1319"/>
      <c r="CQ277" s="1319"/>
      <c r="CR277" s="1320"/>
      <c r="CS277" s="1369"/>
      <c r="CT277" s="1319"/>
      <c r="CU277" s="1319"/>
      <c r="CV277" s="1319"/>
      <c r="CW277" s="1320"/>
      <c r="CX277" s="1369"/>
      <c r="CY277" s="1319"/>
      <c r="CZ277" s="1319"/>
      <c r="DA277" s="1319"/>
      <c r="DB277" s="1320"/>
      <c r="DC277" s="1319"/>
      <c r="DD277" s="1319"/>
      <c r="DE277" s="1319"/>
      <c r="DF277" s="1319"/>
      <c r="DG277" s="1320"/>
      <c r="DH277" s="1369"/>
      <c r="DI277" s="1319"/>
      <c r="DJ277" s="1319"/>
      <c r="DK277" s="1319"/>
      <c r="DL277" s="1320"/>
      <c r="DM277" s="1743"/>
      <c r="DN277" s="1744"/>
      <c r="DO277" s="1744"/>
      <c r="DP277" s="1745"/>
      <c r="DQ277" s="1744"/>
      <c r="DR277" s="1744"/>
      <c r="DS277" s="1744"/>
      <c r="DT277" s="1745"/>
      <c r="DU277" s="1328"/>
      <c r="DV277" s="1664"/>
      <c r="DW277" s="1746"/>
    </row>
    <row r="278" spans="1:127" s="382" customFormat="1" ht="15.75" customHeight="1">
      <c r="A278" s="1066" t="s">
        <v>1185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1200</v>
      </c>
      <c r="V278" s="1068" t="s">
        <v>3121</v>
      </c>
      <c r="W278" s="1068" t="s">
        <v>2217</v>
      </c>
      <c r="X278" s="1069" t="s">
        <v>3122</v>
      </c>
      <c r="Y278" s="1070" t="s">
        <v>172</v>
      </c>
      <c r="Z278" s="1071" t="s">
        <v>3123</v>
      </c>
      <c r="AA278" s="1072" t="s">
        <v>2260</v>
      </c>
      <c r="AB278" s="1073">
        <v>1</v>
      </c>
      <c r="AC278" s="1073" t="s">
        <v>2260</v>
      </c>
      <c r="AD278" s="1073" t="s">
        <v>2260</v>
      </c>
      <c r="AE278" s="1073" t="s">
        <v>2260</v>
      </c>
      <c r="AF278" s="1073" t="s">
        <v>2260</v>
      </c>
      <c r="AG278" s="1073" t="s">
        <v>2260</v>
      </c>
      <c r="AH278" s="1073" t="s">
        <v>2260</v>
      </c>
      <c r="AI278" s="1074">
        <f t="shared" si="4"/>
        <v>1</v>
      </c>
      <c r="AJ278" s="1075" t="s">
        <v>1846</v>
      </c>
      <c r="AK278" s="1075" t="s">
        <v>1826</v>
      </c>
      <c r="AL278" s="1075" t="s">
        <v>1827</v>
      </c>
      <c r="AM278" s="1076" t="s">
        <v>3124</v>
      </c>
      <c r="AN278" s="987" t="s">
        <v>2439</v>
      </c>
      <c r="AO278" s="987" t="s">
        <v>4420</v>
      </c>
      <c r="AP278" s="1276">
        <v>2</v>
      </c>
      <c r="AQ278" s="1045" t="s">
        <v>1838</v>
      </c>
      <c r="AR278" s="1078" t="s">
        <v>172</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210</v>
      </c>
      <c r="CE278" s="1088" t="s">
        <v>210</v>
      </c>
      <c r="CF278" s="1088" t="s">
        <v>210</v>
      </c>
      <c r="CG278" s="1088" t="s">
        <v>210</v>
      </c>
      <c r="CH278" s="1089" t="s">
        <v>210</v>
      </c>
      <c r="CI278" s="1044" t="s">
        <v>2260</v>
      </c>
      <c r="CJ278" s="1045" t="s">
        <v>2260</v>
      </c>
      <c r="CK278" s="1045" t="s">
        <v>2260</v>
      </c>
      <c r="CL278" s="1045" t="s">
        <v>2260</v>
      </c>
      <c r="CM278" s="1086" t="s">
        <v>2260</v>
      </c>
      <c r="CN278" s="1044">
        <v>9.5</v>
      </c>
      <c r="CO278" s="1045">
        <v>9.5</v>
      </c>
      <c r="CP278" s="1045">
        <v>9.5</v>
      </c>
      <c r="CQ278" s="1045">
        <v>9.5</v>
      </c>
      <c r="CR278" s="1086">
        <v>9.5</v>
      </c>
      <c r="CS278" s="1044">
        <v>2</v>
      </c>
      <c r="CT278" s="1045">
        <v>2</v>
      </c>
      <c r="CU278" s="1045">
        <v>2</v>
      </c>
      <c r="CV278" s="1045">
        <v>2</v>
      </c>
      <c r="CW278" s="1086">
        <v>2</v>
      </c>
      <c r="CX278" s="1044" t="s">
        <v>2260</v>
      </c>
      <c r="CY278" s="1045" t="s">
        <v>2260</v>
      </c>
      <c r="CZ278" s="1045" t="s">
        <v>2260</v>
      </c>
      <c r="DA278" s="1045" t="s">
        <v>2260</v>
      </c>
      <c r="DB278" s="1086" t="s">
        <v>2260</v>
      </c>
      <c r="DC278" s="1045" t="s">
        <v>2260</v>
      </c>
      <c r="DD278" s="1045" t="s">
        <v>2260</v>
      </c>
      <c r="DE278" s="1045" t="s">
        <v>2260</v>
      </c>
      <c r="DF278" s="1045" t="s">
        <v>2260</v>
      </c>
      <c r="DG278" s="1086" t="s">
        <v>2260</v>
      </c>
      <c r="DH278" s="1044" t="s">
        <v>2260</v>
      </c>
      <c r="DI278" s="1045" t="s">
        <v>2260</v>
      </c>
      <c r="DJ278" s="1045" t="s">
        <v>2260</v>
      </c>
      <c r="DK278" s="1045" t="s">
        <v>2260</v>
      </c>
      <c r="DL278" s="1086" t="s">
        <v>2260</v>
      </c>
      <c r="DM278" s="1090">
        <v>-0.628</v>
      </c>
      <c r="DN278" s="1091" t="s">
        <v>2260</v>
      </c>
      <c r="DO278" s="1091" t="s">
        <v>2260</v>
      </c>
      <c r="DP278" s="1092" t="s">
        <v>2260</v>
      </c>
      <c r="DQ278" s="1091">
        <v>0</v>
      </c>
      <c r="DR278" s="1091" t="s">
        <v>2260</v>
      </c>
      <c r="DS278" s="1091" t="s">
        <v>2260</v>
      </c>
      <c r="DT278" s="1092" t="s">
        <v>2260</v>
      </c>
      <c r="DU278" s="1088" t="s">
        <v>2260</v>
      </c>
      <c r="DV278" s="1093">
        <v>1</v>
      </c>
      <c r="DW278" s="1094" t="s">
        <v>2260</v>
      </c>
    </row>
    <row r="279" spans="1:127" s="382" customFormat="1" ht="15.75" customHeight="1">
      <c r="A279" s="1023" t="s">
        <v>1185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1216</v>
      </c>
      <c r="V279" s="1029" t="s">
        <v>3126</v>
      </c>
      <c r="W279" s="1029" t="s">
        <v>2217</v>
      </c>
      <c r="X279" s="1030" t="s">
        <v>3128</v>
      </c>
      <c r="Y279" s="1031" t="s">
        <v>705</v>
      </c>
      <c r="Z279" s="1032" t="s">
        <v>3129</v>
      </c>
      <c r="AA279" s="1033" t="s">
        <v>2260</v>
      </c>
      <c r="AB279" s="1034">
        <v>1</v>
      </c>
      <c r="AC279" s="1034" t="s">
        <v>2260</v>
      </c>
      <c r="AD279" s="1034" t="s">
        <v>2260</v>
      </c>
      <c r="AE279" s="1034" t="s">
        <v>2260</v>
      </c>
      <c r="AF279" s="1034" t="s">
        <v>2260</v>
      </c>
      <c r="AG279" s="1034" t="s">
        <v>2260</v>
      </c>
      <c r="AH279" s="1034" t="s">
        <v>2260</v>
      </c>
      <c r="AI279" s="1035">
        <f t="shared" si="4"/>
        <v>1</v>
      </c>
      <c r="AJ279" s="1036" t="s">
        <v>1852</v>
      </c>
      <c r="AK279" s="1036" t="s">
        <v>1826</v>
      </c>
      <c r="AL279" s="1036" t="s">
        <v>1827</v>
      </c>
      <c r="AM279" s="1037" t="s">
        <v>3130</v>
      </c>
      <c r="AN279" s="1031" t="s">
        <v>321</v>
      </c>
      <c r="AO279" s="1031" t="s">
        <v>4416</v>
      </c>
      <c r="AP279" s="1275">
        <v>1</v>
      </c>
      <c r="AQ279" s="802" t="s">
        <v>1828</v>
      </c>
      <c r="AR279" s="1040" t="s">
        <v>705</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210</v>
      </c>
      <c r="CE279" s="1054" t="s">
        <v>210</v>
      </c>
      <c r="CF279" s="1054" t="s">
        <v>210</v>
      </c>
      <c r="CG279" s="1054" t="s">
        <v>210</v>
      </c>
      <c r="CH279" s="1055" t="s">
        <v>210</v>
      </c>
      <c r="CI279" s="1058" t="s">
        <v>2260</v>
      </c>
      <c r="CJ279" s="1056" t="s">
        <v>2260</v>
      </c>
      <c r="CK279" s="1056" t="s">
        <v>2260</v>
      </c>
      <c r="CL279" s="1056" t="s">
        <v>2260</v>
      </c>
      <c r="CM279" s="1057" t="s">
        <v>2260</v>
      </c>
      <c r="CN279" s="1058">
        <v>-5</v>
      </c>
      <c r="CO279" s="1056">
        <v>-5</v>
      </c>
      <c r="CP279" s="1056">
        <v>-5</v>
      </c>
      <c r="CQ279" s="1056">
        <v>-5</v>
      </c>
      <c r="CR279" s="1057">
        <v>-5</v>
      </c>
      <c r="CS279" s="1048" t="s">
        <v>2260</v>
      </c>
      <c r="CT279" s="1049" t="s">
        <v>2260</v>
      </c>
      <c r="CU279" s="1049" t="s">
        <v>2260</v>
      </c>
      <c r="CV279" s="1049" t="s">
        <v>2260</v>
      </c>
      <c r="CW279" s="1052" t="s">
        <v>2260</v>
      </c>
      <c r="CX279" s="1048" t="s">
        <v>2260</v>
      </c>
      <c r="CY279" s="1049" t="s">
        <v>2260</v>
      </c>
      <c r="CZ279" s="1049" t="s">
        <v>2260</v>
      </c>
      <c r="DA279" s="1049" t="s">
        <v>2260</v>
      </c>
      <c r="DB279" s="1052" t="s">
        <v>2260</v>
      </c>
      <c r="DC279" s="1056">
        <v>11.6</v>
      </c>
      <c r="DD279" s="1056">
        <v>14.7</v>
      </c>
      <c r="DE279" s="1056">
        <v>17.7</v>
      </c>
      <c r="DF279" s="1056">
        <v>20.7</v>
      </c>
      <c r="DG279" s="1057">
        <v>23.7</v>
      </c>
      <c r="DH279" s="1058" t="s">
        <v>2260</v>
      </c>
      <c r="DI279" s="1049" t="s">
        <v>2260</v>
      </c>
      <c r="DJ279" s="1049" t="s">
        <v>2260</v>
      </c>
      <c r="DK279" s="1049" t="s">
        <v>2260</v>
      </c>
      <c r="DL279" s="1052" t="s">
        <v>2260</v>
      </c>
      <c r="DM279" s="1060">
        <v>-0.26500000000000001</v>
      </c>
      <c r="DN279" s="1061" t="s">
        <v>2260</v>
      </c>
      <c r="DO279" s="1061" t="s">
        <v>2260</v>
      </c>
      <c r="DP279" s="1062" t="s">
        <v>2260</v>
      </c>
      <c r="DQ279" s="1061">
        <v>0.13700000000000001</v>
      </c>
      <c r="DR279" s="1061" t="s">
        <v>2260</v>
      </c>
      <c r="DS279" s="1061" t="s">
        <v>2260</v>
      </c>
      <c r="DT279" s="1062" t="s">
        <v>2260</v>
      </c>
      <c r="DU279" s="1054" t="s">
        <v>2260</v>
      </c>
      <c r="DV279" s="1063" t="s">
        <v>2260</v>
      </c>
      <c r="DW279" s="1064" t="s">
        <v>2260</v>
      </c>
    </row>
    <row r="280" spans="1:127" s="382" customFormat="1" ht="15.75" customHeight="1">
      <c r="A280" s="1023" t="s">
        <v>1185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1203</v>
      </c>
      <c r="V280" s="1029" t="s">
        <v>3132</v>
      </c>
      <c r="W280" s="1029" t="s">
        <v>2217</v>
      </c>
      <c r="X280" s="1030" t="s">
        <v>3133</v>
      </c>
      <c r="Y280" s="1031" t="s">
        <v>1084</v>
      </c>
      <c r="Z280" s="1032" t="s">
        <v>3134</v>
      </c>
      <c r="AA280" s="1033">
        <v>1</v>
      </c>
      <c r="AB280" s="1034" t="s">
        <v>2260</v>
      </c>
      <c r="AC280" s="1034" t="s">
        <v>2260</v>
      </c>
      <c r="AD280" s="1034" t="s">
        <v>2260</v>
      </c>
      <c r="AE280" s="1034" t="s">
        <v>2260</v>
      </c>
      <c r="AF280" s="1034" t="s">
        <v>2260</v>
      </c>
      <c r="AG280" s="1034" t="s">
        <v>2260</v>
      </c>
      <c r="AH280" s="1034" t="s">
        <v>2260</v>
      </c>
      <c r="AI280" s="1035">
        <f t="shared" si="4"/>
        <v>1</v>
      </c>
      <c r="AJ280" s="1036" t="s">
        <v>1852</v>
      </c>
      <c r="AK280" s="1036" t="s">
        <v>1826</v>
      </c>
      <c r="AL280" s="1389" t="s">
        <v>1837</v>
      </c>
      <c r="AM280" s="1037" t="s">
        <v>3135</v>
      </c>
      <c r="AN280" s="1031" t="s">
        <v>2397</v>
      </c>
      <c r="AO280" s="1031" t="s">
        <v>4416</v>
      </c>
      <c r="AP280" s="1275">
        <v>1</v>
      </c>
      <c r="AQ280" s="802" t="s">
        <v>1828</v>
      </c>
      <c r="AR280" s="1040" t="s">
        <v>1084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210</v>
      </c>
      <c r="CE280" s="1054" t="s">
        <v>210</v>
      </c>
      <c r="CF280" s="1054" t="s">
        <v>210</v>
      </c>
      <c r="CG280" s="1054" t="s">
        <v>210</v>
      </c>
      <c r="CH280" s="1055" t="s">
        <v>210</v>
      </c>
      <c r="CI280" s="1058">
        <v>-18.3</v>
      </c>
      <c r="CJ280" s="1056">
        <v>-18.3</v>
      </c>
      <c r="CK280" s="1056">
        <v>-18.3</v>
      </c>
      <c r="CL280" s="1056">
        <v>-18.3</v>
      </c>
      <c r="CM280" s="1057">
        <v>-18.3</v>
      </c>
      <c r="CN280" s="1058">
        <v>-16.7</v>
      </c>
      <c r="CO280" s="1056">
        <v>-16.7</v>
      </c>
      <c r="CP280" s="1056">
        <v>-16.7</v>
      </c>
      <c r="CQ280" s="1056">
        <v>-16.7</v>
      </c>
      <c r="CR280" s="1057">
        <v>-16.7</v>
      </c>
      <c r="CS280" s="1048" t="s">
        <v>2260</v>
      </c>
      <c r="CT280" s="1049" t="s">
        <v>2260</v>
      </c>
      <c r="CU280" s="1049" t="s">
        <v>2260</v>
      </c>
      <c r="CV280" s="1049" t="s">
        <v>2260</v>
      </c>
      <c r="CW280" s="1052" t="s">
        <v>2260</v>
      </c>
      <c r="CX280" s="1048" t="s">
        <v>2260</v>
      </c>
      <c r="CY280" s="1049" t="s">
        <v>2260</v>
      </c>
      <c r="CZ280" s="1049" t="s">
        <v>2260</v>
      </c>
      <c r="DA280" s="1049" t="s">
        <v>2260</v>
      </c>
      <c r="DB280" s="1052" t="s">
        <v>2260</v>
      </c>
      <c r="DC280" s="1056">
        <v>2.6</v>
      </c>
      <c r="DD280" s="1056">
        <v>3.5</v>
      </c>
      <c r="DE280" s="1056">
        <v>5.9</v>
      </c>
      <c r="DF280" s="1056">
        <v>7.5</v>
      </c>
      <c r="DG280" s="1057">
        <v>8.8000000000000007</v>
      </c>
      <c r="DH280" s="1058" t="s">
        <v>4430</v>
      </c>
      <c r="DI280" s="1049" t="s">
        <v>4430</v>
      </c>
      <c r="DJ280" s="1049" t="s">
        <v>4430</v>
      </c>
      <c r="DK280" s="1049" t="s">
        <v>4430</v>
      </c>
      <c r="DL280" s="1052" t="s">
        <v>4430</v>
      </c>
      <c r="DM280" s="1060">
        <v>-0.17799999999999999</v>
      </c>
      <c r="DN280" s="1061" t="s">
        <v>2260</v>
      </c>
      <c r="DO280" s="1061" t="s">
        <v>2260</v>
      </c>
      <c r="DP280" s="1062">
        <v>-0.35599999999999998</v>
      </c>
      <c r="DQ280" s="1061">
        <v>7.0000000000000007E-2</v>
      </c>
      <c r="DR280" s="1061" t="s">
        <v>2260</v>
      </c>
      <c r="DS280" s="1061" t="s">
        <v>2260</v>
      </c>
      <c r="DT280" s="1062">
        <v>0.35599999999999998</v>
      </c>
      <c r="DU280" s="1054" t="s">
        <v>2260</v>
      </c>
      <c r="DV280" s="1063">
        <v>1</v>
      </c>
      <c r="DW280" s="1064" t="s">
        <v>2260</v>
      </c>
    </row>
    <row r="281" spans="1:127" s="382" customFormat="1" ht="15.75" customHeight="1">
      <c r="A281" s="1066" t="s">
        <v>1185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1312</v>
      </c>
      <c r="V281" s="1068" t="s">
        <v>3126</v>
      </c>
      <c r="W281" s="1068" t="s">
        <v>2217</v>
      </c>
      <c r="X281" s="1069" t="s">
        <v>3137</v>
      </c>
      <c r="Y281" s="1070" t="s">
        <v>3138</v>
      </c>
      <c r="Z281" s="1071" t="s">
        <v>3139</v>
      </c>
      <c r="AA281" s="1072" t="s">
        <v>2260</v>
      </c>
      <c r="AB281" s="1073">
        <v>1</v>
      </c>
      <c r="AC281" s="1073" t="s">
        <v>2260</v>
      </c>
      <c r="AD281" s="1073" t="s">
        <v>2260</v>
      </c>
      <c r="AE281" s="1073" t="s">
        <v>2260</v>
      </c>
      <c r="AF281" s="1073" t="s">
        <v>2260</v>
      </c>
      <c r="AG281" s="1073" t="s">
        <v>2260</v>
      </c>
      <c r="AH281" s="1073" t="s">
        <v>2260</v>
      </c>
      <c r="AI281" s="1074">
        <f t="shared" si="4"/>
        <v>1</v>
      </c>
      <c r="AJ281" s="1075" t="s">
        <v>1852</v>
      </c>
      <c r="AK281" s="1075" t="s">
        <v>1826</v>
      </c>
      <c r="AL281" s="1075" t="s">
        <v>1827</v>
      </c>
      <c r="AM281" s="1076" t="s">
        <v>3140</v>
      </c>
      <c r="AN281" s="987" t="s">
        <v>439</v>
      </c>
      <c r="AO281" s="987" t="s">
        <v>4423</v>
      </c>
      <c r="AP281" s="1276">
        <v>2</v>
      </c>
      <c r="AQ281" s="1045" t="s">
        <v>1838</v>
      </c>
      <c r="AR281" s="1078"/>
      <c r="AS281" s="1079"/>
      <c r="AT281" s="1069"/>
      <c r="AU281" s="1069"/>
      <c r="AV281" s="1069"/>
      <c r="AW281" s="1080"/>
      <c r="AX281" s="1081"/>
      <c r="AY281" s="1044"/>
      <c r="AZ281" s="1045"/>
      <c r="BA281" s="1045"/>
      <c r="BB281" s="1045"/>
      <c r="BC281" s="1045"/>
      <c r="BD281" s="1045"/>
      <c r="BE281" s="1045"/>
      <c r="BF281" s="1045"/>
      <c r="BG281" s="1045"/>
      <c r="BH281" s="1045"/>
      <c r="BI281" s="1369"/>
      <c r="BJ281" s="1319"/>
      <c r="BK281" s="1319"/>
      <c r="BL281" s="1319"/>
      <c r="BM281" s="1319"/>
      <c r="BN281" s="1044"/>
      <c r="BO281" s="1045"/>
      <c r="BP281" s="1045"/>
      <c r="BQ281" s="1045"/>
      <c r="BR281" s="1045"/>
      <c r="BS281" s="1084"/>
      <c r="BT281" s="1045"/>
      <c r="BU281" s="1045"/>
      <c r="BV281" s="1045"/>
      <c r="BW281" s="1085"/>
      <c r="BX281" s="1084"/>
      <c r="BY281" s="1045"/>
      <c r="BZ281" s="1045"/>
      <c r="CA281" s="1045"/>
      <c r="CB281" s="1085"/>
      <c r="CC281" s="1086"/>
      <c r="CD281" s="1327"/>
      <c r="CE281" s="1328"/>
      <c r="CF281" s="1328"/>
      <c r="CG281" s="1328"/>
      <c r="CH281" s="1389"/>
      <c r="CI281" s="1369"/>
      <c r="CJ281" s="1319"/>
      <c r="CK281" s="1319"/>
      <c r="CL281" s="1319"/>
      <c r="CM281" s="1320"/>
      <c r="CN281" s="1369"/>
      <c r="CO281" s="1319"/>
      <c r="CP281" s="1319"/>
      <c r="CQ281" s="1319"/>
      <c r="CR281" s="1320"/>
      <c r="CS281" s="1369"/>
      <c r="CT281" s="1319"/>
      <c r="CU281" s="1319"/>
      <c r="CV281" s="1319"/>
      <c r="CW281" s="1320"/>
      <c r="CX281" s="1369"/>
      <c r="CY281" s="1319"/>
      <c r="CZ281" s="1319"/>
      <c r="DA281" s="1319"/>
      <c r="DB281" s="1320"/>
      <c r="DC281" s="1319"/>
      <c r="DD281" s="1319"/>
      <c r="DE281" s="1319"/>
      <c r="DF281" s="1319"/>
      <c r="DG281" s="1320"/>
      <c r="DH281" s="1369"/>
      <c r="DI281" s="1319"/>
      <c r="DJ281" s="1319"/>
      <c r="DK281" s="1319"/>
      <c r="DL281" s="1320"/>
      <c r="DM281" s="1743"/>
      <c r="DN281" s="1744"/>
      <c r="DO281" s="1744"/>
      <c r="DP281" s="1745"/>
      <c r="DQ281" s="1744"/>
      <c r="DR281" s="1744"/>
      <c r="DS281" s="1744"/>
      <c r="DT281" s="1745"/>
      <c r="DU281" s="1328"/>
      <c r="DV281" s="1664"/>
      <c r="DW281" s="1746"/>
    </row>
    <row r="282" spans="1:127" s="382" customFormat="1" ht="15.75" customHeight="1">
      <c r="A282" s="1066" t="s">
        <v>1185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1329</v>
      </c>
      <c r="V282" s="1068" t="s">
        <v>3126</v>
      </c>
      <c r="W282" s="1068" t="s">
        <v>3142</v>
      </c>
      <c r="X282" s="1069" t="s">
        <v>3143</v>
      </c>
      <c r="Y282" s="1070" t="s">
        <v>3144</v>
      </c>
      <c r="Z282" s="1071" t="s">
        <v>3145</v>
      </c>
      <c r="AA282" s="1072" t="s">
        <v>2260</v>
      </c>
      <c r="AB282" s="1073">
        <v>1</v>
      </c>
      <c r="AC282" s="1073" t="s">
        <v>2260</v>
      </c>
      <c r="AD282" s="1073" t="s">
        <v>2260</v>
      </c>
      <c r="AE282" s="1073" t="s">
        <v>2260</v>
      </c>
      <c r="AF282" s="1073" t="s">
        <v>2260</v>
      </c>
      <c r="AG282" s="1073" t="s">
        <v>2260</v>
      </c>
      <c r="AH282" s="1073" t="s">
        <v>2260</v>
      </c>
      <c r="AI282" s="1074">
        <f t="shared" si="4"/>
        <v>1</v>
      </c>
      <c r="AJ282" s="1075" t="s">
        <v>1852</v>
      </c>
      <c r="AK282" s="1075" t="s">
        <v>1826</v>
      </c>
      <c r="AL282" s="1075" t="s">
        <v>1827</v>
      </c>
      <c r="AM282" s="1076" t="s">
        <v>3140</v>
      </c>
      <c r="AN282" s="987" t="s">
        <v>1857</v>
      </c>
      <c r="AO282" s="987" t="s">
        <v>3141</v>
      </c>
      <c r="AP282" s="1243">
        <v>2</v>
      </c>
      <c r="AQ282" s="1045" t="s">
        <v>1838</v>
      </c>
      <c r="AR282" s="1078"/>
      <c r="AS282" s="1079"/>
      <c r="AT282" s="1069"/>
      <c r="AU282" s="1069"/>
      <c r="AV282" s="1069"/>
      <c r="AW282" s="1080"/>
      <c r="AX282" s="1081"/>
      <c r="AY282" s="1044"/>
      <c r="AZ282" s="1045"/>
      <c r="BA282" s="1045"/>
      <c r="BB282" s="1045"/>
      <c r="BC282" s="1045"/>
      <c r="BD282" s="1045"/>
      <c r="BE282" s="1045"/>
      <c r="BF282" s="1045"/>
      <c r="BG282" s="1045"/>
      <c r="BH282" s="1045"/>
      <c r="BI282" s="1369"/>
      <c r="BJ282" s="1319"/>
      <c r="BK282" s="1319"/>
      <c r="BL282" s="1319"/>
      <c r="BM282" s="1319"/>
      <c r="BN282" s="1044"/>
      <c r="BO282" s="1045"/>
      <c r="BP282" s="1045"/>
      <c r="BQ282" s="1045"/>
      <c r="BR282" s="1045"/>
      <c r="BS282" s="1084"/>
      <c r="BT282" s="1045"/>
      <c r="BU282" s="1045"/>
      <c r="BV282" s="1045"/>
      <c r="BW282" s="1085"/>
      <c r="BX282" s="1084"/>
      <c r="BY282" s="1045"/>
      <c r="BZ282" s="1045"/>
      <c r="CA282" s="1045"/>
      <c r="CB282" s="1085"/>
      <c r="CC282" s="1086"/>
      <c r="CD282" s="1327"/>
      <c r="CE282" s="1328"/>
      <c r="CF282" s="1328"/>
      <c r="CG282" s="1328"/>
      <c r="CH282" s="1389"/>
      <c r="CI282" s="1369"/>
      <c r="CJ282" s="1319"/>
      <c r="CK282" s="1319"/>
      <c r="CL282" s="1319"/>
      <c r="CM282" s="1320"/>
      <c r="CN282" s="1369"/>
      <c r="CO282" s="1319"/>
      <c r="CP282" s="1319"/>
      <c r="CQ282" s="1319"/>
      <c r="CR282" s="1320"/>
      <c r="CS282" s="1369"/>
      <c r="CT282" s="1319"/>
      <c r="CU282" s="1319"/>
      <c r="CV282" s="1319"/>
      <c r="CW282" s="1320"/>
      <c r="CX282" s="1369"/>
      <c r="CY282" s="1319"/>
      <c r="CZ282" s="1319"/>
      <c r="DA282" s="1319"/>
      <c r="DB282" s="1320"/>
      <c r="DC282" s="1319"/>
      <c r="DD282" s="1319"/>
      <c r="DE282" s="1319"/>
      <c r="DF282" s="1319"/>
      <c r="DG282" s="1320"/>
      <c r="DH282" s="1369"/>
      <c r="DI282" s="1319"/>
      <c r="DJ282" s="1319"/>
      <c r="DK282" s="1319"/>
      <c r="DL282" s="1320"/>
      <c r="DM282" s="1743"/>
      <c r="DN282" s="1744"/>
      <c r="DO282" s="1744"/>
      <c r="DP282" s="1745"/>
      <c r="DQ282" s="1744"/>
      <c r="DR282" s="1744"/>
      <c r="DS282" s="1744"/>
      <c r="DT282" s="1745"/>
      <c r="DU282" s="1328"/>
      <c r="DV282" s="1664"/>
      <c r="DW282" s="1746"/>
    </row>
    <row r="283" spans="1:127" s="382" customFormat="1" ht="15.75" customHeight="1">
      <c r="A283" s="1066" t="s">
        <v>1185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1498</v>
      </c>
      <c r="V283" s="1068" t="s">
        <v>3146</v>
      </c>
      <c r="W283" s="1068" t="s">
        <v>3142</v>
      </c>
      <c r="X283" s="1069" t="s">
        <v>3147</v>
      </c>
      <c r="Y283" s="1070" t="s">
        <v>3148</v>
      </c>
      <c r="Z283" s="1071" t="s">
        <v>3149</v>
      </c>
      <c r="AA283" s="1072" t="s">
        <v>2260</v>
      </c>
      <c r="AB283" s="1073" t="s">
        <v>2260</v>
      </c>
      <c r="AC283" s="1073">
        <v>1</v>
      </c>
      <c r="AD283" s="1073" t="s">
        <v>2260</v>
      </c>
      <c r="AE283" s="1073" t="s">
        <v>2260</v>
      </c>
      <c r="AF283" s="1073" t="s">
        <v>2260</v>
      </c>
      <c r="AG283" s="1073" t="s">
        <v>2260</v>
      </c>
      <c r="AH283" s="1073" t="s">
        <v>2260</v>
      </c>
      <c r="AI283" s="1074">
        <f t="shared" si="4"/>
        <v>1</v>
      </c>
      <c r="AJ283" s="1075" t="s">
        <v>1835</v>
      </c>
      <c r="AK283" s="1075" t="s">
        <v>1826</v>
      </c>
      <c r="AL283" s="1075" t="s">
        <v>1827</v>
      </c>
      <c r="AM283" s="1076" t="s">
        <v>3150</v>
      </c>
      <c r="AN283" s="987" t="s">
        <v>1857</v>
      </c>
      <c r="AO283" s="987" t="s">
        <v>3151</v>
      </c>
      <c r="AP283" s="1243">
        <v>0</v>
      </c>
      <c r="AQ283" s="1045" t="s">
        <v>1828</v>
      </c>
      <c r="AR283" s="1078" t="s">
        <v>2260</v>
      </c>
      <c r="AS283" s="1079"/>
      <c r="AT283" s="1069"/>
      <c r="AU283" s="1069"/>
      <c r="AV283" s="1069"/>
      <c r="AW283" s="1080"/>
      <c r="AX283" s="1081"/>
      <c r="AY283" s="1044"/>
      <c r="AZ283" s="1045"/>
      <c r="BA283" s="1045"/>
      <c r="BB283" s="1045"/>
      <c r="BC283" s="1045"/>
      <c r="BD283" s="1045"/>
      <c r="BE283" s="1045"/>
      <c r="BF283" s="1045"/>
      <c r="BG283" s="1045"/>
      <c r="BH283" s="1045"/>
      <c r="BI283" s="1369"/>
      <c r="BJ283" s="1319"/>
      <c r="BK283" s="1319"/>
      <c r="BL283" s="1319"/>
      <c r="BM283" s="1319"/>
      <c r="BN283" s="1044"/>
      <c r="BO283" s="1045"/>
      <c r="BP283" s="1045"/>
      <c r="BQ283" s="1045"/>
      <c r="BR283" s="1045"/>
      <c r="BS283" s="1084"/>
      <c r="BT283" s="1045"/>
      <c r="BU283" s="1045"/>
      <c r="BV283" s="1045"/>
      <c r="BW283" s="1085"/>
      <c r="BX283" s="1084"/>
      <c r="BY283" s="1045"/>
      <c r="BZ283" s="1045"/>
      <c r="CA283" s="1045"/>
      <c r="CB283" s="1085"/>
      <c r="CC283" s="1086"/>
      <c r="CD283" s="1327"/>
      <c r="CE283" s="1328"/>
      <c r="CF283" s="1328"/>
      <c r="CG283" s="1328"/>
      <c r="CH283" s="1389"/>
      <c r="CI283" s="1369"/>
      <c r="CJ283" s="1319"/>
      <c r="CK283" s="1319"/>
      <c r="CL283" s="1319"/>
      <c r="CM283" s="1320"/>
      <c r="CN283" s="1369"/>
      <c r="CO283" s="1319"/>
      <c r="CP283" s="1319"/>
      <c r="CQ283" s="1319"/>
      <c r="CR283" s="1320"/>
      <c r="CS283" s="1369"/>
      <c r="CT283" s="1319"/>
      <c r="CU283" s="1319"/>
      <c r="CV283" s="1319"/>
      <c r="CW283" s="1320"/>
      <c r="CX283" s="1369"/>
      <c r="CY283" s="1319"/>
      <c r="CZ283" s="1319"/>
      <c r="DA283" s="1319"/>
      <c r="DB283" s="1320"/>
      <c r="DC283" s="1319"/>
      <c r="DD283" s="1319"/>
      <c r="DE283" s="1319"/>
      <c r="DF283" s="1319"/>
      <c r="DG283" s="1320"/>
      <c r="DH283" s="1369"/>
      <c r="DI283" s="1319"/>
      <c r="DJ283" s="1319"/>
      <c r="DK283" s="1319"/>
      <c r="DL283" s="1320"/>
      <c r="DM283" s="1743"/>
      <c r="DN283" s="1744"/>
      <c r="DO283" s="1744"/>
      <c r="DP283" s="1745"/>
      <c r="DQ283" s="1744"/>
      <c r="DR283" s="1744"/>
      <c r="DS283" s="1744"/>
      <c r="DT283" s="1745"/>
      <c r="DU283" s="1328"/>
      <c r="DV283" s="1664"/>
      <c r="DW283" s="1746"/>
    </row>
    <row r="284" spans="1:127" s="382" customFormat="1" ht="15.75" customHeight="1">
      <c r="A284" s="1066" t="s">
        <v>1185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1509</v>
      </c>
      <c r="V284" s="1068" t="s">
        <v>3146</v>
      </c>
      <c r="W284" s="1068" t="s">
        <v>2217</v>
      </c>
      <c r="X284" s="1069" t="s">
        <v>3152</v>
      </c>
      <c r="Y284" s="1070" t="s">
        <v>3153</v>
      </c>
      <c r="Z284" s="1071" t="s">
        <v>3154</v>
      </c>
      <c r="AA284" s="1072" t="s">
        <v>2260</v>
      </c>
      <c r="AB284" s="1073">
        <v>0.03</v>
      </c>
      <c r="AC284" s="1073" t="s">
        <v>2260</v>
      </c>
      <c r="AD284" s="1073">
        <v>0.97</v>
      </c>
      <c r="AE284" s="1073" t="s">
        <v>2260</v>
      </c>
      <c r="AF284" s="1073" t="s">
        <v>2260</v>
      </c>
      <c r="AG284" s="1073" t="s">
        <v>2260</v>
      </c>
      <c r="AH284" s="1073" t="s">
        <v>2260</v>
      </c>
      <c r="AI284" s="1074">
        <f t="shared" si="4"/>
        <v>1</v>
      </c>
      <c r="AJ284" s="1075" t="s">
        <v>1852</v>
      </c>
      <c r="AK284" s="1075" t="s">
        <v>1826</v>
      </c>
      <c r="AL284" s="1075" t="s">
        <v>1827</v>
      </c>
      <c r="AM284" s="1076" t="s">
        <v>3155</v>
      </c>
      <c r="AN284" s="987" t="s">
        <v>321</v>
      </c>
      <c r="AO284" s="987" t="s">
        <v>3156</v>
      </c>
      <c r="AP284" s="1243">
        <v>2</v>
      </c>
      <c r="AQ284" s="1045" t="s">
        <v>1828</v>
      </c>
      <c r="AR284" s="1078" t="s">
        <v>2260</v>
      </c>
      <c r="AS284" s="1079"/>
      <c r="AT284" s="1069"/>
      <c r="AU284" s="1069"/>
      <c r="AV284" s="1069"/>
      <c r="AW284" s="1080"/>
      <c r="AX284" s="1081"/>
      <c r="AY284" s="1044"/>
      <c r="AZ284" s="1045"/>
      <c r="BA284" s="1045"/>
      <c r="BB284" s="1045"/>
      <c r="BC284" s="1045"/>
      <c r="BD284" s="1045"/>
      <c r="BE284" s="1045"/>
      <c r="BF284" s="1045"/>
      <c r="BG284" s="1045"/>
      <c r="BH284" s="1045"/>
      <c r="BI284" s="1369"/>
      <c r="BJ284" s="1319"/>
      <c r="BK284" s="1319"/>
      <c r="BL284" s="1319"/>
      <c r="BM284" s="1319"/>
      <c r="BN284" s="1044"/>
      <c r="BO284" s="1045"/>
      <c r="BP284" s="1045"/>
      <c r="BQ284" s="1045"/>
      <c r="BR284" s="1045"/>
      <c r="BS284" s="1084"/>
      <c r="BT284" s="1045"/>
      <c r="BU284" s="1045"/>
      <c r="BV284" s="1045"/>
      <c r="BW284" s="1085"/>
      <c r="BX284" s="1084"/>
      <c r="BY284" s="1045"/>
      <c r="BZ284" s="1045"/>
      <c r="CA284" s="1045"/>
      <c r="CB284" s="1085"/>
      <c r="CC284" s="1086"/>
      <c r="CD284" s="1327"/>
      <c r="CE284" s="1328"/>
      <c r="CF284" s="1328"/>
      <c r="CG284" s="1328"/>
      <c r="CH284" s="1389"/>
      <c r="CI284" s="1369"/>
      <c r="CJ284" s="1319"/>
      <c r="CK284" s="1319"/>
      <c r="CL284" s="1319"/>
      <c r="CM284" s="1320"/>
      <c r="CN284" s="1369"/>
      <c r="CO284" s="1319"/>
      <c r="CP284" s="1319"/>
      <c r="CQ284" s="1319"/>
      <c r="CR284" s="1320"/>
      <c r="CS284" s="1369"/>
      <c r="CT284" s="1319"/>
      <c r="CU284" s="1319"/>
      <c r="CV284" s="1319"/>
      <c r="CW284" s="1320"/>
      <c r="CX284" s="1369"/>
      <c r="CY284" s="1319"/>
      <c r="CZ284" s="1319"/>
      <c r="DA284" s="1319"/>
      <c r="DB284" s="1320"/>
      <c r="DC284" s="1319"/>
      <c r="DD284" s="1319"/>
      <c r="DE284" s="1319"/>
      <c r="DF284" s="1319"/>
      <c r="DG284" s="1320"/>
      <c r="DH284" s="1369"/>
      <c r="DI284" s="1319"/>
      <c r="DJ284" s="1319"/>
      <c r="DK284" s="1319"/>
      <c r="DL284" s="1320"/>
      <c r="DM284" s="1743"/>
      <c r="DN284" s="1744"/>
      <c r="DO284" s="1744"/>
      <c r="DP284" s="1745"/>
      <c r="DQ284" s="1744"/>
      <c r="DR284" s="1744"/>
      <c r="DS284" s="1744"/>
      <c r="DT284" s="1745"/>
      <c r="DU284" s="1328"/>
      <c r="DV284" s="1664"/>
      <c r="DW284" s="1746"/>
    </row>
    <row r="285" spans="1:127" s="382" customFormat="1" ht="15.75" customHeight="1">
      <c r="A285" s="1066" t="s">
        <v>1185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1520</v>
      </c>
      <c r="V285" s="1068" t="s">
        <v>3146</v>
      </c>
      <c r="W285" s="1068" t="s">
        <v>3142</v>
      </c>
      <c r="X285" s="1069" t="s">
        <v>3157</v>
      </c>
      <c r="Y285" s="1070" t="s">
        <v>3158</v>
      </c>
      <c r="Z285" s="1071" t="s">
        <v>3159</v>
      </c>
      <c r="AA285" s="1072" t="s">
        <v>2260</v>
      </c>
      <c r="AB285" s="1073" t="s">
        <v>2260</v>
      </c>
      <c r="AC285" s="1073" t="s">
        <v>2260</v>
      </c>
      <c r="AD285" s="1073">
        <v>1</v>
      </c>
      <c r="AE285" s="1073" t="s">
        <v>2260</v>
      </c>
      <c r="AF285" s="1073" t="s">
        <v>2260</v>
      </c>
      <c r="AG285" s="1073" t="s">
        <v>2260</v>
      </c>
      <c r="AH285" s="1073" t="s">
        <v>2260</v>
      </c>
      <c r="AI285" s="1074">
        <f t="shared" si="4"/>
        <v>1</v>
      </c>
      <c r="AJ285" s="1075" t="s">
        <v>1846</v>
      </c>
      <c r="AK285" s="1075" t="s">
        <v>1826</v>
      </c>
      <c r="AL285" s="1075" t="s">
        <v>1827</v>
      </c>
      <c r="AM285" s="1076" t="s">
        <v>3160</v>
      </c>
      <c r="AN285" s="987" t="s">
        <v>321</v>
      </c>
      <c r="AO285" s="987" t="s">
        <v>3161</v>
      </c>
      <c r="AP285" s="1243">
        <v>2</v>
      </c>
      <c r="AQ285" s="1045" t="s">
        <v>1828</v>
      </c>
      <c r="AR285" s="1078" t="s">
        <v>2260</v>
      </c>
      <c r="AS285" s="1079"/>
      <c r="AT285" s="1069"/>
      <c r="AU285" s="1069"/>
      <c r="AV285" s="1069"/>
      <c r="AW285" s="1080"/>
      <c r="AX285" s="1081"/>
      <c r="AY285" s="1044"/>
      <c r="AZ285" s="1045"/>
      <c r="BA285" s="1045"/>
      <c r="BB285" s="1045"/>
      <c r="BC285" s="1045"/>
      <c r="BD285" s="1045"/>
      <c r="BE285" s="1045"/>
      <c r="BF285" s="1045"/>
      <c r="BG285" s="1045"/>
      <c r="BH285" s="1045"/>
      <c r="BI285" s="1369"/>
      <c r="BJ285" s="1319"/>
      <c r="BK285" s="1319"/>
      <c r="BL285" s="1319"/>
      <c r="BM285" s="1319"/>
      <c r="BN285" s="1044"/>
      <c r="BO285" s="1045"/>
      <c r="BP285" s="1045"/>
      <c r="BQ285" s="1045"/>
      <c r="BR285" s="1045"/>
      <c r="BS285" s="1084"/>
      <c r="BT285" s="1045"/>
      <c r="BU285" s="1045"/>
      <c r="BV285" s="1045"/>
      <c r="BW285" s="1085"/>
      <c r="BX285" s="1084"/>
      <c r="BY285" s="1045"/>
      <c r="BZ285" s="1045"/>
      <c r="CA285" s="1045"/>
      <c r="CB285" s="1085"/>
      <c r="CC285" s="1086"/>
      <c r="CD285" s="1327"/>
      <c r="CE285" s="1328"/>
      <c r="CF285" s="1328"/>
      <c r="CG285" s="1328"/>
      <c r="CH285" s="1389"/>
      <c r="CI285" s="1369"/>
      <c r="CJ285" s="1319"/>
      <c r="CK285" s="1319"/>
      <c r="CL285" s="1319"/>
      <c r="CM285" s="1320"/>
      <c r="CN285" s="1369"/>
      <c r="CO285" s="1319"/>
      <c r="CP285" s="1319"/>
      <c r="CQ285" s="1319"/>
      <c r="CR285" s="1320"/>
      <c r="CS285" s="1369"/>
      <c r="CT285" s="1319"/>
      <c r="CU285" s="1319"/>
      <c r="CV285" s="1319"/>
      <c r="CW285" s="1320"/>
      <c r="CX285" s="1369"/>
      <c r="CY285" s="1319"/>
      <c r="CZ285" s="1319"/>
      <c r="DA285" s="1319"/>
      <c r="DB285" s="1320"/>
      <c r="DC285" s="1319"/>
      <c r="DD285" s="1319"/>
      <c r="DE285" s="1319"/>
      <c r="DF285" s="1319"/>
      <c r="DG285" s="1320"/>
      <c r="DH285" s="1369"/>
      <c r="DI285" s="1319"/>
      <c r="DJ285" s="1319"/>
      <c r="DK285" s="1319"/>
      <c r="DL285" s="1320"/>
      <c r="DM285" s="1743"/>
      <c r="DN285" s="1744"/>
      <c r="DO285" s="1744"/>
      <c r="DP285" s="1745"/>
      <c r="DQ285" s="1744"/>
      <c r="DR285" s="1744"/>
      <c r="DS285" s="1744"/>
      <c r="DT285" s="1745"/>
      <c r="DU285" s="1328"/>
      <c r="DV285" s="1664"/>
      <c r="DW285" s="1746"/>
    </row>
    <row r="286" spans="1:127" s="382" customFormat="1" ht="15.75" customHeight="1">
      <c r="A286" s="1066" t="s">
        <v>1185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1530</v>
      </c>
      <c r="V286" s="1068" t="s">
        <v>3162</v>
      </c>
      <c r="W286" s="1068" t="s">
        <v>3142</v>
      </c>
      <c r="X286" s="1069" t="s">
        <v>3163</v>
      </c>
      <c r="Y286" s="1070" t="s">
        <v>3164</v>
      </c>
      <c r="Z286" s="1071" t="s">
        <v>3165</v>
      </c>
      <c r="AA286" s="1072" t="s">
        <v>2260</v>
      </c>
      <c r="AB286" s="1073" t="s">
        <v>2260</v>
      </c>
      <c r="AC286" s="1073">
        <v>1</v>
      </c>
      <c r="AD286" s="1073" t="s">
        <v>2260</v>
      </c>
      <c r="AE286" s="1073" t="s">
        <v>2260</v>
      </c>
      <c r="AF286" s="1073" t="s">
        <v>2260</v>
      </c>
      <c r="AG286" s="1073" t="s">
        <v>2260</v>
      </c>
      <c r="AH286" s="1073" t="s">
        <v>2260</v>
      </c>
      <c r="AI286" s="1074">
        <f t="shared" si="4"/>
        <v>1</v>
      </c>
      <c r="AJ286" s="1075" t="s">
        <v>1846</v>
      </c>
      <c r="AK286" s="1075" t="s">
        <v>1826</v>
      </c>
      <c r="AL286" s="1075" t="s">
        <v>1827</v>
      </c>
      <c r="AM286" s="1076" t="s">
        <v>3150</v>
      </c>
      <c r="AN286" s="987" t="s">
        <v>1857</v>
      </c>
      <c r="AO286" s="987" t="s">
        <v>3166</v>
      </c>
      <c r="AP286" s="1243">
        <v>2</v>
      </c>
      <c r="AQ286" s="1045" t="s">
        <v>1828</v>
      </c>
      <c r="AR286" s="1078" t="s">
        <v>2260</v>
      </c>
      <c r="AS286" s="1079"/>
      <c r="AT286" s="1069"/>
      <c r="AU286" s="1069"/>
      <c r="AV286" s="1069"/>
      <c r="AW286" s="1080"/>
      <c r="AX286" s="1081"/>
      <c r="AY286" s="1044"/>
      <c r="AZ286" s="1045"/>
      <c r="BA286" s="1045"/>
      <c r="BB286" s="1045"/>
      <c r="BC286" s="1045"/>
      <c r="BD286" s="1045"/>
      <c r="BE286" s="1045"/>
      <c r="BF286" s="1045"/>
      <c r="BG286" s="1045"/>
      <c r="BH286" s="1045"/>
      <c r="BI286" s="1369"/>
      <c r="BJ286" s="1319"/>
      <c r="BK286" s="1319"/>
      <c r="BL286" s="1319"/>
      <c r="BM286" s="1319"/>
      <c r="BN286" s="1044"/>
      <c r="BO286" s="1045"/>
      <c r="BP286" s="1045"/>
      <c r="BQ286" s="1045"/>
      <c r="BR286" s="1045"/>
      <c r="BS286" s="1084"/>
      <c r="BT286" s="1045"/>
      <c r="BU286" s="1045"/>
      <c r="BV286" s="1045"/>
      <c r="BW286" s="1085"/>
      <c r="BX286" s="1084"/>
      <c r="BY286" s="1045"/>
      <c r="BZ286" s="1045"/>
      <c r="CA286" s="1045"/>
      <c r="CB286" s="1085"/>
      <c r="CC286" s="1086"/>
      <c r="CD286" s="1327"/>
      <c r="CE286" s="1328"/>
      <c r="CF286" s="1328"/>
      <c r="CG286" s="1328"/>
      <c r="CH286" s="1389"/>
      <c r="CI286" s="1369"/>
      <c r="CJ286" s="1319"/>
      <c r="CK286" s="1319"/>
      <c r="CL286" s="1319"/>
      <c r="CM286" s="1320"/>
      <c r="CN286" s="1369"/>
      <c r="CO286" s="1319"/>
      <c r="CP286" s="1319"/>
      <c r="CQ286" s="1319"/>
      <c r="CR286" s="1320"/>
      <c r="CS286" s="1369"/>
      <c r="CT286" s="1319"/>
      <c r="CU286" s="1319"/>
      <c r="CV286" s="1319"/>
      <c r="CW286" s="1320"/>
      <c r="CX286" s="1369"/>
      <c r="CY286" s="1319"/>
      <c r="CZ286" s="1319"/>
      <c r="DA286" s="1319"/>
      <c r="DB286" s="1320"/>
      <c r="DC286" s="1319"/>
      <c r="DD286" s="1319"/>
      <c r="DE286" s="1319"/>
      <c r="DF286" s="1319"/>
      <c r="DG286" s="1320"/>
      <c r="DH286" s="1369"/>
      <c r="DI286" s="1319"/>
      <c r="DJ286" s="1319"/>
      <c r="DK286" s="1319"/>
      <c r="DL286" s="1320"/>
      <c r="DM286" s="1743"/>
      <c r="DN286" s="1744"/>
      <c r="DO286" s="1744"/>
      <c r="DP286" s="1745"/>
      <c r="DQ286" s="1744"/>
      <c r="DR286" s="1744"/>
      <c r="DS286" s="1744"/>
      <c r="DT286" s="1745"/>
      <c r="DU286" s="1328"/>
      <c r="DV286" s="1664"/>
      <c r="DW286" s="1746"/>
    </row>
    <row r="287" spans="1:127" s="382" customFormat="1" ht="15.75" customHeight="1">
      <c r="A287" s="1066" t="s">
        <v>1185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1346</v>
      </c>
      <c r="V287" s="1068" t="s">
        <v>3162</v>
      </c>
      <c r="W287" s="1068" t="s">
        <v>3127</v>
      </c>
      <c r="X287" s="1069" t="s">
        <v>3167</v>
      </c>
      <c r="Y287" s="1070" t="s">
        <v>2390</v>
      </c>
      <c r="Z287" s="1071" t="s">
        <v>3168</v>
      </c>
      <c r="AA287" s="1072">
        <v>1</v>
      </c>
      <c r="AB287" s="1073" t="s">
        <v>2260</v>
      </c>
      <c r="AC287" s="1073" t="s">
        <v>2260</v>
      </c>
      <c r="AD287" s="1073" t="s">
        <v>2260</v>
      </c>
      <c r="AE287" s="1073" t="s">
        <v>2260</v>
      </c>
      <c r="AF287" s="1073" t="s">
        <v>2260</v>
      </c>
      <c r="AG287" s="1073" t="s">
        <v>2260</v>
      </c>
      <c r="AH287" s="1073" t="s">
        <v>2260</v>
      </c>
      <c r="AI287" s="1074">
        <f t="shared" si="4"/>
        <v>1</v>
      </c>
      <c r="AJ287" s="1075" t="s">
        <v>1852</v>
      </c>
      <c r="AK287" s="1075" t="s">
        <v>1826</v>
      </c>
      <c r="AL287" s="1075" t="s">
        <v>1827</v>
      </c>
      <c r="AM287" s="1076" t="s">
        <v>3169</v>
      </c>
      <c r="AN287" s="987" t="s">
        <v>1857</v>
      </c>
      <c r="AO287" s="987" t="s">
        <v>3170</v>
      </c>
      <c r="AP287" s="1243">
        <v>0</v>
      </c>
      <c r="AQ287" s="1045" t="s">
        <v>1838</v>
      </c>
      <c r="AR287" s="1078" t="s">
        <v>2260</v>
      </c>
      <c r="AS287" s="1079"/>
      <c r="AT287" s="1069"/>
      <c r="AU287" s="1069"/>
      <c r="AV287" s="1069"/>
      <c r="AW287" s="1080"/>
      <c r="AX287" s="1081"/>
      <c r="AY287" s="1044"/>
      <c r="AZ287" s="1045"/>
      <c r="BA287" s="1045"/>
      <c r="BB287" s="1045"/>
      <c r="BC287" s="1045"/>
      <c r="BD287" s="1045"/>
      <c r="BE287" s="1045"/>
      <c r="BF287" s="1045"/>
      <c r="BG287" s="1045"/>
      <c r="BH287" s="1045"/>
      <c r="BI287" s="1369"/>
      <c r="BJ287" s="1319"/>
      <c r="BK287" s="1319"/>
      <c r="BL287" s="1319"/>
      <c r="BM287" s="1319"/>
      <c r="BN287" s="1044"/>
      <c r="BO287" s="1045"/>
      <c r="BP287" s="1045"/>
      <c r="BQ287" s="1045"/>
      <c r="BR287" s="1045"/>
      <c r="BS287" s="1084"/>
      <c r="BT287" s="1045"/>
      <c r="BU287" s="1045"/>
      <c r="BV287" s="1045"/>
      <c r="BW287" s="1085"/>
      <c r="BX287" s="1084"/>
      <c r="BY287" s="1045"/>
      <c r="BZ287" s="1045"/>
      <c r="CA287" s="1045"/>
      <c r="CB287" s="1085"/>
      <c r="CC287" s="1086"/>
      <c r="CD287" s="1327"/>
      <c r="CE287" s="1328"/>
      <c r="CF287" s="1328"/>
      <c r="CG287" s="1328"/>
      <c r="CH287" s="1389"/>
      <c r="CI287" s="1369"/>
      <c r="CJ287" s="1319"/>
      <c r="CK287" s="1319"/>
      <c r="CL287" s="1319"/>
      <c r="CM287" s="1320"/>
      <c r="CN287" s="1369"/>
      <c r="CO287" s="1319"/>
      <c r="CP287" s="1319"/>
      <c r="CQ287" s="1319"/>
      <c r="CR287" s="1320"/>
      <c r="CS287" s="1369"/>
      <c r="CT287" s="1319"/>
      <c r="CU287" s="1319"/>
      <c r="CV287" s="1319"/>
      <c r="CW287" s="1320"/>
      <c r="CX287" s="1369"/>
      <c r="CY287" s="1319"/>
      <c r="CZ287" s="1319"/>
      <c r="DA287" s="1319"/>
      <c r="DB287" s="1320"/>
      <c r="DC287" s="1319"/>
      <c r="DD287" s="1319"/>
      <c r="DE287" s="1319"/>
      <c r="DF287" s="1319"/>
      <c r="DG287" s="1320"/>
      <c r="DH287" s="1369"/>
      <c r="DI287" s="1319"/>
      <c r="DJ287" s="1319"/>
      <c r="DK287" s="1319"/>
      <c r="DL287" s="1320"/>
      <c r="DM287" s="1743"/>
      <c r="DN287" s="1744"/>
      <c r="DO287" s="1744"/>
      <c r="DP287" s="1745"/>
      <c r="DQ287" s="1744"/>
      <c r="DR287" s="1744"/>
      <c r="DS287" s="1744"/>
      <c r="DT287" s="1745"/>
      <c r="DU287" s="1328"/>
      <c r="DV287" s="1664"/>
      <c r="DW287" s="1746"/>
    </row>
    <row r="288" spans="1:127" s="382" customFormat="1" ht="15.75" customHeight="1">
      <c r="A288" s="1066" t="s">
        <v>1185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1540</v>
      </c>
      <c r="V288" s="1068" t="s">
        <v>3162</v>
      </c>
      <c r="W288" s="1068" t="s">
        <v>3127</v>
      </c>
      <c r="X288" s="1069" t="s">
        <v>3171</v>
      </c>
      <c r="Y288" s="1070" t="s">
        <v>3172</v>
      </c>
      <c r="Z288" s="1071" t="s">
        <v>3173</v>
      </c>
      <c r="AA288" s="1072" t="s">
        <v>2260</v>
      </c>
      <c r="AB288" s="1073" t="s">
        <v>2260</v>
      </c>
      <c r="AC288" s="1073">
        <v>1</v>
      </c>
      <c r="AD288" s="1073" t="s">
        <v>2260</v>
      </c>
      <c r="AE288" s="1073" t="s">
        <v>2260</v>
      </c>
      <c r="AF288" s="1073" t="s">
        <v>2260</v>
      </c>
      <c r="AG288" s="1073" t="s">
        <v>2260</v>
      </c>
      <c r="AH288" s="1073" t="s">
        <v>2260</v>
      </c>
      <c r="AI288" s="1074">
        <f t="shared" si="4"/>
        <v>1</v>
      </c>
      <c r="AJ288" s="1075" t="s">
        <v>1846</v>
      </c>
      <c r="AK288" s="1075" t="s">
        <v>1826</v>
      </c>
      <c r="AL288" s="1075" t="s">
        <v>1827</v>
      </c>
      <c r="AM288" s="1076" t="s">
        <v>3150</v>
      </c>
      <c r="AN288" s="987" t="s">
        <v>1857</v>
      </c>
      <c r="AO288" s="987" t="s">
        <v>3174</v>
      </c>
      <c r="AP288" s="1243">
        <v>0</v>
      </c>
      <c r="AQ288" s="1045" t="s">
        <v>1828</v>
      </c>
      <c r="AR288" s="1078" t="s">
        <v>2260</v>
      </c>
      <c r="AS288" s="1079"/>
      <c r="AT288" s="1069"/>
      <c r="AU288" s="1069"/>
      <c r="AV288" s="1069"/>
      <c r="AW288" s="1080"/>
      <c r="AX288" s="1081"/>
      <c r="AY288" s="1044"/>
      <c r="AZ288" s="1045"/>
      <c r="BA288" s="1045"/>
      <c r="BB288" s="1045"/>
      <c r="BC288" s="1045"/>
      <c r="BD288" s="1045"/>
      <c r="BE288" s="1045"/>
      <c r="BF288" s="1045"/>
      <c r="BG288" s="1045"/>
      <c r="BH288" s="1045"/>
      <c r="BI288" s="1369"/>
      <c r="BJ288" s="1319"/>
      <c r="BK288" s="1319"/>
      <c r="BL288" s="1319"/>
      <c r="BM288" s="1319"/>
      <c r="BN288" s="1044"/>
      <c r="BO288" s="1045"/>
      <c r="BP288" s="1045"/>
      <c r="BQ288" s="1045"/>
      <c r="BR288" s="1045"/>
      <c r="BS288" s="1084"/>
      <c r="BT288" s="1045"/>
      <c r="BU288" s="1045"/>
      <c r="BV288" s="1045"/>
      <c r="BW288" s="1085"/>
      <c r="BX288" s="1084"/>
      <c r="BY288" s="1045"/>
      <c r="BZ288" s="1045"/>
      <c r="CA288" s="1045"/>
      <c r="CB288" s="1085"/>
      <c r="CC288" s="1086"/>
      <c r="CD288" s="1327"/>
      <c r="CE288" s="1328"/>
      <c r="CF288" s="1328"/>
      <c r="CG288" s="1328"/>
      <c r="CH288" s="1389"/>
      <c r="CI288" s="1369"/>
      <c r="CJ288" s="1319"/>
      <c r="CK288" s="1319"/>
      <c r="CL288" s="1319"/>
      <c r="CM288" s="1320"/>
      <c r="CN288" s="1369"/>
      <c r="CO288" s="1319"/>
      <c r="CP288" s="1319"/>
      <c r="CQ288" s="1319"/>
      <c r="CR288" s="1320"/>
      <c r="CS288" s="1369"/>
      <c r="CT288" s="1319"/>
      <c r="CU288" s="1319"/>
      <c r="CV288" s="1319"/>
      <c r="CW288" s="1320"/>
      <c r="CX288" s="1369"/>
      <c r="CY288" s="1319"/>
      <c r="CZ288" s="1319"/>
      <c r="DA288" s="1319"/>
      <c r="DB288" s="1320"/>
      <c r="DC288" s="1319"/>
      <c r="DD288" s="1319"/>
      <c r="DE288" s="1319"/>
      <c r="DF288" s="1319"/>
      <c r="DG288" s="1320"/>
      <c r="DH288" s="1369"/>
      <c r="DI288" s="1319"/>
      <c r="DJ288" s="1319"/>
      <c r="DK288" s="1319"/>
      <c r="DL288" s="1320"/>
      <c r="DM288" s="1743"/>
      <c r="DN288" s="1744"/>
      <c r="DO288" s="1744"/>
      <c r="DP288" s="1745"/>
      <c r="DQ288" s="1744"/>
      <c r="DR288" s="1744"/>
      <c r="DS288" s="1744"/>
      <c r="DT288" s="1745"/>
      <c r="DU288" s="1328"/>
      <c r="DV288" s="1664"/>
      <c r="DW288" s="1746"/>
    </row>
    <row r="289" spans="1:127" s="382" customFormat="1" ht="15.75" customHeight="1">
      <c r="A289" s="1066" t="s">
        <v>1185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1549</v>
      </c>
      <c r="V289" s="1068" t="s">
        <v>3162</v>
      </c>
      <c r="W289" s="1068" t="s">
        <v>3127</v>
      </c>
      <c r="X289" s="1069" t="s">
        <v>3175</v>
      </c>
      <c r="Y289" s="1070" t="s">
        <v>3176</v>
      </c>
      <c r="Z289" s="1071" t="s">
        <v>3177</v>
      </c>
      <c r="AA289" s="1072" t="s">
        <v>2260</v>
      </c>
      <c r="AB289" s="1073" t="s">
        <v>2260</v>
      </c>
      <c r="AC289" s="1073">
        <v>1</v>
      </c>
      <c r="AD289" s="1073" t="s">
        <v>2260</v>
      </c>
      <c r="AE289" s="1073" t="s">
        <v>2260</v>
      </c>
      <c r="AF289" s="1073" t="s">
        <v>2260</v>
      </c>
      <c r="AG289" s="1073" t="s">
        <v>2260</v>
      </c>
      <c r="AH289" s="1073" t="s">
        <v>2260</v>
      </c>
      <c r="AI289" s="1074">
        <f t="shared" si="4"/>
        <v>1</v>
      </c>
      <c r="AJ289" s="1075" t="s">
        <v>1852</v>
      </c>
      <c r="AK289" s="1075" t="s">
        <v>1826</v>
      </c>
      <c r="AL289" s="1075" t="s">
        <v>1827</v>
      </c>
      <c r="AM289" s="1076" t="s">
        <v>3150</v>
      </c>
      <c r="AN289" s="987" t="s">
        <v>1857</v>
      </c>
      <c r="AO289" s="987" t="s">
        <v>3178</v>
      </c>
      <c r="AP289" s="1243">
        <v>0</v>
      </c>
      <c r="AQ289" s="1045" t="s">
        <v>1828</v>
      </c>
      <c r="AR289" s="1078" t="s">
        <v>2260</v>
      </c>
      <c r="AS289" s="1079"/>
      <c r="AT289" s="1069"/>
      <c r="AU289" s="1069"/>
      <c r="AV289" s="1069"/>
      <c r="AW289" s="1080"/>
      <c r="AX289" s="1081"/>
      <c r="AY289" s="1044"/>
      <c r="AZ289" s="1045"/>
      <c r="BA289" s="1045"/>
      <c r="BB289" s="1045"/>
      <c r="BC289" s="1045"/>
      <c r="BD289" s="1045"/>
      <c r="BE289" s="1045"/>
      <c r="BF289" s="1045"/>
      <c r="BG289" s="1045"/>
      <c r="BH289" s="1045"/>
      <c r="BI289" s="1369"/>
      <c r="BJ289" s="1319"/>
      <c r="BK289" s="1319"/>
      <c r="BL289" s="1319"/>
      <c r="BM289" s="1319"/>
      <c r="BN289" s="1044"/>
      <c r="BO289" s="1045"/>
      <c r="BP289" s="1045"/>
      <c r="BQ289" s="1045"/>
      <c r="BR289" s="1045"/>
      <c r="BS289" s="1084"/>
      <c r="BT289" s="1045"/>
      <c r="BU289" s="1045"/>
      <c r="BV289" s="1045"/>
      <c r="BW289" s="1085"/>
      <c r="BX289" s="1084"/>
      <c r="BY289" s="1045"/>
      <c r="BZ289" s="1045"/>
      <c r="CA289" s="1045"/>
      <c r="CB289" s="1085"/>
      <c r="CC289" s="1086"/>
      <c r="CD289" s="1327"/>
      <c r="CE289" s="1328"/>
      <c r="CF289" s="1328"/>
      <c r="CG289" s="1328"/>
      <c r="CH289" s="1389"/>
      <c r="CI289" s="1369"/>
      <c r="CJ289" s="1319"/>
      <c r="CK289" s="1319"/>
      <c r="CL289" s="1319"/>
      <c r="CM289" s="1320"/>
      <c r="CN289" s="1369"/>
      <c r="CO289" s="1319"/>
      <c r="CP289" s="1319"/>
      <c r="CQ289" s="1319"/>
      <c r="CR289" s="1320"/>
      <c r="CS289" s="1369"/>
      <c r="CT289" s="1319"/>
      <c r="CU289" s="1319"/>
      <c r="CV289" s="1319"/>
      <c r="CW289" s="1320"/>
      <c r="CX289" s="1369"/>
      <c r="CY289" s="1319"/>
      <c r="CZ289" s="1319"/>
      <c r="DA289" s="1319"/>
      <c r="DB289" s="1320"/>
      <c r="DC289" s="1319"/>
      <c r="DD289" s="1319"/>
      <c r="DE289" s="1319"/>
      <c r="DF289" s="1319"/>
      <c r="DG289" s="1320"/>
      <c r="DH289" s="1369"/>
      <c r="DI289" s="1319"/>
      <c r="DJ289" s="1319"/>
      <c r="DK289" s="1319"/>
      <c r="DL289" s="1320"/>
      <c r="DM289" s="1743"/>
      <c r="DN289" s="1744"/>
      <c r="DO289" s="1744"/>
      <c r="DP289" s="1745"/>
      <c r="DQ289" s="1744"/>
      <c r="DR289" s="1744"/>
      <c r="DS289" s="1744"/>
      <c r="DT289" s="1745"/>
      <c r="DU289" s="1328"/>
      <c r="DV289" s="1664"/>
      <c r="DW289" s="1746"/>
    </row>
    <row r="290" spans="1:127" s="382" customFormat="1" ht="15.75" customHeight="1">
      <c r="A290" s="1066" t="s">
        <v>1185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1595</v>
      </c>
      <c r="V290" s="1068" t="s">
        <v>3132</v>
      </c>
      <c r="W290" s="1068" t="s">
        <v>3142</v>
      </c>
      <c r="X290" s="1069" t="s">
        <v>3179</v>
      </c>
      <c r="Y290" s="1070" t="s">
        <v>3180</v>
      </c>
      <c r="Z290" s="1071" t="s">
        <v>3181</v>
      </c>
      <c r="AA290" s="1072" t="s">
        <v>2260</v>
      </c>
      <c r="AB290" s="1073">
        <v>1</v>
      </c>
      <c r="AC290" s="1073" t="s">
        <v>2260</v>
      </c>
      <c r="AD290" s="1073" t="s">
        <v>2260</v>
      </c>
      <c r="AE290" s="1073" t="s">
        <v>2260</v>
      </c>
      <c r="AF290" s="1073" t="s">
        <v>2260</v>
      </c>
      <c r="AG290" s="1073" t="s">
        <v>2260</v>
      </c>
      <c r="AH290" s="1073" t="s">
        <v>2260</v>
      </c>
      <c r="AI290" s="1074">
        <f t="shared" si="4"/>
        <v>1</v>
      </c>
      <c r="AJ290" s="1075" t="s">
        <v>1825</v>
      </c>
      <c r="AK290" s="1075" t="s">
        <v>4475</v>
      </c>
      <c r="AL290" s="1075" t="s">
        <v>4475</v>
      </c>
      <c r="AM290" s="1076" t="s">
        <v>3135</v>
      </c>
      <c r="AN290" s="987" t="s">
        <v>321</v>
      </c>
      <c r="AO290" s="987" t="s">
        <v>3182</v>
      </c>
      <c r="AP290" s="1243">
        <v>0</v>
      </c>
      <c r="AQ290" s="1045" t="s">
        <v>1828</v>
      </c>
      <c r="AR290" s="1078" t="s">
        <v>2260</v>
      </c>
      <c r="AS290" s="1079"/>
      <c r="AT290" s="1069"/>
      <c r="AU290" s="1069"/>
      <c r="AV290" s="1069"/>
      <c r="AW290" s="1080"/>
      <c r="AX290" s="1081"/>
      <c r="AY290" s="1044"/>
      <c r="AZ290" s="1045"/>
      <c r="BA290" s="1045"/>
      <c r="BB290" s="1045"/>
      <c r="BC290" s="1045"/>
      <c r="BD290" s="1045"/>
      <c r="BE290" s="1045"/>
      <c r="BF290" s="1045"/>
      <c r="BG290" s="1045"/>
      <c r="BH290" s="1045"/>
      <c r="BI290" s="1369"/>
      <c r="BJ290" s="1319"/>
      <c r="BK290" s="1319"/>
      <c r="BL290" s="1319"/>
      <c r="BM290" s="1319"/>
      <c r="BN290" s="1044"/>
      <c r="BO290" s="1045"/>
      <c r="BP290" s="1045"/>
      <c r="BQ290" s="1045"/>
      <c r="BR290" s="1045"/>
      <c r="BS290" s="1084"/>
      <c r="BT290" s="1045"/>
      <c r="BU290" s="1045"/>
      <c r="BV290" s="1045"/>
      <c r="BW290" s="1085"/>
      <c r="BX290" s="1084"/>
      <c r="BY290" s="1045"/>
      <c r="BZ290" s="1045"/>
      <c r="CA290" s="1045"/>
      <c r="CB290" s="1085"/>
      <c r="CC290" s="1086"/>
      <c r="CD290" s="1327"/>
      <c r="CE290" s="1328"/>
      <c r="CF290" s="1328"/>
      <c r="CG290" s="1328"/>
      <c r="CH290" s="1389"/>
      <c r="CI290" s="1369"/>
      <c r="CJ290" s="1319"/>
      <c r="CK290" s="1319"/>
      <c r="CL290" s="1319"/>
      <c r="CM290" s="1320"/>
      <c r="CN290" s="1369"/>
      <c r="CO290" s="1319"/>
      <c r="CP290" s="1319"/>
      <c r="CQ290" s="1319"/>
      <c r="CR290" s="1320"/>
      <c r="CS290" s="1369"/>
      <c r="CT290" s="1319"/>
      <c r="CU290" s="1319"/>
      <c r="CV290" s="1319"/>
      <c r="CW290" s="1320"/>
      <c r="CX290" s="1369"/>
      <c r="CY290" s="1319"/>
      <c r="CZ290" s="1319"/>
      <c r="DA290" s="1319"/>
      <c r="DB290" s="1320"/>
      <c r="DC290" s="1319"/>
      <c r="DD290" s="1319"/>
      <c r="DE290" s="1319"/>
      <c r="DF290" s="1319"/>
      <c r="DG290" s="1320"/>
      <c r="DH290" s="1369"/>
      <c r="DI290" s="1319"/>
      <c r="DJ290" s="1319"/>
      <c r="DK290" s="1319"/>
      <c r="DL290" s="1320"/>
      <c r="DM290" s="1743"/>
      <c r="DN290" s="1744"/>
      <c r="DO290" s="1744"/>
      <c r="DP290" s="1745"/>
      <c r="DQ290" s="1744"/>
      <c r="DR290" s="1744"/>
      <c r="DS290" s="1744"/>
      <c r="DT290" s="1745"/>
      <c r="DU290" s="1328"/>
      <c r="DV290" s="1664"/>
      <c r="DW290" s="1746"/>
    </row>
    <row r="291" spans="1:127" s="382" customFormat="1" ht="15.75" customHeight="1">
      <c r="A291" s="1066" t="s">
        <v>1185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1612</v>
      </c>
      <c r="V291" s="1068" t="s">
        <v>3132</v>
      </c>
      <c r="W291" s="1068" t="s">
        <v>3142</v>
      </c>
      <c r="X291" s="1069" t="s">
        <v>3183</v>
      </c>
      <c r="Y291" s="1070" t="s">
        <v>3184</v>
      </c>
      <c r="Z291" s="1071" t="s">
        <v>3185</v>
      </c>
      <c r="AA291" s="1072" t="s">
        <v>2260</v>
      </c>
      <c r="AB291" s="1073">
        <v>1</v>
      </c>
      <c r="AC291" s="1073" t="s">
        <v>2260</v>
      </c>
      <c r="AD291" s="1073" t="s">
        <v>2260</v>
      </c>
      <c r="AE291" s="1073" t="s">
        <v>2260</v>
      </c>
      <c r="AF291" s="1073" t="s">
        <v>2260</v>
      </c>
      <c r="AG291" s="1073" t="s">
        <v>2260</v>
      </c>
      <c r="AH291" s="1073" t="s">
        <v>2260</v>
      </c>
      <c r="AI291" s="1074">
        <f t="shared" si="4"/>
        <v>1</v>
      </c>
      <c r="AJ291" s="1075" t="s">
        <v>1825</v>
      </c>
      <c r="AK291" s="1075" t="s">
        <v>2260</v>
      </c>
      <c r="AL291" s="1075" t="s">
        <v>2260</v>
      </c>
      <c r="AM291" s="1076" t="s">
        <v>3135</v>
      </c>
      <c r="AN291" s="987" t="s">
        <v>1857</v>
      </c>
      <c r="AO291" s="987" t="s">
        <v>3186</v>
      </c>
      <c r="AP291" s="1243">
        <v>0</v>
      </c>
      <c r="AQ291" s="1045" t="s">
        <v>1828</v>
      </c>
      <c r="AR291" s="1078" t="s">
        <v>2260</v>
      </c>
      <c r="AS291" s="1079"/>
      <c r="AT291" s="1069"/>
      <c r="AU291" s="1069"/>
      <c r="AV291" s="1069"/>
      <c r="AW291" s="1080"/>
      <c r="AX291" s="1081"/>
      <c r="AY291" s="1044"/>
      <c r="AZ291" s="1045"/>
      <c r="BA291" s="1045"/>
      <c r="BB291" s="1045"/>
      <c r="BC291" s="1045"/>
      <c r="BD291" s="1045"/>
      <c r="BE291" s="1045"/>
      <c r="BF291" s="1045"/>
      <c r="BG291" s="1045"/>
      <c r="BH291" s="1045"/>
      <c r="BI291" s="1369"/>
      <c r="BJ291" s="1319"/>
      <c r="BK291" s="1319"/>
      <c r="BL291" s="1319"/>
      <c r="BM291" s="1319"/>
      <c r="BN291" s="1044"/>
      <c r="BO291" s="1045"/>
      <c r="BP291" s="1045"/>
      <c r="BQ291" s="1045"/>
      <c r="BR291" s="1045"/>
      <c r="BS291" s="1084"/>
      <c r="BT291" s="1045"/>
      <c r="BU291" s="1045"/>
      <c r="BV291" s="1045"/>
      <c r="BW291" s="1085"/>
      <c r="BX291" s="1084"/>
      <c r="BY291" s="1045"/>
      <c r="BZ291" s="1045"/>
      <c r="CA291" s="1045"/>
      <c r="CB291" s="1085"/>
      <c r="CC291" s="1086"/>
      <c r="CD291" s="1327"/>
      <c r="CE291" s="1328"/>
      <c r="CF291" s="1328"/>
      <c r="CG291" s="1328"/>
      <c r="CH291" s="1389"/>
      <c r="CI291" s="1369"/>
      <c r="CJ291" s="1319"/>
      <c r="CK291" s="1319"/>
      <c r="CL291" s="1319"/>
      <c r="CM291" s="1320"/>
      <c r="CN291" s="1369"/>
      <c r="CO291" s="1319"/>
      <c r="CP291" s="1319"/>
      <c r="CQ291" s="1319"/>
      <c r="CR291" s="1320"/>
      <c r="CS291" s="1369"/>
      <c r="CT291" s="1319"/>
      <c r="CU291" s="1319"/>
      <c r="CV291" s="1319"/>
      <c r="CW291" s="1320"/>
      <c r="CX291" s="1369"/>
      <c r="CY291" s="1319"/>
      <c r="CZ291" s="1319"/>
      <c r="DA291" s="1319"/>
      <c r="DB291" s="1320"/>
      <c r="DC291" s="1319"/>
      <c r="DD291" s="1319"/>
      <c r="DE291" s="1319"/>
      <c r="DF291" s="1319"/>
      <c r="DG291" s="1320"/>
      <c r="DH291" s="1369"/>
      <c r="DI291" s="1319"/>
      <c r="DJ291" s="1319"/>
      <c r="DK291" s="1319"/>
      <c r="DL291" s="1320"/>
      <c r="DM291" s="1743"/>
      <c r="DN291" s="1744"/>
      <c r="DO291" s="1744"/>
      <c r="DP291" s="1745"/>
      <c r="DQ291" s="1744"/>
      <c r="DR291" s="1744"/>
      <c r="DS291" s="1744"/>
      <c r="DT291" s="1745"/>
      <c r="DU291" s="1328"/>
      <c r="DV291" s="1664"/>
      <c r="DW291" s="1746"/>
    </row>
    <row r="292" spans="1:127" s="382" customFormat="1" ht="15.75" customHeight="1">
      <c r="A292" s="1066" t="s">
        <v>1185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1363</v>
      </c>
      <c r="V292" s="1068" t="s">
        <v>3132</v>
      </c>
      <c r="W292" s="1068" t="s">
        <v>3142</v>
      </c>
      <c r="X292" s="1069" t="s">
        <v>3187</v>
      </c>
      <c r="Y292" s="1070" t="s">
        <v>3188</v>
      </c>
      <c r="Z292" s="1071" t="s">
        <v>3189</v>
      </c>
      <c r="AA292" s="1072" t="s">
        <v>2260</v>
      </c>
      <c r="AB292" s="1073">
        <v>1</v>
      </c>
      <c r="AC292" s="1073" t="s">
        <v>2260</v>
      </c>
      <c r="AD292" s="1073" t="s">
        <v>2260</v>
      </c>
      <c r="AE292" s="1073" t="s">
        <v>2260</v>
      </c>
      <c r="AF292" s="1073" t="s">
        <v>2260</v>
      </c>
      <c r="AG292" s="1073" t="s">
        <v>2260</v>
      </c>
      <c r="AH292" s="1073" t="s">
        <v>2260</v>
      </c>
      <c r="AI292" s="1074">
        <f t="shared" si="4"/>
        <v>1</v>
      </c>
      <c r="AJ292" s="1075" t="s">
        <v>1835</v>
      </c>
      <c r="AK292" s="1075" t="s">
        <v>1826</v>
      </c>
      <c r="AL292" s="1075" t="s">
        <v>1827</v>
      </c>
      <c r="AM292" s="1076" t="s">
        <v>3135</v>
      </c>
      <c r="AN292" s="987" t="s">
        <v>1857</v>
      </c>
      <c r="AO292" s="987" t="s">
        <v>3190</v>
      </c>
      <c r="AP292" s="1243">
        <v>0</v>
      </c>
      <c r="AQ292" s="1045" t="s">
        <v>1828</v>
      </c>
      <c r="AR292" s="1078" t="s">
        <v>2260</v>
      </c>
      <c r="AS292" s="1079"/>
      <c r="AT292" s="1069"/>
      <c r="AU292" s="1069"/>
      <c r="AV292" s="1069"/>
      <c r="AW292" s="1080"/>
      <c r="AX292" s="1081"/>
      <c r="AY292" s="1044"/>
      <c r="AZ292" s="1045"/>
      <c r="BA292" s="1045"/>
      <c r="BB292" s="1045"/>
      <c r="BC292" s="1045"/>
      <c r="BD292" s="1045"/>
      <c r="BE292" s="1045"/>
      <c r="BF292" s="1045"/>
      <c r="BG292" s="1045"/>
      <c r="BH292" s="1045"/>
      <c r="BI292" s="1369"/>
      <c r="BJ292" s="1319"/>
      <c r="BK292" s="1319"/>
      <c r="BL292" s="1319"/>
      <c r="BM292" s="1319"/>
      <c r="BN292" s="1044"/>
      <c r="BO292" s="1045"/>
      <c r="BP292" s="1045"/>
      <c r="BQ292" s="1045"/>
      <c r="BR292" s="1045"/>
      <c r="BS292" s="1084"/>
      <c r="BT292" s="1045"/>
      <c r="BU292" s="1045"/>
      <c r="BV292" s="1045"/>
      <c r="BW292" s="1085"/>
      <c r="BX292" s="1084"/>
      <c r="BY292" s="1045"/>
      <c r="BZ292" s="1045"/>
      <c r="CA292" s="1045"/>
      <c r="CB292" s="1085"/>
      <c r="CC292" s="1086"/>
      <c r="CD292" s="1327"/>
      <c r="CE292" s="1328"/>
      <c r="CF292" s="1328"/>
      <c r="CG292" s="1328"/>
      <c r="CH292" s="1389"/>
      <c r="CI292" s="1369"/>
      <c r="CJ292" s="1319"/>
      <c r="CK292" s="1319"/>
      <c r="CL292" s="1319"/>
      <c r="CM292" s="1320"/>
      <c r="CN292" s="1369"/>
      <c r="CO292" s="1319"/>
      <c r="CP292" s="1319"/>
      <c r="CQ292" s="1319"/>
      <c r="CR292" s="1320"/>
      <c r="CS292" s="1369"/>
      <c r="CT292" s="1319"/>
      <c r="CU292" s="1319"/>
      <c r="CV292" s="1319"/>
      <c r="CW292" s="1320"/>
      <c r="CX292" s="1369"/>
      <c r="CY292" s="1319"/>
      <c r="CZ292" s="1319"/>
      <c r="DA292" s="1319"/>
      <c r="DB292" s="1320"/>
      <c r="DC292" s="1319"/>
      <c r="DD292" s="1319"/>
      <c r="DE292" s="1319"/>
      <c r="DF292" s="1319"/>
      <c r="DG292" s="1320"/>
      <c r="DH292" s="1369"/>
      <c r="DI292" s="1319"/>
      <c r="DJ292" s="1319"/>
      <c r="DK292" s="1319"/>
      <c r="DL292" s="1320"/>
      <c r="DM292" s="1743"/>
      <c r="DN292" s="1744"/>
      <c r="DO292" s="1744"/>
      <c r="DP292" s="1745"/>
      <c r="DQ292" s="1744"/>
      <c r="DR292" s="1744"/>
      <c r="DS292" s="1744"/>
      <c r="DT292" s="1745"/>
      <c r="DU292" s="1328"/>
      <c r="DV292" s="1664"/>
      <c r="DW292" s="1746"/>
    </row>
    <row r="293" spans="1:127" s="382" customFormat="1" ht="15.75" customHeight="1">
      <c r="A293" s="1066" t="s">
        <v>1185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1784</v>
      </c>
      <c r="V293" s="1068" t="s">
        <v>3191</v>
      </c>
      <c r="W293" s="1068" t="s">
        <v>3142</v>
      </c>
      <c r="X293" s="1069" t="s">
        <v>3192</v>
      </c>
      <c r="Y293" s="1070" t="s">
        <v>2254</v>
      </c>
      <c r="Z293" s="1071" t="s">
        <v>3193</v>
      </c>
      <c r="AA293" s="1072" t="s">
        <v>2260</v>
      </c>
      <c r="AB293" s="1073">
        <v>0.433</v>
      </c>
      <c r="AC293" s="1073">
        <v>0.56699999999999995</v>
      </c>
      <c r="AD293" s="1073" t="s">
        <v>2260</v>
      </c>
      <c r="AE293" s="1073" t="s">
        <v>2260</v>
      </c>
      <c r="AF293" s="1073" t="s">
        <v>2260</v>
      </c>
      <c r="AG293" s="1073" t="s">
        <v>2260</v>
      </c>
      <c r="AH293" s="1073" t="s">
        <v>2260</v>
      </c>
      <c r="AI293" s="1074">
        <f t="shared" si="4"/>
        <v>1</v>
      </c>
      <c r="AJ293" s="1075" t="s">
        <v>1852</v>
      </c>
      <c r="AK293" s="1075" t="s">
        <v>1826</v>
      </c>
      <c r="AL293" s="1075" t="s">
        <v>1827</v>
      </c>
      <c r="AM293" s="1076" t="s">
        <v>3194</v>
      </c>
      <c r="AN293" s="987" t="s">
        <v>1897</v>
      </c>
      <c r="AO293" s="987" t="s">
        <v>3195</v>
      </c>
      <c r="AP293" s="1243">
        <v>2</v>
      </c>
      <c r="AQ293" s="1045" t="s">
        <v>1828</v>
      </c>
      <c r="AR293" s="1078" t="s">
        <v>2254</v>
      </c>
      <c r="AS293" s="1079"/>
      <c r="AT293" s="1069"/>
      <c r="AU293" s="1069"/>
      <c r="AV293" s="1069"/>
      <c r="AW293" s="1080"/>
      <c r="AX293" s="1081"/>
      <c r="AY293" s="1044"/>
      <c r="AZ293" s="1045"/>
      <c r="BA293" s="1045"/>
      <c r="BB293" s="1045"/>
      <c r="BC293" s="1045"/>
      <c r="BD293" s="1045"/>
      <c r="BE293" s="1045"/>
      <c r="BF293" s="1045"/>
      <c r="BG293" s="1045"/>
      <c r="BH293" s="1045"/>
      <c r="BI293" s="1044" t="s">
        <v>2260</v>
      </c>
      <c r="BJ293" s="1045" t="s">
        <v>2260</v>
      </c>
      <c r="BK293" s="1045" t="s">
        <v>2260</v>
      </c>
      <c r="BL293" s="1045" t="s">
        <v>2260</v>
      </c>
      <c r="BM293" s="1045" t="s">
        <v>4476</v>
      </c>
      <c r="BN293" s="1044"/>
      <c r="BO293" s="1045"/>
      <c r="BP293" s="1045"/>
      <c r="BQ293" s="1045"/>
      <c r="BR293" s="1045"/>
      <c r="BS293" s="1084"/>
      <c r="BT293" s="1045"/>
      <c r="BU293" s="1045"/>
      <c r="BV293" s="1045"/>
      <c r="BW293" s="1085"/>
      <c r="BX293" s="1084"/>
      <c r="BY293" s="1045"/>
      <c r="BZ293" s="1045"/>
      <c r="CA293" s="1045"/>
      <c r="CB293" s="1085"/>
      <c r="CC293" s="1086"/>
      <c r="CD293" s="1087" t="s">
        <v>210</v>
      </c>
      <c r="CE293" s="1088" t="s">
        <v>210</v>
      </c>
      <c r="CF293" s="1088" t="s">
        <v>210</v>
      </c>
      <c r="CG293" s="1088" t="s">
        <v>210</v>
      </c>
      <c r="CH293" s="1089" t="s">
        <v>210</v>
      </c>
      <c r="CI293" s="1044" t="s">
        <v>2260</v>
      </c>
      <c r="CJ293" s="1045" t="s">
        <v>2260</v>
      </c>
      <c r="CK293" s="1045" t="s">
        <v>2260</v>
      </c>
      <c r="CL293" s="1045" t="s">
        <v>2260</v>
      </c>
      <c r="CM293" s="1086" t="s">
        <v>2260</v>
      </c>
      <c r="CN293" s="1044" t="s">
        <v>2260</v>
      </c>
      <c r="CO293" s="1045" t="s">
        <v>2260</v>
      </c>
      <c r="CP293" s="1045" t="s">
        <v>2260</v>
      </c>
      <c r="CQ293" s="1045" t="s">
        <v>2260</v>
      </c>
      <c r="CR293" s="1086" t="s">
        <v>2260</v>
      </c>
      <c r="CS293" s="1044" t="s">
        <v>2260</v>
      </c>
      <c r="CT293" s="1045" t="s">
        <v>2260</v>
      </c>
      <c r="CU293" s="1045" t="s">
        <v>2260</v>
      </c>
      <c r="CV293" s="1045" t="s">
        <v>2260</v>
      </c>
      <c r="CW293" s="1086" t="s">
        <v>2260</v>
      </c>
      <c r="CX293" s="1044" t="s">
        <v>2260</v>
      </c>
      <c r="CY293" s="1045" t="s">
        <v>2260</v>
      </c>
      <c r="CZ293" s="1045" t="s">
        <v>2260</v>
      </c>
      <c r="DA293" s="1045" t="s">
        <v>2260</v>
      </c>
      <c r="DB293" s="1086" t="s">
        <v>2260</v>
      </c>
      <c r="DC293" s="1045" t="s">
        <v>2260</v>
      </c>
      <c r="DD293" s="1045" t="s">
        <v>2260</v>
      </c>
      <c r="DE293" s="1045" t="s">
        <v>2260</v>
      </c>
      <c r="DF293" s="1045" t="s">
        <v>2260</v>
      </c>
      <c r="DG293" s="1086" t="s">
        <v>2260</v>
      </c>
      <c r="DH293" s="1044" t="s">
        <v>2260</v>
      </c>
      <c r="DI293" s="1045" t="s">
        <v>2260</v>
      </c>
      <c r="DJ293" s="1045" t="s">
        <v>2260</v>
      </c>
      <c r="DK293" s="1045" t="s">
        <v>2260</v>
      </c>
      <c r="DL293" s="1086" t="s">
        <v>2260</v>
      </c>
      <c r="DM293" s="1090" t="s">
        <v>2260</v>
      </c>
      <c r="DN293" s="1091" t="s">
        <v>2260</v>
      </c>
      <c r="DO293" s="1091" t="s">
        <v>2260</v>
      </c>
      <c r="DP293" s="1092" t="s">
        <v>2260</v>
      </c>
      <c r="DQ293" s="1091" t="s">
        <v>2260</v>
      </c>
      <c r="DR293" s="1091" t="s">
        <v>2260</v>
      </c>
      <c r="DS293" s="1091" t="s">
        <v>2260</v>
      </c>
      <c r="DT293" s="1092" t="s">
        <v>2260</v>
      </c>
      <c r="DU293" s="1088" t="s">
        <v>2260</v>
      </c>
      <c r="DV293" s="1093">
        <v>1</v>
      </c>
      <c r="DW293" s="1094" t="s">
        <v>2260</v>
      </c>
    </row>
    <row r="294" spans="1:127" s="382" customFormat="1" ht="15.75" customHeight="1">
      <c r="A294" s="1066" t="s">
        <v>1185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1558</v>
      </c>
      <c r="V294" s="1068" t="s">
        <v>3191</v>
      </c>
      <c r="W294" s="1068" t="s">
        <v>3142</v>
      </c>
      <c r="X294" s="1069" t="s">
        <v>3196</v>
      </c>
      <c r="Y294" s="1070" t="s">
        <v>3197</v>
      </c>
      <c r="Z294" s="1071" t="s">
        <v>3198</v>
      </c>
      <c r="AA294" s="1072" t="s">
        <v>2260</v>
      </c>
      <c r="AB294" s="1073" t="s">
        <v>2260</v>
      </c>
      <c r="AC294" s="1073">
        <v>1</v>
      </c>
      <c r="AD294" s="1073" t="s">
        <v>2260</v>
      </c>
      <c r="AE294" s="1073" t="s">
        <v>2260</v>
      </c>
      <c r="AF294" s="1073" t="s">
        <v>2260</v>
      </c>
      <c r="AG294" s="1073" t="s">
        <v>2260</v>
      </c>
      <c r="AH294" s="1073" t="s">
        <v>2260</v>
      </c>
      <c r="AI294" s="1074">
        <f t="shared" si="4"/>
        <v>1</v>
      </c>
      <c r="AJ294" s="1075" t="s">
        <v>1852</v>
      </c>
      <c r="AK294" s="1075" t="s">
        <v>1826</v>
      </c>
      <c r="AL294" s="1075" t="s">
        <v>1827</v>
      </c>
      <c r="AM294" s="1076" t="s">
        <v>3150</v>
      </c>
      <c r="AN294" s="987" t="s">
        <v>1857</v>
      </c>
      <c r="AO294" s="987" t="s">
        <v>3199</v>
      </c>
      <c r="AP294" s="1243">
        <v>0</v>
      </c>
      <c r="AQ294" s="1045" t="s">
        <v>1828</v>
      </c>
      <c r="AR294" s="1078" t="s">
        <v>2260</v>
      </c>
      <c r="AS294" s="1079"/>
      <c r="AT294" s="1069"/>
      <c r="AU294" s="1069"/>
      <c r="AV294" s="1069"/>
      <c r="AW294" s="1080"/>
      <c r="AX294" s="1081"/>
      <c r="AY294" s="1044"/>
      <c r="AZ294" s="1045"/>
      <c r="BA294" s="1045"/>
      <c r="BB294" s="1045"/>
      <c r="BC294" s="1045"/>
      <c r="BD294" s="1045"/>
      <c r="BE294" s="1045"/>
      <c r="BF294" s="1045"/>
      <c r="BG294" s="1045"/>
      <c r="BH294" s="1045"/>
      <c r="BI294" s="1369"/>
      <c r="BJ294" s="1319"/>
      <c r="BK294" s="1319"/>
      <c r="BL294" s="1319"/>
      <c r="BM294" s="1319"/>
      <c r="BN294" s="1044"/>
      <c r="BO294" s="1045"/>
      <c r="BP294" s="1045"/>
      <c r="BQ294" s="1045"/>
      <c r="BR294" s="1045"/>
      <c r="BS294" s="1084"/>
      <c r="BT294" s="1045"/>
      <c r="BU294" s="1045"/>
      <c r="BV294" s="1045"/>
      <c r="BW294" s="1085"/>
      <c r="BX294" s="1084"/>
      <c r="BY294" s="1045"/>
      <c r="BZ294" s="1045"/>
      <c r="CA294" s="1045"/>
      <c r="CB294" s="1085"/>
      <c r="CC294" s="1086"/>
      <c r="CD294" s="1327"/>
      <c r="CE294" s="1328"/>
      <c r="CF294" s="1328"/>
      <c r="CG294" s="1328"/>
      <c r="CH294" s="1389"/>
      <c r="CI294" s="1369"/>
      <c r="CJ294" s="1319"/>
      <c r="CK294" s="1319"/>
      <c r="CL294" s="1319"/>
      <c r="CM294" s="1320"/>
      <c r="CN294" s="1369"/>
      <c r="CO294" s="1319"/>
      <c r="CP294" s="1319"/>
      <c r="CQ294" s="1319"/>
      <c r="CR294" s="1320"/>
      <c r="CS294" s="1369"/>
      <c r="CT294" s="1319"/>
      <c r="CU294" s="1319"/>
      <c r="CV294" s="1319"/>
      <c r="CW294" s="1320"/>
      <c r="CX294" s="1369"/>
      <c r="CY294" s="1319"/>
      <c r="CZ294" s="1319"/>
      <c r="DA294" s="1319"/>
      <c r="DB294" s="1320"/>
      <c r="DC294" s="1319"/>
      <c r="DD294" s="1319"/>
      <c r="DE294" s="1319"/>
      <c r="DF294" s="1319"/>
      <c r="DG294" s="1320"/>
      <c r="DH294" s="1369"/>
      <c r="DI294" s="1319"/>
      <c r="DJ294" s="1319"/>
      <c r="DK294" s="1319"/>
      <c r="DL294" s="1320"/>
      <c r="DM294" s="1743"/>
      <c r="DN294" s="1744"/>
      <c r="DO294" s="1744"/>
      <c r="DP294" s="1745"/>
      <c r="DQ294" s="1744"/>
      <c r="DR294" s="1744"/>
      <c r="DS294" s="1744"/>
      <c r="DT294" s="1745"/>
      <c r="DU294" s="1328"/>
      <c r="DV294" s="1664"/>
      <c r="DW294" s="1746"/>
    </row>
    <row r="295" spans="1:127" s="382" customFormat="1" ht="15.75" customHeight="1">
      <c r="A295" s="1066" t="s">
        <v>1185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1767</v>
      </c>
      <c r="V295" s="1068" t="s">
        <v>3200</v>
      </c>
      <c r="W295" s="1068" t="s">
        <v>3142</v>
      </c>
      <c r="X295" s="1069" t="s">
        <v>3201</v>
      </c>
      <c r="Y295" s="1070" t="s">
        <v>2251</v>
      </c>
      <c r="Z295" s="1071" t="s">
        <v>3202</v>
      </c>
      <c r="AA295" s="1072" t="s">
        <v>2260</v>
      </c>
      <c r="AB295" s="1073" t="s">
        <v>2260</v>
      </c>
      <c r="AC295" s="1073" t="s">
        <v>2260</v>
      </c>
      <c r="AD295" s="1073" t="s">
        <v>2260</v>
      </c>
      <c r="AE295" s="1073">
        <v>1</v>
      </c>
      <c r="AF295" s="1073" t="s">
        <v>2260</v>
      </c>
      <c r="AG295" s="1073" t="s">
        <v>2260</v>
      </c>
      <c r="AH295" s="1073" t="s">
        <v>2260</v>
      </c>
      <c r="AI295" s="1074">
        <f t="shared" si="4"/>
        <v>1</v>
      </c>
      <c r="AJ295" s="1075" t="s">
        <v>1852</v>
      </c>
      <c r="AK295" s="1075" t="s">
        <v>1826</v>
      </c>
      <c r="AL295" s="1075" t="s">
        <v>1827</v>
      </c>
      <c r="AM295" s="1076" t="s">
        <v>3203</v>
      </c>
      <c r="AN295" s="987" t="s">
        <v>1897</v>
      </c>
      <c r="AO295" s="987" t="s">
        <v>3204</v>
      </c>
      <c r="AP295" s="1243">
        <v>2</v>
      </c>
      <c r="AQ295" s="1045" t="s">
        <v>1828</v>
      </c>
      <c r="AR295" s="1078" t="s">
        <v>2251</v>
      </c>
      <c r="AS295" s="1079"/>
      <c r="AT295" s="1069"/>
      <c r="AU295" s="1069"/>
      <c r="AV295" s="1069"/>
      <c r="AW295" s="1080"/>
      <c r="AX295" s="1081"/>
      <c r="AY295" s="1044"/>
      <c r="AZ295" s="1045"/>
      <c r="BA295" s="1045"/>
      <c r="BB295" s="1045"/>
      <c r="BC295" s="1045"/>
      <c r="BD295" s="1045"/>
      <c r="BE295" s="1045"/>
      <c r="BF295" s="1045"/>
      <c r="BG295" s="1045"/>
      <c r="BH295" s="1045"/>
      <c r="BI295" s="1044" t="s">
        <v>2260</v>
      </c>
      <c r="BJ295" s="1045" t="s">
        <v>2260</v>
      </c>
      <c r="BK295" s="1045" t="s">
        <v>2260</v>
      </c>
      <c r="BL295" s="1045" t="s">
        <v>2260</v>
      </c>
      <c r="BM295" s="1045" t="s">
        <v>4477</v>
      </c>
      <c r="BN295" s="1044"/>
      <c r="BO295" s="1045"/>
      <c r="BP295" s="1045"/>
      <c r="BQ295" s="1045"/>
      <c r="BR295" s="1045"/>
      <c r="BS295" s="1084"/>
      <c r="BT295" s="1045"/>
      <c r="BU295" s="1045"/>
      <c r="BV295" s="1045"/>
      <c r="BW295" s="1085"/>
      <c r="BX295" s="1084"/>
      <c r="BY295" s="1045"/>
      <c r="BZ295" s="1045"/>
      <c r="CA295" s="1045"/>
      <c r="CB295" s="1085"/>
      <c r="CC295" s="1086"/>
      <c r="CD295" s="1087" t="s">
        <v>210</v>
      </c>
      <c r="CE295" s="1088" t="s">
        <v>210</v>
      </c>
      <c r="CF295" s="1088" t="s">
        <v>210</v>
      </c>
      <c r="CG295" s="1088" t="s">
        <v>210</v>
      </c>
      <c r="CH295" s="1089" t="s">
        <v>210</v>
      </c>
      <c r="CI295" s="1044" t="s">
        <v>2260</v>
      </c>
      <c r="CJ295" s="1045" t="s">
        <v>2260</v>
      </c>
      <c r="CK295" s="1045" t="s">
        <v>2260</v>
      </c>
      <c r="CL295" s="1045" t="s">
        <v>2260</v>
      </c>
      <c r="CM295" s="1086" t="s">
        <v>2260</v>
      </c>
      <c r="CN295" s="1044" t="s">
        <v>2260</v>
      </c>
      <c r="CO295" s="1045" t="s">
        <v>2260</v>
      </c>
      <c r="CP295" s="1045" t="s">
        <v>2260</v>
      </c>
      <c r="CQ295" s="1045" t="s">
        <v>2260</v>
      </c>
      <c r="CR295" s="1086" t="s">
        <v>2260</v>
      </c>
      <c r="CS295" s="1044" t="s">
        <v>2260</v>
      </c>
      <c r="CT295" s="1045" t="s">
        <v>2260</v>
      </c>
      <c r="CU295" s="1045" t="s">
        <v>2260</v>
      </c>
      <c r="CV295" s="1045" t="s">
        <v>2260</v>
      </c>
      <c r="CW295" s="1086" t="s">
        <v>2260</v>
      </c>
      <c r="CX295" s="1044" t="s">
        <v>2260</v>
      </c>
      <c r="CY295" s="1045" t="s">
        <v>2260</v>
      </c>
      <c r="CZ295" s="1045" t="s">
        <v>2260</v>
      </c>
      <c r="DA295" s="1045" t="s">
        <v>2260</v>
      </c>
      <c r="DB295" s="1086" t="s">
        <v>2260</v>
      </c>
      <c r="DC295" s="1045" t="s">
        <v>2260</v>
      </c>
      <c r="DD295" s="1045" t="s">
        <v>2260</v>
      </c>
      <c r="DE295" s="1045" t="s">
        <v>2260</v>
      </c>
      <c r="DF295" s="1045" t="s">
        <v>2260</v>
      </c>
      <c r="DG295" s="1086" t="s">
        <v>2260</v>
      </c>
      <c r="DH295" s="1044" t="s">
        <v>2260</v>
      </c>
      <c r="DI295" s="1045" t="s">
        <v>2260</v>
      </c>
      <c r="DJ295" s="1045" t="s">
        <v>2260</v>
      </c>
      <c r="DK295" s="1045" t="s">
        <v>2260</v>
      </c>
      <c r="DL295" s="1086" t="s">
        <v>2260</v>
      </c>
      <c r="DM295" s="1090" t="s">
        <v>2260</v>
      </c>
      <c r="DN295" s="1091" t="s">
        <v>2260</v>
      </c>
      <c r="DO295" s="1091" t="s">
        <v>2260</v>
      </c>
      <c r="DP295" s="1092" t="s">
        <v>2260</v>
      </c>
      <c r="DQ295" s="1091" t="s">
        <v>2260</v>
      </c>
      <c r="DR295" s="1091" t="s">
        <v>2260</v>
      </c>
      <c r="DS295" s="1091" t="s">
        <v>2260</v>
      </c>
      <c r="DT295" s="1092" t="s">
        <v>2260</v>
      </c>
      <c r="DU295" s="1088" t="s">
        <v>2260</v>
      </c>
      <c r="DV295" s="1093">
        <v>1</v>
      </c>
      <c r="DW295" s="1094" t="s">
        <v>2260</v>
      </c>
    </row>
    <row r="296" spans="1:127" s="382" customFormat="1" ht="15.75" customHeight="1">
      <c r="A296" s="1066" t="s">
        <v>1185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1380</v>
      </c>
      <c r="V296" s="1068" t="s">
        <v>3205</v>
      </c>
      <c r="W296" s="1068" t="s">
        <v>3142</v>
      </c>
      <c r="X296" s="1069" t="s">
        <v>3206</v>
      </c>
      <c r="Y296" s="1070" t="s">
        <v>2502</v>
      </c>
      <c r="Z296" s="1071" t="s">
        <v>3207</v>
      </c>
      <c r="AA296" s="1072" t="s">
        <v>2260</v>
      </c>
      <c r="AB296" s="1073" t="s">
        <v>2260</v>
      </c>
      <c r="AC296" s="1073" t="s">
        <v>2260</v>
      </c>
      <c r="AD296" s="1073" t="s">
        <v>2260</v>
      </c>
      <c r="AE296" s="1073">
        <v>1</v>
      </c>
      <c r="AF296" s="1073" t="s">
        <v>2260</v>
      </c>
      <c r="AG296" s="1073" t="s">
        <v>2260</v>
      </c>
      <c r="AH296" s="1073" t="s">
        <v>2260</v>
      </c>
      <c r="AI296" s="1074">
        <f t="shared" si="4"/>
        <v>1</v>
      </c>
      <c r="AJ296" s="1075" t="s">
        <v>1852</v>
      </c>
      <c r="AK296" s="1075" t="s">
        <v>1826</v>
      </c>
      <c r="AL296" s="1075" t="s">
        <v>1827</v>
      </c>
      <c r="AM296" s="1076" t="s">
        <v>3208</v>
      </c>
      <c r="AN296" s="987" t="s">
        <v>321</v>
      </c>
      <c r="AO296" s="987" t="s">
        <v>3209</v>
      </c>
      <c r="AP296" s="1243">
        <v>2</v>
      </c>
      <c r="AQ296" s="1045" t="s">
        <v>1838</v>
      </c>
      <c r="AR296" s="1078" t="s">
        <v>2260</v>
      </c>
      <c r="AS296" s="1079"/>
      <c r="AT296" s="1069"/>
      <c r="AU296" s="1069"/>
      <c r="AV296" s="1069"/>
      <c r="AW296" s="1080"/>
      <c r="AX296" s="1081"/>
      <c r="AY296" s="1044"/>
      <c r="AZ296" s="1045"/>
      <c r="BA296" s="1045"/>
      <c r="BB296" s="1045"/>
      <c r="BC296" s="1045"/>
      <c r="BD296" s="1045"/>
      <c r="BE296" s="1045"/>
      <c r="BF296" s="1045"/>
      <c r="BG296" s="1045"/>
      <c r="BH296" s="1045"/>
      <c r="BI296" s="1369"/>
      <c r="BJ296" s="1319"/>
      <c r="BK296" s="1319"/>
      <c r="BL296" s="1319"/>
      <c r="BM296" s="1319"/>
      <c r="BN296" s="1044"/>
      <c r="BO296" s="1045"/>
      <c r="BP296" s="1045"/>
      <c r="BQ296" s="1045"/>
      <c r="BR296" s="1045"/>
      <c r="BS296" s="1084"/>
      <c r="BT296" s="1045"/>
      <c r="BU296" s="1045"/>
      <c r="BV296" s="1045"/>
      <c r="BW296" s="1085"/>
      <c r="BX296" s="1084"/>
      <c r="BY296" s="1045"/>
      <c r="BZ296" s="1045"/>
      <c r="CA296" s="1045"/>
      <c r="CB296" s="1085"/>
      <c r="CC296" s="1086"/>
      <c r="CD296" s="1327"/>
      <c r="CE296" s="1328"/>
      <c r="CF296" s="1328"/>
      <c r="CG296" s="1328"/>
      <c r="CH296" s="1389"/>
      <c r="CI296" s="1369"/>
      <c r="CJ296" s="1319"/>
      <c r="CK296" s="1319"/>
      <c r="CL296" s="1319"/>
      <c r="CM296" s="1320"/>
      <c r="CN296" s="1369"/>
      <c r="CO296" s="1319"/>
      <c r="CP296" s="1319"/>
      <c r="CQ296" s="1319"/>
      <c r="CR296" s="1320"/>
      <c r="CS296" s="1369"/>
      <c r="CT296" s="1319"/>
      <c r="CU296" s="1319"/>
      <c r="CV296" s="1319"/>
      <c r="CW296" s="1320"/>
      <c r="CX296" s="1369"/>
      <c r="CY296" s="1319"/>
      <c r="CZ296" s="1319"/>
      <c r="DA296" s="1319"/>
      <c r="DB296" s="1320"/>
      <c r="DC296" s="1319"/>
      <c r="DD296" s="1319"/>
      <c r="DE296" s="1319"/>
      <c r="DF296" s="1319"/>
      <c r="DG296" s="1320"/>
      <c r="DH296" s="1369"/>
      <c r="DI296" s="1319"/>
      <c r="DJ296" s="1319"/>
      <c r="DK296" s="1319"/>
      <c r="DL296" s="1320"/>
      <c r="DM296" s="1743"/>
      <c r="DN296" s="1744"/>
      <c r="DO296" s="1744"/>
      <c r="DP296" s="1745"/>
      <c r="DQ296" s="1744"/>
      <c r="DR296" s="1744"/>
      <c r="DS296" s="1744"/>
      <c r="DT296" s="1745"/>
      <c r="DU296" s="1328"/>
      <c r="DV296" s="1664"/>
      <c r="DW296" s="1746"/>
    </row>
    <row r="297" spans="1:127" s="382" customFormat="1" ht="15.75" customHeight="1">
      <c r="A297" s="1066" t="s">
        <v>1185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1629</v>
      </c>
      <c r="V297" s="1068" t="s">
        <v>3205</v>
      </c>
      <c r="W297" s="1068" t="s">
        <v>3142</v>
      </c>
      <c r="X297" s="1069" t="s">
        <v>3210</v>
      </c>
      <c r="Y297" s="1070" t="s">
        <v>3211</v>
      </c>
      <c r="Z297" s="1071" t="s">
        <v>3212</v>
      </c>
      <c r="AA297" s="1072" t="s">
        <v>2260</v>
      </c>
      <c r="AB297" s="1073" t="s">
        <v>2260</v>
      </c>
      <c r="AC297" s="1073" t="s">
        <v>2260</v>
      </c>
      <c r="AD297" s="1073" t="s">
        <v>2260</v>
      </c>
      <c r="AE297" s="1073">
        <v>1</v>
      </c>
      <c r="AF297" s="1073" t="s">
        <v>2260</v>
      </c>
      <c r="AG297" s="1073" t="s">
        <v>2260</v>
      </c>
      <c r="AH297" s="1073" t="s">
        <v>2260</v>
      </c>
      <c r="AI297" s="1074">
        <f t="shared" si="4"/>
        <v>1</v>
      </c>
      <c r="AJ297" s="1075" t="s">
        <v>1825</v>
      </c>
      <c r="AK297" s="1075" t="s">
        <v>4475</v>
      </c>
      <c r="AL297" s="1075" t="s">
        <v>4475</v>
      </c>
      <c r="AM297" s="1076" t="s">
        <v>3213</v>
      </c>
      <c r="AN297" s="987" t="s">
        <v>321</v>
      </c>
      <c r="AO297" s="987" t="s">
        <v>3214</v>
      </c>
      <c r="AP297" s="1243">
        <v>0</v>
      </c>
      <c r="AQ297" s="1045" t="s">
        <v>1828</v>
      </c>
      <c r="AR297" s="1078" t="s">
        <v>2260</v>
      </c>
      <c r="AS297" s="1079"/>
      <c r="AT297" s="1069"/>
      <c r="AU297" s="1069"/>
      <c r="AV297" s="1069"/>
      <c r="AW297" s="1080"/>
      <c r="AX297" s="1081"/>
      <c r="AY297" s="1044"/>
      <c r="AZ297" s="1045"/>
      <c r="BA297" s="1045"/>
      <c r="BB297" s="1045"/>
      <c r="BC297" s="1045"/>
      <c r="BD297" s="1045"/>
      <c r="BE297" s="1045"/>
      <c r="BF297" s="1045"/>
      <c r="BG297" s="1045"/>
      <c r="BH297" s="1045"/>
      <c r="BI297" s="1369"/>
      <c r="BJ297" s="1319"/>
      <c r="BK297" s="1319"/>
      <c r="BL297" s="1319"/>
      <c r="BM297" s="1319"/>
      <c r="BN297" s="1044"/>
      <c r="BO297" s="1045"/>
      <c r="BP297" s="1045"/>
      <c r="BQ297" s="1045"/>
      <c r="BR297" s="1045"/>
      <c r="BS297" s="1084"/>
      <c r="BT297" s="1045"/>
      <c r="BU297" s="1045"/>
      <c r="BV297" s="1045"/>
      <c r="BW297" s="1085"/>
      <c r="BX297" s="1084"/>
      <c r="BY297" s="1045"/>
      <c r="BZ297" s="1045"/>
      <c r="CA297" s="1045"/>
      <c r="CB297" s="1085"/>
      <c r="CC297" s="1086"/>
      <c r="CD297" s="1327"/>
      <c r="CE297" s="1328"/>
      <c r="CF297" s="1328"/>
      <c r="CG297" s="1328"/>
      <c r="CH297" s="1389"/>
      <c r="CI297" s="1369"/>
      <c r="CJ297" s="1319"/>
      <c r="CK297" s="1319"/>
      <c r="CL297" s="1319"/>
      <c r="CM297" s="1320"/>
      <c r="CN297" s="1369"/>
      <c r="CO297" s="1319"/>
      <c r="CP297" s="1319"/>
      <c r="CQ297" s="1319"/>
      <c r="CR297" s="1320"/>
      <c r="CS297" s="1369"/>
      <c r="CT297" s="1319"/>
      <c r="CU297" s="1319"/>
      <c r="CV297" s="1319"/>
      <c r="CW297" s="1320"/>
      <c r="CX297" s="1369"/>
      <c r="CY297" s="1319"/>
      <c r="CZ297" s="1319"/>
      <c r="DA297" s="1319"/>
      <c r="DB297" s="1320"/>
      <c r="DC297" s="1319"/>
      <c r="DD297" s="1319"/>
      <c r="DE297" s="1319"/>
      <c r="DF297" s="1319"/>
      <c r="DG297" s="1320"/>
      <c r="DH297" s="1369"/>
      <c r="DI297" s="1319"/>
      <c r="DJ297" s="1319"/>
      <c r="DK297" s="1319"/>
      <c r="DL297" s="1320"/>
      <c r="DM297" s="1743"/>
      <c r="DN297" s="1744"/>
      <c r="DO297" s="1744"/>
      <c r="DP297" s="1745"/>
      <c r="DQ297" s="1744"/>
      <c r="DR297" s="1744"/>
      <c r="DS297" s="1744"/>
      <c r="DT297" s="1745"/>
      <c r="DU297" s="1328"/>
      <c r="DV297" s="1664"/>
      <c r="DW297" s="1746"/>
    </row>
    <row r="298" spans="1:127" s="382" customFormat="1" ht="15.75" customHeight="1">
      <c r="A298" s="1066" t="s">
        <v>1185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1646</v>
      </c>
      <c r="V298" s="1068" t="s">
        <v>3215</v>
      </c>
      <c r="W298" s="1068" t="s">
        <v>3142</v>
      </c>
      <c r="X298" s="1069" t="s">
        <v>3216</v>
      </c>
      <c r="Y298" s="1070" t="s">
        <v>3217</v>
      </c>
      <c r="Z298" s="1071" t="s">
        <v>3218</v>
      </c>
      <c r="AA298" s="1072" t="s">
        <v>2260</v>
      </c>
      <c r="AB298" s="1073" t="s">
        <v>2260</v>
      </c>
      <c r="AC298" s="1073" t="s">
        <v>2260</v>
      </c>
      <c r="AD298" s="1073" t="s">
        <v>2260</v>
      </c>
      <c r="AE298" s="1073">
        <v>1</v>
      </c>
      <c r="AF298" s="1073" t="s">
        <v>2260</v>
      </c>
      <c r="AG298" s="1073" t="s">
        <v>2260</v>
      </c>
      <c r="AH298" s="1073" t="s">
        <v>2260</v>
      </c>
      <c r="AI298" s="1074">
        <f t="shared" si="4"/>
        <v>1</v>
      </c>
      <c r="AJ298" s="1075" t="s">
        <v>1825</v>
      </c>
      <c r="AK298" s="1075" t="s">
        <v>4475</v>
      </c>
      <c r="AL298" s="1075" t="s">
        <v>4475</v>
      </c>
      <c r="AM298" s="1076" t="s">
        <v>3213</v>
      </c>
      <c r="AN298" s="987" t="s">
        <v>321</v>
      </c>
      <c r="AO298" s="987" t="s">
        <v>3219</v>
      </c>
      <c r="AP298" s="1243">
        <v>0</v>
      </c>
      <c r="AQ298" s="1045" t="s">
        <v>1828</v>
      </c>
      <c r="AR298" s="1078" t="s">
        <v>2260</v>
      </c>
      <c r="AS298" s="1079"/>
      <c r="AT298" s="1069"/>
      <c r="AU298" s="1069"/>
      <c r="AV298" s="1069"/>
      <c r="AW298" s="1080"/>
      <c r="AX298" s="1081"/>
      <c r="AY298" s="1044"/>
      <c r="AZ298" s="1045"/>
      <c r="BA298" s="1045"/>
      <c r="BB298" s="1045"/>
      <c r="BC298" s="1045"/>
      <c r="BD298" s="1045"/>
      <c r="BE298" s="1045"/>
      <c r="BF298" s="1045"/>
      <c r="BG298" s="1045"/>
      <c r="BH298" s="1045"/>
      <c r="BI298" s="1369"/>
      <c r="BJ298" s="1319"/>
      <c r="BK298" s="1319"/>
      <c r="BL298" s="1319"/>
      <c r="BM298" s="1319"/>
      <c r="BN298" s="1044"/>
      <c r="BO298" s="1045"/>
      <c r="BP298" s="1045"/>
      <c r="BQ298" s="1045"/>
      <c r="BR298" s="1045"/>
      <c r="BS298" s="1084"/>
      <c r="BT298" s="1045"/>
      <c r="BU298" s="1045"/>
      <c r="BV298" s="1045"/>
      <c r="BW298" s="1085"/>
      <c r="BX298" s="1084"/>
      <c r="BY298" s="1045"/>
      <c r="BZ298" s="1045"/>
      <c r="CA298" s="1045"/>
      <c r="CB298" s="1085"/>
      <c r="CC298" s="1086"/>
      <c r="CD298" s="1327"/>
      <c r="CE298" s="1328"/>
      <c r="CF298" s="1328"/>
      <c r="CG298" s="1328"/>
      <c r="CH298" s="1389"/>
      <c r="CI298" s="1369"/>
      <c r="CJ298" s="1319"/>
      <c r="CK298" s="1319"/>
      <c r="CL298" s="1319"/>
      <c r="CM298" s="1320"/>
      <c r="CN298" s="1369"/>
      <c r="CO298" s="1319"/>
      <c r="CP298" s="1319"/>
      <c r="CQ298" s="1319"/>
      <c r="CR298" s="1320"/>
      <c r="CS298" s="1369"/>
      <c r="CT298" s="1319"/>
      <c r="CU298" s="1319"/>
      <c r="CV298" s="1319"/>
      <c r="CW298" s="1320"/>
      <c r="CX298" s="1369"/>
      <c r="CY298" s="1319"/>
      <c r="CZ298" s="1319"/>
      <c r="DA298" s="1319"/>
      <c r="DB298" s="1320"/>
      <c r="DC298" s="1319"/>
      <c r="DD298" s="1319"/>
      <c r="DE298" s="1319"/>
      <c r="DF298" s="1319"/>
      <c r="DG298" s="1320"/>
      <c r="DH298" s="1369"/>
      <c r="DI298" s="1319"/>
      <c r="DJ298" s="1319"/>
      <c r="DK298" s="1319"/>
      <c r="DL298" s="1320"/>
      <c r="DM298" s="1743"/>
      <c r="DN298" s="1744"/>
      <c r="DO298" s="1744"/>
      <c r="DP298" s="1745"/>
      <c r="DQ298" s="1744"/>
      <c r="DR298" s="1744"/>
      <c r="DS298" s="1744"/>
      <c r="DT298" s="1745"/>
      <c r="DU298" s="1328"/>
      <c r="DV298" s="1664"/>
      <c r="DW298" s="1746"/>
    </row>
    <row r="299" spans="1:127" s="382" customFormat="1" ht="15.75" customHeight="1">
      <c r="A299" s="1066" t="s">
        <v>1185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1397</v>
      </c>
      <c r="V299" s="1068" t="s">
        <v>3126</v>
      </c>
      <c r="W299" s="1068" t="s">
        <v>3142</v>
      </c>
      <c r="X299" s="1069" t="s">
        <v>3220</v>
      </c>
      <c r="Y299" s="1070" t="s">
        <v>3221</v>
      </c>
      <c r="Z299" s="1071" t="s">
        <v>3222</v>
      </c>
      <c r="AA299" s="1072" t="s">
        <v>2260</v>
      </c>
      <c r="AB299" s="1073">
        <v>1</v>
      </c>
      <c r="AC299" s="1073" t="s">
        <v>2260</v>
      </c>
      <c r="AD299" s="1073" t="s">
        <v>2260</v>
      </c>
      <c r="AE299" s="1073" t="s">
        <v>2260</v>
      </c>
      <c r="AF299" s="1073" t="s">
        <v>2260</v>
      </c>
      <c r="AG299" s="1073" t="s">
        <v>2260</v>
      </c>
      <c r="AH299" s="1073" t="s">
        <v>2260</v>
      </c>
      <c r="AI299" s="1074">
        <f t="shared" si="4"/>
        <v>1</v>
      </c>
      <c r="AJ299" s="1075" t="s">
        <v>1835</v>
      </c>
      <c r="AK299" s="1075" t="s">
        <v>1826</v>
      </c>
      <c r="AL299" s="1075" t="s">
        <v>1827</v>
      </c>
      <c r="AM299" s="1076" t="s">
        <v>3223</v>
      </c>
      <c r="AN299" s="987" t="s">
        <v>1857</v>
      </c>
      <c r="AO299" s="987" t="s">
        <v>3224</v>
      </c>
      <c r="AP299" s="1243">
        <v>0</v>
      </c>
      <c r="AQ299" s="1045" t="s">
        <v>1828</v>
      </c>
      <c r="AR299" s="1078" t="s">
        <v>2260</v>
      </c>
      <c r="AS299" s="1079"/>
      <c r="AT299" s="1069"/>
      <c r="AU299" s="1069"/>
      <c r="AV299" s="1069"/>
      <c r="AW299" s="1080"/>
      <c r="AX299" s="1081"/>
      <c r="AY299" s="1044"/>
      <c r="AZ299" s="1045"/>
      <c r="BA299" s="1045"/>
      <c r="BB299" s="1045"/>
      <c r="BC299" s="1045"/>
      <c r="BD299" s="1045"/>
      <c r="BE299" s="1045"/>
      <c r="BF299" s="1045"/>
      <c r="BG299" s="1045"/>
      <c r="BH299" s="1045"/>
      <c r="BI299" s="1369"/>
      <c r="BJ299" s="1319"/>
      <c r="BK299" s="1319"/>
      <c r="BL299" s="1319"/>
      <c r="BM299" s="1319"/>
      <c r="BN299" s="1044"/>
      <c r="BO299" s="1045"/>
      <c r="BP299" s="1045"/>
      <c r="BQ299" s="1045"/>
      <c r="BR299" s="1045"/>
      <c r="BS299" s="1084"/>
      <c r="BT299" s="1045"/>
      <c r="BU299" s="1045"/>
      <c r="BV299" s="1045"/>
      <c r="BW299" s="1085"/>
      <c r="BX299" s="1084"/>
      <c r="BY299" s="1045"/>
      <c r="BZ299" s="1045"/>
      <c r="CA299" s="1045"/>
      <c r="CB299" s="1085"/>
      <c r="CC299" s="1086"/>
      <c r="CD299" s="1327"/>
      <c r="CE299" s="1328"/>
      <c r="CF299" s="1328"/>
      <c r="CG299" s="1328"/>
      <c r="CH299" s="1389"/>
      <c r="CI299" s="1369"/>
      <c r="CJ299" s="1319"/>
      <c r="CK299" s="1319"/>
      <c r="CL299" s="1319"/>
      <c r="CM299" s="1320"/>
      <c r="CN299" s="1369"/>
      <c r="CO299" s="1319"/>
      <c r="CP299" s="1319"/>
      <c r="CQ299" s="1319"/>
      <c r="CR299" s="1320"/>
      <c r="CS299" s="1369"/>
      <c r="CT299" s="1319"/>
      <c r="CU299" s="1319"/>
      <c r="CV299" s="1319"/>
      <c r="CW299" s="1320"/>
      <c r="CX299" s="1369"/>
      <c r="CY299" s="1319"/>
      <c r="CZ299" s="1319"/>
      <c r="DA299" s="1319"/>
      <c r="DB299" s="1320"/>
      <c r="DC299" s="1319"/>
      <c r="DD299" s="1319"/>
      <c r="DE299" s="1319"/>
      <c r="DF299" s="1319"/>
      <c r="DG299" s="1320"/>
      <c r="DH299" s="1369"/>
      <c r="DI299" s="1319"/>
      <c r="DJ299" s="1319"/>
      <c r="DK299" s="1319"/>
      <c r="DL299" s="1320"/>
      <c r="DM299" s="1743"/>
      <c r="DN299" s="1744"/>
      <c r="DO299" s="1744"/>
      <c r="DP299" s="1745"/>
      <c r="DQ299" s="1744"/>
      <c r="DR299" s="1744"/>
      <c r="DS299" s="1744"/>
      <c r="DT299" s="1745"/>
      <c r="DU299" s="1328"/>
      <c r="DV299" s="1664"/>
      <c r="DW299" s="1746"/>
    </row>
    <row r="300" spans="1:127" s="382" customFormat="1" ht="15.75" customHeight="1">
      <c r="A300" s="1066" t="s">
        <v>1185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1566</v>
      </c>
      <c r="V300" s="1068" t="s">
        <v>3225</v>
      </c>
      <c r="W300" s="1068" t="s">
        <v>3142</v>
      </c>
      <c r="X300" s="1069" t="s">
        <v>3226</v>
      </c>
      <c r="Y300" s="1070" t="s">
        <v>3227</v>
      </c>
      <c r="Z300" s="1071" t="s">
        <v>3228</v>
      </c>
      <c r="AA300" s="1072" t="s">
        <v>2260</v>
      </c>
      <c r="AB300" s="1073" t="s">
        <v>2260</v>
      </c>
      <c r="AC300" s="1073">
        <v>1</v>
      </c>
      <c r="AD300" s="1073" t="s">
        <v>2260</v>
      </c>
      <c r="AE300" s="1073" t="s">
        <v>2260</v>
      </c>
      <c r="AF300" s="1073" t="s">
        <v>2260</v>
      </c>
      <c r="AG300" s="1073" t="s">
        <v>2260</v>
      </c>
      <c r="AH300" s="1073" t="s">
        <v>2260</v>
      </c>
      <c r="AI300" s="1074">
        <f t="shared" si="4"/>
        <v>1</v>
      </c>
      <c r="AJ300" s="1075" t="s">
        <v>1852</v>
      </c>
      <c r="AK300" s="1075" t="s">
        <v>1826</v>
      </c>
      <c r="AL300" s="1075" t="s">
        <v>1827</v>
      </c>
      <c r="AM300" s="1076" t="s">
        <v>3229</v>
      </c>
      <c r="AN300" s="987" t="s">
        <v>1870</v>
      </c>
      <c r="AO300" s="987" t="s">
        <v>3230</v>
      </c>
      <c r="AP300" s="1243">
        <v>0</v>
      </c>
      <c r="AQ300" s="1045" t="s">
        <v>1828</v>
      </c>
      <c r="AR300" s="1078" t="s">
        <v>2260</v>
      </c>
      <c r="AS300" s="1079"/>
      <c r="AT300" s="1069"/>
      <c r="AU300" s="1069"/>
      <c r="AV300" s="1069"/>
      <c r="AW300" s="1080"/>
      <c r="AX300" s="1081"/>
      <c r="AY300" s="1044"/>
      <c r="AZ300" s="1045"/>
      <c r="BA300" s="1045"/>
      <c r="BB300" s="1045"/>
      <c r="BC300" s="1045"/>
      <c r="BD300" s="1045"/>
      <c r="BE300" s="1045"/>
      <c r="BF300" s="1045"/>
      <c r="BG300" s="1045"/>
      <c r="BH300" s="1045"/>
      <c r="BI300" s="1369"/>
      <c r="BJ300" s="1319"/>
      <c r="BK300" s="1319"/>
      <c r="BL300" s="1319"/>
      <c r="BM300" s="1319"/>
      <c r="BN300" s="1044"/>
      <c r="BO300" s="1045"/>
      <c r="BP300" s="1045"/>
      <c r="BQ300" s="1045"/>
      <c r="BR300" s="1045"/>
      <c r="BS300" s="1084"/>
      <c r="BT300" s="1045"/>
      <c r="BU300" s="1045"/>
      <c r="BV300" s="1045"/>
      <c r="BW300" s="1085"/>
      <c r="BX300" s="1084"/>
      <c r="BY300" s="1045"/>
      <c r="BZ300" s="1045"/>
      <c r="CA300" s="1045"/>
      <c r="CB300" s="1085"/>
      <c r="CC300" s="1086"/>
      <c r="CD300" s="1327"/>
      <c r="CE300" s="1328"/>
      <c r="CF300" s="1328"/>
      <c r="CG300" s="1328"/>
      <c r="CH300" s="1389"/>
      <c r="CI300" s="1369"/>
      <c r="CJ300" s="1319"/>
      <c r="CK300" s="1319"/>
      <c r="CL300" s="1319"/>
      <c r="CM300" s="1320"/>
      <c r="CN300" s="1369"/>
      <c r="CO300" s="1319"/>
      <c r="CP300" s="1319"/>
      <c r="CQ300" s="1319"/>
      <c r="CR300" s="1320"/>
      <c r="CS300" s="1369"/>
      <c r="CT300" s="1319"/>
      <c r="CU300" s="1319"/>
      <c r="CV300" s="1319"/>
      <c r="CW300" s="1320"/>
      <c r="CX300" s="1369"/>
      <c r="CY300" s="1319"/>
      <c r="CZ300" s="1319"/>
      <c r="DA300" s="1319"/>
      <c r="DB300" s="1320"/>
      <c r="DC300" s="1319"/>
      <c r="DD300" s="1319"/>
      <c r="DE300" s="1319"/>
      <c r="DF300" s="1319"/>
      <c r="DG300" s="1320"/>
      <c r="DH300" s="1369"/>
      <c r="DI300" s="1319"/>
      <c r="DJ300" s="1319"/>
      <c r="DK300" s="1319"/>
      <c r="DL300" s="1320"/>
      <c r="DM300" s="1743"/>
      <c r="DN300" s="1744"/>
      <c r="DO300" s="1744"/>
      <c r="DP300" s="1745"/>
      <c r="DQ300" s="1744"/>
      <c r="DR300" s="1744"/>
      <c r="DS300" s="1744"/>
      <c r="DT300" s="1745"/>
      <c r="DU300" s="1328"/>
      <c r="DV300" s="1664"/>
      <c r="DW300" s="1746"/>
    </row>
    <row r="301" spans="1:127" s="382" customFormat="1" ht="15.75" customHeight="1">
      <c r="A301" s="1066" t="s">
        <v>1185</v>
      </c>
      <c r="B301" s="1026">
        <v>292</v>
      </c>
      <c r="C301" s="987"/>
      <c r="D301" s="987" t="s">
        <v>2381</v>
      </c>
      <c r="E301" s="987"/>
      <c r="F301" s="987"/>
      <c r="G301" s="987"/>
      <c r="H301" s="987"/>
      <c r="I301" s="987"/>
      <c r="J301" s="987"/>
      <c r="K301" s="987"/>
      <c r="L301" s="987"/>
      <c r="M301" s="1026"/>
      <c r="N301" s="987"/>
      <c r="O301" s="987"/>
      <c r="P301" s="987"/>
      <c r="Q301" s="987"/>
      <c r="R301" s="987"/>
      <c r="S301" s="987"/>
      <c r="T301" s="988"/>
      <c r="U301" s="1067" t="s">
        <v>1662</v>
      </c>
      <c r="V301" s="1068" t="s">
        <v>3225</v>
      </c>
      <c r="W301" s="1068" t="s">
        <v>3142</v>
      </c>
      <c r="X301" s="1069" t="s">
        <v>3231</v>
      </c>
      <c r="Y301" s="1070" t="s">
        <v>3232</v>
      </c>
      <c r="Z301" s="1071" t="s">
        <v>3233</v>
      </c>
      <c r="AA301" s="1072" t="s">
        <v>2260</v>
      </c>
      <c r="AB301" s="1073">
        <v>0.5</v>
      </c>
      <c r="AC301" s="1073">
        <v>0.5</v>
      </c>
      <c r="AD301" s="1073" t="s">
        <v>2260</v>
      </c>
      <c r="AE301" s="1073" t="s">
        <v>2260</v>
      </c>
      <c r="AF301" s="1073" t="s">
        <v>2260</v>
      </c>
      <c r="AG301" s="1073" t="s">
        <v>2260</v>
      </c>
      <c r="AH301" s="1073" t="s">
        <v>2260</v>
      </c>
      <c r="AI301" s="1074">
        <f t="shared" si="4"/>
        <v>1</v>
      </c>
      <c r="AJ301" s="1075" t="s">
        <v>1825</v>
      </c>
      <c r="AK301" s="1075" t="s">
        <v>4475</v>
      </c>
      <c r="AL301" s="1075" t="s">
        <v>4475</v>
      </c>
      <c r="AM301" s="1076" t="s">
        <v>3234</v>
      </c>
      <c r="AN301" s="987" t="s">
        <v>1902</v>
      </c>
      <c r="AO301" s="987" t="s">
        <v>3235</v>
      </c>
      <c r="AP301" s="1243">
        <v>0</v>
      </c>
      <c r="AQ301" s="1045" t="s">
        <v>1828</v>
      </c>
      <c r="AR301" s="1078" t="s">
        <v>2260</v>
      </c>
      <c r="AS301" s="1079"/>
      <c r="AT301" s="1069"/>
      <c r="AU301" s="1069"/>
      <c r="AV301" s="1069"/>
      <c r="AW301" s="1080"/>
      <c r="AX301" s="1081"/>
      <c r="AY301" s="1044"/>
      <c r="AZ301" s="1045"/>
      <c r="BA301" s="1045"/>
      <c r="BB301" s="1045"/>
      <c r="BC301" s="1045"/>
      <c r="BD301" s="1045"/>
      <c r="BE301" s="1045"/>
      <c r="BF301" s="1045"/>
      <c r="BG301" s="1045"/>
      <c r="BH301" s="1045"/>
      <c r="BI301" s="1369"/>
      <c r="BJ301" s="1319"/>
      <c r="BK301" s="1319"/>
      <c r="BL301" s="1319"/>
      <c r="BM301" s="1319"/>
      <c r="BN301" s="1044"/>
      <c r="BO301" s="1045"/>
      <c r="BP301" s="1045"/>
      <c r="BQ301" s="1045"/>
      <c r="BR301" s="1045"/>
      <c r="BS301" s="1084"/>
      <c r="BT301" s="1045"/>
      <c r="BU301" s="1045"/>
      <c r="BV301" s="1045"/>
      <c r="BW301" s="1085"/>
      <c r="BX301" s="1084"/>
      <c r="BY301" s="1045"/>
      <c r="BZ301" s="1045"/>
      <c r="CA301" s="1045"/>
      <c r="CB301" s="1085"/>
      <c r="CC301" s="1086"/>
      <c r="CD301" s="1327"/>
      <c r="CE301" s="1328"/>
      <c r="CF301" s="1328"/>
      <c r="CG301" s="1328"/>
      <c r="CH301" s="1389"/>
      <c r="CI301" s="1369"/>
      <c r="CJ301" s="1319"/>
      <c r="CK301" s="1319"/>
      <c r="CL301" s="1319"/>
      <c r="CM301" s="1320"/>
      <c r="CN301" s="1369"/>
      <c r="CO301" s="1319"/>
      <c r="CP301" s="1319"/>
      <c r="CQ301" s="1319"/>
      <c r="CR301" s="1320"/>
      <c r="CS301" s="1369"/>
      <c r="CT301" s="1319"/>
      <c r="CU301" s="1319"/>
      <c r="CV301" s="1319"/>
      <c r="CW301" s="1320"/>
      <c r="CX301" s="1369"/>
      <c r="CY301" s="1319"/>
      <c r="CZ301" s="1319"/>
      <c r="DA301" s="1319"/>
      <c r="DB301" s="1320"/>
      <c r="DC301" s="1319"/>
      <c r="DD301" s="1319"/>
      <c r="DE301" s="1319"/>
      <c r="DF301" s="1319"/>
      <c r="DG301" s="1320"/>
      <c r="DH301" s="1369"/>
      <c r="DI301" s="1319"/>
      <c r="DJ301" s="1319"/>
      <c r="DK301" s="1319"/>
      <c r="DL301" s="1320"/>
      <c r="DM301" s="1743"/>
      <c r="DN301" s="1744"/>
      <c r="DO301" s="1744"/>
      <c r="DP301" s="1745"/>
      <c r="DQ301" s="1744"/>
      <c r="DR301" s="1744"/>
      <c r="DS301" s="1744"/>
      <c r="DT301" s="1745"/>
      <c r="DU301" s="1328"/>
      <c r="DV301" s="1664"/>
      <c r="DW301" s="1746"/>
    </row>
    <row r="302" spans="1:127" s="382" customFormat="1" ht="15.75" customHeight="1">
      <c r="A302" s="1066" t="s">
        <v>1185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1676</v>
      </c>
      <c r="V302" s="1068" t="s">
        <v>3225</v>
      </c>
      <c r="W302" s="1068" t="s">
        <v>3142</v>
      </c>
      <c r="X302" s="1069" t="s">
        <v>3236</v>
      </c>
      <c r="Y302" s="1070" t="s">
        <v>3237</v>
      </c>
      <c r="Z302" s="1071" t="s">
        <v>3238</v>
      </c>
      <c r="AA302" s="1072" t="s">
        <v>2260</v>
      </c>
      <c r="AB302" s="1073">
        <v>0.5</v>
      </c>
      <c r="AC302" s="1073">
        <v>0.5</v>
      </c>
      <c r="AD302" s="1073" t="s">
        <v>2260</v>
      </c>
      <c r="AE302" s="1073" t="s">
        <v>2260</v>
      </c>
      <c r="AF302" s="1073" t="s">
        <v>2260</v>
      </c>
      <c r="AG302" s="1073" t="s">
        <v>2260</v>
      </c>
      <c r="AH302" s="1073" t="s">
        <v>2260</v>
      </c>
      <c r="AI302" s="1074">
        <f t="shared" si="4"/>
        <v>1</v>
      </c>
      <c r="AJ302" s="1075" t="s">
        <v>1825</v>
      </c>
      <c r="AK302" s="1075" t="s">
        <v>4475</v>
      </c>
      <c r="AL302" s="1075" t="s">
        <v>4475</v>
      </c>
      <c r="AM302" s="1076" t="s">
        <v>2537</v>
      </c>
      <c r="AN302" s="987" t="s">
        <v>321</v>
      </c>
      <c r="AO302" s="987" t="s">
        <v>3239</v>
      </c>
      <c r="AP302" s="1243">
        <v>0</v>
      </c>
      <c r="AQ302" s="1045" t="s">
        <v>1828</v>
      </c>
      <c r="AR302" s="1078" t="s">
        <v>2260</v>
      </c>
      <c r="AS302" s="1079"/>
      <c r="AT302" s="1069"/>
      <c r="AU302" s="1069"/>
      <c r="AV302" s="1069"/>
      <c r="AW302" s="1080"/>
      <c r="AX302" s="1081"/>
      <c r="AY302" s="1044"/>
      <c r="AZ302" s="1045"/>
      <c r="BA302" s="1045"/>
      <c r="BB302" s="1045"/>
      <c r="BC302" s="1045"/>
      <c r="BD302" s="1045"/>
      <c r="BE302" s="1045"/>
      <c r="BF302" s="1045"/>
      <c r="BG302" s="1045"/>
      <c r="BH302" s="1045"/>
      <c r="BI302" s="1369"/>
      <c r="BJ302" s="1319"/>
      <c r="BK302" s="1319"/>
      <c r="BL302" s="1319"/>
      <c r="BM302" s="1319"/>
      <c r="BN302" s="1044"/>
      <c r="BO302" s="1045"/>
      <c r="BP302" s="1045"/>
      <c r="BQ302" s="1045"/>
      <c r="BR302" s="1045"/>
      <c r="BS302" s="1084"/>
      <c r="BT302" s="1045"/>
      <c r="BU302" s="1045"/>
      <c r="BV302" s="1045"/>
      <c r="BW302" s="1085"/>
      <c r="BX302" s="1084"/>
      <c r="BY302" s="1045"/>
      <c r="BZ302" s="1045"/>
      <c r="CA302" s="1045"/>
      <c r="CB302" s="1085"/>
      <c r="CC302" s="1086"/>
      <c r="CD302" s="1327"/>
      <c r="CE302" s="1328"/>
      <c r="CF302" s="1328"/>
      <c r="CG302" s="1328"/>
      <c r="CH302" s="1389"/>
      <c r="CI302" s="1369"/>
      <c r="CJ302" s="1319"/>
      <c r="CK302" s="1319"/>
      <c r="CL302" s="1319"/>
      <c r="CM302" s="1320"/>
      <c r="CN302" s="1369"/>
      <c r="CO302" s="1319"/>
      <c r="CP302" s="1319"/>
      <c r="CQ302" s="1319"/>
      <c r="CR302" s="1320"/>
      <c r="CS302" s="1369"/>
      <c r="CT302" s="1319"/>
      <c r="CU302" s="1319"/>
      <c r="CV302" s="1319"/>
      <c r="CW302" s="1320"/>
      <c r="CX302" s="1369"/>
      <c r="CY302" s="1319"/>
      <c r="CZ302" s="1319"/>
      <c r="DA302" s="1319"/>
      <c r="DB302" s="1320"/>
      <c r="DC302" s="1319"/>
      <c r="DD302" s="1319"/>
      <c r="DE302" s="1319"/>
      <c r="DF302" s="1319"/>
      <c r="DG302" s="1320"/>
      <c r="DH302" s="1369"/>
      <c r="DI302" s="1319"/>
      <c r="DJ302" s="1319"/>
      <c r="DK302" s="1319"/>
      <c r="DL302" s="1320"/>
      <c r="DM302" s="1743"/>
      <c r="DN302" s="1744"/>
      <c r="DO302" s="1744"/>
      <c r="DP302" s="1745"/>
      <c r="DQ302" s="1744"/>
      <c r="DR302" s="1744"/>
      <c r="DS302" s="1744"/>
      <c r="DT302" s="1745"/>
      <c r="DU302" s="1328"/>
      <c r="DV302" s="1664"/>
      <c r="DW302" s="1746"/>
    </row>
    <row r="303" spans="1:127" s="382" customFormat="1" ht="15.75" customHeight="1">
      <c r="A303" s="1066" t="s">
        <v>1185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1201</v>
      </c>
      <c r="V303" s="1068" t="s">
        <v>3240</v>
      </c>
      <c r="W303" s="1068" t="s">
        <v>3127</v>
      </c>
      <c r="X303" s="1069" t="s">
        <v>3241</v>
      </c>
      <c r="Y303" s="1070" t="s">
        <v>179</v>
      </c>
      <c r="Z303" s="1071" t="s">
        <v>3242</v>
      </c>
      <c r="AA303" s="1072" t="s">
        <v>2260</v>
      </c>
      <c r="AB303" s="1073">
        <v>1</v>
      </c>
      <c r="AC303" s="1073" t="s">
        <v>2260</v>
      </c>
      <c r="AD303" s="1073" t="s">
        <v>2260</v>
      </c>
      <c r="AE303" s="1073" t="s">
        <v>2260</v>
      </c>
      <c r="AF303" s="1073" t="s">
        <v>2260</v>
      </c>
      <c r="AG303" s="1073" t="s">
        <v>2260</v>
      </c>
      <c r="AH303" s="1073" t="s">
        <v>2260</v>
      </c>
      <c r="AI303" s="1074">
        <f t="shared" si="4"/>
        <v>1</v>
      </c>
      <c r="AJ303" s="1075" t="s">
        <v>1852</v>
      </c>
      <c r="AK303" s="1075" t="s">
        <v>1826</v>
      </c>
      <c r="AL303" s="1075" t="s">
        <v>1827</v>
      </c>
      <c r="AM303" s="1076" t="s">
        <v>3243</v>
      </c>
      <c r="AN303" s="987" t="s">
        <v>4414</v>
      </c>
      <c r="AO303" s="987" t="s">
        <v>4415</v>
      </c>
      <c r="AP303" s="1276">
        <v>0</v>
      </c>
      <c r="AQ303" s="1045" t="s">
        <v>1838</v>
      </c>
      <c r="AR303" s="1078" t="s">
        <v>179</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210</v>
      </c>
      <c r="CE303" s="1088" t="s">
        <v>210</v>
      </c>
      <c r="CF303" s="1088" t="s">
        <v>210</v>
      </c>
      <c r="CG303" s="1088" t="s">
        <v>210</v>
      </c>
      <c r="CH303" s="1089" t="s">
        <v>210</v>
      </c>
      <c r="CI303" s="1118" t="s">
        <v>2260</v>
      </c>
      <c r="CJ303" s="1119" t="s">
        <v>2260</v>
      </c>
      <c r="CK303" s="1119" t="s">
        <v>2260</v>
      </c>
      <c r="CL303" s="1119" t="s">
        <v>2260</v>
      </c>
      <c r="CM303" s="1122" t="s">
        <v>2260</v>
      </c>
      <c r="CN303" s="1118">
        <v>1.5798611111111114E-2</v>
      </c>
      <c r="CO303" s="1119">
        <v>1.5798611111111114E-2</v>
      </c>
      <c r="CP303" s="1119">
        <v>1.5798611111111114E-2</v>
      </c>
      <c r="CQ303" s="1119">
        <v>1.5798611111111114E-2</v>
      </c>
      <c r="CR303" s="1122">
        <v>1.5798611111111114E-2</v>
      </c>
      <c r="CS303" s="1118" t="s">
        <v>2260</v>
      </c>
      <c r="CT303" s="1119" t="s">
        <v>2260</v>
      </c>
      <c r="CU303" s="1119" t="s">
        <v>2260</v>
      </c>
      <c r="CV303" s="1119" t="s">
        <v>2260</v>
      </c>
      <c r="CW303" s="1122" t="s">
        <v>2260</v>
      </c>
      <c r="CX303" s="1118" t="s">
        <v>2260</v>
      </c>
      <c r="CY303" s="1119" t="s">
        <v>2260</v>
      </c>
      <c r="CZ303" s="1119" t="s">
        <v>2260</v>
      </c>
      <c r="DA303" s="1119" t="s">
        <v>2260</v>
      </c>
      <c r="DB303" s="1122" t="s">
        <v>2260</v>
      </c>
      <c r="DC303" s="1119">
        <v>2.430555555555556E-3</v>
      </c>
      <c r="DD303" s="1119">
        <v>2.1759259259259258E-3</v>
      </c>
      <c r="DE303" s="1119">
        <v>1.9097222222222226E-3</v>
      </c>
      <c r="DF303" s="1119">
        <v>1.6550925925925928E-3</v>
      </c>
      <c r="DG303" s="1122">
        <v>1.3888888888888887E-3</v>
      </c>
      <c r="DH303" s="1118" t="s">
        <v>2260</v>
      </c>
      <c r="DI303" s="1119" t="s">
        <v>2260</v>
      </c>
      <c r="DJ303" s="1119" t="s">
        <v>2260</v>
      </c>
      <c r="DK303" s="1119" t="s">
        <v>2260</v>
      </c>
      <c r="DL303" s="1122" t="s">
        <v>2260</v>
      </c>
      <c r="DM303" s="1090">
        <v>-0.24399999999999999</v>
      </c>
      <c r="DN303" s="1091" t="s">
        <v>2260</v>
      </c>
      <c r="DO303" s="1091" t="s">
        <v>2260</v>
      </c>
      <c r="DP303" s="1092" t="s">
        <v>2260</v>
      </c>
      <c r="DQ303" s="1091">
        <v>0.24399999999999999</v>
      </c>
      <c r="DR303" s="1091" t="s">
        <v>2260</v>
      </c>
      <c r="DS303" s="1091" t="s">
        <v>2260</v>
      </c>
      <c r="DT303" s="1092" t="s">
        <v>2260</v>
      </c>
      <c r="DU303" s="1088" t="s">
        <v>2260</v>
      </c>
      <c r="DV303" s="1093">
        <v>1</v>
      </c>
      <c r="DW303" s="1094" t="s">
        <v>2260</v>
      </c>
    </row>
    <row r="304" spans="1:127" s="382" customFormat="1" ht="15.75" customHeight="1">
      <c r="A304" s="1066" t="s">
        <v>1185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1137</v>
      </c>
      <c r="V304" s="1068" t="s">
        <v>3240</v>
      </c>
      <c r="W304" s="1068" t="s">
        <v>3127</v>
      </c>
      <c r="X304" s="1069" t="s">
        <v>3245</v>
      </c>
      <c r="Y304" s="1070" t="s">
        <v>784</v>
      </c>
      <c r="Z304" s="1071" t="s">
        <v>3246</v>
      </c>
      <c r="AA304" s="1072" t="s">
        <v>2260</v>
      </c>
      <c r="AB304" s="1073" t="s">
        <v>2260</v>
      </c>
      <c r="AC304" s="1073">
        <v>1</v>
      </c>
      <c r="AD304" s="1073" t="s">
        <v>2260</v>
      </c>
      <c r="AE304" s="1073" t="s">
        <v>2260</v>
      </c>
      <c r="AF304" s="1073" t="s">
        <v>2260</v>
      </c>
      <c r="AG304" s="1073" t="s">
        <v>2260</v>
      </c>
      <c r="AH304" s="1073" t="s">
        <v>2260</v>
      </c>
      <c r="AI304" s="1074">
        <f t="shared" si="4"/>
        <v>1</v>
      </c>
      <c r="AJ304" s="1075" t="s">
        <v>1852</v>
      </c>
      <c r="AK304" s="1075" t="s">
        <v>1826</v>
      </c>
      <c r="AL304" s="1075" t="s">
        <v>1827</v>
      </c>
      <c r="AM304" s="1076" t="s">
        <v>3229</v>
      </c>
      <c r="AN304" s="987" t="s">
        <v>2439</v>
      </c>
      <c r="AO304" s="987" t="s">
        <v>4197</v>
      </c>
      <c r="AP304" s="1276">
        <v>2</v>
      </c>
      <c r="AQ304" s="1045" t="s">
        <v>1838</v>
      </c>
      <c r="AR304" s="1078" t="s">
        <v>784</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210</v>
      </c>
      <c r="CE304" s="1088" t="s">
        <v>210</v>
      </c>
      <c r="CF304" s="1088" t="s">
        <v>210</v>
      </c>
      <c r="CG304" s="1088" t="s">
        <v>210</v>
      </c>
      <c r="CH304" s="1089" t="s">
        <v>210</v>
      </c>
      <c r="CI304" s="1044" t="s">
        <v>2260</v>
      </c>
      <c r="CJ304" s="1045" t="s">
        <v>2260</v>
      </c>
      <c r="CK304" s="1045" t="s">
        <v>2260</v>
      </c>
      <c r="CL304" s="1045" t="s">
        <v>2260</v>
      </c>
      <c r="CM304" s="1086" t="s">
        <v>2260</v>
      </c>
      <c r="CN304" s="1044">
        <v>3.35</v>
      </c>
      <c r="CO304" s="1045">
        <v>3.35</v>
      </c>
      <c r="CP304" s="1045">
        <v>3.35</v>
      </c>
      <c r="CQ304" s="1045">
        <v>3.35</v>
      </c>
      <c r="CR304" s="1086">
        <v>3.35</v>
      </c>
      <c r="CS304" s="1044" t="s">
        <v>2260</v>
      </c>
      <c r="CT304" s="1045" t="s">
        <v>2260</v>
      </c>
      <c r="CU304" s="1045" t="s">
        <v>2260</v>
      </c>
      <c r="CV304" s="1045" t="s">
        <v>2260</v>
      </c>
      <c r="CW304" s="1086" t="s">
        <v>2260</v>
      </c>
      <c r="CX304" s="1044" t="s">
        <v>2260</v>
      </c>
      <c r="CY304" s="1045" t="s">
        <v>2260</v>
      </c>
      <c r="CZ304" s="1045" t="s">
        <v>2260</v>
      </c>
      <c r="DA304" s="1045" t="s">
        <v>2260</v>
      </c>
      <c r="DB304" s="1086" t="s">
        <v>2260</v>
      </c>
      <c r="DC304" s="1045">
        <v>1.38</v>
      </c>
      <c r="DD304" s="1045">
        <v>1.33</v>
      </c>
      <c r="DE304" s="1045">
        <v>1.28</v>
      </c>
      <c r="DF304" s="1045">
        <v>1.1399999999999999</v>
      </c>
      <c r="DG304" s="1086">
        <v>1.04</v>
      </c>
      <c r="DH304" s="1044" t="s">
        <v>2260</v>
      </c>
      <c r="DI304" s="1045" t="s">
        <v>2260</v>
      </c>
      <c r="DJ304" s="1045" t="s">
        <v>2260</v>
      </c>
      <c r="DK304" s="1045" t="s">
        <v>2260</v>
      </c>
      <c r="DL304" s="1086" t="s">
        <v>2260</v>
      </c>
      <c r="DM304" s="1090">
        <v>-5.5570000000000004</v>
      </c>
      <c r="DN304" s="1091" t="s">
        <v>2260</v>
      </c>
      <c r="DO304" s="1091" t="s">
        <v>2260</v>
      </c>
      <c r="DP304" s="1092" t="s">
        <v>2260</v>
      </c>
      <c r="DQ304" s="1091">
        <v>5.5570000000000004</v>
      </c>
      <c r="DR304" s="1091" t="s">
        <v>2260</v>
      </c>
      <c r="DS304" s="1091" t="s">
        <v>2260</v>
      </c>
      <c r="DT304" s="1092" t="s">
        <v>2260</v>
      </c>
      <c r="DU304" s="1088" t="s">
        <v>2260</v>
      </c>
      <c r="DV304" s="1093">
        <v>1</v>
      </c>
      <c r="DW304" s="1094" t="s">
        <v>2260</v>
      </c>
    </row>
    <row r="305" spans="1:127" s="382" customFormat="1" ht="15.75" customHeight="1">
      <c r="A305" s="1066" t="s">
        <v>1185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1151</v>
      </c>
      <c r="V305" s="1068" t="s">
        <v>3240</v>
      </c>
      <c r="W305" s="1068" t="s">
        <v>3127</v>
      </c>
      <c r="X305" s="1069" t="s">
        <v>3248</v>
      </c>
      <c r="Y305" s="1070" t="s">
        <v>788</v>
      </c>
      <c r="Z305" s="1071" t="s">
        <v>3249</v>
      </c>
      <c r="AA305" s="1072" t="s">
        <v>2260</v>
      </c>
      <c r="AB305" s="1073" t="s">
        <v>2260</v>
      </c>
      <c r="AC305" s="1073">
        <v>1</v>
      </c>
      <c r="AD305" s="1073" t="s">
        <v>2260</v>
      </c>
      <c r="AE305" s="1073" t="s">
        <v>2260</v>
      </c>
      <c r="AF305" s="1073" t="s">
        <v>2260</v>
      </c>
      <c r="AG305" s="1073" t="s">
        <v>2260</v>
      </c>
      <c r="AH305" s="1073" t="s">
        <v>2260</v>
      </c>
      <c r="AI305" s="1074">
        <f t="shared" si="4"/>
        <v>1</v>
      </c>
      <c r="AJ305" s="1075" t="s">
        <v>1852</v>
      </c>
      <c r="AK305" s="1075" t="s">
        <v>1826</v>
      </c>
      <c r="AL305" s="1075" t="s">
        <v>1827</v>
      </c>
      <c r="AM305" s="1076" t="s">
        <v>3250</v>
      </c>
      <c r="AN305" s="987" t="s">
        <v>2439</v>
      </c>
      <c r="AO305" s="987" t="s">
        <v>4431</v>
      </c>
      <c r="AP305" s="1276">
        <v>2</v>
      </c>
      <c r="AQ305" s="1045" t="s">
        <v>1838</v>
      </c>
      <c r="AR305" s="1078" t="s">
        <v>788</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210</v>
      </c>
      <c r="CE305" s="1088" t="s">
        <v>210</v>
      </c>
      <c r="CF305" s="1088" t="s">
        <v>210</v>
      </c>
      <c r="CG305" s="1088" t="s">
        <v>210</v>
      </c>
      <c r="CH305" s="1089" t="s">
        <v>210</v>
      </c>
      <c r="CI305" s="1044" t="s">
        <v>2260</v>
      </c>
      <c r="CJ305" s="1045" t="s">
        <v>2260</v>
      </c>
      <c r="CK305" s="1045" t="s">
        <v>2260</v>
      </c>
      <c r="CL305" s="1045" t="s">
        <v>2260</v>
      </c>
      <c r="CM305" s="1086" t="s">
        <v>2260</v>
      </c>
      <c r="CN305" s="1044">
        <v>49.01</v>
      </c>
      <c r="CO305" s="1045">
        <v>49.01</v>
      </c>
      <c r="CP305" s="1045">
        <v>49.01</v>
      </c>
      <c r="CQ305" s="1045">
        <v>49.01</v>
      </c>
      <c r="CR305" s="1086">
        <v>49.01</v>
      </c>
      <c r="CS305" s="1044" t="s">
        <v>2260</v>
      </c>
      <c r="CT305" s="1045" t="s">
        <v>2260</v>
      </c>
      <c r="CU305" s="1045" t="s">
        <v>2260</v>
      </c>
      <c r="CV305" s="1045" t="s">
        <v>2260</v>
      </c>
      <c r="CW305" s="1086" t="s">
        <v>2260</v>
      </c>
      <c r="CX305" s="1044" t="s">
        <v>2260</v>
      </c>
      <c r="CY305" s="1045" t="s">
        <v>2260</v>
      </c>
      <c r="CZ305" s="1045" t="s">
        <v>2260</v>
      </c>
      <c r="DA305" s="1045" t="s">
        <v>2260</v>
      </c>
      <c r="DB305" s="1086" t="s">
        <v>2260</v>
      </c>
      <c r="DC305" s="1045">
        <v>18.57</v>
      </c>
      <c r="DD305" s="1045">
        <v>17.8</v>
      </c>
      <c r="DE305" s="1045">
        <v>17.07</v>
      </c>
      <c r="DF305" s="1045">
        <v>16.47</v>
      </c>
      <c r="DG305" s="1086">
        <v>13.57</v>
      </c>
      <c r="DH305" s="1044" t="s">
        <v>2260</v>
      </c>
      <c r="DI305" s="1045" t="s">
        <v>2260</v>
      </c>
      <c r="DJ305" s="1045" t="s">
        <v>2260</v>
      </c>
      <c r="DK305" s="1045" t="s">
        <v>2260</v>
      </c>
      <c r="DL305" s="1086" t="s">
        <v>2260</v>
      </c>
      <c r="DM305" s="1090">
        <v>-0.315</v>
      </c>
      <c r="DN305" s="1091" t="s">
        <v>2260</v>
      </c>
      <c r="DO305" s="1091" t="s">
        <v>2260</v>
      </c>
      <c r="DP305" s="1092" t="s">
        <v>2260</v>
      </c>
      <c r="DQ305" s="1091">
        <v>0.27</v>
      </c>
      <c r="DR305" s="1091" t="s">
        <v>2260</v>
      </c>
      <c r="DS305" s="1091" t="s">
        <v>2260</v>
      </c>
      <c r="DT305" s="1092" t="s">
        <v>2260</v>
      </c>
      <c r="DU305" s="1088" t="s">
        <v>2260</v>
      </c>
      <c r="DV305" s="1093">
        <v>1</v>
      </c>
      <c r="DW305" s="1094" t="s">
        <v>2260</v>
      </c>
    </row>
    <row r="306" spans="1:127" s="382" customFormat="1" ht="15.75" customHeight="1">
      <c r="A306" s="1066" t="s">
        <v>1185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1210</v>
      </c>
      <c r="V306" s="1068" t="s">
        <v>3240</v>
      </c>
      <c r="W306" s="1068" t="s">
        <v>3142</v>
      </c>
      <c r="X306" s="1069" t="s">
        <v>3252</v>
      </c>
      <c r="Y306" s="1070" t="s">
        <v>567</v>
      </c>
      <c r="Z306" s="1071" t="s">
        <v>3253</v>
      </c>
      <c r="AA306" s="1072">
        <v>1</v>
      </c>
      <c r="AB306" s="1073" t="s">
        <v>2260</v>
      </c>
      <c r="AC306" s="1073" t="s">
        <v>2260</v>
      </c>
      <c r="AD306" s="1073" t="s">
        <v>2260</v>
      </c>
      <c r="AE306" s="1073" t="s">
        <v>2260</v>
      </c>
      <c r="AF306" s="1073" t="s">
        <v>2260</v>
      </c>
      <c r="AG306" s="1073" t="s">
        <v>2260</v>
      </c>
      <c r="AH306" s="1073" t="s">
        <v>2260</v>
      </c>
      <c r="AI306" s="1074">
        <f t="shared" si="4"/>
        <v>1</v>
      </c>
      <c r="AJ306" s="1075" t="s">
        <v>1825</v>
      </c>
      <c r="AK306" s="1075" t="s">
        <v>4475</v>
      </c>
      <c r="AL306" s="1075" t="s">
        <v>4475</v>
      </c>
      <c r="AM306" s="1076" t="s">
        <v>3254</v>
      </c>
      <c r="AN306" s="987" t="s">
        <v>321</v>
      </c>
      <c r="AO306" s="987" t="s">
        <v>4417</v>
      </c>
      <c r="AP306" s="1276">
        <v>1</v>
      </c>
      <c r="AQ306" s="1045" t="s">
        <v>1838</v>
      </c>
      <c r="AR306" s="1078" t="s">
        <v>567</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2260</v>
      </c>
      <c r="CE306" s="1088" t="s">
        <v>2260</v>
      </c>
      <c r="CF306" s="1088" t="s">
        <v>2260</v>
      </c>
      <c r="CG306" s="1088" t="s">
        <v>2260</v>
      </c>
      <c r="CH306" s="1089" t="s">
        <v>2260</v>
      </c>
      <c r="CI306" s="1044" t="s">
        <v>2260</v>
      </c>
      <c r="CJ306" s="1045" t="s">
        <v>2260</v>
      </c>
      <c r="CK306" s="1045" t="s">
        <v>2260</v>
      </c>
      <c r="CL306" s="1045" t="s">
        <v>2260</v>
      </c>
      <c r="CM306" s="1086" t="s">
        <v>2260</v>
      </c>
      <c r="CN306" s="1044" t="s">
        <v>2260</v>
      </c>
      <c r="CO306" s="1045" t="s">
        <v>2260</v>
      </c>
      <c r="CP306" s="1045" t="s">
        <v>2260</v>
      </c>
      <c r="CQ306" s="1045" t="s">
        <v>2260</v>
      </c>
      <c r="CR306" s="1086" t="s">
        <v>2260</v>
      </c>
      <c r="CS306" s="1044" t="s">
        <v>2260</v>
      </c>
      <c r="CT306" s="1045" t="s">
        <v>2260</v>
      </c>
      <c r="CU306" s="1045" t="s">
        <v>2260</v>
      </c>
      <c r="CV306" s="1045" t="s">
        <v>2260</v>
      </c>
      <c r="CW306" s="1086" t="s">
        <v>2260</v>
      </c>
      <c r="CX306" s="1044" t="s">
        <v>2260</v>
      </c>
      <c r="CY306" s="1045" t="s">
        <v>2260</v>
      </c>
      <c r="CZ306" s="1045" t="s">
        <v>2260</v>
      </c>
      <c r="DA306" s="1045" t="s">
        <v>2260</v>
      </c>
      <c r="DB306" s="1086" t="s">
        <v>2260</v>
      </c>
      <c r="DC306" s="1045" t="s">
        <v>2260</v>
      </c>
      <c r="DD306" s="1045" t="s">
        <v>2260</v>
      </c>
      <c r="DE306" s="1045" t="s">
        <v>2260</v>
      </c>
      <c r="DF306" s="1045" t="s">
        <v>2260</v>
      </c>
      <c r="DG306" s="1086" t="s">
        <v>2260</v>
      </c>
      <c r="DH306" s="1044" t="s">
        <v>2260</v>
      </c>
      <c r="DI306" s="1045" t="s">
        <v>2260</v>
      </c>
      <c r="DJ306" s="1045" t="s">
        <v>2260</v>
      </c>
      <c r="DK306" s="1045" t="s">
        <v>2260</v>
      </c>
      <c r="DL306" s="1086" t="s">
        <v>2260</v>
      </c>
      <c r="DM306" s="1090" t="s">
        <v>2260</v>
      </c>
      <c r="DN306" s="1091" t="s">
        <v>2260</v>
      </c>
      <c r="DO306" s="1091" t="s">
        <v>2260</v>
      </c>
      <c r="DP306" s="1092" t="s">
        <v>2260</v>
      </c>
      <c r="DQ306" s="1091" t="s">
        <v>2260</v>
      </c>
      <c r="DR306" s="1091" t="s">
        <v>2260</v>
      </c>
      <c r="DS306" s="1091" t="s">
        <v>2260</v>
      </c>
      <c r="DT306" s="1092" t="s">
        <v>2260</v>
      </c>
      <c r="DU306" s="1088" t="s">
        <v>2260</v>
      </c>
      <c r="DV306" s="1093">
        <v>1</v>
      </c>
      <c r="DW306" s="1094" t="s">
        <v>2260</v>
      </c>
    </row>
    <row r="307" spans="1:127" s="382" customFormat="1" ht="15.75" customHeight="1">
      <c r="A307" s="1066" t="s">
        <v>1185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1142</v>
      </c>
      <c r="V307" s="1068" t="s">
        <v>3240</v>
      </c>
      <c r="W307" s="1068" t="s">
        <v>3142</v>
      </c>
      <c r="X307" s="1069" t="s">
        <v>3256</v>
      </c>
      <c r="Y307" s="1070" t="s">
        <v>891</v>
      </c>
      <c r="Z307" s="1071" t="s">
        <v>3257</v>
      </c>
      <c r="AA307" s="1072" t="s">
        <v>2260</v>
      </c>
      <c r="AB307" s="1073" t="s">
        <v>2260</v>
      </c>
      <c r="AC307" s="1073">
        <v>1</v>
      </c>
      <c r="AD307" s="1073" t="s">
        <v>2260</v>
      </c>
      <c r="AE307" s="1073" t="s">
        <v>2260</v>
      </c>
      <c r="AF307" s="1073" t="s">
        <v>2260</v>
      </c>
      <c r="AG307" s="1073" t="s">
        <v>2260</v>
      </c>
      <c r="AH307" s="1073" t="s">
        <v>2260</v>
      </c>
      <c r="AI307" s="1074">
        <f t="shared" si="4"/>
        <v>1</v>
      </c>
      <c r="AJ307" s="1075" t="s">
        <v>1825</v>
      </c>
      <c r="AK307" s="1075" t="s">
        <v>4475</v>
      </c>
      <c r="AL307" s="1075" t="s">
        <v>4475</v>
      </c>
      <c r="AM307" s="1076" t="s">
        <v>3254</v>
      </c>
      <c r="AN307" s="987" t="s">
        <v>321</v>
      </c>
      <c r="AO307" s="987" t="s">
        <v>4417</v>
      </c>
      <c r="AP307" s="1276">
        <v>2</v>
      </c>
      <c r="AQ307" s="1045" t="s">
        <v>1838</v>
      </c>
      <c r="AR307" s="1078" t="s">
        <v>891</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2260</v>
      </c>
      <c r="CE307" s="1088" t="s">
        <v>2260</v>
      </c>
      <c r="CF307" s="1088" t="s">
        <v>2260</v>
      </c>
      <c r="CG307" s="1088" t="s">
        <v>2260</v>
      </c>
      <c r="CH307" s="1089" t="s">
        <v>2260</v>
      </c>
      <c r="CI307" s="1044" t="s">
        <v>2260</v>
      </c>
      <c r="CJ307" s="1045" t="s">
        <v>2260</v>
      </c>
      <c r="CK307" s="1045" t="s">
        <v>2260</v>
      </c>
      <c r="CL307" s="1045" t="s">
        <v>2260</v>
      </c>
      <c r="CM307" s="1086" t="s">
        <v>2260</v>
      </c>
      <c r="CN307" s="1044" t="s">
        <v>2260</v>
      </c>
      <c r="CO307" s="1045" t="s">
        <v>2260</v>
      </c>
      <c r="CP307" s="1045" t="s">
        <v>2260</v>
      </c>
      <c r="CQ307" s="1045" t="s">
        <v>2260</v>
      </c>
      <c r="CR307" s="1086" t="s">
        <v>2260</v>
      </c>
      <c r="CS307" s="1044" t="s">
        <v>2260</v>
      </c>
      <c r="CT307" s="1045" t="s">
        <v>2260</v>
      </c>
      <c r="CU307" s="1045" t="s">
        <v>2260</v>
      </c>
      <c r="CV307" s="1045" t="s">
        <v>2260</v>
      </c>
      <c r="CW307" s="1086" t="s">
        <v>2260</v>
      </c>
      <c r="CX307" s="1044" t="s">
        <v>2260</v>
      </c>
      <c r="CY307" s="1045" t="s">
        <v>2260</v>
      </c>
      <c r="CZ307" s="1045" t="s">
        <v>2260</v>
      </c>
      <c r="DA307" s="1045" t="s">
        <v>2260</v>
      </c>
      <c r="DB307" s="1086" t="s">
        <v>2260</v>
      </c>
      <c r="DC307" s="1045" t="s">
        <v>2260</v>
      </c>
      <c r="DD307" s="1045" t="s">
        <v>2260</v>
      </c>
      <c r="DE307" s="1045" t="s">
        <v>2260</v>
      </c>
      <c r="DF307" s="1045" t="s">
        <v>2260</v>
      </c>
      <c r="DG307" s="1086" t="s">
        <v>2260</v>
      </c>
      <c r="DH307" s="1044" t="s">
        <v>2260</v>
      </c>
      <c r="DI307" s="1045" t="s">
        <v>2260</v>
      </c>
      <c r="DJ307" s="1045" t="s">
        <v>2260</v>
      </c>
      <c r="DK307" s="1045" t="s">
        <v>2260</v>
      </c>
      <c r="DL307" s="1086" t="s">
        <v>2260</v>
      </c>
      <c r="DM307" s="1090" t="s">
        <v>2260</v>
      </c>
      <c r="DN307" s="1091" t="s">
        <v>2260</v>
      </c>
      <c r="DO307" s="1091" t="s">
        <v>2260</v>
      </c>
      <c r="DP307" s="1092" t="s">
        <v>2260</v>
      </c>
      <c r="DQ307" s="1091" t="s">
        <v>2260</v>
      </c>
      <c r="DR307" s="1091" t="s">
        <v>2260</v>
      </c>
      <c r="DS307" s="1091" t="s">
        <v>2260</v>
      </c>
      <c r="DT307" s="1092" t="s">
        <v>2260</v>
      </c>
      <c r="DU307" s="1088" t="s">
        <v>2260</v>
      </c>
      <c r="DV307" s="1093">
        <v>1</v>
      </c>
      <c r="DW307" s="1094" t="s">
        <v>2260</v>
      </c>
    </row>
    <row r="308" spans="1:127" s="382" customFormat="1" ht="15.75" customHeight="1">
      <c r="A308" s="1066" t="s">
        <v>1185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1204</v>
      </c>
      <c r="V308" s="1068" t="s">
        <v>3240</v>
      </c>
      <c r="W308" s="1068" t="s">
        <v>3127</v>
      </c>
      <c r="X308" s="1069" t="s">
        <v>3259</v>
      </c>
      <c r="Y308" s="1070" t="s">
        <v>203</v>
      </c>
      <c r="Z308" s="1071" t="s">
        <v>3260</v>
      </c>
      <c r="AA308" s="1072" t="s">
        <v>2260</v>
      </c>
      <c r="AB308" s="1073">
        <v>1</v>
      </c>
      <c r="AC308" s="1073" t="s">
        <v>2260</v>
      </c>
      <c r="AD308" s="1073" t="s">
        <v>2260</v>
      </c>
      <c r="AE308" s="1073" t="s">
        <v>2260</v>
      </c>
      <c r="AF308" s="1073" t="s">
        <v>2260</v>
      </c>
      <c r="AG308" s="1073" t="s">
        <v>2260</v>
      </c>
      <c r="AH308" s="1073" t="s">
        <v>2260</v>
      </c>
      <c r="AI308" s="1074">
        <f t="shared" si="4"/>
        <v>1</v>
      </c>
      <c r="AJ308" s="1075" t="s">
        <v>1852</v>
      </c>
      <c r="AK308" s="1075" t="s">
        <v>1826</v>
      </c>
      <c r="AL308" s="1075" t="s">
        <v>1827</v>
      </c>
      <c r="AM308" s="1076" t="s">
        <v>3261</v>
      </c>
      <c r="AN308" s="987" t="s">
        <v>2439</v>
      </c>
      <c r="AO308" s="987" t="s">
        <v>4419</v>
      </c>
      <c r="AP308" s="1276">
        <v>1</v>
      </c>
      <c r="AQ308" s="1045" t="s">
        <v>1838</v>
      </c>
      <c r="AR308" s="1078" t="s">
        <v>203</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210</v>
      </c>
      <c r="CE308" s="1088" t="s">
        <v>210</v>
      </c>
      <c r="CF308" s="1088" t="s">
        <v>210</v>
      </c>
      <c r="CG308" s="1088" t="s">
        <v>210</v>
      </c>
      <c r="CH308" s="1089" t="s">
        <v>210</v>
      </c>
      <c r="CI308" s="1044" t="s">
        <v>2260</v>
      </c>
      <c r="CJ308" s="1045" t="s">
        <v>2260</v>
      </c>
      <c r="CK308" s="1045" t="s">
        <v>2260</v>
      </c>
      <c r="CL308" s="1045" t="s">
        <v>2260</v>
      </c>
      <c r="CM308" s="1086" t="s">
        <v>2260</v>
      </c>
      <c r="CN308" s="1044">
        <v>180.8</v>
      </c>
      <c r="CO308" s="1045">
        <v>180.8</v>
      </c>
      <c r="CP308" s="1045">
        <v>180.8</v>
      </c>
      <c r="CQ308" s="1045">
        <v>180.8</v>
      </c>
      <c r="CR308" s="1086">
        <v>180.8</v>
      </c>
      <c r="CS308" s="1044" t="s">
        <v>2260</v>
      </c>
      <c r="CT308" s="1045" t="s">
        <v>2260</v>
      </c>
      <c r="CU308" s="1045" t="s">
        <v>2260</v>
      </c>
      <c r="CV308" s="1045" t="s">
        <v>2260</v>
      </c>
      <c r="CW308" s="1086" t="s">
        <v>2260</v>
      </c>
      <c r="CX308" s="1044" t="s">
        <v>2260</v>
      </c>
      <c r="CY308" s="1045" t="s">
        <v>2260</v>
      </c>
      <c r="CZ308" s="1045" t="s">
        <v>2260</v>
      </c>
      <c r="DA308" s="1045" t="s">
        <v>2260</v>
      </c>
      <c r="DB308" s="1086" t="s">
        <v>2260</v>
      </c>
      <c r="DC308" s="1045">
        <v>106.7</v>
      </c>
      <c r="DD308" s="1045">
        <v>95.9</v>
      </c>
      <c r="DE308" s="1045">
        <v>85.3</v>
      </c>
      <c r="DF308" s="1045">
        <v>75</v>
      </c>
      <c r="DG308" s="1086">
        <v>64.900000000000006</v>
      </c>
      <c r="DH308" s="1044" t="s">
        <v>2260</v>
      </c>
      <c r="DI308" s="1045" t="s">
        <v>2260</v>
      </c>
      <c r="DJ308" s="1045" t="s">
        <v>2260</v>
      </c>
      <c r="DK308" s="1045" t="s">
        <v>2260</v>
      </c>
      <c r="DL308" s="1086" t="s">
        <v>2260</v>
      </c>
      <c r="DM308" s="1090">
        <v>-8.4000000000000005E-2</v>
      </c>
      <c r="DN308" s="1091" t="s">
        <v>2260</v>
      </c>
      <c r="DO308" s="1091" t="s">
        <v>2260</v>
      </c>
      <c r="DP308" s="1092" t="s">
        <v>2260</v>
      </c>
      <c r="DQ308" s="1091">
        <v>5.5E-2</v>
      </c>
      <c r="DR308" s="1091" t="s">
        <v>2260</v>
      </c>
      <c r="DS308" s="1091" t="s">
        <v>2260</v>
      </c>
      <c r="DT308" s="1092" t="s">
        <v>2260</v>
      </c>
      <c r="DU308" s="1088" t="s">
        <v>2260</v>
      </c>
      <c r="DV308" s="1093">
        <v>1</v>
      </c>
      <c r="DW308" s="1094" t="s">
        <v>2260</v>
      </c>
    </row>
    <row r="309" spans="1:127" s="382" customFormat="1" ht="15.75" customHeight="1">
      <c r="A309" s="1066" t="s">
        <v>1185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1205</v>
      </c>
      <c r="V309" s="1068" t="s">
        <v>3240</v>
      </c>
      <c r="W309" s="1068" t="s">
        <v>3142</v>
      </c>
      <c r="X309" s="1069" t="s">
        <v>3263</v>
      </c>
      <c r="Y309" s="1070" t="s">
        <v>209</v>
      </c>
      <c r="Z309" s="1071" t="s">
        <v>3264</v>
      </c>
      <c r="AA309" s="1072" t="s">
        <v>2260</v>
      </c>
      <c r="AB309" s="1073">
        <v>1</v>
      </c>
      <c r="AC309" s="1073" t="s">
        <v>2260</v>
      </c>
      <c r="AD309" s="1073" t="s">
        <v>2260</v>
      </c>
      <c r="AE309" s="1073" t="s">
        <v>2260</v>
      </c>
      <c r="AF309" s="1073" t="s">
        <v>2260</v>
      </c>
      <c r="AG309" s="1073" t="s">
        <v>2260</v>
      </c>
      <c r="AH309" s="1073" t="s">
        <v>2260</v>
      </c>
      <c r="AI309" s="1074">
        <f t="shared" si="4"/>
        <v>1</v>
      </c>
      <c r="AJ309" s="1075" t="s">
        <v>1846</v>
      </c>
      <c r="AK309" s="1075" t="s">
        <v>1826</v>
      </c>
      <c r="AL309" s="1075" t="s">
        <v>1827</v>
      </c>
      <c r="AM309" s="1076" t="s">
        <v>3265</v>
      </c>
      <c r="AN309" s="987" t="s">
        <v>321</v>
      </c>
      <c r="AO309" s="987" t="s">
        <v>4418</v>
      </c>
      <c r="AP309" s="1276">
        <v>2</v>
      </c>
      <c r="AQ309" s="1045" t="s">
        <v>1838</v>
      </c>
      <c r="AR309" s="1078" t="s">
        <v>209</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210</v>
      </c>
      <c r="CE309" s="1088" t="s">
        <v>210</v>
      </c>
      <c r="CF309" s="1088" t="s">
        <v>210</v>
      </c>
      <c r="CG309" s="1088" t="s">
        <v>210</v>
      </c>
      <c r="CH309" s="1089" t="s">
        <v>210</v>
      </c>
      <c r="CI309" s="1044" t="s">
        <v>2260</v>
      </c>
      <c r="CJ309" s="1045" t="s">
        <v>2260</v>
      </c>
      <c r="CK309" s="1045" t="s">
        <v>2260</v>
      </c>
      <c r="CL309" s="1045" t="s">
        <v>2260</v>
      </c>
      <c r="CM309" s="1086" t="s">
        <v>2260</v>
      </c>
      <c r="CN309" s="1044">
        <v>18.88</v>
      </c>
      <c r="CO309" s="1045">
        <v>18.88</v>
      </c>
      <c r="CP309" s="1045">
        <v>18.88</v>
      </c>
      <c r="CQ309" s="1045">
        <v>18.88</v>
      </c>
      <c r="CR309" s="1086">
        <v>18.88</v>
      </c>
      <c r="CS309" s="1044" t="s">
        <v>2260</v>
      </c>
      <c r="CT309" s="1045" t="s">
        <v>2260</v>
      </c>
      <c r="CU309" s="1045" t="s">
        <v>2260</v>
      </c>
      <c r="CV309" s="1045" t="s">
        <v>2260</v>
      </c>
      <c r="CW309" s="1086" t="s">
        <v>2260</v>
      </c>
      <c r="CX309" s="1044" t="s">
        <v>2260</v>
      </c>
      <c r="CY309" s="1045" t="s">
        <v>2260</v>
      </c>
      <c r="CZ309" s="1045" t="s">
        <v>2260</v>
      </c>
      <c r="DA309" s="1045" t="s">
        <v>2260</v>
      </c>
      <c r="DB309" s="1086" t="s">
        <v>2260</v>
      </c>
      <c r="DC309" s="1045" t="s">
        <v>2260</v>
      </c>
      <c r="DD309" s="1045" t="s">
        <v>2260</v>
      </c>
      <c r="DE309" s="1045" t="s">
        <v>2260</v>
      </c>
      <c r="DF309" s="1045" t="s">
        <v>2260</v>
      </c>
      <c r="DG309" s="1086" t="s">
        <v>2260</v>
      </c>
      <c r="DH309" s="1044" t="s">
        <v>2260</v>
      </c>
      <c r="DI309" s="1045" t="s">
        <v>2260</v>
      </c>
      <c r="DJ309" s="1045" t="s">
        <v>2260</v>
      </c>
      <c r="DK309" s="1045" t="s">
        <v>2260</v>
      </c>
      <c r="DL309" s="1086" t="s">
        <v>2260</v>
      </c>
      <c r="DM309" s="1090">
        <v>-0.89600000000000002</v>
      </c>
      <c r="DN309" s="1091" t="s">
        <v>2260</v>
      </c>
      <c r="DO309" s="1091" t="s">
        <v>2260</v>
      </c>
      <c r="DP309" s="1092" t="s">
        <v>2260</v>
      </c>
      <c r="DQ309" s="1091" t="s">
        <v>2260</v>
      </c>
      <c r="DR309" s="1091" t="s">
        <v>2260</v>
      </c>
      <c r="DS309" s="1091" t="s">
        <v>2260</v>
      </c>
      <c r="DT309" s="1092" t="s">
        <v>2260</v>
      </c>
      <c r="DU309" s="1088" t="s">
        <v>2260</v>
      </c>
      <c r="DV309" s="1093">
        <v>1</v>
      </c>
      <c r="DW309" s="1094" t="s">
        <v>2260</v>
      </c>
    </row>
    <row r="310" spans="1:127" s="382" customFormat="1" ht="15.75" customHeight="1">
      <c r="A310" s="1066" t="s">
        <v>1185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1138</v>
      </c>
      <c r="V310" s="1068" t="s">
        <v>3240</v>
      </c>
      <c r="W310" s="1068" t="s">
        <v>3127</v>
      </c>
      <c r="X310" s="1069" t="s">
        <v>3266</v>
      </c>
      <c r="Y310" s="1070" t="s">
        <v>795</v>
      </c>
      <c r="Z310" s="1071" t="s">
        <v>3267</v>
      </c>
      <c r="AA310" s="1072" t="s">
        <v>2260</v>
      </c>
      <c r="AB310" s="1073" t="s">
        <v>2260</v>
      </c>
      <c r="AC310" s="1073">
        <v>1</v>
      </c>
      <c r="AD310" s="1073" t="s">
        <v>2260</v>
      </c>
      <c r="AE310" s="1073" t="s">
        <v>2260</v>
      </c>
      <c r="AF310" s="1073" t="s">
        <v>2260</v>
      </c>
      <c r="AG310" s="1073" t="s">
        <v>2260</v>
      </c>
      <c r="AH310" s="1073" t="s">
        <v>2260</v>
      </c>
      <c r="AI310" s="1074">
        <f t="shared" si="4"/>
        <v>1</v>
      </c>
      <c r="AJ310" s="1075" t="s">
        <v>1846</v>
      </c>
      <c r="AK310" s="1075" t="s">
        <v>1826</v>
      </c>
      <c r="AL310" s="1075" t="s">
        <v>1827</v>
      </c>
      <c r="AM310" s="1076" t="s">
        <v>3268</v>
      </c>
      <c r="AN310" s="987" t="s">
        <v>2439</v>
      </c>
      <c r="AO310" s="987" t="s">
        <v>4432</v>
      </c>
      <c r="AP310" s="1276">
        <v>2</v>
      </c>
      <c r="AQ310" s="1045" t="s">
        <v>1838</v>
      </c>
      <c r="AR310" s="1078" t="s">
        <v>795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210</v>
      </c>
      <c r="CE310" s="1088" t="s">
        <v>210</v>
      </c>
      <c r="CF310" s="1088" t="s">
        <v>210</v>
      </c>
      <c r="CG310" s="1088" t="s">
        <v>210</v>
      </c>
      <c r="CH310" s="1089" t="s">
        <v>210</v>
      </c>
      <c r="CI310" s="1044" t="s">
        <v>2260</v>
      </c>
      <c r="CJ310" s="1045" t="s">
        <v>2260</v>
      </c>
      <c r="CK310" s="1045" t="s">
        <v>2260</v>
      </c>
      <c r="CL310" s="1045" t="s">
        <v>2260</v>
      </c>
      <c r="CM310" s="1086" t="s">
        <v>2260</v>
      </c>
      <c r="CN310" s="1044" t="s">
        <v>2260</v>
      </c>
      <c r="CO310" s="1045" t="s">
        <v>2260</v>
      </c>
      <c r="CP310" s="1045" t="s">
        <v>2260</v>
      </c>
      <c r="CQ310" s="1045" t="s">
        <v>2260</v>
      </c>
      <c r="CR310" s="1086" t="s">
        <v>2260</v>
      </c>
      <c r="CS310" s="1044" t="s">
        <v>2260</v>
      </c>
      <c r="CT310" s="1045" t="s">
        <v>2260</v>
      </c>
      <c r="CU310" s="1045" t="s">
        <v>2260</v>
      </c>
      <c r="CV310" s="1045" t="s">
        <v>2260</v>
      </c>
      <c r="CW310" s="1086" t="s">
        <v>2260</v>
      </c>
      <c r="CX310" s="1044" t="s">
        <v>2260</v>
      </c>
      <c r="CY310" s="1045" t="s">
        <v>2260</v>
      </c>
      <c r="CZ310" s="1045" t="s">
        <v>2260</v>
      </c>
      <c r="DA310" s="1045" t="s">
        <v>2260</v>
      </c>
      <c r="DB310" s="1086" t="s">
        <v>2260</v>
      </c>
      <c r="DC310" s="1045" t="s">
        <v>2260</v>
      </c>
      <c r="DD310" s="1045" t="s">
        <v>2260</v>
      </c>
      <c r="DE310" s="1045" t="s">
        <v>2260</v>
      </c>
      <c r="DF310" s="1045" t="s">
        <v>2260</v>
      </c>
      <c r="DG310" s="1086" t="s">
        <v>2260</v>
      </c>
      <c r="DH310" s="1044" t="s">
        <v>2260</v>
      </c>
      <c r="DI310" s="1045" t="s">
        <v>2260</v>
      </c>
      <c r="DJ310" s="1045" t="s">
        <v>2260</v>
      </c>
      <c r="DK310" s="1045" t="s">
        <v>2260</v>
      </c>
      <c r="DL310" s="1086" t="s">
        <v>2260</v>
      </c>
      <c r="DM310" s="1090">
        <v>-1.843</v>
      </c>
      <c r="DN310" s="1091" t="s">
        <v>2260</v>
      </c>
      <c r="DO310" s="1091" t="s">
        <v>2260</v>
      </c>
      <c r="DP310" s="1092" t="s">
        <v>2260</v>
      </c>
      <c r="DQ310" s="1091" t="s">
        <v>2260</v>
      </c>
      <c r="DR310" s="1091" t="s">
        <v>2260</v>
      </c>
      <c r="DS310" s="1091" t="s">
        <v>2260</v>
      </c>
      <c r="DT310" s="1092" t="s">
        <v>2260</v>
      </c>
      <c r="DU310" s="1088" t="s">
        <v>2260</v>
      </c>
      <c r="DV310" s="1093">
        <v>1</v>
      </c>
      <c r="DW310" s="1094" t="s">
        <v>2260</v>
      </c>
    </row>
    <row r="311" spans="1:127" s="382" customFormat="1" ht="15.75" customHeight="1">
      <c r="A311" s="1066" t="s">
        <v>1185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1139</v>
      </c>
      <c r="V311" s="1068" t="s">
        <v>3240</v>
      </c>
      <c r="W311" s="1068" t="s">
        <v>3127</v>
      </c>
      <c r="X311" s="1069" t="s">
        <v>3270</v>
      </c>
      <c r="Y311" s="1070" t="s">
        <v>1085</v>
      </c>
      <c r="Z311" s="1071" t="s">
        <v>3271</v>
      </c>
      <c r="AA311" s="1072" t="s">
        <v>2260</v>
      </c>
      <c r="AB311" s="1073" t="s">
        <v>2260</v>
      </c>
      <c r="AC311" s="1073">
        <v>1</v>
      </c>
      <c r="AD311" s="1073" t="s">
        <v>2260</v>
      </c>
      <c r="AE311" s="1073" t="s">
        <v>2260</v>
      </c>
      <c r="AF311" s="1073" t="s">
        <v>2260</v>
      </c>
      <c r="AG311" s="1073" t="s">
        <v>2260</v>
      </c>
      <c r="AH311" s="1073" t="s">
        <v>2260</v>
      </c>
      <c r="AI311" s="1074">
        <f t="shared" si="4"/>
        <v>1</v>
      </c>
      <c r="AJ311" s="1075" t="s">
        <v>1846</v>
      </c>
      <c r="AK311" s="1075" t="s">
        <v>1826</v>
      </c>
      <c r="AL311" s="1075" t="s">
        <v>1827</v>
      </c>
      <c r="AM311" s="1076" t="s">
        <v>3272</v>
      </c>
      <c r="AN311" s="987" t="s">
        <v>321</v>
      </c>
      <c r="AO311" s="987" t="s">
        <v>2649</v>
      </c>
      <c r="AP311" s="1276">
        <v>2</v>
      </c>
      <c r="AQ311" s="1045" t="s">
        <v>1828</v>
      </c>
      <c r="AR311" s="1078" t="s">
        <v>1085</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210</v>
      </c>
      <c r="CE311" s="1088" t="s">
        <v>210</v>
      </c>
      <c r="CF311" s="1088" t="s">
        <v>210</v>
      </c>
      <c r="CG311" s="1088" t="s">
        <v>210</v>
      </c>
      <c r="CH311" s="1089" t="s">
        <v>210</v>
      </c>
      <c r="CI311" s="1044" t="s">
        <v>2260</v>
      </c>
      <c r="CJ311" s="1045" t="s">
        <v>2260</v>
      </c>
      <c r="CK311" s="1045" t="s">
        <v>2260</v>
      </c>
      <c r="CL311" s="1045" t="s">
        <v>2260</v>
      </c>
      <c r="CM311" s="1086" t="s">
        <v>2260</v>
      </c>
      <c r="CN311" s="1044">
        <v>97</v>
      </c>
      <c r="CO311" s="1045">
        <v>97</v>
      </c>
      <c r="CP311" s="1045">
        <v>97</v>
      </c>
      <c r="CQ311" s="1045">
        <v>97</v>
      </c>
      <c r="CR311" s="1086">
        <v>97</v>
      </c>
      <c r="CS311" s="1044">
        <v>99</v>
      </c>
      <c r="CT311" s="1045">
        <v>99</v>
      </c>
      <c r="CU311" s="1045">
        <v>99</v>
      </c>
      <c r="CV311" s="1045">
        <v>99</v>
      </c>
      <c r="CW311" s="1086">
        <v>99</v>
      </c>
      <c r="CX311" s="1044" t="s">
        <v>2260</v>
      </c>
      <c r="CY311" s="1045" t="s">
        <v>2260</v>
      </c>
      <c r="CZ311" s="1045" t="s">
        <v>2260</v>
      </c>
      <c r="DA311" s="1045" t="s">
        <v>2260</v>
      </c>
      <c r="DB311" s="1086" t="s">
        <v>2260</v>
      </c>
      <c r="DC311" s="1045" t="s">
        <v>2260</v>
      </c>
      <c r="DD311" s="1045" t="s">
        <v>2260</v>
      </c>
      <c r="DE311" s="1045" t="s">
        <v>2260</v>
      </c>
      <c r="DF311" s="1045" t="s">
        <v>2260</v>
      </c>
      <c r="DG311" s="1086" t="s">
        <v>2260</v>
      </c>
      <c r="DH311" s="1044" t="s">
        <v>2260</v>
      </c>
      <c r="DI311" s="1045" t="s">
        <v>2260</v>
      </c>
      <c r="DJ311" s="1045" t="s">
        <v>2260</v>
      </c>
      <c r="DK311" s="1045" t="s">
        <v>2260</v>
      </c>
      <c r="DL311" s="1086" t="s">
        <v>2260</v>
      </c>
      <c r="DM311" s="1090">
        <v>-10</v>
      </c>
      <c r="DN311" s="1091" t="s">
        <v>2260</v>
      </c>
      <c r="DO311" s="1091" t="s">
        <v>2260</v>
      </c>
      <c r="DP311" s="1092" t="s">
        <v>2260</v>
      </c>
      <c r="DQ311" s="1091" t="s">
        <v>2260</v>
      </c>
      <c r="DR311" s="1091" t="s">
        <v>2260</v>
      </c>
      <c r="DS311" s="1091" t="s">
        <v>2260</v>
      </c>
      <c r="DT311" s="1092" t="s">
        <v>2260</v>
      </c>
      <c r="DU311" s="1088" t="s">
        <v>2260</v>
      </c>
      <c r="DV311" s="1093">
        <v>1</v>
      </c>
      <c r="DW311" s="1094" t="s">
        <v>2260</v>
      </c>
    </row>
    <row r="312" spans="1:127" s="382" customFormat="1" ht="15.75" customHeight="1">
      <c r="A312" s="1066" t="s">
        <v>1185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1688</v>
      </c>
      <c r="V312" s="1068" t="s">
        <v>3240</v>
      </c>
      <c r="W312" s="1068" t="s">
        <v>3142</v>
      </c>
      <c r="X312" s="1069" t="s">
        <v>3274</v>
      </c>
      <c r="Y312" s="1070" t="s">
        <v>3275</v>
      </c>
      <c r="Z312" s="1071" t="s">
        <v>3276</v>
      </c>
      <c r="AA312" s="1072" t="s">
        <v>2260</v>
      </c>
      <c r="AB312" s="1073">
        <v>1</v>
      </c>
      <c r="AC312" s="1073" t="s">
        <v>2260</v>
      </c>
      <c r="AD312" s="1073" t="s">
        <v>2260</v>
      </c>
      <c r="AE312" s="1073" t="s">
        <v>2260</v>
      </c>
      <c r="AF312" s="1073" t="s">
        <v>2260</v>
      </c>
      <c r="AG312" s="1073" t="s">
        <v>2260</v>
      </c>
      <c r="AH312" s="1073" t="s">
        <v>2260</v>
      </c>
      <c r="AI312" s="1074">
        <f t="shared" si="4"/>
        <v>1</v>
      </c>
      <c r="AJ312" s="1075" t="s">
        <v>1825</v>
      </c>
      <c r="AK312" s="1075" t="s">
        <v>4475</v>
      </c>
      <c r="AL312" s="1075" t="s">
        <v>4475</v>
      </c>
      <c r="AM312" s="1076" t="s">
        <v>3254</v>
      </c>
      <c r="AN312" s="987" t="s">
        <v>1857</v>
      </c>
      <c r="AO312" s="987" t="s">
        <v>3277</v>
      </c>
      <c r="AP312" s="1243">
        <v>0</v>
      </c>
      <c r="AQ312" s="1045" t="s">
        <v>1838</v>
      </c>
      <c r="AR312" s="1078" t="s">
        <v>2260</v>
      </c>
      <c r="AS312" s="1079"/>
      <c r="AT312" s="1069"/>
      <c r="AU312" s="1069"/>
      <c r="AV312" s="1069"/>
      <c r="AW312" s="1080"/>
      <c r="AX312" s="1081"/>
      <c r="AY312" s="1044"/>
      <c r="AZ312" s="1045"/>
      <c r="BA312" s="1045"/>
      <c r="BB312" s="1045"/>
      <c r="BC312" s="1045"/>
      <c r="BD312" s="1045"/>
      <c r="BE312" s="1045"/>
      <c r="BF312" s="1045"/>
      <c r="BG312" s="1045"/>
      <c r="BH312" s="1045"/>
      <c r="BI312" s="1369"/>
      <c r="BJ312" s="1319"/>
      <c r="BK312" s="1319"/>
      <c r="BL312" s="1319"/>
      <c r="BM312" s="1319"/>
      <c r="BN312" s="1044"/>
      <c r="BO312" s="1045"/>
      <c r="BP312" s="1045"/>
      <c r="BQ312" s="1045"/>
      <c r="BR312" s="1045"/>
      <c r="BS312" s="1084"/>
      <c r="BT312" s="1045"/>
      <c r="BU312" s="1045"/>
      <c r="BV312" s="1045"/>
      <c r="BW312" s="1085"/>
      <c r="BX312" s="1084"/>
      <c r="BY312" s="1045"/>
      <c r="BZ312" s="1045"/>
      <c r="CA312" s="1045"/>
      <c r="CB312" s="1085"/>
      <c r="CC312" s="1086"/>
      <c r="CD312" s="1327"/>
      <c r="CE312" s="1328"/>
      <c r="CF312" s="1328"/>
      <c r="CG312" s="1328"/>
      <c r="CH312" s="1389"/>
      <c r="CI312" s="1369"/>
      <c r="CJ312" s="1319"/>
      <c r="CK312" s="1319"/>
      <c r="CL312" s="1319"/>
      <c r="CM312" s="1320"/>
      <c r="CN312" s="1369"/>
      <c r="CO312" s="1319"/>
      <c r="CP312" s="1319"/>
      <c r="CQ312" s="1319"/>
      <c r="CR312" s="1320"/>
      <c r="CS312" s="1369"/>
      <c r="CT312" s="1319"/>
      <c r="CU312" s="1319"/>
      <c r="CV312" s="1319"/>
      <c r="CW312" s="1320"/>
      <c r="CX312" s="1369"/>
      <c r="CY312" s="1319"/>
      <c r="CZ312" s="1319"/>
      <c r="DA312" s="1319"/>
      <c r="DB312" s="1320"/>
      <c r="DC312" s="1319"/>
      <c r="DD312" s="1319"/>
      <c r="DE312" s="1319"/>
      <c r="DF312" s="1319"/>
      <c r="DG312" s="1320"/>
      <c r="DH312" s="1369"/>
      <c r="DI312" s="1319"/>
      <c r="DJ312" s="1319"/>
      <c r="DK312" s="1319"/>
      <c r="DL312" s="1320"/>
      <c r="DM312" s="1743"/>
      <c r="DN312" s="1744"/>
      <c r="DO312" s="1744"/>
      <c r="DP312" s="1745"/>
      <c r="DQ312" s="1744"/>
      <c r="DR312" s="1744"/>
      <c r="DS312" s="1744"/>
      <c r="DT312" s="1745"/>
      <c r="DU312" s="1328"/>
      <c r="DV312" s="1664"/>
      <c r="DW312" s="1746"/>
    </row>
    <row r="313" spans="1:127" s="382" customFormat="1" ht="15.75" customHeight="1">
      <c r="A313" s="1066" t="s">
        <v>1185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1414</v>
      </c>
      <c r="V313" s="1068" t="s">
        <v>3240</v>
      </c>
      <c r="W313" s="1068" t="s">
        <v>3278</v>
      </c>
      <c r="X313" s="1069" t="s">
        <v>3279</v>
      </c>
      <c r="Y313" s="1070" t="s">
        <v>2293</v>
      </c>
      <c r="Z313" s="1071" t="s">
        <v>3280</v>
      </c>
      <c r="AA313" s="1072" t="s">
        <v>2260</v>
      </c>
      <c r="AB313" s="1073">
        <v>1</v>
      </c>
      <c r="AC313" s="1073" t="s">
        <v>2260</v>
      </c>
      <c r="AD313" s="1073" t="s">
        <v>2260</v>
      </c>
      <c r="AE313" s="1073" t="s">
        <v>2260</v>
      </c>
      <c r="AF313" s="1073" t="s">
        <v>2260</v>
      </c>
      <c r="AG313" s="1073" t="s">
        <v>2260</v>
      </c>
      <c r="AH313" s="1073" t="s">
        <v>2260</v>
      </c>
      <c r="AI313" s="1074">
        <f t="shared" si="4"/>
        <v>1</v>
      </c>
      <c r="AJ313" s="1075" t="s">
        <v>1846</v>
      </c>
      <c r="AK313" s="1075" t="s">
        <v>1826</v>
      </c>
      <c r="AL313" s="1075" t="s">
        <v>1827</v>
      </c>
      <c r="AM313" s="1076" t="s">
        <v>3281</v>
      </c>
      <c r="AN313" s="987" t="s">
        <v>2439</v>
      </c>
      <c r="AO313" s="987" t="s">
        <v>4421</v>
      </c>
      <c r="AP313" s="1243">
        <v>0</v>
      </c>
      <c r="AQ313" s="1045" t="s">
        <v>1838</v>
      </c>
      <c r="AR313" s="1078"/>
      <c r="AS313" s="1079"/>
      <c r="AT313" s="1069"/>
      <c r="AU313" s="1069"/>
      <c r="AV313" s="1069"/>
      <c r="AW313" s="1080"/>
      <c r="AX313" s="1081"/>
      <c r="AY313" s="1044"/>
      <c r="AZ313" s="1045"/>
      <c r="BA313" s="1045"/>
      <c r="BB313" s="1045"/>
      <c r="BC313" s="1045"/>
      <c r="BD313" s="1045"/>
      <c r="BE313" s="1045"/>
      <c r="BF313" s="1045"/>
      <c r="BG313" s="1045"/>
      <c r="BH313" s="1045"/>
      <c r="BI313" s="1369"/>
      <c r="BJ313" s="1319"/>
      <c r="BK313" s="1319"/>
      <c r="BL313" s="1319"/>
      <c r="BM313" s="1319"/>
      <c r="BN313" s="1044"/>
      <c r="BO313" s="1045"/>
      <c r="BP313" s="1045"/>
      <c r="BQ313" s="1045"/>
      <c r="BR313" s="1045"/>
      <c r="BS313" s="1084"/>
      <c r="BT313" s="1045"/>
      <c r="BU313" s="1045"/>
      <c r="BV313" s="1045"/>
      <c r="BW313" s="1085"/>
      <c r="BX313" s="1084"/>
      <c r="BY313" s="1045"/>
      <c r="BZ313" s="1045"/>
      <c r="CA313" s="1045"/>
      <c r="CB313" s="1085"/>
      <c r="CC313" s="1086"/>
      <c r="CD313" s="1327"/>
      <c r="CE313" s="1328"/>
      <c r="CF313" s="1328"/>
      <c r="CG313" s="1328"/>
      <c r="CH313" s="1389"/>
      <c r="CI313" s="1369"/>
      <c r="CJ313" s="1319"/>
      <c r="CK313" s="1319"/>
      <c r="CL313" s="1319"/>
      <c r="CM313" s="1320"/>
      <c r="CN313" s="1369"/>
      <c r="CO313" s="1319"/>
      <c r="CP313" s="1319"/>
      <c r="CQ313" s="1319"/>
      <c r="CR313" s="1320"/>
      <c r="CS313" s="1369"/>
      <c r="CT313" s="1319"/>
      <c r="CU313" s="1319"/>
      <c r="CV313" s="1319"/>
      <c r="CW313" s="1320"/>
      <c r="CX313" s="1369"/>
      <c r="CY313" s="1319"/>
      <c r="CZ313" s="1319"/>
      <c r="DA313" s="1319"/>
      <c r="DB313" s="1320"/>
      <c r="DC313" s="1319"/>
      <c r="DD313" s="1319"/>
      <c r="DE313" s="1319"/>
      <c r="DF313" s="1319"/>
      <c r="DG313" s="1320"/>
      <c r="DH313" s="1369"/>
      <c r="DI313" s="1319"/>
      <c r="DJ313" s="1319"/>
      <c r="DK313" s="1319"/>
      <c r="DL313" s="1320"/>
      <c r="DM313" s="1743"/>
      <c r="DN313" s="1744"/>
      <c r="DO313" s="1744"/>
      <c r="DP313" s="1745"/>
      <c r="DQ313" s="1744"/>
      <c r="DR313" s="1744"/>
      <c r="DS313" s="1744"/>
      <c r="DT313" s="1745"/>
      <c r="DU313" s="1328"/>
      <c r="DV313" s="1664"/>
      <c r="DW313" s="1746"/>
    </row>
    <row r="314" spans="1:127" s="382" customFormat="1" ht="15.75" customHeight="1">
      <c r="A314" s="1066" t="s">
        <v>1185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1574</v>
      </c>
      <c r="V314" s="1068" t="s">
        <v>3240</v>
      </c>
      <c r="W314" s="1068" t="s">
        <v>3127</v>
      </c>
      <c r="X314" s="1069" t="s">
        <v>3283</v>
      </c>
      <c r="Y314" s="1070" t="s">
        <v>2381</v>
      </c>
      <c r="Z314" s="1071" t="s">
        <v>3284</v>
      </c>
      <c r="AA314" s="1072" t="s">
        <v>2260</v>
      </c>
      <c r="AB314" s="1073" t="s">
        <v>2260</v>
      </c>
      <c r="AC314" s="1073">
        <v>1</v>
      </c>
      <c r="AD314" s="1073" t="s">
        <v>2260</v>
      </c>
      <c r="AE314" s="1073" t="s">
        <v>2260</v>
      </c>
      <c r="AF314" s="1073" t="s">
        <v>2260</v>
      </c>
      <c r="AG314" s="1073" t="s">
        <v>2260</v>
      </c>
      <c r="AH314" s="1073" t="s">
        <v>2260</v>
      </c>
      <c r="AI314" s="1074">
        <f t="shared" si="4"/>
        <v>1</v>
      </c>
      <c r="AJ314" s="1075" t="s">
        <v>1852</v>
      </c>
      <c r="AK314" s="1075" t="s">
        <v>1826</v>
      </c>
      <c r="AL314" s="1075" t="s">
        <v>1827</v>
      </c>
      <c r="AM314" s="1076" t="s">
        <v>3229</v>
      </c>
      <c r="AN314" s="987" t="s">
        <v>2439</v>
      </c>
      <c r="AO314" s="987" t="s">
        <v>4197</v>
      </c>
      <c r="AP314" s="1243">
        <v>0</v>
      </c>
      <c r="AQ314" s="1045" t="s">
        <v>1838</v>
      </c>
      <c r="AR314" s="1078"/>
      <c r="AS314" s="1079"/>
      <c r="AT314" s="1069"/>
      <c r="AU314" s="1069"/>
      <c r="AV314" s="1069"/>
      <c r="AW314" s="1080"/>
      <c r="AX314" s="1081"/>
      <c r="AY314" s="1044"/>
      <c r="AZ314" s="1045"/>
      <c r="BA314" s="1045"/>
      <c r="BB314" s="1045"/>
      <c r="BC314" s="1045"/>
      <c r="BD314" s="1045"/>
      <c r="BE314" s="1045"/>
      <c r="BF314" s="1045"/>
      <c r="BG314" s="1045"/>
      <c r="BH314" s="1045"/>
      <c r="BI314" s="1369"/>
      <c r="BJ314" s="1319"/>
      <c r="BK314" s="1319"/>
      <c r="BL314" s="1319"/>
      <c r="BM314" s="1319"/>
      <c r="BN314" s="1044"/>
      <c r="BO314" s="1045"/>
      <c r="BP314" s="1045"/>
      <c r="BQ314" s="1045"/>
      <c r="BR314" s="1045"/>
      <c r="BS314" s="1084"/>
      <c r="BT314" s="1045"/>
      <c r="BU314" s="1045"/>
      <c r="BV314" s="1045"/>
      <c r="BW314" s="1085"/>
      <c r="BX314" s="1084"/>
      <c r="BY314" s="1045"/>
      <c r="BZ314" s="1045"/>
      <c r="CA314" s="1045"/>
      <c r="CB314" s="1085"/>
      <c r="CC314" s="1086"/>
      <c r="CD314" s="1327"/>
      <c r="CE314" s="1328"/>
      <c r="CF314" s="1328"/>
      <c r="CG314" s="1328"/>
      <c r="CH314" s="1389"/>
      <c r="CI314" s="1369"/>
      <c r="CJ314" s="1319"/>
      <c r="CK314" s="1319"/>
      <c r="CL314" s="1319"/>
      <c r="CM314" s="1320"/>
      <c r="CN314" s="1369"/>
      <c r="CO314" s="1319"/>
      <c r="CP314" s="1319"/>
      <c r="CQ314" s="1319"/>
      <c r="CR314" s="1320"/>
      <c r="CS314" s="1369"/>
      <c r="CT314" s="1319"/>
      <c r="CU314" s="1319"/>
      <c r="CV314" s="1319"/>
      <c r="CW314" s="1320"/>
      <c r="CX314" s="1369"/>
      <c r="CY314" s="1319"/>
      <c r="CZ314" s="1319"/>
      <c r="DA314" s="1319"/>
      <c r="DB314" s="1320"/>
      <c r="DC314" s="1319"/>
      <c r="DD314" s="1319"/>
      <c r="DE314" s="1319"/>
      <c r="DF314" s="1319"/>
      <c r="DG314" s="1320"/>
      <c r="DH314" s="1369"/>
      <c r="DI314" s="1319"/>
      <c r="DJ314" s="1319"/>
      <c r="DK314" s="1319"/>
      <c r="DL314" s="1320"/>
      <c r="DM314" s="1743"/>
      <c r="DN314" s="1744"/>
      <c r="DO314" s="1744"/>
      <c r="DP314" s="1745"/>
      <c r="DQ314" s="1744"/>
      <c r="DR314" s="1744"/>
      <c r="DS314" s="1744"/>
      <c r="DT314" s="1745"/>
      <c r="DU314" s="1328"/>
      <c r="DV314" s="1664"/>
      <c r="DW314" s="1746"/>
    </row>
    <row r="315" spans="1:127" s="382" customFormat="1" ht="15.75" customHeight="1">
      <c r="A315" s="1066" t="s">
        <v>1185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1699</v>
      </c>
      <c r="V315" s="1068" t="s">
        <v>3162</v>
      </c>
      <c r="W315" s="1068" t="s">
        <v>3142</v>
      </c>
      <c r="X315" s="1069" t="s">
        <v>3286</v>
      </c>
      <c r="Y315" s="1070" t="s">
        <v>3287</v>
      </c>
      <c r="Z315" s="1071" t="s">
        <v>3288</v>
      </c>
      <c r="AA315" s="1072" t="s">
        <v>2260</v>
      </c>
      <c r="AB315" s="1073" t="s">
        <v>2260</v>
      </c>
      <c r="AC315" s="1073">
        <v>1</v>
      </c>
      <c r="AD315" s="1073" t="s">
        <v>2260</v>
      </c>
      <c r="AE315" s="1073" t="s">
        <v>2260</v>
      </c>
      <c r="AF315" s="1073" t="s">
        <v>2260</v>
      </c>
      <c r="AG315" s="1073" t="s">
        <v>2260</v>
      </c>
      <c r="AH315" s="1073" t="s">
        <v>2260</v>
      </c>
      <c r="AI315" s="1074">
        <f t="shared" si="4"/>
        <v>1</v>
      </c>
      <c r="AJ315" s="1075" t="s">
        <v>1825</v>
      </c>
      <c r="AK315" s="1075" t="s">
        <v>4475</v>
      </c>
      <c r="AL315" s="1075" t="s">
        <v>4475</v>
      </c>
      <c r="AM315" s="1076" t="s">
        <v>3254</v>
      </c>
      <c r="AN315" s="987" t="s">
        <v>321</v>
      </c>
      <c r="AO315" s="987" t="s">
        <v>3289</v>
      </c>
      <c r="AP315" s="1243">
        <v>2</v>
      </c>
      <c r="AQ315" s="1045" t="s">
        <v>1828</v>
      </c>
      <c r="AR315" s="1078" t="s">
        <v>2260</v>
      </c>
      <c r="AS315" s="1079"/>
      <c r="AT315" s="1069"/>
      <c r="AU315" s="1069"/>
      <c r="AV315" s="1069"/>
      <c r="AW315" s="1080"/>
      <c r="AX315" s="1081"/>
      <c r="AY315" s="1044"/>
      <c r="AZ315" s="1045"/>
      <c r="BA315" s="1045"/>
      <c r="BB315" s="1045"/>
      <c r="BC315" s="1045"/>
      <c r="BD315" s="1045"/>
      <c r="BE315" s="1045"/>
      <c r="BF315" s="1045"/>
      <c r="BG315" s="1045"/>
      <c r="BH315" s="1045"/>
      <c r="BI315" s="1369"/>
      <c r="BJ315" s="1319"/>
      <c r="BK315" s="1319"/>
      <c r="BL315" s="1319"/>
      <c r="BM315" s="1319"/>
      <c r="BN315" s="1044"/>
      <c r="BO315" s="1045"/>
      <c r="BP315" s="1045"/>
      <c r="BQ315" s="1045"/>
      <c r="BR315" s="1045"/>
      <c r="BS315" s="1084"/>
      <c r="BT315" s="1045"/>
      <c r="BU315" s="1045"/>
      <c r="BV315" s="1045"/>
      <c r="BW315" s="1085"/>
      <c r="BX315" s="1084"/>
      <c r="BY315" s="1045"/>
      <c r="BZ315" s="1045"/>
      <c r="CA315" s="1045"/>
      <c r="CB315" s="1085"/>
      <c r="CC315" s="1086"/>
      <c r="CD315" s="1327"/>
      <c r="CE315" s="1328"/>
      <c r="CF315" s="1328"/>
      <c r="CG315" s="1328"/>
      <c r="CH315" s="1389"/>
      <c r="CI315" s="1369"/>
      <c r="CJ315" s="1319"/>
      <c r="CK315" s="1319"/>
      <c r="CL315" s="1319"/>
      <c r="CM315" s="1320"/>
      <c r="CN315" s="1369"/>
      <c r="CO315" s="1319"/>
      <c r="CP315" s="1319"/>
      <c r="CQ315" s="1319"/>
      <c r="CR315" s="1320"/>
      <c r="CS315" s="1369"/>
      <c r="CT315" s="1319"/>
      <c r="CU315" s="1319"/>
      <c r="CV315" s="1319"/>
      <c r="CW315" s="1320"/>
      <c r="CX315" s="1369"/>
      <c r="CY315" s="1319"/>
      <c r="CZ315" s="1319"/>
      <c r="DA315" s="1319"/>
      <c r="DB315" s="1320"/>
      <c r="DC315" s="1319"/>
      <c r="DD315" s="1319"/>
      <c r="DE315" s="1319"/>
      <c r="DF315" s="1319"/>
      <c r="DG315" s="1320"/>
      <c r="DH315" s="1369"/>
      <c r="DI315" s="1319"/>
      <c r="DJ315" s="1319"/>
      <c r="DK315" s="1319"/>
      <c r="DL315" s="1320"/>
      <c r="DM315" s="1743"/>
      <c r="DN315" s="1744"/>
      <c r="DO315" s="1744"/>
      <c r="DP315" s="1745"/>
      <c r="DQ315" s="1744"/>
      <c r="DR315" s="1744"/>
      <c r="DS315" s="1744"/>
      <c r="DT315" s="1745"/>
      <c r="DU315" s="1328"/>
      <c r="DV315" s="1664"/>
      <c r="DW315" s="1746"/>
    </row>
    <row r="316" spans="1:127" s="382" customFormat="1" ht="15.75" customHeight="1">
      <c r="A316" s="1066" t="s">
        <v>1185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1709</v>
      </c>
      <c r="V316" s="1068" t="s">
        <v>3162</v>
      </c>
      <c r="W316" s="1068" t="s">
        <v>3142</v>
      </c>
      <c r="X316" s="1069" t="s">
        <v>3290</v>
      </c>
      <c r="Y316" s="1070" t="s">
        <v>3291</v>
      </c>
      <c r="Z316" s="1071" t="s">
        <v>3292</v>
      </c>
      <c r="AA316" s="1072" t="s">
        <v>2260</v>
      </c>
      <c r="AB316" s="1073">
        <v>0.5</v>
      </c>
      <c r="AC316" s="1073">
        <v>0.5</v>
      </c>
      <c r="AD316" s="1073" t="s">
        <v>2260</v>
      </c>
      <c r="AE316" s="1073" t="s">
        <v>2260</v>
      </c>
      <c r="AF316" s="1073" t="s">
        <v>2260</v>
      </c>
      <c r="AG316" s="1073" t="s">
        <v>2260</v>
      </c>
      <c r="AH316" s="1073" t="s">
        <v>2260</v>
      </c>
      <c r="AI316" s="1074">
        <f t="shared" si="4"/>
        <v>1</v>
      </c>
      <c r="AJ316" s="1075" t="s">
        <v>1825</v>
      </c>
      <c r="AK316" s="1075" t="s">
        <v>4475</v>
      </c>
      <c r="AL316" s="1075" t="s">
        <v>4475</v>
      </c>
      <c r="AM316" s="1076" t="s">
        <v>3150</v>
      </c>
      <c r="AN316" s="987" t="s">
        <v>1857</v>
      </c>
      <c r="AO316" s="987" t="s">
        <v>3293</v>
      </c>
      <c r="AP316" s="1243">
        <v>0</v>
      </c>
      <c r="AQ316" s="1045" t="s">
        <v>1828</v>
      </c>
      <c r="AR316" s="1078" t="s">
        <v>2260</v>
      </c>
      <c r="AS316" s="1079"/>
      <c r="AT316" s="1069"/>
      <c r="AU316" s="1069"/>
      <c r="AV316" s="1069"/>
      <c r="AW316" s="1080"/>
      <c r="AX316" s="1081"/>
      <c r="AY316" s="1044"/>
      <c r="AZ316" s="1045"/>
      <c r="BA316" s="1045"/>
      <c r="BB316" s="1045"/>
      <c r="BC316" s="1045"/>
      <c r="BD316" s="1045"/>
      <c r="BE316" s="1045"/>
      <c r="BF316" s="1045"/>
      <c r="BG316" s="1045"/>
      <c r="BH316" s="1045"/>
      <c r="BI316" s="1369"/>
      <c r="BJ316" s="1319"/>
      <c r="BK316" s="1319"/>
      <c r="BL316" s="1319"/>
      <c r="BM316" s="1319"/>
      <c r="BN316" s="1044"/>
      <c r="BO316" s="1045"/>
      <c r="BP316" s="1045"/>
      <c r="BQ316" s="1045"/>
      <c r="BR316" s="1045"/>
      <c r="BS316" s="1084"/>
      <c r="BT316" s="1045"/>
      <c r="BU316" s="1045"/>
      <c r="BV316" s="1045"/>
      <c r="BW316" s="1085"/>
      <c r="BX316" s="1084"/>
      <c r="BY316" s="1045"/>
      <c r="BZ316" s="1045"/>
      <c r="CA316" s="1045"/>
      <c r="CB316" s="1085"/>
      <c r="CC316" s="1086"/>
      <c r="CD316" s="1327"/>
      <c r="CE316" s="1328"/>
      <c r="CF316" s="1328"/>
      <c r="CG316" s="1328"/>
      <c r="CH316" s="1389"/>
      <c r="CI316" s="1369"/>
      <c r="CJ316" s="1319"/>
      <c r="CK316" s="1319"/>
      <c r="CL316" s="1319"/>
      <c r="CM316" s="1320"/>
      <c r="CN316" s="1369"/>
      <c r="CO316" s="1319"/>
      <c r="CP316" s="1319"/>
      <c r="CQ316" s="1319"/>
      <c r="CR316" s="1320"/>
      <c r="CS316" s="1369"/>
      <c r="CT316" s="1319"/>
      <c r="CU316" s="1319"/>
      <c r="CV316" s="1319"/>
      <c r="CW316" s="1320"/>
      <c r="CX316" s="1369"/>
      <c r="CY316" s="1319"/>
      <c r="CZ316" s="1319"/>
      <c r="DA316" s="1319"/>
      <c r="DB316" s="1320"/>
      <c r="DC316" s="1319"/>
      <c r="DD316" s="1319"/>
      <c r="DE316" s="1319"/>
      <c r="DF316" s="1319"/>
      <c r="DG316" s="1320"/>
      <c r="DH316" s="1369"/>
      <c r="DI316" s="1319"/>
      <c r="DJ316" s="1319"/>
      <c r="DK316" s="1319"/>
      <c r="DL316" s="1320"/>
      <c r="DM316" s="1743"/>
      <c r="DN316" s="1744"/>
      <c r="DO316" s="1744"/>
      <c r="DP316" s="1745"/>
      <c r="DQ316" s="1744"/>
      <c r="DR316" s="1744"/>
      <c r="DS316" s="1744"/>
      <c r="DT316" s="1745"/>
      <c r="DU316" s="1328"/>
      <c r="DV316" s="1664"/>
      <c r="DW316" s="1746"/>
    </row>
    <row r="317" spans="1:127" s="382" customFormat="1" ht="15.75" customHeight="1">
      <c r="A317" s="1066" t="s">
        <v>1185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1718</v>
      </c>
      <c r="V317" s="1068" t="s">
        <v>3294</v>
      </c>
      <c r="W317" s="1068" t="s">
        <v>3142</v>
      </c>
      <c r="X317" s="1069" t="s">
        <v>3295</v>
      </c>
      <c r="Y317" s="1070" t="s">
        <v>3296</v>
      </c>
      <c r="Z317" s="1071" t="s">
        <v>3297</v>
      </c>
      <c r="AA317" s="1072" t="s">
        <v>2260</v>
      </c>
      <c r="AB317" s="1073" t="s">
        <v>2260</v>
      </c>
      <c r="AC317" s="1073" t="s">
        <v>2260</v>
      </c>
      <c r="AD317" s="1073" t="s">
        <v>2260</v>
      </c>
      <c r="AE317" s="1073">
        <v>1</v>
      </c>
      <c r="AF317" s="1073" t="s">
        <v>2260</v>
      </c>
      <c r="AG317" s="1073" t="s">
        <v>2260</v>
      </c>
      <c r="AH317" s="1073" t="s">
        <v>2260</v>
      </c>
      <c r="AI317" s="1074">
        <f t="shared" si="4"/>
        <v>1</v>
      </c>
      <c r="AJ317" s="1075" t="s">
        <v>1825</v>
      </c>
      <c r="AK317" s="1075" t="s">
        <v>4475</v>
      </c>
      <c r="AL317" s="1075" t="s">
        <v>4475</v>
      </c>
      <c r="AM317" s="1076" t="s">
        <v>3208</v>
      </c>
      <c r="AN317" s="987" t="s">
        <v>1857</v>
      </c>
      <c r="AO317" s="987" t="s">
        <v>3298</v>
      </c>
      <c r="AP317" s="1243">
        <v>0</v>
      </c>
      <c r="AQ317" s="1045" t="s">
        <v>1828</v>
      </c>
      <c r="AR317" s="1078" t="s">
        <v>2260</v>
      </c>
      <c r="AS317" s="1079"/>
      <c r="AT317" s="1069"/>
      <c r="AU317" s="1069"/>
      <c r="AV317" s="1069"/>
      <c r="AW317" s="1080"/>
      <c r="AX317" s="1081"/>
      <c r="AY317" s="1044"/>
      <c r="AZ317" s="1045"/>
      <c r="BA317" s="1045"/>
      <c r="BB317" s="1045"/>
      <c r="BC317" s="1045"/>
      <c r="BD317" s="1045"/>
      <c r="BE317" s="1045"/>
      <c r="BF317" s="1045"/>
      <c r="BG317" s="1045"/>
      <c r="BH317" s="1045"/>
      <c r="BI317" s="1369"/>
      <c r="BJ317" s="1319"/>
      <c r="BK317" s="1319"/>
      <c r="BL317" s="1319"/>
      <c r="BM317" s="1319"/>
      <c r="BN317" s="1044"/>
      <c r="BO317" s="1045"/>
      <c r="BP317" s="1045"/>
      <c r="BQ317" s="1045"/>
      <c r="BR317" s="1045"/>
      <c r="BS317" s="1084"/>
      <c r="BT317" s="1045"/>
      <c r="BU317" s="1045"/>
      <c r="BV317" s="1045"/>
      <c r="BW317" s="1085"/>
      <c r="BX317" s="1084"/>
      <c r="BY317" s="1045"/>
      <c r="BZ317" s="1045"/>
      <c r="CA317" s="1045"/>
      <c r="CB317" s="1085"/>
      <c r="CC317" s="1086"/>
      <c r="CD317" s="1327"/>
      <c r="CE317" s="1328"/>
      <c r="CF317" s="1328"/>
      <c r="CG317" s="1328"/>
      <c r="CH317" s="1389"/>
      <c r="CI317" s="1369"/>
      <c r="CJ317" s="1319"/>
      <c r="CK317" s="1319"/>
      <c r="CL317" s="1319"/>
      <c r="CM317" s="1320"/>
      <c r="CN317" s="1369"/>
      <c r="CO317" s="1319"/>
      <c r="CP317" s="1319"/>
      <c r="CQ317" s="1319"/>
      <c r="CR317" s="1320"/>
      <c r="CS317" s="1369"/>
      <c r="CT317" s="1319"/>
      <c r="CU317" s="1319"/>
      <c r="CV317" s="1319"/>
      <c r="CW317" s="1320"/>
      <c r="CX317" s="1369"/>
      <c r="CY317" s="1319"/>
      <c r="CZ317" s="1319"/>
      <c r="DA317" s="1319"/>
      <c r="DB317" s="1320"/>
      <c r="DC317" s="1319"/>
      <c r="DD317" s="1319"/>
      <c r="DE317" s="1319"/>
      <c r="DF317" s="1319"/>
      <c r="DG317" s="1320"/>
      <c r="DH317" s="1369"/>
      <c r="DI317" s="1319"/>
      <c r="DJ317" s="1319"/>
      <c r="DK317" s="1319"/>
      <c r="DL317" s="1320"/>
      <c r="DM317" s="1743"/>
      <c r="DN317" s="1744"/>
      <c r="DO317" s="1744"/>
      <c r="DP317" s="1745"/>
      <c r="DQ317" s="1744"/>
      <c r="DR317" s="1744"/>
      <c r="DS317" s="1744"/>
      <c r="DT317" s="1745"/>
      <c r="DU317" s="1328"/>
      <c r="DV317" s="1664"/>
      <c r="DW317" s="1746"/>
    </row>
    <row r="318" spans="1:127" s="382" customFormat="1" ht="15.75" customHeight="1">
      <c r="A318" s="1066" t="s">
        <v>1185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1580</v>
      </c>
      <c r="V318" s="1068" t="s">
        <v>3162</v>
      </c>
      <c r="W318" s="1068" t="s">
        <v>3142</v>
      </c>
      <c r="X318" s="1069" t="s">
        <v>3299</v>
      </c>
      <c r="Y318" s="1070" t="s">
        <v>2086</v>
      </c>
      <c r="Z318" s="1071" t="s">
        <v>3300</v>
      </c>
      <c r="AA318" s="1072" t="s">
        <v>2260</v>
      </c>
      <c r="AB318" s="1073" t="s">
        <v>2260</v>
      </c>
      <c r="AC318" s="1073">
        <v>1</v>
      </c>
      <c r="AD318" s="1073" t="s">
        <v>2260</v>
      </c>
      <c r="AE318" s="1073" t="s">
        <v>2260</v>
      </c>
      <c r="AF318" s="1073" t="s">
        <v>2260</v>
      </c>
      <c r="AG318" s="1073" t="s">
        <v>2260</v>
      </c>
      <c r="AH318" s="1073" t="s">
        <v>2260</v>
      </c>
      <c r="AI318" s="1074">
        <f t="shared" si="4"/>
        <v>1</v>
      </c>
      <c r="AJ318" s="1075" t="s">
        <v>1846</v>
      </c>
      <c r="AK318" s="1075" t="s">
        <v>1836</v>
      </c>
      <c r="AL318" s="1075" t="s">
        <v>4478</v>
      </c>
      <c r="AM318" s="1076" t="s">
        <v>3254</v>
      </c>
      <c r="AN318" s="987" t="s">
        <v>1845</v>
      </c>
      <c r="AO318" s="987" t="s">
        <v>2260</v>
      </c>
      <c r="AP318" s="1243">
        <v>0</v>
      </c>
      <c r="AQ318" s="1045" t="s">
        <v>1828</v>
      </c>
      <c r="AR318" s="1078" t="s">
        <v>2260</v>
      </c>
      <c r="AS318" s="1079"/>
      <c r="AT318" s="1069"/>
      <c r="AU318" s="1069"/>
      <c r="AV318" s="1069"/>
      <c r="AW318" s="1080"/>
      <c r="AX318" s="1081"/>
      <c r="AY318" s="1044"/>
      <c r="AZ318" s="1045"/>
      <c r="BA318" s="1045"/>
      <c r="BB318" s="1045"/>
      <c r="BC318" s="1045"/>
      <c r="BD318" s="1045"/>
      <c r="BE318" s="1045"/>
      <c r="BF318" s="1045"/>
      <c r="BG318" s="1045"/>
      <c r="BH318" s="1045"/>
      <c r="BI318" s="1369"/>
      <c r="BJ318" s="1319"/>
      <c r="BK318" s="1319"/>
      <c r="BL318" s="1319"/>
      <c r="BM318" s="1319"/>
      <c r="BN318" s="1044"/>
      <c r="BO318" s="1045"/>
      <c r="BP318" s="1045"/>
      <c r="BQ318" s="1045"/>
      <c r="BR318" s="1045"/>
      <c r="BS318" s="1084"/>
      <c r="BT318" s="1045"/>
      <c r="BU318" s="1045"/>
      <c r="BV318" s="1045"/>
      <c r="BW318" s="1085"/>
      <c r="BX318" s="1084"/>
      <c r="BY318" s="1045"/>
      <c r="BZ318" s="1045"/>
      <c r="CA318" s="1045"/>
      <c r="CB318" s="1085"/>
      <c r="CC318" s="1086"/>
      <c r="CD318" s="1327"/>
      <c r="CE318" s="1328"/>
      <c r="CF318" s="1328"/>
      <c r="CG318" s="1328"/>
      <c r="CH318" s="1389"/>
      <c r="CI318" s="1369"/>
      <c r="CJ318" s="1319"/>
      <c r="CK318" s="1319"/>
      <c r="CL318" s="1319"/>
      <c r="CM318" s="1320"/>
      <c r="CN318" s="1369"/>
      <c r="CO318" s="1319"/>
      <c r="CP318" s="1319"/>
      <c r="CQ318" s="1319"/>
      <c r="CR318" s="1320"/>
      <c r="CS318" s="1369"/>
      <c r="CT318" s="1319"/>
      <c r="CU318" s="1319"/>
      <c r="CV318" s="1319"/>
      <c r="CW318" s="1320"/>
      <c r="CX318" s="1369"/>
      <c r="CY318" s="1319"/>
      <c r="CZ318" s="1319"/>
      <c r="DA318" s="1319"/>
      <c r="DB318" s="1320"/>
      <c r="DC318" s="1319"/>
      <c r="DD318" s="1319"/>
      <c r="DE318" s="1319"/>
      <c r="DF318" s="1319"/>
      <c r="DG318" s="1320"/>
      <c r="DH318" s="1369"/>
      <c r="DI318" s="1319"/>
      <c r="DJ318" s="1319"/>
      <c r="DK318" s="1319"/>
      <c r="DL318" s="1320"/>
      <c r="DM318" s="1743"/>
      <c r="DN318" s="1744"/>
      <c r="DO318" s="1744"/>
      <c r="DP318" s="1745"/>
      <c r="DQ318" s="1744"/>
      <c r="DR318" s="1744"/>
      <c r="DS318" s="1744"/>
      <c r="DT318" s="1745"/>
      <c r="DU318" s="1328"/>
      <c r="DV318" s="1664"/>
      <c r="DW318" s="1746"/>
    </row>
    <row r="319" spans="1:127" s="382" customFormat="1" ht="15.75" customHeight="1">
      <c r="A319" s="1066" t="s">
        <v>1185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1726</v>
      </c>
      <c r="V319" s="1068" t="s">
        <v>3162</v>
      </c>
      <c r="W319" s="1068" t="s">
        <v>3278</v>
      </c>
      <c r="X319" s="1069" t="s">
        <v>3301</v>
      </c>
      <c r="Y319" s="1070" t="s">
        <v>3302</v>
      </c>
      <c r="Z319" s="1071" t="s">
        <v>3303</v>
      </c>
      <c r="AA319" s="1072">
        <v>1</v>
      </c>
      <c r="AB319" s="1073" t="s">
        <v>2260</v>
      </c>
      <c r="AC319" s="1073" t="s">
        <v>2260</v>
      </c>
      <c r="AD319" s="1073" t="s">
        <v>2260</v>
      </c>
      <c r="AE319" s="1073" t="s">
        <v>2260</v>
      </c>
      <c r="AF319" s="1073" t="s">
        <v>2260</v>
      </c>
      <c r="AG319" s="1073" t="s">
        <v>2260</v>
      </c>
      <c r="AH319" s="1073" t="s">
        <v>2260</v>
      </c>
      <c r="AI319" s="1074">
        <f t="shared" si="4"/>
        <v>1</v>
      </c>
      <c r="AJ319" s="1075" t="s">
        <v>1825</v>
      </c>
      <c r="AK319" s="1075" t="s">
        <v>4475</v>
      </c>
      <c r="AL319" s="1075" t="s">
        <v>4475</v>
      </c>
      <c r="AM319" s="1076" t="s">
        <v>2387</v>
      </c>
      <c r="AN319" s="987" t="s">
        <v>1857</v>
      </c>
      <c r="AO319" s="987" t="s">
        <v>3131</v>
      </c>
      <c r="AP319" s="1243">
        <v>0</v>
      </c>
      <c r="AQ319" s="1045" t="s">
        <v>1838</v>
      </c>
      <c r="AR319" s="1078" t="s">
        <v>2260</v>
      </c>
      <c r="AS319" s="1079"/>
      <c r="AT319" s="1069"/>
      <c r="AU319" s="1069"/>
      <c r="AV319" s="1069"/>
      <c r="AW319" s="1080"/>
      <c r="AX319" s="1081"/>
      <c r="AY319" s="1044"/>
      <c r="AZ319" s="1045"/>
      <c r="BA319" s="1045"/>
      <c r="BB319" s="1045"/>
      <c r="BC319" s="1045"/>
      <c r="BD319" s="1045"/>
      <c r="BE319" s="1045"/>
      <c r="BF319" s="1045"/>
      <c r="BG319" s="1045"/>
      <c r="BH319" s="1045"/>
      <c r="BI319" s="1369"/>
      <c r="BJ319" s="1319"/>
      <c r="BK319" s="1319"/>
      <c r="BL319" s="1319"/>
      <c r="BM319" s="1319"/>
      <c r="BN319" s="1044"/>
      <c r="BO319" s="1045"/>
      <c r="BP319" s="1045"/>
      <c r="BQ319" s="1045"/>
      <c r="BR319" s="1045"/>
      <c r="BS319" s="1084"/>
      <c r="BT319" s="1045"/>
      <c r="BU319" s="1045"/>
      <c r="BV319" s="1045"/>
      <c r="BW319" s="1085"/>
      <c r="BX319" s="1084"/>
      <c r="BY319" s="1045"/>
      <c r="BZ319" s="1045"/>
      <c r="CA319" s="1045"/>
      <c r="CB319" s="1085"/>
      <c r="CC319" s="1086"/>
      <c r="CD319" s="1327"/>
      <c r="CE319" s="1328"/>
      <c r="CF319" s="1328"/>
      <c r="CG319" s="1328"/>
      <c r="CH319" s="1389"/>
      <c r="CI319" s="1369"/>
      <c r="CJ319" s="1319"/>
      <c r="CK319" s="1319"/>
      <c r="CL319" s="1319"/>
      <c r="CM319" s="1320"/>
      <c r="CN319" s="1369"/>
      <c r="CO319" s="1319"/>
      <c r="CP319" s="1319"/>
      <c r="CQ319" s="1319"/>
      <c r="CR319" s="1320"/>
      <c r="CS319" s="1369"/>
      <c r="CT319" s="1319"/>
      <c r="CU319" s="1319"/>
      <c r="CV319" s="1319"/>
      <c r="CW319" s="1320"/>
      <c r="CX319" s="1369"/>
      <c r="CY319" s="1319"/>
      <c r="CZ319" s="1319"/>
      <c r="DA319" s="1319"/>
      <c r="DB319" s="1320"/>
      <c r="DC319" s="1319"/>
      <c r="DD319" s="1319"/>
      <c r="DE319" s="1319"/>
      <c r="DF319" s="1319"/>
      <c r="DG319" s="1320"/>
      <c r="DH319" s="1369"/>
      <c r="DI319" s="1319"/>
      <c r="DJ319" s="1319"/>
      <c r="DK319" s="1319"/>
      <c r="DL319" s="1320"/>
      <c r="DM319" s="1743"/>
      <c r="DN319" s="1744"/>
      <c r="DO319" s="1744"/>
      <c r="DP319" s="1745"/>
      <c r="DQ319" s="1744"/>
      <c r="DR319" s="1744"/>
      <c r="DS319" s="1744"/>
      <c r="DT319" s="1745"/>
      <c r="DU319" s="1328"/>
      <c r="DV319" s="1664"/>
      <c r="DW319" s="1746"/>
    </row>
    <row r="320" spans="1:127" s="382" customFormat="1" ht="15.75" customHeight="1">
      <c r="A320" s="1066" t="s">
        <v>1185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1733</v>
      </c>
      <c r="V320" s="1068" t="s">
        <v>3294</v>
      </c>
      <c r="W320" s="1068" t="s">
        <v>3278</v>
      </c>
      <c r="X320" s="1069" t="s">
        <v>3304</v>
      </c>
      <c r="Y320" s="1070" t="s">
        <v>2436</v>
      </c>
      <c r="Z320" s="1071" t="s">
        <v>3305</v>
      </c>
      <c r="AA320" s="1072" t="s">
        <v>2260</v>
      </c>
      <c r="AB320" s="1073" t="s">
        <v>2260</v>
      </c>
      <c r="AC320" s="1073" t="s">
        <v>2260</v>
      </c>
      <c r="AD320" s="1073" t="s">
        <v>2260</v>
      </c>
      <c r="AE320" s="1073">
        <v>1</v>
      </c>
      <c r="AF320" s="1073" t="s">
        <v>2260</v>
      </c>
      <c r="AG320" s="1073" t="s">
        <v>2260</v>
      </c>
      <c r="AH320" s="1073" t="s">
        <v>2260</v>
      </c>
      <c r="AI320" s="1074">
        <f t="shared" si="4"/>
        <v>1</v>
      </c>
      <c r="AJ320" s="1075" t="s">
        <v>1825</v>
      </c>
      <c r="AK320" s="1075" t="s">
        <v>2260</v>
      </c>
      <c r="AL320" s="1075" t="s">
        <v>2260</v>
      </c>
      <c r="AM320" s="1076" t="s">
        <v>2610</v>
      </c>
      <c r="AN320" s="987" t="s">
        <v>321</v>
      </c>
      <c r="AO320" s="987" t="s">
        <v>3306</v>
      </c>
      <c r="AP320" s="1243">
        <v>0</v>
      </c>
      <c r="AQ320" s="1045" t="s">
        <v>1828</v>
      </c>
      <c r="AR320" s="1078" t="s">
        <v>2260</v>
      </c>
      <c r="AS320" s="1079"/>
      <c r="AT320" s="1069"/>
      <c r="AU320" s="1069"/>
      <c r="AV320" s="1069"/>
      <c r="AW320" s="1080"/>
      <c r="AX320" s="1081"/>
      <c r="AY320" s="1044"/>
      <c r="AZ320" s="1045"/>
      <c r="BA320" s="1045"/>
      <c r="BB320" s="1045"/>
      <c r="BC320" s="1045"/>
      <c r="BD320" s="1045"/>
      <c r="BE320" s="1045"/>
      <c r="BF320" s="1045"/>
      <c r="BG320" s="1045"/>
      <c r="BH320" s="1045"/>
      <c r="BI320" s="1369"/>
      <c r="BJ320" s="1319"/>
      <c r="BK320" s="1319"/>
      <c r="BL320" s="1319"/>
      <c r="BM320" s="1319"/>
      <c r="BN320" s="1044"/>
      <c r="BO320" s="1045"/>
      <c r="BP320" s="1045"/>
      <c r="BQ320" s="1045"/>
      <c r="BR320" s="1045"/>
      <c r="BS320" s="1084"/>
      <c r="BT320" s="1045"/>
      <c r="BU320" s="1045"/>
      <c r="BV320" s="1045"/>
      <c r="BW320" s="1085"/>
      <c r="BX320" s="1084"/>
      <c r="BY320" s="1045"/>
      <c r="BZ320" s="1045"/>
      <c r="CA320" s="1045"/>
      <c r="CB320" s="1085"/>
      <c r="CC320" s="1086"/>
      <c r="CD320" s="1327"/>
      <c r="CE320" s="1328"/>
      <c r="CF320" s="1328"/>
      <c r="CG320" s="1328"/>
      <c r="CH320" s="1389"/>
      <c r="CI320" s="1369"/>
      <c r="CJ320" s="1319"/>
      <c r="CK320" s="1319"/>
      <c r="CL320" s="1319"/>
      <c r="CM320" s="1320"/>
      <c r="CN320" s="1369"/>
      <c r="CO320" s="1319"/>
      <c r="CP320" s="1319"/>
      <c r="CQ320" s="1319"/>
      <c r="CR320" s="1320"/>
      <c r="CS320" s="1369"/>
      <c r="CT320" s="1319"/>
      <c r="CU320" s="1319"/>
      <c r="CV320" s="1319"/>
      <c r="CW320" s="1320"/>
      <c r="CX320" s="1369"/>
      <c r="CY320" s="1319"/>
      <c r="CZ320" s="1319"/>
      <c r="DA320" s="1319"/>
      <c r="DB320" s="1320"/>
      <c r="DC320" s="1319"/>
      <c r="DD320" s="1319"/>
      <c r="DE320" s="1319"/>
      <c r="DF320" s="1319"/>
      <c r="DG320" s="1320"/>
      <c r="DH320" s="1369"/>
      <c r="DI320" s="1319"/>
      <c r="DJ320" s="1319"/>
      <c r="DK320" s="1319"/>
      <c r="DL320" s="1320"/>
      <c r="DM320" s="1743"/>
      <c r="DN320" s="1744"/>
      <c r="DO320" s="1744"/>
      <c r="DP320" s="1745"/>
      <c r="DQ320" s="1744"/>
      <c r="DR320" s="1744"/>
      <c r="DS320" s="1744"/>
      <c r="DT320" s="1745"/>
      <c r="DU320" s="1328"/>
      <c r="DV320" s="1664"/>
      <c r="DW320" s="1746"/>
    </row>
    <row r="321" spans="1:127" s="382" customFormat="1" ht="15.75" customHeight="1">
      <c r="A321" s="1066" t="s">
        <v>1185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1211</v>
      </c>
      <c r="V321" s="1068" t="s">
        <v>3215</v>
      </c>
      <c r="W321" s="1068" t="s">
        <v>3142</v>
      </c>
      <c r="X321" s="1069" t="s">
        <v>3307</v>
      </c>
      <c r="Y321" s="1070" t="s">
        <v>755</v>
      </c>
      <c r="Z321" s="1071" t="s">
        <v>3308</v>
      </c>
      <c r="AA321" s="1072" t="s">
        <v>2260</v>
      </c>
      <c r="AB321" s="1073" t="s">
        <v>2260</v>
      </c>
      <c r="AC321" s="1073" t="s">
        <v>2260</v>
      </c>
      <c r="AD321" s="1073" t="s">
        <v>2260</v>
      </c>
      <c r="AE321" s="1073">
        <v>1</v>
      </c>
      <c r="AF321" s="1073" t="s">
        <v>2260</v>
      </c>
      <c r="AG321" s="1073" t="s">
        <v>2260</v>
      </c>
      <c r="AH321" s="1073" t="s">
        <v>2260</v>
      </c>
      <c r="AI321" s="1074">
        <f t="shared" si="4"/>
        <v>1</v>
      </c>
      <c r="AJ321" s="1075" t="s">
        <v>1825</v>
      </c>
      <c r="AK321" s="1075" t="s">
        <v>2260</v>
      </c>
      <c r="AL321" s="1075" t="s">
        <v>2260</v>
      </c>
      <c r="AM321" s="1076" t="s">
        <v>2264</v>
      </c>
      <c r="AN321" s="987" t="s">
        <v>321</v>
      </c>
      <c r="AO321" s="987" t="s">
        <v>4424</v>
      </c>
      <c r="AP321" s="1276">
        <v>1</v>
      </c>
      <c r="AQ321" s="1045" t="s">
        <v>1828</v>
      </c>
      <c r="AR321" s="1078" t="s">
        <v>755</v>
      </c>
      <c r="AS321" s="1079"/>
      <c r="AT321" s="1069"/>
      <c r="AU321" s="1069"/>
      <c r="AV321" s="1069"/>
      <c r="AW321" s="1080"/>
      <c r="AX321" s="1081"/>
      <c r="AY321" s="1044"/>
      <c r="AZ321" s="1045"/>
      <c r="BA321" s="1045"/>
      <c r="BB321" s="1045"/>
      <c r="BC321" s="1045"/>
      <c r="BD321" s="1045"/>
      <c r="BE321" s="1045"/>
      <c r="BF321" s="1045"/>
      <c r="BG321" s="1045"/>
      <c r="BH321" s="1045"/>
      <c r="BI321" s="1044" t="s">
        <v>4460</v>
      </c>
      <c r="BJ321" s="1045" t="s">
        <v>4479</v>
      </c>
      <c r="BK321" s="1045" t="s">
        <v>4480</v>
      </c>
      <c r="BL321" s="1045" t="s">
        <v>4428</v>
      </c>
      <c r="BM321" s="1045" t="s">
        <v>4446</v>
      </c>
      <c r="BN321" s="1044"/>
      <c r="BO321" s="1045"/>
      <c r="BP321" s="1045"/>
      <c r="BQ321" s="1045"/>
      <c r="BR321" s="1045"/>
      <c r="BS321" s="1084"/>
      <c r="BT321" s="1045"/>
      <c r="BU321" s="1045"/>
      <c r="BV321" s="1045"/>
      <c r="BW321" s="1085"/>
      <c r="BX321" s="1084"/>
      <c r="BY321" s="1045"/>
      <c r="BZ321" s="1045"/>
      <c r="CA321" s="1045"/>
      <c r="CB321" s="1085"/>
      <c r="CC321" s="1086"/>
      <c r="CD321" s="1087" t="s">
        <v>2260</v>
      </c>
      <c r="CE321" s="1088" t="s">
        <v>2260</v>
      </c>
      <c r="CF321" s="1088" t="s">
        <v>2260</v>
      </c>
      <c r="CG321" s="1088" t="s">
        <v>2260</v>
      </c>
      <c r="CH321" s="1089" t="s">
        <v>2260</v>
      </c>
      <c r="CI321" s="1044" t="s">
        <v>2260</v>
      </c>
      <c r="CJ321" s="1045" t="s">
        <v>2260</v>
      </c>
      <c r="CK321" s="1045" t="s">
        <v>2260</v>
      </c>
      <c r="CL321" s="1045" t="s">
        <v>2260</v>
      </c>
      <c r="CM321" s="1086" t="s">
        <v>2260</v>
      </c>
      <c r="CN321" s="1044" t="s">
        <v>2260</v>
      </c>
      <c r="CO321" s="1045" t="s">
        <v>2260</v>
      </c>
      <c r="CP321" s="1045" t="s">
        <v>2260</v>
      </c>
      <c r="CQ321" s="1045" t="s">
        <v>2260</v>
      </c>
      <c r="CR321" s="1086" t="s">
        <v>2260</v>
      </c>
      <c r="CS321" s="1044" t="s">
        <v>2260</v>
      </c>
      <c r="CT321" s="1045" t="s">
        <v>2260</v>
      </c>
      <c r="CU321" s="1045" t="s">
        <v>2260</v>
      </c>
      <c r="CV321" s="1045" t="s">
        <v>2260</v>
      </c>
      <c r="CW321" s="1086" t="s">
        <v>2260</v>
      </c>
      <c r="CX321" s="1044" t="s">
        <v>2260</v>
      </c>
      <c r="CY321" s="1045" t="s">
        <v>2260</v>
      </c>
      <c r="CZ321" s="1045" t="s">
        <v>2260</v>
      </c>
      <c r="DA321" s="1045" t="s">
        <v>2260</v>
      </c>
      <c r="DB321" s="1086" t="s">
        <v>2260</v>
      </c>
      <c r="DC321" s="1045" t="s">
        <v>2260</v>
      </c>
      <c r="DD321" s="1045" t="s">
        <v>2260</v>
      </c>
      <c r="DE321" s="1045" t="s">
        <v>2260</v>
      </c>
      <c r="DF321" s="1045" t="s">
        <v>2260</v>
      </c>
      <c r="DG321" s="1086" t="s">
        <v>2260</v>
      </c>
      <c r="DH321" s="1044" t="s">
        <v>2260</v>
      </c>
      <c r="DI321" s="1045" t="s">
        <v>2260</v>
      </c>
      <c r="DJ321" s="1045" t="s">
        <v>2260</v>
      </c>
      <c r="DK321" s="1045" t="s">
        <v>2260</v>
      </c>
      <c r="DL321" s="1086" t="s">
        <v>2260</v>
      </c>
      <c r="DM321" s="1090" t="s">
        <v>2260</v>
      </c>
      <c r="DN321" s="1091" t="s">
        <v>2260</v>
      </c>
      <c r="DO321" s="1091" t="s">
        <v>2260</v>
      </c>
      <c r="DP321" s="1092" t="s">
        <v>2260</v>
      </c>
      <c r="DQ321" s="1091" t="s">
        <v>2260</v>
      </c>
      <c r="DR321" s="1091" t="s">
        <v>2260</v>
      </c>
      <c r="DS321" s="1091" t="s">
        <v>2260</v>
      </c>
      <c r="DT321" s="1092" t="s">
        <v>2260</v>
      </c>
      <c r="DU321" s="1088" t="s">
        <v>2260</v>
      </c>
      <c r="DV321" s="1093">
        <v>1</v>
      </c>
      <c r="DW321" s="1094" t="s">
        <v>2260</v>
      </c>
    </row>
    <row r="322" spans="1:127" s="382" customFormat="1" ht="15.75" customHeight="1">
      <c r="A322" s="1066" t="s">
        <v>1185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1430</v>
      </c>
      <c r="V322" s="1068" t="s">
        <v>3191</v>
      </c>
      <c r="W322" s="1068" t="s">
        <v>3142</v>
      </c>
      <c r="X322" s="1069" t="s">
        <v>3310</v>
      </c>
      <c r="Y322" s="1070" t="s">
        <v>3311</v>
      </c>
      <c r="Z322" s="1071" t="s">
        <v>3312</v>
      </c>
      <c r="AA322" s="1072" t="s">
        <v>2260</v>
      </c>
      <c r="AB322" s="1073">
        <v>1</v>
      </c>
      <c r="AC322" s="1073" t="s">
        <v>2260</v>
      </c>
      <c r="AD322" s="1073" t="s">
        <v>2260</v>
      </c>
      <c r="AE322" s="1073" t="s">
        <v>2260</v>
      </c>
      <c r="AF322" s="1073" t="s">
        <v>2260</v>
      </c>
      <c r="AG322" s="1073" t="s">
        <v>2260</v>
      </c>
      <c r="AH322" s="1073" t="s">
        <v>2260</v>
      </c>
      <c r="AI322" s="1074">
        <f t="shared" si="4"/>
        <v>1</v>
      </c>
      <c r="AJ322" s="1075" t="s">
        <v>1846</v>
      </c>
      <c r="AK322" s="1075" t="s">
        <v>1826</v>
      </c>
      <c r="AL322" s="1075" t="s">
        <v>4478</v>
      </c>
      <c r="AM322" s="1076" t="s">
        <v>2234</v>
      </c>
      <c r="AN322" s="987" t="s">
        <v>1845</v>
      </c>
      <c r="AO322" s="987" t="s">
        <v>2548</v>
      </c>
      <c r="AP322" s="1243">
        <v>0</v>
      </c>
      <c r="AQ322" s="1045" t="s">
        <v>1838</v>
      </c>
      <c r="AR322" s="1078" t="s">
        <v>2260</v>
      </c>
      <c r="AS322" s="1079"/>
      <c r="AT322" s="1069"/>
      <c r="AU322" s="1069"/>
      <c r="AV322" s="1069"/>
      <c r="AW322" s="1080"/>
      <c r="AX322" s="1081"/>
      <c r="AY322" s="1044"/>
      <c r="AZ322" s="1045"/>
      <c r="BA322" s="1045"/>
      <c r="BB322" s="1045"/>
      <c r="BC322" s="1045"/>
      <c r="BD322" s="1045"/>
      <c r="BE322" s="1045"/>
      <c r="BF322" s="1045"/>
      <c r="BG322" s="1045"/>
      <c r="BH322" s="1045"/>
      <c r="BI322" s="1369"/>
      <c r="BJ322" s="1319"/>
      <c r="BK322" s="1319"/>
      <c r="BL322" s="1319"/>
      <c r="BM322" s="1319"/>
      <c r="BN322" s="1044"/>
      <c r="BO322" s="1045"/>
      <c r="BP322" s="1045"/>
      <c r="BQ322" s="1045"/>
      <c r="BR322" s="1045"/>
      <c r="BS322" s="1084"/>
      <c r="BT322" s="1045"/>
      <c r="BU322" s="1045"/>
      <c r="BV322" s="1045"/>
      <c r="BW322" s="1085"/>
      <c r="BX322" s="1084"/>
      <c r="BY322" s="1045"/>
      <c r="BZ322" s="1045"/>
      <c r="CA322" s="1045"/>
      <c r="CB322" s="1085"/>
      <c r="CC322" s="1086"/>
      <c r="CD322" s="1327"/>
      <c r="CE322" s="1328"/>
      <c r="CF322" s="1328"/>
      <c r="CG322" s="1328"/>
      <c r="CH322" s="1389"/>
      <c r="CI322" s="1369"/>
      <c r="CJ322" s="1319"/>
      <c r="CK322" s="1319"/>
      <c r="CL322" s="1319"/>
      <c r="CM322" s="1320"/>
      <c r="CN322" s="1369"/>
      <c r="CO322" s="1319"/>
      <c r="CP322" s="1319"/>
      <c r="CQ322" s="1319"/>
      <c r="CR322" s="1320"/>
      <c r="CS322" s="1369"/>
      <c r="CT322" s="1319"/>
      <c r="CU322" s="1319"/>
      <c r="CV322" s="1319"/>
      <c r="CW322" s="1320"/>
      <c r="CX322" s="1369"/>
      <c r="CY322" s="1319"/>
      <c r="CZ322" s="1319"/>
      <c r="DA322" s="1319"/>
      <c r="DB322" s="1320"/>
      <c r="DC322" s="1319"/>
      <c r="DD322" s="1319"/>
      <c r="DE322" s="1319"/>
      <c r="DF322" s="1319"/>
      <c r="DG322" s="1320"/>
      <c r="DH322" s="1369"/>
      <c r="DI322" s="1319"/>
      <c r="DJ322" s="1319"/>
      <c r="DK322" s="1319"/>
      <c r="DL322" s="1320"/>
      <c r="DM322" s="1743"/>
      <c r="DN322" s="1744"/>
      <c r="DO322" s="1744"/>
      <c r="DP322" s="1745"/>
      <c r="DQ322" s="1744"/>
      <c r="DR322" s="1744"/>
      <c r="DS322" s="1744"/>
      <c r="DT322" s="1745"/>
      <c r="DU322" s="1328"/>
      <c r="DV322" s="1664"/>
      <c r="DW322" s="1746"/>
    </row>
    <row r="323" spans="1:127" s="382" customFormat="1" ht="15.75" customHeight="1">
      <c r="A323" s="1066" t="s">
        <v>1185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1445</v>
      </c>
      <c r="V323" s="1068" t="s">
        <v>2260</v>
      </c>
      <c r="W323" s="1068" t="s">
        <v>2260</v>
      </c>
      <c r="X323" s="1069" t="s">
        <v>3313</v>
      </c>
      <c r="Y323" s="1070" t="s">
        <v>3314</v>
      </c>
      <c r="Z323" s="1071" t="s">
        <v>2260</v>
      </c>
      <c r="AA323" s="1072">
        <v>1</v>
      </c>
      <c r="AB323" s="1073" t="s">
        <v>2260</v>
      </c>
      <c r="AC323" s="1073" t="s">
        <v>2260</v>
      </c>
      <c r="AD323" s="1073" t="s">
        <v>2260</v>
      </c>
      <c r="AE323" s="1073" t="s">
        <v>2260</v>
      </c>
      <c r="AF323" s="1073" t="s">
        <v>2260</v>
      </c>
      <c r="AG323" s="1073" t="s">
        <v>2260</v>
      </c>
      <c r="AH323" s="1073" t="s">
        <v>2260</v>
      </c>
      <c r="AI323" s="1074">
        <f t="shared" si="4"/>
        <v>1</v>
      </c>
      <c r="AJ323" s="1075" t="s">
        <v>1846</v>
      </c>
      <c r="AK323" s="1075" t="s">
        <v>1826</v>
      </c>
      <c r="AL323" s="1075" t="s">
        <v>1827</v>
      </c>
      <c r="AM323" s="1076" t="s">
        <v>2260</v>
      </c>
      <c r="AN323" s="987" t="s">
        <v>321</v>
      </c>
      <c r="AO323" s="987" t="s">
        <v>3315</v>
      </c>
      <c r="AP323" s="1243">
        <v>1</v>
      </c>
      <c r="AQ323" s="1045" t="s">
        <v>1828</v>
      </c>
      <c r="AR323" s="1078" t="s">
        <v>2260</v>
      </c>
      <c r="AS323" s="1079"/>
      <c r="AT323" s="1069"/>
      <c r="AU323" s="1069"/>
      <c r="AV323" s="1069"/>
      <c r="AW323" s="1080"/>
      <c r="AX323" s="1081"/>
      <c r="AY323" s="1044"/>
      <c r="AZ323" s="1045"/>
      <c r="BA323" s="1045"/>
      <c r="BB323" s="1045"/>
      <c r="BC323" s="1045"/>
      <c r="BD323" s="1045"/>
      <c r="BE323" s="1045"/>
      <c r="BF323" s="1045"/>
      <c r="BG323" s="1045"/>
      <c r="BH323" s="1045"/>
      <c r="BI323" s="1369"/>
      <c r="BJ323" s="1319"/>
      <c r="BK323" s="1319"/>
      <c r="BL323" s="1319"/>
      <c r="BM323" s="1319"/>
      <c r="BN323" s="1044"/>
      <c r="BO323" s="1045"/>
      <c r="BP323" s="1045"/>
      <c r="BQ323" s="1045"/>
      <c r="BR323" s="1045"/>
      <c r="BS323" s="1084"/>
      <c r="BT323" s="1045"/>
      <c r="BU323" s="1045"/>
      <c r="BV323" s="1045"/>
      <c r="BW323" s="1085"/>
      <c r="BX323" s="1084"/>
      <c r="BY323" s="1045"/>
      <c r="BZ323" s="1045"/>
      <c r="CA323" s="1045"/>
      <c r="CB323" s="1085"/>
      <c r="CC323" s="1086"/>
      <c r="CD323" s="1327"/>
      <c r="CE323" s="1328"/>
      <c r="CF323" s="1328"/>
      <c r="CG323" s="1328"/>
      <c r="CH323" s="1389"/>
      <c r="CI323" s="1369"/>
      <c r="CJ323" s="1319"/>
      <c r="CK323" s="1319"/>
      <c r="CL323" s="1319"/>
      <c r="CM323" s="1320"/>
      <c r="CN323" s="1369"/>
      <c r="CO323" s="1319"/>
      <c r="CP323" s="1319"/>
      <c r="CQ323" s="1319"/>
      <c r="CR323" s="1320"/>
      <c r="CS323" s="1369"/>
      <c r="CT323" s="1319"/>
      <c r="CU323" s="1319"/>
      <c r="CV323" s="1319"/>
      <c r="CW323" s="1320"/>
      <c r="CX323" s="1369"/>
      <c r="CY323" s="1319"/>
      <c r="CZ323" s="1319"/>
      <c r="DA323" s="1319"/>
      <c r="DB323" s="1320"/>
      <c r="DC323" s="1319"/>
      <c r="DD323" s="1319"/>
      <c r="DE323" s="1319"/>
      <c r="DF323" s="1319"/>
      <c r="DG323" s="1320"/>
      <c r="DH323" s="1369"/>
      <c r="DI323" s="1319"/>
      <c r="DJ323" s="1319"/>
      <c r="DK323" s="1319"/>
      <c r="DL323" s="1320"/>
      <c r="DM323" s="1743"/>
      <c r="DN323" s="1744"/>
      <c r="DO323" s="1744"/>
      <c r="DP323" s="1745"/>
      <c r="DQ323" s="1744"/>
      <c r="DR323" s="1744"/>
      <c r="DS323" s="1744"/>
      <c r="DT323" s="1745"/>
      <c r="DU323" s="1328"/>
      <c r="DV323" s="1664"/>
      <c r="DW323" s="1746"/>
    </row>
    <row r="324" spans="1:127" s="382" customFormat="1" ht="15.75" customHeight="1">
      <c r="A324" s="1066" t="s">
        <v>1185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1740</v>
      </c>
      <c r="V324" s="1068" t="s">
        <v>2260</v>
      </c>
      <c r="W324" s="1068" t="s">
        <v>2260</v>
      </c>
      <c r="X324" s="1069" t="s">
        <v>2331</v>
      </c>
      <c r="Y324" s="1070" t="s">
        <v>2332</v>
      </c>
      <c r="Z324" s="1071" t="s">
        <v>2260</v>
      </c>
      <c r="AA324" s="1072" t="s">
        <v>2260</v>
      </c>
      <c r="AB324" s="1073" t="s">
        <v>2260</v>
      </c>
      <c r="AC324" s="1073" t="s">
        <v>2260</v>
      </c>
      <c r="AD324" s="1073" t="s">
        <v>2260</v>
      </c>
      <c r="AE324" s="1073" t="s">
        <v>2260</v>
      </c>
      <c r="AF324" s="1073" t="s">
        <v>2260</v>
      </c>
      <c r="AG324" s="1073" t="s">
        <v>2260</v>
      </c>
      <c r="AH324" s="1073" t="s">
        <v>2260</v>
      </c>
      <c r="AI324" s="1074">
        <f t="shared" si="4"/>
        <v>0</v>
      </c>
      <c r="AJ324" s="1075" t="s">
        <v>1825</v>
      </c>
      <c r="AK324" s="1075" t="s">
        <v>2260</v>
      </c>
      <c r="AL324" s="1075" t="s">
        <v>2260</v>
      </c>
      <c r="AM324" s="1076" t="s">
        <v>2260</v>
      </c>
      <c r="AN324" s="987" t="s">
        <v>2260</v>
      </c>
      <c r="AO324" s="987" t="s">
        <v>2333</v>
      </c>
      <c r="AP324" s="1243">
        <v>0</v>
      </c>
      <c r="AQ324" s="1045" t="s">
        <v>2260</v>
      </c>
      <c r="AR324" s="1078" t="s">
        <v>2260</v>
      </c>
      <c r="AS324" s="1079"/>
      <c r="AT324" s="1069"/>
      <c r="AU324" s="1069"/>
      <c r="AV324" s="1069"/>
      <c r="AW324" s="1080"/>
      <c r="AX324" s="1081"/>
      <c r="AY324" s="1044"/>
      <c r="AZ324" s="1045"/>
      <c r="BA324" s="1045"/>
      <c r="BB324" s="1045"/>
      <c r="BC324" s="1045"/>
      <c r="BD324" s="1045"/>
      <c r="BE324" s="1045"/>
      <c r="BF324" s="1045"/>
      <c r="BG324" s="1045"/>
      <c r="BH324" s="1045"/>
      <c r="BI324" s="1369"/>
      <c r="BJ324" s="1319"/>
      <c r="BK324" s="1319"/>
      <c r="BL324" s="1319"/>
      <c r="BM324" s="1319"/>
      <c r="BN324" s="1044"/>
      <c r="BO324" s="1045"/>
      <c r="BP324" s="1045"/>
      <c r="BQ324" s="1045"/>
      <c r="BR324" s="1045"/>
      <c r="BS324" s="1084"/>
      <c r="BT324" s="1045"/>
      <c r="BU324" s="1045"/>
      <c r="BV324" s="1045"/>
      <c r="BW324" s="1085"/>
      <c r="BX324" s="1084"/>
      <c r="BY324" s="1045"/>
      <c r="BZ324" s="1045"/>
      <c r="CA324" s="1045"/>
      <c r="CB324" s="1085"/>
      <c r="CC324" s="1086"/>
      <c r="CD324" s="1327"/>
      <c r="CE324" s="1328"/>
      <c r="CF324" s="1328"/>
      <c r="CG324" s="1328"/>
      <c r="CH324" s="1389"/>
      <c r="CI324" s="1369"/>
      <c r="CJ324" s="1319"/>
      <c r="CK324" s="1319"/>
      <c r="CL324" s="1319"/>
      <c r="CM324" s="1320"/>
      <c r="CN324" s="1369"/>
      <c r="CO324" s="1319"/>
      <c r="CP324" s="1319"/>
      <c r="CQ324" s="1319"/>
      <c r="CR324" s="1320"/>
      <c r="CS324" s="1369"/>
      <c r="CT324" s="1319"/>
      <c r="CU324" s="1319"/>
      <c r="CV324" s="1319"/>
      <c r="CW324" s="1320"/>
      <c r="CX324" s="1369"/>
      <c r="CY324" s="1319"/>
      <c r="CZ324" s="1319"/>
      <c r="DA324" s="1319"/>
      <c r="DB324" s="1320"/>
      <c r="DC324" s="1319"/>
      <c r="DD324" s="1319"/>
      <c r="DE324" s="1319"/>
      <c r="DF324" s="1319"/>
      <c r="DG324" s="1320"/>
      <c r="DH324" s="1369"/>
      <c r="DI324" s="1319"/>
      <c r="DJ324" s="1319"/>
      <c r="DK324" s="1319"/>
      <c r="DL324" s="1320"/>
      <c r="DM324" s="1743"/>
      <c r="DN324" s="1744"/>
      <c r="DO324" s="1744"/>
      <c r="DP324" s="1745"/>
      <c r="DQ324" s="1744"/>
      <c r="DR324" s="1744"/>
      <c r="DS324" s="1744"/>
      <c r="DT324" s="1745"/>
      <c r="DU324" s="1328"/>
      <c r="DV324" s="1664"/>
      <c r="DW324" s="1746"/>
    </row>
    <row r="325" spans="1:127" s="382" customFormat="1" ht="15.75" customHeight="1">
      <c r="A325" s="1066" t="s">
        <v>1287</v>
      </c>
      <c r="B325" s="1026">
        <v>316</v>
      </c>
      <c r="C325" s="987"/>
      <c r="D325" s="987"/>
      <c r="E325" s="987"/>
      <c r="F325" s="987"/>
      <c r="G325" s="987"/>
      <c r="H325" s="987"/>
      <c r="I325" s="987"/>
      <c r="J325" s="987"/>
      <c r="K325" s="987"/>
      <c r="L325" s="987"/>
      <c r="M325" s="1026"/>
      <c r="N325" s="987"/>
      <c r="O325" s="987"/>
      <c r="P325" s="987"/>
      <c r="Q325" s="987"/>
      <c r="R325" s="987"/>
      <c r="S325" s="987"/>
      <c r="T325" s="988"/>
      <c r="U325" s="1067" t="s">
        <v>1768</v>
      </c>
      <c r="V325" s="1068" t="s">
        <v>3316</v>
      </c>
      <c r="W325" s="1068" t="s">
        <v>2231</v>
      </c>
      <c r="X325" s="1069" t="s">
        <v>2558</v>
      </c>
      <c r="Y325" s="1070" t="s">
        <v>2251</v>
      </c>
      <c r="Z325" s="1071" t="s">
        <v>3317</v>
      </c>
      <c r="AA325" s="1072">
        <v>0</v>
      </c>
      <c r="AB325" s="1073">
        <v>0</v>
      </c>
      <c r="AC325" s="1073" t="s">
        <v>2260</v>
      </c>
      <c r="AD325" s="1073" t="s">
        <v>2260</v>
      </c>
      <c r="AE325" s="1073">
        <v>1</v>
      </c>
      <c r="AF325" s="1073" t="s">
        <v>2260</v>
      </c>
      <c r="AG325" s="1073" t="s">
        <v>2260</v>
      </c>
      <c r="AH325" s="1073" t="s">
        <v>2260</v>
      </c>
      <c r="AI325" s="1074">
        <f t="shared" si="4"/>
        <v>1</v>
      </c>
      <c r="AJ325" s="1075" t="s">
        <v>1852</v>
      </c>
      <c r="AK325" s="1075" t="s">
        <v>1826</v>
      </c>
      <c r="AL325" s="1075" t="s">
        <v>1827</v>
      </c>
      <c r="AM325" s="1076" t="s">
        <v>1888</v>
      </c>
      <c r="AN325" s="987" t="s">
        <v>1897</v>
      </c>
      <c r="AO325" s="987" t="s">
        <v>3318</v>
      </c>
      <c r="AP325" s="1285">
        <v>2</v>
      </c>
      <c r="AQ325" s="1045" t="s">
        <v>1828</v>
      </c>
      <c r="AR325" s="1078" t="s">
        <v>2251</v>
      </c>
      <c r="AS325" s="1079"/>
      <c r="AT325" s="1069"/>
      <c r="AU325" s="1069"/>
      <c r="AV325" s="1069"/>
      <c r="AW325" s="1080"/>
      <c r="AX325" s="1081"/>
      <c r="AY325" s="1044"/>
      <c r="AZ325" s="1045"/>
      <c r="BA325" s="1045"/>
      <c r="BB325" s="1045"/>
      <c r="BC325" s="1045"/>
      <c r="BD325" s="1045"/>
      <c r="BE325" s="1045"/>
      <c r="BF325" s="1045"/>
      <c r="BG325" s="1045"/>
      <c r="BH325" s="1045"/>
      <c r="BI325" s="1044" t="s">
        <v>4448</v>
      </c>
      <c r="BJ325" s="1045" t="s">
        <v>4448</v>
      </c>
      <c r="BK325" s="1045" t="s">
        <v>4448</v>
      </c>
      <c r="BL325" s="1045" t="s">
        <v>4448</v>
      </c>
      <c r="BM325" s="1045" t="s">
        <v>4448</v>
      </c>
      <c r="BN325" s="1044"/>
      <c r="BO325" s="1045"/>
      <c r="BP325" s="1045"/>
      <c r="BQ325" s="1045"/>
      <c r="BR325" s="1045"/>
      <c r="BS325" s="1084"/>
      <c r="BT325" s="1045"/>
      <c r="BU325" s="1045"/>
      <c r="BV325" s="1045"/>
      <c r="BW325" s="1085"/>
      <c r="BX325" s="1084"/>
      <c r="BY325" s="1045"/>
      <c r="BZ325" s="1045"/>
      <c r="CA325" s="1045"/>
      <c r="CB325" s="1085"/>
      <c r="CC325" s="1086"/>
      <c r="CD325" s="1087" t="s">
        <v>210</v>
      </c>
      <c r="CE325" s="1088" t="s">
        <v>210</v>
      </c>
      <c r="CF325" s="1088" t="s">
        <v>210</v>
      </c>
      <c r="CG325" s="1088" t="s">
        <v>210</v>
      </c>
      <c r="CH325" s="1089" t="s">
        <v>210</v>
      </c>
      <c r="CI325" s="1044" t="s">
        <v>2260</v>
      </c>
      <c r="CJ325" s="1045" t="s">
        <v>2260</v>
      </c>
      <c r="CK325" s="1045" t="s">
        <v>2260</v>
      </c>
      <c r="CL325" s="1045" t="s">
        <v>2260</v>
      </c>
      <c r="CM325" s="1086" t="s">
        <v>2260</v>
      </c>
      <c r="CN325" s="1044" t="s">
        <v>2260</v>
      </c>
      <c r="CO325" s="1045" t="s">
        <v>2260</v>
      </c>
      <c r="CP325" s="1045" t="s">
        <v>2260</v>
      </c>
      <c r="CQ325" s="1045" t="s">
        <v>2260</v>
      </c>
      <c r="CR325" s="1086" t="s">
        <v>2260</v>
      </c>
      <c r="CS325" s="1044" t="s">
        <v>2260</v>
      </c>
      <c r="CT325" s="1045" t="s">
        <v>2260</v>
      </c>
      <c r="CU325" s="1045" t="s">
        <v>2260</v>
      </c>
      <c r="CV325" s="1045" t="s">
        <v>2260</v>
      </c>
      <c r="CW325" s="1086" t="s">
        <v>2260</v>
      </c>
      <c r="CX325" s="1044" t="s">
        <v>2260</v>
      </c>
      <c r="CY325" s="1045" t="s">
        <v>2260</v>
      </c>
      <c r="CZ325" s="1045" t="s">
        <v>2260</v>
      </c>
      <c r="DA325" s="1045" t="s">
        <v>2260</v>
      </c>
      <c r="DB325" s="1086" t="s">
        <v>2260</v>
      </c>
      <c r="DC325" s="1045" t="s">
        <v>2260</v>
      </c>
      <c r="DD325" s="1045" t="s">
        <v>2260</v>
      </c>
      <c r="DE325" s="1045" t="s">
        <v>2260</v>
      </c>
      <c r="DF325" s="1045" t="s">
        <v>2260</v>
      </c>
      <c r="DG325" s="1086" t="s">
        <v>2260</v>
      </c>
      <c r="DH325" s="1044" t="s">
        <v>2260</v>
      </c>
      <c r="DI325" s="1045" t="s">
        <v>2260</v>
      </c>
      <c r="DJ325" s="1045" t="s">
        <v>2260</v>
      </c>
      <c r="DK325" s="1045" t="s">
        <v>2260</v>
      </c>
      <c r="DL325" s="1086" t="s">
        <v>2260</v>
      </c>
      <c r="DM325" s="1090" t="s">
        <v>2260</v>
      </c>
      <c r="DN325" s="1091" t="s">
        <v>2260</v>
      </c>
      <c r="DO325" s="1091" t="s">
        <v>2260</v>
      </c>
      <c r="DP325" s="1092" t="s">
        <v>2260</v>
      </c>
      <c r="DQ325" s="1091" t="s">
        <v>2260</v>
      </c>
      <c r="DR325" s="1091" t="s">
        <v>2260</v>
      </c>
      <c r="DS325" s="1091" t="s">
        <v>2260</v>
      </c>
      <c r="DT325" s="1092" t="s">
        <v>2260</v>
      </c>
      <c r="DU325" s="1088" t="s">
        <v>2260</v>
      </c>
      <c r="DV325" s="1093" t="s">
        <v>2260</v>
      </c>
      <c r="DW325" s="1094" t="s">
        <v>2260</v>
      </c>
    </row>
    <row r="326" spans="1:127" s="382" customFormat="1" ht="15.75" customHeight="1">
      <c r="A326" s="1066" t="s">
        <v>1287</v>
      </c>
      <c r="B326" s="1026">
        <v>317</v>
      </c>
      <c r="C326" s="987"/>
      <c r="D326" s="987"/>
      <c r="E326" s="987"/>
      <c r="F326" s="987"/>
      <c r="G326" s="987"/>
      <c r="H326" s="987"/>
      <c r="I326" s="987"/>
      <c r="J326" s="987"/>
      <c r="K326" s="987"/>
      <c r="L326" s="987"/>
      <c r="M326" s="1026"/>
      <c r="N326" s="987"/>
      <c r="O326" s="987"/>
      <c r="P326" s="987"/>
      <c r="Q326" s="987"/>
      <c r="R326" s="987"/>
      <c r="S326" s="987"/>
      <c r="T326" s="988"/>
      <c r="U326" s="1067" t="s">
        <v>1785</v>
      </c>
      <c r="V326" s="1068" t="s">
        <v>3316</v>
      </c>
      <c r="W326" s="1068" t="s">
        <v>2231</v>
      </c>
      <c r="X326" s="1069" t="s">
        <v>2561</v>
      </c>
      <c r="Y326" s="1070" t="s">
        <v>2254</v>
      </c>
      <c r="Z326" s="1071" t="s">
        <v>3319</v>
      </c>
      <c r="AA326" s="1072">
        <v>0</v>
      </c>
      <c r="AB326" s="1073">
        <v>1</v>
      </c>
      <c r="AC326" s="1073" t="s">
        <v>2260</v>
      </c>
      <c r="AD326" s="1073" t="s">
        <v>2260</v>
      </c>
      <c r="AE326" s="1073">
        <v>0</v>
      </c>
      <c r="AF326" s="1073" t="s">
        <v>2260</v>
      </c>
      <c r="AG326" s="1073" t="s">
        <v>2260</v>
      </c>
      <c r="AH326" s="1073" t="s">
        <v>2260</v>
      </c>
      <c r="AI326" s="1074">
        <f t="shared" si="4"/>
        <v>1</v>
      </c>
      <c r="AJ326" s="1075" t="s">
        <v>1852</v>
      </c>
      <c r="AK326" s="1075" t="s">
        <v>1826</v>
      </c>
      <c r="AL326" s="1075" t="s">
        <v>1827</v>
      </c>
      <c r="AM326" s="1076" t="s">
        <v>1891</v>
      </c>
      <c r="AN326" s="987" t="s">
        <v>1897</v>
      </c>
      <c r="AO326" s="987" t="s">
        <v>3320</v>
      </c>
      <c r="AP326" s="1285">
        <v>2</v>
      </c>
      <c r="AQ326" s="1045" t="s">
        <v>1828</v>
      </c>
      <c r="AR326" s="1078" t="s">
        <v>2254</v>
      </c>
      <c r="AS326" s="1079"/>
      <c r="AT326" s="1069"/>
      <c r="AU326" s="1069"/>
      <c r="AV326" s="1069"/>
      <c r="AW326" s="1080"/>
      <c r="AX326" s="1081"/>
      <c r="AY326" s="1044"/>
      <c r="AZ326" s="1045"/>
      <c r="BA326" s="1045"/>
      <c r="BB326" s="1045"/>
      <c r="BC326" s="1045"/>
      <c r="BD326" s="1045"/>
      <c r="BE326" s="1045"/>
      <c r="BF326" s="1045"/>
      <c r="BG326" s="1045"/>
      <c r="BH326" s="1045"/>
      <c r="BI326" s="1044" t="s">
        <v>4448</v>
      </c>
      <c r="BJ326" s="1045" t="s">
        <v>4448</v>
      </c>
      <c r="BK326" s="1045" t="s">
        <v>4448</v>
      </c>
      <c r="BL326" s="1045" t="s">
        <v>4448</v>
      </c>
      <c r="BM326" s="1045" t="s">
        <v>4448</v>
      </c>
      <c r="BN326" s="1044"/>
      <c r="BO326" s="1045"/>
      <c r="BP326" s="1045"/>
      <c r="BQ326" s="1045"/>
      <c r="BR326" s="1045"/>
      <c r="BS326" s="1084"/>
      <c r="BT326" s="1045"/>
      <c r="BU326" s="1045"/>
      <c r="BV326" s="1045"/>
      <c r="BW326" s="1085"/>
      <c r="BX326" s="1084"/>
      <c r="BY326" s="1045"/>
      <c r="BZ326" s="1045"/>
      <c r="CA326" s="1045"/>
      <c r="CB326" s="1085"/>
      <c r="CC326" s="1086"/>
      <c r="CD326" s="1087" t="s">
        <v>210</v>
      </c>
      <c r="CE326" s="1088" t="s">
        <v>210</v>
      </c>
      <c r="CF326" s="1088" t="s">
        <v>210</v>
      </c>
      <c r="CG326" s="1088" t="s">
        <v>210</v>
      </c>
      <c r="CH326" s="1089" t="s">
        <v>210</v>
      </c>
      <c r="CI326" s="1044" t="s">
        <v>2260</v>
      </c>
      <c r="CJ326" s="1045" t="s">
        <v>2260</v>
      </c>
      <c r="CK326" s="1045" t="s">
        <v>2260</v>
      </c>
      <c r="CL326" s="1045" t="s">
        <v>2260</v>
      </c>
      <c r="CM326" s="1086" t="s">
        <v>2260</v>
      </c>
      <c r="CN326" s="1044" t="s">
        <v>2260</v>
      </c>
      <c r="CO326" s="1045" t="s">
        <v>2260</v>
      </c>
      <c r="CP326" s="1045" t="s">
        <v>2260</v>
      </c>
      <c r="CQ326" s="1045" t="s">
        <v>2260</v>
      </c>
      <c r="CR326" s="1086" t="s">
        <v>2260</v>
      </c>
      <c r="CS326" s="1044" t="s">
        <v>2260</v>
      </c>
      <c r="CT326" s="1045" t="s">
        <v>2260</v>
      </c>
      <c r="CU326" s="1045" t="s">
        <v>2260</v>
      </c>
      <c r="CV326" s="1045" t="s">
        <v>2260</v>
      </c>
      <c r="CW326" s="1086" t="s">
        <v>2260</v>
      </c>
      <c r="CX326" s="1044" t="s">
        <v>2260</v>
      </c>
      <c r="CY326" s="1045" t="s">
        <v>2260</v>
      </c>
      <c r="CZ326" s="1045" t="s">
        <v>2260</v>
      </c>
      <c r="DA326" s="1045" t="s">
        <v>2260</v>
      </c>
      <c r="DB326" s="1086" t="s">
        <v>2260</v>
      </c>
      <c r="DC326" s="1045" t="s">
        <v>2260</v>
      </c>
      <c r="DD326" s="1045" t="s">
        <v>2260</v>
      </c>
      <c r="DE326" s="1045" t="s">
        <v>2260</v>
      </c>
      <c r="DF326" s="1045" t="s">
        <v>2260</v>
      </c>
      <c r="DG326" s="1086" t="s">
        <v>2260</v>
      </c>
      <c r="DH326" s="1044" t="s">
        <v>2260</v>
      </c>
      <c r="DI326" s="1045" t="s">
        <v>2260</v>
      </c>
      <c r="DJ326" s="1045" t="s">
        <v>2260</v>
      </c>
      <c r="DK326" s="1045" t="s">
        <v>2260</v>
      </c>
      <c r="DL326" s="1086" t="s">
        <v>2260</v>
      </c>
      <c r="DM326" s="1090" t="s">
        <v>2260</v>
      </c>
      <c r="DN326" s="1091" t="s">
        <v>2260</v>
      </c>
      <c r="DO326" s="1091" t="s">
        <v>2260</v>
      </c>
      <c r="DP326" s="1092" t="s">
        <v>2260</v>
      </c>
      <c r="DQ326" s="1091" t="s">
        <v>2260</v>
      </c>
      <c r="DR326" s="1091" t="s">
        <v>2260</v>
      </c>
      <c r="DS326" s="1091" t="s">
        <v>2260</v>
      </c>
      <c r="DT326" s="1092" t="s">
        <v>2260</v>
      </c>
      <c r="DU326" s="1088" t="s">
        <v>2260</v>
      </c>
      <c r="DV326" s="1093">
        <v>1</v>
      </c>
      <c r="DW326" s="1094" t="s">
        <v>2260</v>
      </c>
    </row>
    <row r="327" spans="1:127" s="382" customFormat="1" ht="15.75" customHeight="1">
      <c r="A327" s="1066" t="s">
        <v>1287</v>
      </c>
      <c r="B327" s="1026">
        <v>318</v>
      </c>
      <c r="C327" s="987"/>
      <c r="D327" s="987"/>
      <c r="E327" s="987"/>
      <c r="F327" s="987"/>
      <c r="G327" s="987"/>
      <c r="H327" s="987"/>
      <c r="I327" s="987"/>
      <c r="J327" s="987"/>
      <c r="K327" s="987"/>
      <c r="L327" s="987"/>
      <c r="M327" s="1026"/>
      <c r="N327" s="987"/>
      <c r="O327" s="987"/>
      <c r="P327" s="987"/>
      <c r="Q327" s="987"/>
      <c r="R327" s="987"/>
      <c r="S327" s="987"/>
      <c r="T327" s="988"/>
      <c r="U327" s="1067" t="s">
        <v>1596</v>
      </c>
      <c r="V327" s="1068" t="s">
        <v>3316</v>
      </c>
      <c r="W327" s="1068" t="s">
        <v>2231</v>
      </c>
      <c r="X327" s="1069" t="s">
        <v>2565</v>
      </c>
      <c r="Y327" s="1070" t="s">
        <v>3321</v>
      </c>
      <c r="Z327" s="1071" t="s">
        <v>3322</v>
      </c>
      <c r="AA327" s="1072">
        <v>0</v>
      </c>
      <c r="AB327" s="1073">
        <v>1</v>
      </c>
      <c r="AC327" s="1073" t="s">
        <v>2260</v>
      </c>
      <c r="AD327" s="1073" t="s">
        <v>2260</v>
      </c>
      <c r="AE327" s="1073">
        <v>0</v>
      </c>
      <c r="AF327" s="1073" t="s">
        <v>2260</v>
      </c>
      <c r="AG327" s="1073" t="s">
        <v>2260</v>
      </c>
      <c r="AH327" s="1073" t="s">
        <v>2260</v>
      </c>
      <c r="AI327" s="1074">
        <f t="shared" si="4"/>
        <v>1</v>
      </c>
      <c r="AJ327" s="1075" t="s">
        <v>1825</v>
      </c>
      <c r="AK327" s="1075" t="s">
        <v>2260</v>
      </c>
      <c r="AL327" s="1075" t="s">
        <v>2260</v>
      </c>
      <c r="AM327" s="1076" t="s">
        <v>2568</v>
      </c>
      <c r="AN327" s="987" t="s">
        <v>321</v>
      </c>
      <c r="AO327" s="987" t="s">
        <v>2016</v>
      </c>
      <c r="AP327" s="1285">
        <v>1</v>
      </c>
      <c r="AQ327" s="1045" t="s">
        <v>1828</v>
      </c>
      <c r="AR327" s="1078" t="s">
        <v>2260</v>
      </c>
      <c r="AS327" s="1079"/>
      <c r="AT327" s="1069"/>
      <c r="AU327" s="1069"/>
      <c r="AV327" s="1069"/>
      <c r="AW327" s="1080"/>
      <c r="AX327" s="1081"/>
      <c r="AY327" s="1044"/>
      <c r="AZ327" s="1045"/>
      <c r="BA327" s="1045"/>
      <c r="BB327" s="1045"/>
      <c r="BC327" s="1045"/>
      <c r="BD327" s="1045"/>
      <c r="BE327" s="1045"/>
      <c r="BF327" s="1045"/>
      <c r="BG327" s="1045"/>
      <c r="BH327" s="1045"/>
      <c r="BI327" s="1369"/>
      <c r="BJ327" s="1319"/>
      <c r="BK327" s="1319"/>
      <c r="BL327" s="1319"/>
      <c r="BM327" s="1319"/>
      <c r="BN327" s="1044"/>
      <c r="BO327" s="1045"/>
      <c r="BP327" s="1045"/>
      <c r="BQ327" s="1045"/>
      <c r="BR327" s="1045"/>
      <c r="BS327" s="1084"/>
      <c r="BT327" s="1045"/>
      <c r="BU327" s="1045"/>
      <c r="BV327" s="1045"/>
      <c r="BW327" s="1085"/>
      <c r="BX327" s="1084"/>
      <c r="BY327" s="1045"/>
      <c r="BZ327" s="1045"/>
      <c r="CA327" s="1045"/>
      <c r="CB327" s="1085"/>
      <c r="CC327" s="1086"/>
      <c r="CD327" s="1327"/>
      <c r="CE327" s="1328"/>
      <c r="CF327" s="1328"/>
      <c r="CG327" s="1328"/>
      <c r="CH327" s="1389"/>
      <c r="CI327" s="1369"/>
      <c r="CJ327" s="1319"/>
      <c r="CK327" s="1319"/>
      <c r="CL327" s="1319"/>
      <c r="CM327" s="1320"/>
      <c r="CN327" s="1369"/>
      <c r="CO327" s="1319"/>
      <c r="CP327" s="1319"/>
      <c r="CQ327" s="1319"/>
      <c r="CR327" s="1320"/>
      <c r="CS327" s="1369"/>
      <c r="CT327" s="1319"/>
      <c r="CU327" s="1319"/>
      <c r="CV327" s="1319"/>
      <c r="CW327" s="1320"/>
      <c r="CX327" s="1369"/>
      <c r="CY327" s="1319"/>
      <c r="CZ327" s="1319"/>
      <c r="DA327" s="1319"/>
      <c r="DB327" s="1320"/>
      <c r="DC327" s="1319"/>
      <c r="DD327" s="1319"/>
      <c r="DE327" s="1319"/>
      <c r="DF327" s="1319"/>
      <c r="DG327" s="1320"/>
      <c r="DH327" s="1369"/>
      <c r="DI327" s="1319"/>
      <c r="DJ327" s="1319"/>
      <c r="DK327" s="1319"/>
      <c r="DL327" s="1320"/>
      <c r="DM327" s="1743"/>
      <c r="DN327" s="1744"/>
      <c r="DO327" s="1744"/>
      <c r="DP327" s="1745"/>
      <c r="DQ327" s="1744"/>
      <c r="DR327" s="1744"/>
      <c r="DS327" s="1744"/>
      <c r="DT327" s="1745"/>
      <c r="DU327" s="1328"/>
      <c r="DV327" s="1664"/>
      <c r="DW327" s="1746"/>
    </row>
    <row r="328" spans="1:127" s="382" customFormat="1" ht="15.75" customHeight="1">
      <c r="A328" s="1066" t="s">
        <v>1287</v>
      </c>
      <c r="B328" s="1026">
        <v>319</v>
      </c>
      <c r="C328" s="987"/>
      <c r="D328" s="987"/>
      <c r="E328" s="987"/>
      <c r="F328" s="987"/>
      <c r="G328" s="987"/>
      <c r="H328" s="987"/>
      <c r="I328" s="987"/>
      <c r="J328" s="987"/>
      <c r="K328" s="987"/>
      <c r="L328" s="987"/>
      <c r="M328" s="1026"/>
      <c r="N328" s="987"/>
      <c r="O328" s="987"/>
      <c r="P328" s="987"/>
      <c r="Q328" s="987"/>
      <c r="R328" s="987"/>
      <c r="S328" s="987"/>
      <c r="T328" s="988"/>
      <c r="U328" s="1067" t="s">
        <v>1313</v>
      </c>
      <c r="V328" s="1068" t="s">
        <v>3323</v>
      </c>
      <c r="W328" s="1068" t="s">
        <v>2223</v>
      </c>
      <c r="X328" s="1069" t="s">
        <v>2571</v>
      </c>
      <c r="Y328" s="1070" t="s">
        <v>3324</v>
      </c>
      <c r="Z328" s="1071" t="s">
        <v>3325</v>
      </c>
      <c r="AA328" s="1072">
        <v>0</v>
      </c>
      <c r="AB328" s="1073">
        <v>0</v>
      </c>
      <c r="AC328" s="1073" t="s">
        <v>2260</v>
      </c>
      <c r="AD328" s="1073" t="s">
        <v>2260</v>
      </c>
      <c r="AE328" s="1073">
        <v>1</v>
      </c>
      <c r="AF328" s="1073" t="s">
        <v>2260</v>
      </c>
      <c r="AG328" s="1073" t="s">
        <v>2260</v>
      </c>
      <c r="AH328" s="1073" t="s">
        <v>2260</v>
      </c>
      <c r="AI328" s="1074">
        <f t="shared" si="4"/>
        <v>1</v>
      </c>
      <c r="AJ328" s="1075" t="s">
        <v>1846</v>
      </c>
      <c r="AK328" s="1075" t="s">
        <v>1826</v>
      </c>
      <c r="AL328" s="1075" t="s">
        <v>1827</v>
      </c>
      <c r="AM328" s="1076" t="s">
        <v>2329</v>
      </c>
      <c r="AN328" s="987" t="s">
        <v>1857</v>
      </c>
      <c r="AO328" s="987" t="s">
        <v>3326</v>
      </c>
      <c r="AP328" s="1285">
        <v>0</v>
      </c>
      <c r="AQ328" s="1045" t="s">
        <v>1828</v>
      </c>
      <c r="AR328" s="1078" t="s">
        <v>2260</v>
      </c>
      <c r="AS328" s="1079"/>
      <c r="AT328" s="1069"/>
      <c r="AU328" s="1069"/>
      <c r="AV328" s="1069"/>
      <c r="AW328" s="1080"/>
      <c r="AX328" s="1081"/>
      <c r="AY328" s="1044"/>
      <c r="AZ328" s="1045"/>
      <c r="BA328" s="1045"/>
      <c r="BB328" s="1045"/>
      <c r="BC328" s="1045"/>
      <c r="BD328" s="1045"/>
      <c r="BE328" s="1045"/>
      <c r="BF328" s="1045"/>
      <c r="BG328" s="1045"/>
      <c r="BH328" s="1045"/>
      <c r="BI328" s="1369"/>
      <c r="BJ328" s="1319"/>
      <c r="BK328" s="1319"/>
      <c r="BL328" s="1319"/>
      <c r="BM328" s="1319"/>
      <c r="BN328" s="1044"/>
      <c r="BO328" s="1045"/>
      <c r="BP328" s="1045"/>
      <c r="BQ328" s="1045"/>
      <c r="BR328" s="1045"/>
      <c r="BS328" s="1084"/>
      <c r="BT328" s="1045"/>
      <c r="BU328" s="1045"/>
      <c r="BV328" s="1045"/>
      <c r="BW328" s="1085"/>
      <c r="BX328" s="1084"/>
      <c r="BY328" s="1045"/>
      <c r="BZ328" s="1045"/>
      <c r="CA328" s="1045"/>
      <c r="CB328" s="1085"/>
      <c r="CC328" s="1086"/>
      <c r="CD328" s="1327"/>
      <c r="CE328" s="1328"/>
      <c r="CF328" s="1328"/>
      <c r="CG328" s="1328"/>
      <c r="CH328" s="1389"/>
      <c r="CI328" s="1369"/>
      <c r="CJ328" s="1319"/>
      <c r="CK328" s="1319"/>
      <c r="CL328" s="1319"/>
      <c r="CM328" s="1320"/>
      <c r="CN328" s="1369"/>
      <c r="CO328" s="1319"/>
      <c r="CP328" s="1319"/>
      <c r="CQ328" s="1319"/>
      <c r="CR328" s="1320"/>
      <c r="CS328" s="1369"/>
      <c r="CT328" s="1319"/>
      <c r="CU328" s="1319"/>
      <c r="CV328" s="1319"/>
      <c r="CW328" s="1320"/>
      <c r="CX328" s="1369"/>
      <c r="CY328" s="1319"/>
      <c r="CZ328" s="1319"/>
      <c r="DA328" s="1319"/>
      <c r="DB328" s="1320"/>
      <c r="DC328" s="1319"/>
      <c r="DD328" s="1319"/>
      <c r="DE328" s="1319"/>
      <c r="DF328" s="1319"/>
      <c r="DG328" s="1320"/>
      <c r="DH328" s="1369"/>
      <c r="DI328" s="1319"/>
      <c r="DJ328" s="1319"/>
      <c r="DK328" s="1319"/>
      <c r="DL328" s="1320"/>
      <c r="DM328" s="1743"/>
      <c r="DN328" s="1744"/>
      <c r="DO328" s="1744"/>
      <c r="DP328" s="1745"/>
      <c r="DQ328" s="1744"/>
      <c r="DR328" s="1744"/>
      <c r="DS328" s="1744"/>
      <c r="DT328" s="1745"/>
      <c r="DU328" s="1328"/>
      <c r="DV328" s="1664"/>
      <c r="DW328" s="1746"/>
    </row>
    <row r="329" spans="1:127" s="382" customFormat="1" ht="15.75" customHeight="1">
      <c r="A329" s="1066" t="s">
        <v>1287</v>
      </c>
      <c r="B329" s="1026">
        <v>320</v>
      </c>
      <c r="C329" s="987"/>
      <c r="D329" s="987"/>
      <c r="E329" s="987"/>
      <c r="F329" s="987"/>
      <c r="G329" s="987"/>
      <c r="H329" s="987"/>
      <c r="I329" s="987"/>
      <c r="J329" s="987"/>
      <c r="K329" s="987"/>
      <c r="L329" s="987"/>
      <c r="M329" s="1026"/>
      <c r="N329" s="987"/>
      <c r="O329" s="987"/>
      <c r="P329" s="987"/>
      <c r="Q329" s="987"/>
      <c r="R329" s="987"/>
      <c r="S329" s="987"/>
      <c r="T329" s="988"/>
      <c r="U329" s="1067" t="s">
        <v>1330</v>
      </c>
      <c r="V329" s="1068" t="s">
        <v>3323</v>
      </c>
      <c r="W329" s="1068" t="s">
        <v>2231</v>
      </c>
      <c r="X329" s="1069" t="s">
        <v>2574</v>
      </c>
      <c r="Y329" s="1070" t="s">
        <v>3327</v>
      </c>
      <c r="Z329" s="1071" t="s">
        <v>3328</v>
      </c>
      <c r="AA329" s="1072">
        <v>0</v>
      </c>
      <c r="AB329" s="1073">
        <v>0</v>
      </c>
      <c r="AC329" s="1073" t="s">
        <v>2260</v>
      </c>
      <c r="AD329" s="1073" t="s">
        <v>2260</v>
      </c>
      <c r="AE329" s="1073">
        <v>1</v>
      </c>
      <c r="AF329" s="1073" t="s">
        <v>2260</v>
      </c>
      <c r="AG329" s="1073" t="s">
        <v>2260</v>
      </c>
      <c r="AH329" s="1073" t="s">
        <v>2260</v>
      </c>
      <c r="AI329" s="1074">
        <f t="shared" si="4"/>
        <v>1</v>
      </c>
      <c r="AJ329" s="1075" t="s">
        <v>1846</v>
      </c>
      <c r="AK329" s="1075" t="s">
        <v>1826</v>
      </c>
      <c r="AL329" s="1075" t="s">
        <v>1827</v>
      </c>
      <c r="AM329" s="1076" t="s">
        <v>2329</v>
      </c>
      <c r="AN329" s="987" t="s">
        <v>321</v>
      </c>
      <c r="AO329" s="987" t="s">
        <v>2016</v>
      </c>
      <c r="AP329" s="1285">
        <v>1</v>
      </c>
      <c r="AQ329" s="1045" t="s">
        <v>1828</v>
      </c>
      <c r="AR329" s="1078" t="s">
        <v>2260</v>
      </c>
      <c r="AS329" s="1079"/>
      <c r="AT329" s="1069"/>
      <c r="AU329" s="1069"/>
      <c r="AV329" s="1069"/>
      <c r="AW329" s="1080"/>
      <c r="AX329" s="1081"/>
      <c r="AY329" s="1044"/>
      <c r="AZ329" s="1045"/>
      <c r="BA329" s="1045"/>
      <c r="BB329" s="1045"/>
      <c r="BC329" s="1045"/>
      <c r="BD329" s="1045"/>
      <c r="BE329" s="1045"/>
      <c r="BF329" s="1045"/>
      <c r="BG329" s="1045"/>
      <c r="BH329" s="1045"/>
      <c r="BI329" s="1369"/>
      <c r="BJ329" s="1319"/>
      <c r="BK329" s="1319"/>
      <c r="BL329" s="1319"/>
      <c r="BM329" s="1319"/>
      <c r="BN329" s="1044"/>
      <c r="BO329" s="1045"/>
      <c r="BP329" s="1045"/>
      <c r="BQ329" s="1045"/>
      <c r="BR329" s="1045"/>
      <c r="BS329" s="1084"/>
      <c r="BT329" s="1045"/>
      <c r="BU329" s="1045"/>
      <c r="BV329" s="1045"/>
      <c r="BW329" s="1085"/>
      <c r="BX329" s="1084"/>
      <c r="BY329" s="1045"/>
      <c r="BZ329" s="1045"/>
      <c r="CA329" s="1045"/>
      <c r="CB329" s="1085"/>
      <c r="CC329" s="1086"/>
      <c r="CD329" s="1327"/>
      <c r="CE329" s="1328"/>
      <c r="CF329" s="1328"/>
      <c r="CG329" s="1328"/>
      <c r="CH329" s="1389"/>
      <c r="CI329" s="1369"/>
      <c r="CJ329" s="1319"/>
      <c r="CK329" s="1319"/>
      <c r="CL329" s="1319"/>
      <c r="CM329" s="1320"/>
      <c r="CN329" s="1369"/>
      <c r="CO329" s="1319"/>
      <c r="CP329" s="1319"/>
      <c r="CQ329" s="1319"/>
      <c r="CR329" s="1320"/>
      <c r="CS329" s="1369"/>
      <c r="CT329" s="1319"/>
      <c r="CU329" s="1319"/>
      <c r="CV329" s="1319"/>
      <c r="CW329" s="1320"/>
      <c r="CX329" s="1369"/>
      <c r="CY329" s="1319"/>
      <c r="CZ329" s="1319"/>
      <c r="DA329" s="1319"/>
      <c r="DB329" s="1320"/>
      <c r="DC329" s="1319"/>
      <c r="DD329" s="1319"/>
      <c r="DE329" s="1319"/>
      <c r="DF329" s="1319"/>
      <c r="DG329" s="1320"/>
      <c r="DH329" s="1369"/>
      <c r="DI329" s="1319"/>
      <c r="DJ329" s="1319"/>
      <c r="DK329" s="1319"/>
      <c r="DL329" s="1320"/>
      <c r="DM329" s="1743"/>
      <c r="DN329" s="1744"/>
      <c r="DO329" s="1744"/>
      <c r="DP329" s="1745"/>
      <c r="DQ329" s="1744"/>
      <c r="DR329" s="1744"/>
      <c r="DS329" s="1744"/>
      <c r="DT329" s="1745"/>
      <c r="DU329" s="1328"/>
      <c r="DV329" s="1664"/>
      <c r="DW329" s="1746"/>
    </row>
    <row r="330" spans="1:127" s="382" customFormat="1" ht="15.75" customHeight="1">
      <c r="A330" s="1066" t="s">
        <v>1287</v>
      </c>
      <c r="B330" s="1026">
        <v>321</v>
      </c>
      <c r="C330" s="987"/>
      <c r="D330" s="987"/>
      <c r="E330" s="987"/>
      <c r="F330" s="987"/>
      <c r="G330" s="987"/>
      <c r="H330" s="987"/>
      <c r="I330" s="987"/>
      <c r="J330" s="987"/>
      <c r="K330" s="987"/>
      <c r="L330" s="987"/>
      <c r="M330" s="1026"/>
      <c r="N330" s="987"/>
      <c r="O330" s="987"/>
      <c r="P330" s="987"/>
      <c r="Q330" s="987"/>
      <c r="R330" s="987"/>
      <c r="S330" s="987"/>
      <c r="T330" s="988"/>
      <c r="U330" s="1067" t="s">
        <v>1347</v>
      </c>
      <c r="V330" s="1068" t="s">
        <v>3323</v>
      </c>
      <c r="W330" s="1068" t="s">
        <v>2217</v>
      </c>
      <c r="X330" s="1069" t="s">
        <v>2576</v>
      </c>
      <c r="Y330" s="1070" t="s">
        <v>3329</v>
      </c>
      <c r="Z330" s="1071" t="s">
        <v>3330</v>
      </c>
      <c r="AA330" s="1072">
        <v>8.1000000000000003E-2</v>
      </c>
      <c r="AB330" s="1073">
        <v>0.91900000000000004</v>
      </c>
      <c r="AC330" s="1073" t="s">
        <v>2260</v>
      </c>
      <c r="AD330" s="1073" t="s">
        <v>2260</v>
      </c>
      <c r="AE330" s="1073">
        <v>0</v>
      </c>
      <c r="AF330" s="1073" t="s">
        <v>2260</v>
      </c>
      <c r="AG330" s="1073" t="s">
        <v>2260</v>
      </c>
      <c r="AH330" s="1073" t="s">
        <v>2260</v>
      </c>
      <c r="AI330" s="1074">
        <f t="shared" ref="AI330:AI393" si="5">SUM(AA330:AH330)</f>
        <v>1</v>
      </c>
      <c r="AJ330" s="1075" t="s">
        <v>1852</v>
      </c>
      <c r="AK330" s="1075" t="s">
        <v>1826</v>
      </c>
      <c r="AL330" s="1075" t="s">
        <v>1827</v>
      </c>
      <c r="AM330" s="1076" t="s">
        <v>2610</v>
      </c>
      <c r="AN330" s="987" t="s">
        <v>1857</v>
      </c>
      <c r="AO330" s="987" t="s">
        <v>2611</v>
      </c>
      <c r="AP330" s="1285">
        <v>0</v>
      </c>
      <c r="AQ330" s="1045" t="s">
        <v>1828</v>
      </c>
      <c r="AR330" s="1078" t="s">
        <v>2260</v>
      </c>
      <c r="AS330" s="1079"/>
      <c r="AT330" s="1069"/>
      <c r="AU330" s="1069"/>
      <c r="AV330" s="1069"/>
      <c r="AW330" s="1080"/>
      <c r="AX330" s="1081"/>
      <c r="AY330" s="1044"/>
      <c r="AZ330" s="1045"/>
      <c r="BA330" s="1045"/>
      <c r="BB330" s="1045"/>
      <c r="BC330" s="1045"/>
      <c r="BD330" s="1045"/>
      <c r="BE330" s="1045"/>
      <c r="BF330" s="1045"/>
      <c r="BG330" s="1045"/>
      <c r="BH330" s="1045"/>
      <c r="BI330" s="1369"/>
      <c r="BJ330" s="1319"/>
      <c r="BK330" s="1319"/>
      <c r="BL330" s="1319"/>
      <c r="BM330" s="1319"/>
      <c r="BN330" s="1044"/>
      <c r="BO330" s="1045"/>
      <c r="BP330" s="1045"/>
      <c r="BQ330" s="1045"/>
      <c r="BR330" s="1045"/>
      <c r="BS330" s="1084"/>
      <c r="BT330" s="1045"/>
      <c r="BU330" s="1045"/>
      <c r="BV330" s="1045"/>
      <c r="BW330" s="1085"/>
      <c r="BX330" s="1084"/>
      <c r="BY330" s="1045"/>
      <c r="BZ330" s="1045"/>
      <c r="CA330" s="1045"/>
      <c r="CB330" s="1085"/>
      <c r="CC330" s="1086"/>
      <c r="CD330" s="1327"/>
      <c r="CE330" s="1328"/>
      <c r="CF330" s="1328"/>
      <c r="CG330" s="1328"/>
      <c r="CH330" s="1389"/>
      <c r="CI330" s="1369"/>
      <c r="CJ330" s="1319"/>
      <c r="CK330" s="1319"/>
      <c r="CL330" s="1319"/>
      <c r="CM330" s="1320"/>
      <c r="CN330" s="1369"/>
      <c r="CO330" s="1319"/>
      <c r="CP330" s="1319"/>
      <c r="CQ330" s="1319"/>
      <c r="CR330" s="1320"/>
      <c r="CS330" s="1369"/>
      <c r="CT330" s="1319"/>
      <c r="CU330" s="1319"/>
      <c r="CV330" s="1319"/>
      <c r="CW330" s="1320"/>
      <c r="CX330" s="1369"/>
      <c r="CY330" s="1319"/>
      <c r="CZ330" s="1319"/>
      <c r="DA330" s="1319"/>
      <c r="DB330" s="1320"/>
      <c r="DC330" s="1319"/>
      <c r="DD330" s="1319"/>
      <c r="DE330" s="1319"/>
      <c r="DF330" s="1319"/>
      <c r="DG330" s="1320"/>
      <c r="DH330" s="1369"/>
      <c r="DI330" s="1319"/>
      <c r="DJ330" s="1319"/>
      <c r="DK330" s="1319"/>
      <c r="DL330" s="1320"/>
      <c r="DM330" s="1743"/>
      <c r="DN330" s="1744"/>
      <c r="DO330" s="1744"/>
      <c r="DP330" s="1745"/>
      <c r="DQ330" s="1744"/>
      <c r="DR330" s="1744"/>
      <c r="DS330" s="1744"/>
      <c r="DT330" s="1745"/>
      <c r="DU330" s="1328"/>
      <c r="DV330" s="1664"/>
      <c r="DW330" s="1746"/>
    </row>
    <row r="331" spans="1:127" s="382" customFormat="1" ht="15.75" customHeight="1">
      <c r="A331" s="1066" t="s">
        <v>1287</v>
      </c>
      <c r="B331" s="1026">
        <v>322</v>
      </c>
      <c r="C331" s="987"/>
      <c r="D331" s="987"/>
      <c r="E331" s="987"/>
      <c r="F331" s="987"/>
      <c r="G331" s="987"/>
      <c r="H331" s="987"/>
      <c r="I331" s="987"/>
      <c r="J331" s="987"/>
      <c r="K331" s="987"/>
      <c r="L331" s="987"/>
      <c r="M331" s="1026"/>
      <c r="N331" s="987"/>
      <c r="O331" s="987"/>
      <c r="P331" s="987"/>
      <c r="Q331" s="987"/>
      <c r="R331" s="987"/>
      <c r="S331" s="987"/>
      <c r="T331" s="988"/>
      <c r="U331" s="1067" t="s">
        <v>1225</v>
      </c>
      <c r="V331" s="1068" t="s">
        <v>3323</v>
      </c>
      <c r="W331" s="1068" t="s">
        <v>2231</v>
      </c>
      <c r="X331" s="1069" t="s">
        <v>2579</v>
      </c>
      <c r="Y331" s="1070" t="s">
        <v>755</v>
      </c>
      <c r="Z331" s="1071" t="s">
        <v>3331</v>
      </c>
      <c r="AA331" s="1072">
        <v>0</v>
      </c>
      <c r="AB331" s="1073">
        <v>0</v>
      </c>
      <c r="AC331" s="1073" t="s">
        <v>2260</v>
      </c>
      <c r="AD331" s="1073" t="s">
        <v>2260</v>
      </c>
      <c r="AE331" s="1073">
        <v>1</v>
      </c>
      <c r="AF331" s="1073" t="s">
        <v>2260</v>
      </c>
      <c r="AG331" s="1073" t="s">
        <v>2260</v>
      </c>
      <c r="AH331" s="1073" t="s">
        <v>2260</v>
      </c>
      <c r="AI331" s="1074">
        <f t="shared" si="5"/>
        <v>1</v>
      </c>
      <c r="AJ331" s="1075" t="s">
        <v>1825</v>
      </c>
      <c r="AK331" s="1075" t="s">
        <v>2260</v>
      </c>
      <c r="AL331" s="1075" t="s">
        <v>2260</v>
      </c>
      <c r="AM331" s="1076" t="s">
        <v>2329</v>
      </c>
      <c r="AN331" s="987" t="s">
        <v>321</v>
      </c>
      <c r="AO331" s="987" t="s">
        <v>4424</v>
      </c>
      <c r="AP331" s="1276">
        <v>1</v>
      </c>
      <c r="AQ331" s="1045" t="s">
        <v>1828</v>
      </c>
      <c r="AR331" s="1078" t="s">
        <v>755</v>
      </c>
      <c r="AS331" s="1079"/>
      <c r="AT331" s="1069"/>
      <c r="AU331" s="1069"/>
      <c r="AV331" s="1069"/>
      <c r="AW331" s="1080"/>
      <c r="AX331" s="1081"/>
      <c r="AY331" s="1044"/>
      <c r="AZ331" s="1045"/>
      <c r="BA331" s="1045"/>
      <c r="BB331" s="1045"/>
      <c r="BC331" s="1045"/>
      <c r="BD331" s="1045"/>
      <c r="BE331" s="1045"/>
      <c r="BF331" s="1045"/>
      <c r="BG331" s="1045"/>
      <c r="BH331" s="1045"/>
      <c r="BI331" s="1044" t="s">
        <v>4481</v>
      </c>
      <c r="BJ331" s="1045" t="s">
        <v>4482</v>
      </c>
      <c r="BK331" s="1045" t="s">
        <v>4483</v>
      </c>
      <c r="BL331" s="1045" t="s">
        <v>4484</v>
      </c>
      <c r="BM331" s="1045" t="s">
        <v>4485</v>
      </c>
      <c r="BN331" s="1044"/>
      <c r="BO331" s="1045"/>
      <c r="BP331" s="1045"/>
      <c r="BQ331" s="1045"/>
      <c r="BR331" s="1045"/>
      <c r="BS331" s="1084"/>
      <c r="BT331" s="1045"/>
      <c r="BU331" s="1045"/>
      <c r="BV331" s="1045"/>
      <c r="BW331" s="1085"/>
      <c r="BX331" s="1084"/>
      <c r="BY331" s="1045"/>
      <c r="BZ331" s="1045"/>
      <c r="CA331" s="1045"/>
      <c r="CB331" s="1085"/>
      <c r="CC331" s="1086"/>
      <c r="CD331" s="1087" t="s">
        <v>2260</v>
      </c>
      <c r="CE331" s="1088" t="s">
        <v>2260</v>
      </c>
      <c r="CF331" s="1088" t="s">
        <v>2260</v>
      </c>
      <c r="CG331" s="1088" t="s">
        <v>2260</v>
      </c>
      <c r="CH331" s="1089" t="s">
        <v>2260</v>
      </c>
      <c r="CI331" s="1044" t="s">
        <v>2260</v>
      </c>
      <c r="CJ331" s="1045" t="s">
        <v>2260</v>
      </c>
      <c r="CK331" s="1045" t="s">
        <v>2260</v>
      </c>
      <c r="CL331" s="1045" t="s">
        <v>2260</v>
      </c>
      <c r="CM331" s="1086" t="s">
        <v>2260</v>
      </c>
      <c r="CN331" s="1044" t="s">
        <v>2260</v>
      </c>
      <c r="CO331" s="1045" t="s">
        <v>2260</v>
      </c>
      <c r="CP331" s="1045" t="s">
        <v>2260</v>
      </c>
      <c r="CQ331" s="1045" t="s">
        <v>2260</v>
      </c>
      <c r="CR331" s="1086" t="s">
        <v>2260</v>
      </c>
      <c r="CS331" s="1044" t="s">
        <v>2260</v>
      </c>
      <c r="CT331" s="1045" t="s">
        <v>2260</v>
      </c>
      <c r="CU331" s="1045" t="s">
        <v>2260</v>
      </c>
      <c r="CV331" s="1045" t="s">
        <v>2260</v>
      </c>
      <c r="CW331" s="1086" t="s">
        <v>2260</v>
      </c>
      <c r="CX331" s="1044" t="s">
        <v>2260</v>
      </c>
      <c r="CY331" s="1045" t="s">
        <v>2260</v>
      </c>
      <c r="CZ331" s="1045" t="s">
        <v>2260</v>
      </c>
      <c r="DA331" s="1045" t="s">
        <v>2260</v>
      </c>
      <c r="DB331" s="1086" t="s">
        <v>2260</v>
      </c>
      <c r="DC331" s="1045" t="s">
        <v>2260</v>
      </c>
      <c r="DD331" s="1045" t="s">
        <v>2260</v>
      </c>
      <c r="DE331" s="1045" t="s">
        <v>2260</v>
      </c>
      <c r="DF331" s="1045" t="s">
        <v>2260</v>
      </c>
      <c r="DG331" s="1086" t="s">
        <v>2260</v>
      </c>
      <c r="DH331" s="1044" t="s">
        <v>2260</v>
      </c>
      <c r="DI331" s="1045" t="s">
        <v>2260</v>
      </c>
      <c r="DJ331" s="1045" t="s">
        <v>2260</v>
      </c>
      <c r="DK331" s="1045" t="s">
        <v>2260</v>
      </c>
      <c r="DL331" s="1086" t="s">
        <v>2260</v>
      </c>
      <c r="DM331" s="1090" t="s">
        <v>2260</v>
      </c>
      <c r="DN331" s="1091" t="s">
        <v>2260</v>
      </c>
      <c r="DO331" s="1091" t="s">
        <v>2260</v>
      </c>
      <c r="DP331" s="1092" t="s">
        <v>2260</v>
      </c>
      <c r="DQ331" s="1091" t="s">
        <v>2260</v>
      </c>
      <c r="DR331" s="1091" t="s">
        <v>2260</v>
      </c>
      <c r="DS331" s="1091" t="s">
        <v>2260</v>
      </c>
      <c r="DT331" s="1092" t="s">
        <v>2260</v>
      </c>
      <c r="DU331" s="1088" t="s">
        <v>2260</v>
      </c>
      <c r="DV331" s="1093">
        <v>1</v>
      </c>
      <c r="DW331" s="1094" t="s">
        <v>2260</v>
      </c>
    </row>
    <row r="332" spans="1:127" s="382" customFormat="1" ht="15.75" customHeight="1">
      <c r="A332" s="1023" t="s">
        <v>1287</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1230</v>
      </c>
      <c r="V332" s="1029" t="s">
        <v>3333</v>
      </c>
      <c r="W332" s="1029" t="s">
        <v>2223</v>
      </c>
      <c r="X332" s="1030" t="s">
        <v>2592</v>
      </c>
      <c r="Y332" s="1031" t="s">
        <v>3334</v>
      </c>
      <c r="Z332" s="1032" t="s">
        <v>3335</v>
      </c>
      <c r="AA332" s="1033">
        <v>0</v>
      </c>
      <c r="AB332" s="1034">
        <v>1</v>
      </c>
      <c r="AC332" s="1034" t="s">
        <v>2260</v>
      </c>
      <c r="AD332" s="1034" t="s">
        <v>2260</v>
      </c>
      <c r="AE332" s="1034">
        <v>0</v>
      </c>
      <c r="AF332" s="1034" t="s">
        <v>2260</v>
      </c>
      <c r="AG332" s="1034" t="s">
        <v>2260</v>
      </c>
      <c r="AH332" s="1034" t="s">
        <v>2260</v>
      </c>
      <c r="AI332" s="1035">
        <f t="shared" si="5"/>
        <v>1</v>
      </c>
      <c r="AJ332" s="1036" t="s">
        <v>1852</v>
      </c>
      <c r="AK332" s="1036" t="s">
        <v>1826</v>
      </c>
      <c r="AL332" s="1036" t="s">
        <v>1827</v>
      </c>
      <c r="AM332" s="1037" t="s">
        <v>705</v>
      </c>
      <c r="AN332" s="1031" t="s">
        <v>321</v>
      </c>
      <c r="AO332" s="1031" t="s">
        <v>4416</v>
      </c>
      <c r="AP332" s="1276">
        <v>1</v>
      </c>
      <c r="AQ332" s="802" t="s">
        <v>1828</v>
      </c>
      <c r="AR332" s="1040" t="s">
        <v>705</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210</v>
      </c>
      <c r="CE332" s="1054" t="s">
        <v>210</v>
      </c>
      <c r="CF332" s="1054" t="s">
        <v>210</v>
      </c>
      <c r="CG332" s="1054" t="s">
        <v>210</v>
      </c>
      <c r="CH332" s="1055" t="s">
        <v>210</v>
      </c>
      <c r="CI332" s="1058" t="s">
        <v>2260</v>
      </c>
      <c r="CJ332" s="1056" t="s">
        <v>2260</v>
      </c>
      <c r="CK332" s="1056" t="s">
        <v>2260</v>
      </c>
      <c r="CL332" s="1056" t="s">
        <v>2260</v>
      </c>
      <c r="CM332" s="1057" t="s">
        <v>2260</v>
      </c>
      <c r="CN332" s="1058">
        <v>-5</v>
      </c>
      <c r="CO332" s="1056">
        <v>-5</v>
      </c>
      <c r="CP332" s="1056">
        <v>-5</v>
      </c>
      <c r="CQ332" s="1056">
        <v>-5</v>
      </c>
      <c r="CR332" s="1057">
        <v>-5</v>
      </c>
      <c r="CS332" s="1048" t="s">
        <v>2260</v>
      </c>
      <c r="CT332" s="1049" t="s">
        <v>2260</v>
      </c>
      <c r="CU332" s="1049" t="s">
        <v>2260</v>
      </c>
      <c r="CV332" s="1049" t="s">
        <v>2260</v>
      </c>
      <c r="CW332" s="1052" t="s">
        <v>2260</v>
      </c>
      <c r="CX332" s="1048" t="s">
        <v>2260</v>
      </c>
      <c r="CY332" s="1049" t="s">
        <v>2260</v>
      </c>
      <c r="CZ332" s="1049" t="s">
        <v>2260</v>
      </c>
      <c r="DA332" s="1049" t="s">
        <v>2260</v>
      </c>
      <c r="DB332" s="1052" t="s">
        <v>2260</v>
      </c>
      <c r="DC332" s="1056">
        <v>6</v>
      </c>
      <c r="DD332" s="1056">
        <v>8.4</v>
      </c>
      <c r="DE332" s="1056">
        <v>12</v>
      </c>
      <c r="DF332" s="1056">
        <v>15.6</v>
      </c>
      <c r="DG332" s="1057">
        <v>19.2</v>
      </c>
      <c r="DH332" s="1058" t="s">
        <v>2260</v>
      </c>
      <c r="DI332" s="1049" t="s">
        <v>2260</v>
      </c>
      <c r="DJ332" s="1049" t="s">
        <v>2260</v>
      </c>
      <c r="DK332" s="1049" t="s">
        <v>2260</v>
      </c>
      <c r="DL332" s="1052" t="s">
        <v>2260</v>
      </c>
      <c r="DM332" s="1060">
        <v>-0.23499999999999999</v>
      </c>
      <c r="DN332" s="1061" t="s">
        <v>2260</v>
      </c>
      <c r="DO332" s="1061" t="s">
        <v>2260</v>
      </c>
      <c r="DP332" s="1062" t="s">
        <v>2260</v>
      </c>
      <c r="DQ332" s="1061">
        <v>0.19600000000000001</v>
      </c>
      <c r="DR332" s="1061" t="s">
        <v>2260</v>
      </c>
      <c r="DS332" s="1061" t="s">
        <v>2260</v>
      </c>
      <c r="DT332" s="1062" t="s">
        <v>2260</v>
      </c>
      <c r="DU332" s="1054" t="s">
        <v>2260</v>
      </c>
      <c r="DV332" s="1063">
        <v>1</v>
      </c>
      <c r="DW332" s="1064" t="s">
        <v>2260</v>
      </c>
    </row>
    <row r="333" spans="1:127" s="382" customFormat="1" ht="15.75" customHeight="1">
      <c r="A333" s="1023" t="s">
        <v>1287</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1244</v>
      </c>
      <c r="V333" s="1029" t="s">
        <v>3333</v>
      </c>
      <c r="W333" s="1029" t="s">
        <v>2223</v>
      </c>
      <c r="X333" s="1030" t="s">
        <v>2595</v>
      </c>
      <c r="Y333" s="1031" t="s">
        <v>3337</v>
      </c>
      <c r="Z333" s="1032" t="s">
        <v>3338</v>
      </c>
      <c r="AA333" s="1033">
        <v>0</v>
      </c>
      <c r="AB333" s="1034">
        <v>1</v>
      </c>
      <c r="AC333" s="1034" t="s">
        <v>2260</v>
      </c>
      <c r="AD333" s="1034" t="s">
        <v>2260</v>
      </c>
      <c r="AE333" s="1034">
        <v>0</v>
      </c>
      <c r="AF333" s="1034" t="s">
        <v>2260</v>
      </c>
      <c r="AG333" s="1034" t="s">
        <v>2260</v>
      </c>
      <c r="AH333" s="1034" t="s">
        <v>2260</v>
      </c>
      <c r="AI333" s="1035">
        <f t="shared" si="5"/>
        <v>1</v>
      </c>
      <c r="AJ333" s="1036" t="s">
        <v>1852</v>
      </c>
      <c r="AK333" s="1036" t="s">
        <v>1826</v>
      </c>
      <c r="AL333" s="1036" t="s">
        <v>1827</v>
      </c>
      <c r="AM333" s="1037" t="s">
        <v>705</v>
      </c>
      <c r="AN333" s="1031" t="s">
        <v>321</v>
      </c>
      <c r="AO333" s="1031" t="s">
        <v>4416</v>
      </c>
      <c r="AP333" s="1276">
        <v>1</v>
      </c>
      <c r="AQ333" s="802" t="s">
        <v>1828</v>
      </c>
      <c r="AR333" s="1040" t="s">
        <v>705</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210</v>
      </c>
      <c r="CE333" s="1054" t="s">
        <v>210</v>
      </c>
      <c r="CF333" s="1054" t="s">
        <v>210</v>
      </c>
      <c r="CG333" s="1054" t="s">
        <v>210</v>
      </c>
      <c r="CH333" s="1055" t="s">
        <v>210</v>
      </c>
      <c r="CI333" s="1058" t="s">
        <v>2260</v>
      </c>
      <c r="CJ333" s="1056" t="s">
        <v>2260</v>
      </c>
      <c r="CK333" s="1056" t="s">
        <v>2260</v>
      </c>
      <c r="CL333" s="1056" t="s">
        <v>2260</v>
      </c>
      <c r="CM333" s="1057" t="s">
        <v>2260</v>
      </c>
      <c r="CN333" s="1058">
        <v>-5</v>
      </c>
      <c r="CO333" s="1056">
        <v>-5</v>
      </c>
      <c r="CP333" s="1056">
        <v>-5</v>
      </c>
      <c r="CQ333" s="1056">
        <v>-5</v>
      </c>
      <c r="CR333" s="1057">
        <v>-5</v>
      </c>
      <c r="CS333" s="1048" t="s">
        <v>2260</v>
      </c>
      <c r="CT333" s="1049" t="s">
        <v>2260</v>
      </c>
      <c r="CU333" s="1049" t="s">
        <v>2260</v>
      </c>
      <c r="CV333" s="1049" t="s">
        <v>2260</v>
      </c>
      <c r="CW333" s="1052" t="s">
        <v>2260</v>
      </c>
      <c r="CX333" s="1048" t="s">
        <v>2260</v>
      </c>
      <c r="CY333" s="1049" t="s">
        <v>2260</v>
      </c>
      <c r="CZ333" s="1049" t="s">
        <v>2260</v>
      </c>
      <c r="DA333" s="1049" t="s">
        <v>2260</v>
      </c>
      <c r="DB333" s="1052" t="s">
        <v>2260</v>
      </c>
      <c r="DC333" s="1056">
        <v>8.6</v>
      </c>
      <c r="DD333" s="1056">
        <v>10.8</v>
      </c>
      <c r="DE333" s="1056">
        <v>13.7</v>
      </c>
      <c r="DF333" s="1056">
        <v>16.600000000000001</v>
      </c>
      <c r="DG333" s="1057">
        <v>19.5</v>
      </c>
      <c r="DH333" s="1058" t="s">
        <v>2260</v>
      </c>
      <c r="DI333" s="1049" t="s">
        <v>2260</v>
      </c>
      <c r="DJ333" s="1049" t="s">
        <v>2260</v>
      </c>
      <c r="DK333" s="1049" t="s">
        <v>2260</v>
      </c>
      <c r="DL333" s="1052" t="s">
        <v>2260</v>
      </c>
      <c r="DM333" s="1060">
        <v>-0.254</v>
      </c>
      <c r="DN333" s="1061" t="s">
        <v>2260</v>
      </c>
      <c r="DO333" s="1061" t="s">
        <v>2260</v>
      </c>
      <c r="DP333" s="1062" t="s">
        <v>2260</v>
      </c>
      <c r="DQ333" s="1061">
        <v>0.21099999999999999</v>
      </c>
      <c r="DR333" s="1061" t="s">
        <v>2260</v>
      </c>
      <c r="DS333" s="1061" t="s">
        <v>2260</v>
      </c>
      <c r="DT333" s="1062" t="s">
        <v>2260</v>
      </c>
      <c r="DU333" s="1054" t="s">
        <v>2260</v>
      </c>
      <c r="DV333" s="1063">
        <v>1</v>
      </c>
      <c r="DW333" s="1064" t="s">
        <v>2260</v>
      </c>
    </row>
    <row r="334" spans="1:127" s="382" customFormat="1" ht="15.75" customHeight="1">
      <c r="A334" s="1023" t="s">
        <v>1287</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1217</v>
      </c>
      <c r="V334" s="1029" t="s">
        <v>3333</v>
      </c>
      <c r="W334" s="1029" t="s">
        <v>2223</v>
      </c>
      <c r="X334" s="1030" t="s">
        <v>2599</v>
      </c>
      <c r="Y334" s="1031" t="s">
        <v>2092</v>
      </c>
      <c r="Z334" s="1032" t="s">
        <v>3339</v>
      </c>
      <c r="AA334" s="1033">
        <v>0</v>
      </c>
      <c r="AB334" s="1034">
        <v>1</v>
      </c>
      <c r="AC334" s="1034" t="s">
        <v>2260</v>
      </c>
      <c r="AD334" s="1034" t="s">
        <v>2260</v>
      </c>
      <c r="AE334" s="1034">
        <v>0</v>
      </c>
      <c r="AF334" s="1034" t="s">
        <v>2260</v>
      </c>
      <c r="AG334" s="1034" t="s">
        <v>2260</v>
      </c>
      <c r="AH334" s="1034" t="s">
        <v>2260</v>
      </c>
      <c r="AI334" s="1035">
        <f t="shared" si="5"/>
        <v>1</v>
      </c>
      <c r="AJ334" s="1036" t="s">
        <v>1852</v>
      </c>
      <c r="AK334" s="1036" t="s">
        <v>1826</v>
      </c>
      <c r="AL334" s="1389" t="s">
        <v>1837</v>
      </c>
      <c r="AM334" s="1037" t="s">
        <v>2348</v>
      </c>
      <c r="AN334" s="1031" t="s">
        <v>2397</v>
      </c>
      <c r="AO334" s="1031" t="s">
        <v>4416</v>
      </c>
      <c r="AP334" s="1276">
        <v>1</v>
      </c>
      <c r="AQ334" s="802" t="s">
        <v>1828</v>
      </c>
      <c r="AR334" s="1040" t="s">
        <v>1084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210</v>
      </c>
      <c r="CE334" s="1054" t="s">
        <v>210</v>
      </c>
      <c r="CF334" s="1054" t="s">
        <v>210</v>
      </c>
      <c r="CG334" s="1054" t="s">
        <v>210</v>
      </c>
      <c r="CH334" s="1055" t="s">
        <v>210</v>
      </c>
      <c r="CI334" s="1058" t="s">
        <v>2260</v>
      </c>
      <c r="CJ334" s="1056" t="s">
        <v>2260</v>
      </c>
      <c r="CK334" s="1056" t="s">
        <v>2260</v>
      </c>
      <c r="CL334" s="1056" t="s">
        <v>2260</v>
      </c>
      <c r="CM334" s="1057" t="s">
        <v>2260</v>
      </c>
      <c r="CN334" s="1058" t="s">
        <v>2260</v>
      </c>
      <c r="CO334" s="1056" t="s">
        <v>2260</v>
      </c>
      <c r="CP334" s="1056" t="s">
        <v>2260</v>
      </c>
      <c r="CQ334" s="1056" t="s">
        <v>2260</v>
      </c>
      <c r="CR334" s="1057" t="s">
        <v>2260</v>
      </c>
      <c r="CS334" s="1048" t="s">
        <v>2260</v>
      </c>
      <c r="CT334" s="1049" t="s">
        <v>2260</v>
      </c>
      <c r="CU334" s="1049" t="s">
        <v>2260</v>
      </c>
      <c r="CV334" s="1049" t="s">
        <v>2260</v>
      </c>
      <c r="CW334" s="1052" t="s">
        <v>2260</v>
      </c>
      <c r="CX334" s="1048" t="s">
        <v>2260</v>
      </c>
      <c r="CY334" s="1049" t="s">
        <v>2260</v>
      </c>
      <c r="CZ334" s="1049" t="s">
        <v>2260</v>
      </c>
      <c r="DA334" s="1049" t="s">
        <v>2260</v>
      </c>
      <c r="DB334" s="1052" t="s">
        <v>2260</v>
      </c>
      <c r="DC334" s="1056" t="s">
        <v>2260</v>
      </c>
      <c r="DD334" s="1056" t="s">
        <v>2260</v>
      </c>
      <c r="DE334" s="1056" t="s">
        <v>2260</v>
      </c>
      <c r="DF334" s="1056" t="s">
        <v>2260</v>
      </c>
      <c r="DG334" s="1057" t="s">
        <v>2260</v>
      </c>
      <c r="DH334" s="1058" t="s">
        <v>2260</v>
      </c>
      <c r="DI334" s="1049" t="s">
        <v>2260</v>
      </c>
      <c r="DJ334" s="1049" t="s">
        <v>2260</v>
      </c>
      <c r="DK334" s="1049" t="s">
        <v>2260</v>
      </c>
      <c r="DL334" s="1052" t="s">
        <v>2260</v>
      </c>
      <c r="DM334" s="1060">
        <v>-0.16900000000000001</v>
      </c>
      <c r="DN334" s="1061" t="s">
        <v>2260</v>
      </c>
      <c r="DO334" s="1061" t="s">
        <v>2260</v>
      </c>
      <c r="DP334" s="1062" t="s">
        <v>2260</v>
      </c>
      <c r="DQ334" s="1061">
        <v>0.125</v>
      </c>
      <c r="DR334" s="1061" t="s">
        <v>2260</v>
      </c>
      <c r="DS334" s="1061" t="s">
        <v>2260</v>
      </c>
      <c r="DT334" s="1062" t="s">
        <v>2260</v>
      </c>
      <c r="DU334" s="1054" t="s">
        <v>2260</v>
      </c>
      <c r="DV334" s="1063">
        <v>1</v>
      </c>
      <c r="DW334" s="1064" t="s">
        <v>2260</v>
      </c>
    </row>
    <row r="335" spans="1:127" s="382" customFormat="1" ht="15.75" customHeight="1">
      <c r="A335" s="1023" t="s">
        <v>1287</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1231</v>
      </c>
      <c r="V335" s="1029" t="s">
        <v>3333</v>
      </c>
      <c r="W335" s="1029" t="s">
        <v>2223</v>
      </c>
      <c r="X335" s="1030" t="s">
        <v>2603</v>
      </c>
      <c r="Y335" s="1031" t="s">
        <v>2093</v>
      </c>
      <c r="Z335" s="1032" t="s">
        <v>3341</v>
      </c>
      <c r="AA335" s="1033">
        <v>0</v>
      </c>
      <c r="AB335" s="1034">
        <v>1</v>
      </c>
      <c r="AC335" s="1034" t="s">
        <v>2260</v>
      </c>
      <c r="AD335" s="1034" t="s">
        <v>2260</v>
      </c>
      <c r="AE335" s="1034">
        <v>0</v>
      </c>
      <c r="AF335" s="1034" t="s">
        <v>2260</v>
      </c>
      <c r="AG335" s="1034" t="s">
        <v>2260</v>
      </c>
      <c r="AH335" s="1034" t="s">
        <v>2260</v>
      </c>
      <c r="AI335" s="1035">
        <f t="shared" si="5"/>
        <v>1</v>
      </c>
      <c r="AJ335" s="1036" t="s">
        <v>1852</v>
      </c>
      <c r="AK335" s="1036" t="s">
        <v>1826</v>
      </c>
      <c r="AL335" s="1389" t="s">
        <v>1837</v>
      </c>
      <c r="AM335" s="1037" t="s">
        <v>2348</v>
      </c>
      <c r="AN335" s="1031" t="s">
        <v>2397</v>
      </c>
      <c r="AO335" s="1031" t="s">
        <v>4416</v>
      </c>
      <c r="AP335" s="1276">
        <v>1</v>
      </c>
      <c r="AQ335" s="802" t="s">
        <v>1828</v>
      </c>
      <c r="AR335" s="1040" t="s">
        <v>1084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210</v>
      </c>
      <c r="CE335" s="1054" t="s">
        <v>210</v>
      </c>
      <c r="CF335" s="1054" t="s">
        <v>210</v>
      </c>
      <c r="CG335" s="1054" t="s">
        <v>210</v>
      </c>
      <c r="CH335" s="1055" t="s">
        <v>210</v>
      </c>
      <c r="CI335" s="1058" t="s">
        <v>2260</v>
      </c>
      <c r="CJ335" s="1056" t="s">
        <v>2260</v>
      </c>
      <c r="CK335" s="1056" t="s">
        <v>2260</v>
      </c>
      <c r="CL335" s="1056" t="s">
        <v>2260</v>
      </c>
      <c r="CM335" s="1057" t="s">
        <v>2260</v>
      </c>
      <c r="CN335" s="1058" t="s">
        <v>2260</v>
      </c>
      <c r="CO335" s="1056" t="s">
        <v>2260</v>
      </c>
      <c r="CP335" s="1056" t="s">
        <v>2260</v>
      </c>
      <c r="CQ335" s="1056" t="s">
        <v>2260</v>
      </c>
      <c r="CR335" s="1057" t="s">
        <v>2260</v>
      </c>
      <c r="CS335" s="1048" t="s">
        <v>2260</v>
      </c>
      <c r="CT335" s="1049" t="s">
        <v>2260</v>
      </c>
      <c r="CU335" s="1049" t="s">
        <v>2260</v>
      </c>
      <c r="CV335" s="1049" t="s">
        <v>2260</v>
      </c>
      <c r="CW335" s="1052" t="s">
        <v>2260</v>
      </c>
      <c r="CX335" s="1048" t="s">
        <v>2260</v>
      </c>
      <c r="CY335" s="1049" t="s">
        <v>2260</v>
      </c>
      <c r="CZ335" s="1049" t="s">
        <v>2260</v>
      </c>
      <c r="DA335" s="1049" t="s">
        <v>2260</v>
      </c>
      <c r="DB335" s="1052" t="s">
        <v>2260</v>
      </c>
      <c r="DC335" s="1056" t="s">
        <v>2260</v>
      </c>
      <c r="DD335" s="1056" t="s">
        <v>2260</v>
      </c>
      <c r="DE335" s="1056" t="s">
        <v>2260</v>
      </c>
      <c r="DF335" s="1056" t="s">
        <v>2260</v>
      </c>
      <c r="DG335" s="1057" t="s">
        <v>2260</v>
      </c>
      <c r="DH335" s="1058" t="s">
        <v>2260</v>
      </c>
      <c r="DI335" s="1049" t="s">
        <v>2260</v>
      </c>
      <c r="DJ335" s="1049" t="s">
        <v>2260</v>
      </c>
      <c r="DK335" s="1049" t="s">
        <v>2260</v>
      </c>
      <c r="DL335" s="1052" t="s">
        <v>2260</v>
      </c>
      <c r="DM335" s="1060">
        <v>-2.5000000000000001E-2</v>
      </c>
      <c r="DN335" s="1061" t="s">
        <v>2260</v>
      </c>
      <c r="DO335" s="1061" t="s">
        <v>2260</v>
      </c>
      <c r="DP335" s="1062" t="s">
        <v>2260</v>
      </c>
      <c r="DQ335" s="1061">
        <v>2.1000000000000001E-2</v>
      </c>
      <c r="DR335" s="1061" t="s">
        <v>2260</v>
      </c>
      <c r="DS335" s="1061" t="s">
        <v>2260</v>
      </c>
      <c r="DT335" s="1062" t="s">
        <v>2260</v>
      </c>
      <c r="DU335" s="1054" t="s">
        <v>2260</v>
      </c>
      <c r="DV335" s="1063">
        <v>1</v>
      </c>
      <c r="DW335" s="1064" t="s">
        <v>2260</v>
      </c>
    </row>
    <row r="336" spans="1:127" s="382" customFormat="1" ht="15.75" customHeight="1">
      <c r="A336" s="1066" t="s">
        <v>1287</v>
      </c>
      <c r="B336" s="1026">
        <v>327</v>
      </c>
      <c r="C336" s="987"/>
      <c r="D336" s="987"/>
      <c r="E336" s="987"/>
      <c r="F336" s="987"/>
      <c r="G336" s="987"/>
      <c r="H336" s="987"/>
      <c r="I336" s="987"/>
      <c r="J336" s="987"/>
      <c r="K336" s="987"/>
      <c r="L336" s="987"/>
      <c r="M336" s="1026"/>
      <c r="N336" s="987"/>
      <c r="O336" s="987"/>
      <c r="P336" s="987"/>
      <c r="Q336" s="987"/>
      <c r="R336" s="987"/>
      <c r="S336" s="987"/>
      <c r="T336" s="988"/>
      <c r="U336" s="1067" t="s">
        <v>1364</v>
      </c>
      <c r="V336" s="1068" t="s">
        <v>3333</v>
      </c>
      <c r="W336" s="1068" t="s">
        <v>2231</v>
      </c>
      <c r="X336" s="1069" t="s">
        <v>3342</v>
      </c>
      <c r="Y336" s="1070" t="s">
        <v>3343</v>
      </c>
      <c r="Z336" s="1071" t="s">
        <v>3344</v>
      </c>
      <c r="AA336" s="1072">
        <v>1</v>
      </c>
      <c r="AB336" s="1073">
        <v>0</v>
      </c>
      <c r="AC336" s="1073" t="s">
        <v>2260</v>
      </c>
      <c r="AD336" s="1073" t="s">
        <v>2260</v>
      </c>
      <c r="AE336" s="1073">
        <v>0</v>
      </c>
      <c r="AF336" s="1073" t="s">
        <v>2260</v>
      </c>
      <c r="AG336" s="1073" t="s">
        <v>2260</v>
      </c>
      <c r="AH336" s="1073" t="s">
        <v>2260</v>
      </c>
      <c r="AI336" s="1074">
        <f t="shared" si="5"/>
        <v>1</v>
      </c>
      <c r="AJ336" s="1075" t="s">
        <v>1852</v>
      </c>
      <c r="AK336" s="1075" t="s">
        <v>1826</v>
      </c>
      <c r="AL336" s="1075" t="s">
        <v>1827</v>
      </c>
      <c r="AM336" s="1076" t="s">
        <v>2290</v>
      </c>
      <c r="AN336" s="825" t="s">
        <v>439</v>
      </c>
      <c r="AO336" s="987" t="s">
        <v>3345</v>
      </c>
      <c r="AP336" s="1285">
        <v>2</v>
      </c>
      <c r="AQ336" s="1045" t="s">
        <v>1828</v>
      </c>
      <c r="AR336" s="1078" t="s">
        <v>2260</v>
      </c>
      <c r="AS336" s="1079"/>
      <c r="AT336" s="1069"/>
      <c r="AU336" s="1069"/>
      <c r="AV336" s="1069"/>
      <c r="AW336" s="1080"/>
      <c r="AX336" s="1081"/>
      <c r="AY336" s="1044"/>
      <c r="AZ336" s="1045"/>
      <c r="BA336" s="1045"/>
      <c r="BB336" s="1045"/>
      <c r="BC336" s="1045"/>
      <c r="BD336" s="1045"/>
      <c r="BE336" s="1045"/>
      <c r="BF336" s="1045"/>
      <c r="BG336" s="1045"/>
      <c r="BH336" s="1045"/>
      <c r="BI336" s="1369"/>
      <c r="BJ336" s="1319"/>
      <c r="BK336" s="1319"/>
      <c r="BL336" s="1319"/>
      <c r="BM336" s="1319"/>
      <c r="BN336" s="1044"/>
      <c r="BO336" s="1045"/>
      <c r="BP336" s="1045"/>
      <c r="BQ336" s="1045"/>
      <c r="BR336" s="1045"/>
      <c r="BS336" s="1084"/>
      <c r="BT336" s="1045"/>
      <c r="BU336" s="1045"/>
      <c r="BV336" s="1045"/>
      <c r="BW336" s="1085"/>
      <c r="BX336" s="1084"/>
      <c r="BY336" s="1045"/>
      <c r="BZ336" s="1045"/>
      <c r="CA336" s="1045"/>
      <c r="CB336" s="1085"/>
      <c r="CC336" s="1086"/>
      <c r="CD336" s="1327"/>
      <c r="CE336" s="1328"/>
      <c r="CF336" s="1328"/>
      <c r="CG336" s="1328"/>
      <c r="CH336" s="1389"/>
      <c r="CI336" s="1369"/>
      <c r="CJ336" s="1319"/>
      <c r="CK336" s="1319"/>
      <c r="CL336" s="1319"/>
      <c r="CM336" s="1320"/>
      <c r="CN336" s="1369"/>
      <c r="CO336" s="1319"/>
      <c r="CP336" s="1319"/>
      <c r="CQ336" s="1319"/>
      <c r="CR336" s="1320"/>
      <c r="CS336" s="1369"/>
      <c r="CT336" s="1319"/>
      <c r="CU336" s="1319"/>
      <c r="CV336" s="1319"/>
      <c r="CW336" s="1320"/>
      <c r="CX336" s="1369"/>
      <c r="CY336" s="1319"/>
      <c r="CZ336" s="1319"/>
      <c r="DA336" s="1319"/>
      <c r="DB336" s="1320"/>
      <c r="DC336" s="1319"/>
      <c r="DD336" s="1319"/>
      <c r="DE336" s="1319"/>
      <c r="DF336" s="1319"/>
      <c r="DG336" s="1320"/>
      <c r="DH336" s="1369"/>
      <c r="DI336" s="1319"/>
      <c r="DJ336" s="1319"/>
      <c r="DK336" s="1319"/>
      <c r="DL336" s="1320"/>
      <c r="DM336" s="1743"/>
      <c r="DN336" s="1744"/>
      <c r="DO336" s="1744"/>
      <c r="DP336" s="1745"/>
      <c r="DQ336" s="1744"/>
      <c r="DR336" s="1744"/>
      <c r="DS336" s="1744"/>
      <c r="DT336" s="1745"/>
      <c r="DU336" s="1328"/>
      <c r="DV336" s="1664"/>
      <c r="DW336" s="1746"/>
    </row>
    <row r="337" spans="1:127" s="382" customFormat="1" ht="15.75" customHeight="1">
      <c r="A337" s="1066" t="s">
        <v>1287</v>
      </c>
      <c r="B337" s="1026">
        <v>328</v>
      </c>
      <c r="C337" s="987"/>
      <c r="D337" s="987"/>
      <c r="E337" s="987"/>
      <c r="F337" s="987"/>
      <c r="G337" s="987"/>
      <c r="H337" s="987"/>
      <c r="I337" s="987"/>
      <c r="J337" s="987"/>
      <c r="K337" s="987"/>
      <c r="L337" s="987"/>
      <c r="M337" s="1026"/>
      <c r="N337" s="987"/>
      <c r="O337" s="987"/>
      <c r="P337" s="987"/>
      <c r="Q337" s="987"/>
      <c r="R337" s="987"/>
      <c r="S337" s="987"/>
      <c r="T337" s="988"/>
      <c r="U337" s="1067" t="s">
        <v>1613</v>
      </c>
      <c r="V337" s="1068" t="s">
        <v>3333</v>
      </c>
      <c r="W337" s="1068" t="s">
        <v>2231</v>
      </c>
      <c r="X337" s="1069" t="s">
        <v>3346</v>
      </c>
      <c r="Y337" s="1070" t="s">
        <v>3347</v>
      </c>
      <c r="Z337" s="1071" t="s">
        <v>3348</v>
      </c>
      <c r="AA337" s="1072">
        <v>0</v>
      </c>
      <c r="AB337" s="1073">
        <v>1</v>
      </c>
      <c r="AC337" s="1073" t="s">
        <v>2260</v>
      </c>
      <c r="AD337" s="1073" t="s">
        <v>2260</v>
      </c>
      <c r="AE337" s="1073">
        <v>0</v>
      </c>
      <c r="AF337" s="1073" t="s">
        <v>2260</v>
      </c>
      <c r="AG337" s="1073" t="s">
        <v>2260</v>
      </c>
      <c r="AH337" s="1073" t="s">
        <v>2260</v>
      </c>
      <c r="AI337" s="1074">
        <f t="shared" si="5"/>
        <v>1</v>
      </c>
      <c r="AJ337" s="1075" t="s">
        <v>1825</v>
      </c>
      <c r="AK337" s="1075" t="s">
        <v>2260</v>
      </c>
      <c r="AL337" s="1075" t="s">
        <v>2260</v>
      </c>
      <c r="AM337" s="1076" t="s">
        <v>2348</v>
      </c>
      <c r="AN337" s="987" t="s">
        <v>1857</v>
      </c>
      <c r="AO337" s="987" t="s">
        <v>3349</v>
      </c>
      <c r="AP337" s="1285">
        <v>1</v>
      </c>
      <c r="AQ337" s="1045" t="s">
        <v>1828</v>
      </c>
      <c r="AR337" s="1078" t="s">
        <v>2260</v>
      </c>
      <c r="AS337" s="1079"/>
      <c r="AT337" s="1069"/>
      <c r="AU337" s="1069"/>
      <c r="AV337" s="1069"/>
      <c r="AW337" s="1080"/>
      <c r="AX337" s="1081"/>
      <c r="AY337" s="1044"/>
      <c r="AZ337" s="1045"/>
      <c r="BA337" s="1045"/>
      <c r="BB337" s="1045"/>
      <c r="BC337" s="1045"/>
      <c r="BD337" s="1045"/>
      <c r="BE337" s="1045"/>
      <c r="BF337" s="1045"/>
      <c r="BG337" s="1045"/>
      <c r="BH337" s="1045"/>
      <c r="BI337" s="1369"/>
      <c r="BJ337" s="1319"/>
      <c r="BK337" s="1319"/>
      <c r="BL337" s="1319"/>
      <c r="BM337" s="1319"/>
      <c r="BN337" s="1044"/>
      <c r="BO337" s="1045"/>
      <c r="BP337" s="1045"/>
      <c r="BQ337" s="1045"/>
      <c r="BR337" s="1045"/>
      <c r="BS337" s="1084"/>
      <c r="BT337" s="1045"/>
      <c r="BU337" s="1045"/>
      <c r="BV337" s="1045"/>
      <c r="BW337" s="1085"/>
      <c r="BX337" s="1084"/>
      <c r="BY337" s="1045"/>
      <c r="BZ337" s="1045"/>
      <c r="CA337" s="1045"/>
      <c r="CB337" s="1085"/>
      <c r="CC337" s="1086"/>
      <c r="CD337" s="1327"/>
      <c r="CE337" s="1328"/>
      <c r="CF337" s="1328"/>
      <c r="CG337" s="1328"/>
      <c r="CH337" s="1389"/>
      <c r="CI337" s="1369"/>
      <c r="CJ337" s="1319"/>
      <c r="CK337" s="1319"/>
      <c r="CL337" s="1319"/>
      <c r="CM337" s="1320"/>
      <c r="CN337" s="1369"/>
      <c r="CO337" s="1319"/>
      <c r="CP337" s="1319"/>
      <c r="CQ337" s="1319"/>
      <c r="CR337" s="1320"/>
      <c r="CS337" s="1369"/>
      <c r="CT337" s="1319"/>
      <c r="CU337" s="1319"/>
      <c r="CV337" s="1319"/>
      <c r="CW337" s="1320"/>
      <c r="CX337" s="1369"/>
      <c r="CY337" s="1319"/>
      <c r="CZ337" s="1319"/>
      <c r="DA337" s="1319"/>
      <c r="DB337" s="1320"/>
      <c r="DC337" s="1319"/>
      <c r="DD337" s="1319"/>
      <c r="DE337" s="1319"/>
      <c r="DF337" s="1319"/>
      <c r="DG337" s="1320"/>
      <c r="DH337" s="1369"/>
      <c r="DI337" s="1319"/>
      <c r="DJ337" s="1319"/>
      <c r="DK337" s="1319"/>
      <c r="DL337" s="1320"/>
      <c r="DM337" s="1743"/>
      <c r="DN337" s="1744"/>
      <c r="DO337" s="1744"/>
      <c r="DP337" s="1745"/>
      <c r="DQ337" s="1744"/>
      <c r="DR337" s="1744"/>
      <c r="DS337" s="1744"/>
      <c r="DT337" s="1745"/>
      <c r="DU337" s="1328"/>
      <c r="DV337" s="1664"/>
      <c r="DW337" s="1746"/>
    </row>
    <row r="338" spans="1:127" s="382" customFormat="1" ht="15.75" customHeight="1">
      <c r="A338" s="1066" t="s">
        <v>1287</v>
      </c>
      <c r="B338" s="1026">
        <v>329</v>
      </c>
      <c r="C338" s="987"/>
      <c r="D338" s="987"/>
      <c r="E338" s="987"/>
      <c r="F338" s="987"/>
      <c r="G338" s="987"/>
      <c r="H338" s="987"/>
      <c r="I338" s="987"/>
      <c r="J338" s="987"/>
      <c r="K338" s="987"/>
      <c r="L338" s="987"/>
      <c r="M338" s="1026"/>
      <c r="N338" s="987"/>
      <c r="O338" s="987"/>
      <c r="P338" s="987"/>
      <c r="Q338" s="987"/>
      <c r="R338" s="987"/>
      <c r="S338" s="987"/>
      <c r="T338" s="988"/>
      <c r="U338" s="1067" t="s">
        <v>1381</v>
      </c>
      <c r="V338" s="1068" t="s">
        <v>3333</v>
      </c>
      <c r="W338" s="1068" t="s">
        <v>2217</v>
      </c>
      <c r="X338" s="1069" t="s">
        <v>3350</v>
      </c>
      <c r="Y338" s="1070" t="s">
        <v>3351</v>
      </c>
      <c r="Z338" s="1071" t="s">
        <v>3352</v>
      </c>
      <c r="AA338" s="1072">
        <v>0.5</v>
      </c>
      <c r="AB338" s="1073">
        <v>0.5</v>
      </c>
      <c r="AC338" s="1073" t="s">
        <v>2260</v>
      </c>
      <c r="AD338" s="1073" t="s">
        <v>2260</v>
      </c>
      <c r="AE338" s="1073">
        <v>0</v>
      </c>
      <c r="AF338" s="1073" t="s">
        <v>2260</v>
      </c>
      <c r="AG338" s="1073" t="s">
        <v>2260</v>
      </c>
      <c r="AH338" s="1073" t="s">
        <v>2260</v>
      </c>
      <c r="AI338" s="1074">
        <f t="shared" si="5"/>
        <v>1</v>
      </c>
      <c r="AJ338" s="1075" t="s">
        <v>1852</v>
      </c>
      <c r="AK338" s="1075" t="s">
        <v>1826</v>
      </c>
      <c r="AL338" s="1075" t="s">
        <v>1827</v>
      </c>
      <c r="AM338" s="1076" t="s">
        <v>2523</v>
      </c>
      <c r="AN338" s="987" t="s">
        <v>1857</v>
      </c>
      <c r="AO338" s="987" t="s">
        <v>3353</v>
      </c>
      <c r="AP338" s="1285">
        <v>1</v>
      </c>
      <c r="AQ338" s="1045" t="s">
        <v>1828</v>
      </c>
      <c r="AR338" s="1078" t="s">
        <v>2260</v>
      </c>
      <c r="AS338" s="1079"/>
      <c r="AT338" s="1069"/>
      <c r="AU338" s="1069"/>
      <c r="AV338" s="1069"/>
      <c r="AW338" s="1080"/>
      <c r="AX338" s="1081"/>
      <c r="AY338" s="1044"/>
      <c r="AZ338" s="1045"/>
      <c r="BA338" s="1045"/>
      <c r="BB338" s="1045"/>
      <c r="BC338" s="1045"/>
      <c r="BD338" s="1045"/>
      <c r="BE338" s="1045"/>
      <c r="BF338" s="1045"/>
      <c r="BG338" s="1045"/>
      <c r="BH338" s="1045"/>
      <c r="BI338" s="1369"/>
      <c r="BJ338" s="1319"/>
      <c r="BK338" s="1319"/>
      <c r="BL338" s="1319"/>
      <c r="BM338" s="1319"/>
      <c r="BN338" s="1044"/>
      <c r="BO338" s="1045"/>
      <c r="BP338" s="1045"/>
      <c r="BQ338" s="1045"/>
      <c r="BR338" s="1045"/>
      <c r="BS338" s="1084"/>
      <c r="BT338" s="1045"/>
      <c r="BU338" s="1045"/>
      <c r="BV338" s="1045"/>
      <c r="BW338" s="1085"/>
      <c r="BX338" s="1084"/>
      <c r="BY338" s="1045"/>
      <c r="BZ338" s="1045"/>
      <c r="CA338" s="1045"/>
      <c r="CB338" s="1085"/>
      <c r="CC338" s="1086"/>
      <c r="CD338" s="1327"/>
      <c r="CE338" s="1328"/>
      <c r="CF338" s="1328"/>
      <c r="CG338" s="1328"/>
      <c r="CH338" s="1389"/>
      <c r="CI338" s="1369"/>
      <c r="CJ338" s="1319"/>
      <c r="CK338" s="1319"/>
      <c r="CL338" s="1319"/>
      <c r="CM338" s="1320"/>
      <c r="CN338" s="1369"/>
      <c r="CO338" s="1319"/>
      <c r="CP338" s="1319"/>
      <c r="CQ338" s="1319"/>
      <c r="CR338" s="1320"/>
      <c r="CS338" s="1369"/>
      <c r="CT338" s="1319"/>
      <c r="CU338" s="1319"/>
      <c r="CV338" s="1319"/>
      <c r="CW338" s="1320"/>
      <c r="CX338" s="1369"/>
      <c r="CY338" s="1319"/>
      <c r="CZ338" s="1319"/>
      <c r="DA338" s="1319"/>
      <c r="DB338" s="1320"/>
      <c r="DC338" s="1319"/>
      <c r="DD338" s="1319"/>
      <c r="DE338" s="1319"/>
      <c r="DF338" s="1319"/>
      <c r="DG338" s="1320"/>
      <c r="DH338" s="1369"/>
      <c r="DI338" s="1319"/>
      <c r="DJ338" s="1319"/>
      <c r="DK338" s="1319"/>
      <c r="DL338" s="1320"/>
      <c r="DM338" s="1743"/>
      <c r="DN338" s="1744"/>
      <c r="DO338" s="1744"/>
      <c r="DP338" s="1745"/>
      <c r="DQ338" s="1744"/>
      <c r="DR338" s="1744"/>
      <c r="DS338" s="1744"/>
      <c r="DT338" s="1745"/>
      <c r="DU338" s="1328"/>
      <c r="DV338" s="1664"/>
      <c r="DW338" s="1746"/>
    </row>
    <row r="339" spans="1:127" s="382" customFormat="1" ht="15.75" customHeight="1">
      <c r="A339" s="1066" t="s">
        <v>1287</v>
      </c>
      <c r="B339" s="1026">
        <v>330</v>
      </c>
      <c r="C339" s="987"/>
      <c r="D339" s="987"/>
      <c r="E339" s="987"/>
      <c r="F339" s="987"/>
      <c r="G339" s="987"/>
      <c r="H339" s="987"/>
      <c r="I339" s="987"/>
      <c r="J339" s="987"/>
      <c r="K339" s="987"/>
      <c r="L339" s="987"/>
      <c r="M339" s="1026"/>
      <c r="N339" s="987"/>
      <c r="O339" s="987"/>
      <c r="P339" s="987"/>
      <c r="Q339" s="987"/>
      <c r="R339" s="987"/>
      <c r="S339" s="987"/>
      <c r="T339" s="988"/>
      <c r="U339" s="1067" t="s">
        <v>1630</v>
      </c>
      <c r="V339" s="1068" t="s">
        <v>3333</v>
      </c>
      <c r="W339" s="1068" t="s">
        <v>2217</v>
      </c>
      <c r="X339" s="1069" t="s">
        <v>3354</v>
      </c>
      <c r="Y339" s="1070" t="s">
        <v>3355</v>
      </c>
      <c r="Z339" s="1071" t="s">
        <v>3356</v>
      </c>
      <c r="AA339" s="1072">
        <v>0.16200000000000001</v>
      </c>
      <c r="AB339" s="1073">
        <v>0.83799999999999997</v>
      </c>
      <c r="AC339" s="1073" t="s">
        <v>2260</v>
      </c>
      <c r="AD339" s="1073" t="s">
        <v>2260</v>
      </c>
      <c r="AE339" s="1073">
        <v>0</v>
      </c>
      <c r="AF339" s="1073" t="s">
        <v>2260</v>
      </c>
      <c r="AG339" s="1073" t="s">
        <v>2260</v>
      </c>
      <c r="AH339" s="1073" t="s">
        <v>2260</v>
      </c>
      <c r="AI339" s="1074">
        <f t="shared" si="5"/>
        <v>1</v>
      </c>
      <c r="AJ339" s="1075" t="s">
        <v>1825</v>
      </c>
      <c r="AK339" s="1075" t="s">
        <v>2260</v>
      </c>
      <c r="AL339" s="1075" t="s">
        <v>2260</v>
      </c>
      <c r="AM339" s="1076" t="s">
        <v>2408</v>
      </c>
      <c r="AN339" s="987" t="s">
        <v>1857</v>
      </c>
      <c r="AO339" s="987" t="s">
        <v>3357</v>
      </c>
      <c r="AP339" s="1285">
        <v>1</v>
      </c>
      <c r="AQ339" s="1045" t="s">
        <v>1838</v>
      </c>
      <c r="AR339" s="1078" t="s">
        <v>2260</v>
      </c>
      <c r="AS339" s="1079"/>
      <c r="AT339" s="1069"/>
      <c r="AU339" s="1069"/>
      <c r="AV339" s="1069"/>
      <c r="AW339" s="1080"/>
      <c r="AX339" s="1081"/>
      <c r="AY339" s="1044"/>
      <c r="AZ339" s="1045"/>
      <c r="BA339" s="1045"/>
      <c r="BB339" s="1045"/>
      <c r="BC339" s="1045"/>
      <c r="BD339" s="1045"/>
      <c r="BE339" s="1045"/>
      <c r="BF339" s="1045"/>
      <c r="BG339" s="1045"/>
      <c r="BH339" s="1045"/>
      <c r="BI339" s="1369"/>
      <c r="BJ339" s="1319"/>
      <c r="BK339" s="1319"/>
      <c r="BL339" s="1319"/>
      <c r="BM339" s="1319"/>
      <c r="BN339" s="1044"/>
      <c r="BO339" s="1045"/>
      <c r="BP339" s="1045"/>
      <c r="BQ339" s="1045"/>
      <c r="BR339" s="1045"/>
      <c r="BS339" s="1084"/>
      <c r="BT339" s="1045"/>
      <c r="BU339" s="1045"/>
      <c r="BV339" s="1045"/>
      <c r="BW339" s="1085"/>
      <c r="BX339" s="1084"/>
      <c r="BY339" s="1045"/>
      <c r="BZ339" s="1045"/>
      <c r="CA339" s="1045"/>
      <c r="CB339" s="1085"/>
      <c r="CC339" s="1086"/>
      <c r="CD339" s="1327"/>
      <c r="CE339" s="1328"/>
      <c r="CF339" s="1328"/>
      <c r="CG339" s="1328"/>
      <c r="CH339" s="1389"/>
      <c r="CI339" s="1369"/>
      <c r="CJ339" s="1319"/>
      <c r="CK339" s="1319"/>
      <c r="CL339" s="1319"/>
      <c r="CM339" s="1320"/>
      <c r="CN339" s="1369"/>
      <c r="CO339" s="1319"/>
      <c r="CP339" s="1319"/>
      <c r="CQ339" s="1319"/>
      <c r="CR339" s="1320"/>
      <c r="CS339" s="1369"/>
      <c r="CT339" s="1319"/>
      <c r="CU339" s="1319"/>
      <c r="CV339" s="1319"/>
      <c r="CW339" s="1320"/>
      <c r="CX339" s="1369"/>
      <c r="CY339" s="1319"/>
      <c r="CZ339" s="1319"/>
      <c r="DA339" s="1319"/>
      <c r="DB339" s="1320"/>
      <c r="DC339" s="1319"/>
      <c r="DD339" s="1319"/>
      <c r="DE339" s="1319"/>
      <c r="DF339" s="1319"/>
      <c r="DG339" s="1320"/>
      <c r="DH339" s="1369"/>
      <c r="DI339" s="1319"/>
      <c r="DJ339" s="1319"/>
      <c r="DK339" s="1319"/>
      <c r="DL339" s="1320"/>
      <c r="DM339" s="1743"/>
      <c r="DN339" s="1744"/>
      <c r="DO339" s="1744"/>
      <c r="DP339" s="1745"/>
      <c r="DQ339" s="1744"/>
      <c r="DR339" s="1744"/>
      <c r="DS339" s="1744"/>
      <c r="DT339" s="1745"/>
      <c r="DU339" s="1328"/>
      <c r="DV339" s="1664"/>
      <c r="DW339" s="1746"/>
    </row>
    <row r="340" spans="1:127" s="382" customFormat="1" ht="15.75" customHeight="1">
      <c r="A340" s="1066" t="s">
        <v>1287</v>
      </c>
      <c r="B340" s="1026">
        <v>331</v>
      </c>
      <c r="C340" s="987"/>
      <c r="D340" s="987"/>
      <c r="E340" s="987"/>
      <c r="F340" s="987"/>
      <c r="G340" s="987"/>
      <c r="H340" s="987"/>
      <c r="I340" s="987"/>
      <c r="J340" s="987"/>
      <c r="K340" s="987"/>
      <c r="L340" s="987"/>
      <c r="M340" s="1026"/>
      <c r="N340" s="987"/>
      <c r="O340" s="987"/>
      <c r="P340" s="987"/>
      <c r="Q340" s="987"/>
      <c r="R340" s="987"/>
      <c r="S340" s="987"/>
      <c r="T340" s="988"/>
      <c r="U340" s="1067" t="s">
        <v>1214</v>
      </c>
      <c r="V340" s="1068" t="s">
        <v>3358</v>
      </c>
      <c r="W340" s="1068" t="s">
        <v>2231</v>
      </c>
      <c r="X340" s="1069" t="s">
        <v>2607</v>
      </c>
      <c r="Y340" s="1070" t="s">
        <v>172</v>
      </c>
      <c r="Z340" s="1071" t="s">
        <v>3359</v>
      </c>
      <c r="AA340" s="1072">
        <v>0</v>
      </c>
      <c r="AB340" s="1073">
        <v>1</v>
      </c>
      <c r="AC340" s="1073" t="s">
        <v>2260</v>
      </c>
      <c r="AD340" s="1073" t="s">
        <v>2260</v>
      </c>
      <c r="AE340" s="1073">
        <v>0</v>
      </c>
      <c r="AF340" s="1073" t="s">
        <v>2260</v>
      </c>
      <c r="AG340" s="1073" t="s">
        <v>2260</v>
      </c>
      <c r="AH340" s="1073" t="s">
        <v>2260</v>
      </c>
      <c r="AI340" s="1074">
        <f t="shared" si="5"/>
        <v>1</v>
      </c>
      <c r="AJ340" s="1075" t="s">
        <v>1846</v>
      </c>
      <c r="AK340" s="1075" t="s">
        <v>1826</v>
      </c>
      <c r="AL340" s="1075" t="s">
        <v>1827</v>
      </c>
      <c r="AM340" s="1076" t="s">
        <v>2247</v>
      </c>
      <c r="AN340" s="987" t="s">
        <v>2439</v>
      </c>
      <c r="AO340" s="987" t="s">
        <v>4420</v>
      </c>
      <c r="AP340" s="1276">
        <v>2</v>
      </c>
      <c r="AQ340" s="1045" t="s">
        <v>1838</v>
      </c>
      <c r="AR340" s="1078" t="s">
        <v>172</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210</v>
      </c>
      <c r="CE340" s="1088" t="s">
        <v>210</v>
      </c>
      <c r="CF340" s="1088" t="s">
        <v>210</v>
      </c>
      <c r="CG340" s="1088" t="s">
        <v>210</v>
      </c>
      <c r="CH340" s="1089" t="s">
        <v>210</v>
      </c>
      <c r="CI340" s="1044" t="s">
        <v>2260</v>
      </c>
      <c r="CJ340" s="1045" t="s">
        <v>2260</v>
      </c>
      <c r="CK340" s="1045" t="s">
        <v>2260</v>
      </c>
      <c r="CL340" s="1045" t="s">
        <v>2260</v>
      </c>
      <c r="CM340" s="1086" t="s">
        <v>2260</v>
      </c>
      <c r="CN340" s="1044">
        <v>6.7</v>
      </c>
      <c r="CO340" s="1045">
        <v>7.4</v>
      </c>
      <c r="CP340" s="1045">
        <v>8.1</v>
      </c>
      <c r="CQ340" s="1045">
        <v>8.8000000000000007</v>
      </c>
      <c r="CR340" s="1086">
        <v>9.5</v>
      </c>
      <c r="CS340" s="1044">
        <v>2</v>
      </c>
      <c r="CT340" s="1045">
        <v>2</v>
      </c>
      <c r="CU340" s="1045">
        <v>2</v>
      </c>
      <c r="CV340" s="1045">
        <v>2</v>
      </c>
      <c r="CW340" s="1086">
        <v>2</v>
      </c>
      <c r="CX340" s="1044" t="s">
        <v>2260</v>
      </c>
      <c r="CY340" s="1045" t="s">
        <v>2260</v>
      </c>
      <c r="CZ340" s="1045" t="s">
        <v>2260</v>
      </c>
      <c r="DA340" s="1045" t="s">
        <v>2260</v>
      </c>
      <c r="DB340" s="1086" t="s">
        <v>2260</v>
      </c>
      <c r="DC340" s="1045" t="s">
        <v>2260</v>
      </c>
      <c r="DD340" s="1045" t="s">
        <v>2260</v>
      </c>
      <c r="DE340" s="1045" t="s">
        <v>2260</v>
      </c>
      <c r="DF340" s="1045" t="s">
        <v>2260</v>
      </c>
      <c r="DG340" s="1086" t="s">
        <v>2260</v>
      </c>
      <c r="DH340" s="1044" t="s">
        <v>2260</v>
      </c>
      <c r="DI340" s="1045" t="s">
        <v>2260</v>
      </c>
      <c r="DJ340" s="1045" t="s">
        <v>2260</v>
      </c>
      <c r="DK340" s="1045" t="s">
        <v>2260</v>
      </c>
      <c r="DL340" s="1086" t="s">
        <v>2260</v>
      </c>
      <c r="DM340" s="1090">
        <v>-0.26700000000000002</v>
      </c>
      <c r="DN340" s="1091" t="s">
        <v>2260</v>
      </c>
      <c r="DO340" s="1091" t="s">
        <v>2260</v>
      </c>
      <c r="DP340" s="1092" t="s">
        <v>2260</v>
      </c>
      <c r="DQ340" s="1091">
        <v>0</v>
      </c>
      <c r="DR340" s="1091" t="s">
        <v>2260</v>
      </c>
      <c r="DS340" s="1091" t="s">
        <v>2260</v>
      </c>
      <c r="DT340" s="1092" t="s">
        <v>2260</v>
      </c>
      <c r="DU340" s="1088" t="s">
        <v>2260</v>
      </c>
      <c r="DV340" s="1093">
        <v>1</v>
      </c>
      <c r="DW340" s="1094" t="s">
        <v>2260</v>
      </c>
    </row>
    <row r="341" spans="1:127" s="382" customFormat="1" ht="15.75" customHeight="1">
      <c r="A341" s="1066" t="s">
        <v>1287</v>
      </c>
      <c r="B341" s="1026">
        <v>332</v>
      </c>
      <c r="C341" s="987"/>
      <c r="D341" s="987"/>
      <c r="E341" s="987"/>
      <c r="F341" s="987"/>
      <c r="G341" s="987"/>
      <c r="H341" s="987"/>
      <c r="I341" s="987"/>
      <c r="J341" s="987"/>
      <c r="K341" s="987"/>
      <c r="L341" s="987"/>
      <c r="M341" s="1026"/>
      <c r="N341" s="987"/>
      <c r="O341" s="987"/>
      <c r="P341" s="987"/>
      <c r="Q341" s="987"/>
      <c r="R341" s="987"/>
      <c r="S341" s="987"/>
      <c r="T341" s="988"/>
      <c r="U341" s="1067" t="s">
        <v>1215</v>
      </c>
      <c r="V341" s="1068" t="s">
        <v>3358</v>
      </c>
      <c r="W341" s="1068" t="s">
        <v>2223</v>
      </c>
      <c r="X341" s="1069" t="s">
        <v>3361</v>
      </c>
      <c r="Y341" s="1070" t="s">
        <v>179</v>
      </c>
      <c r="Z341" s="1071" t="s">
        <v>3362</v>
      </c>
      <c r="AA341" s="1072">
        <v>0</v>
      </c>
      <c r="AB341" s="1073">
        <v>1</v>
      </c>
      <c r="AC341" s="1073" t="s">
        <v>2260</v>
      </c>
      <c r="AD341" s="1073" t="s">
        <v>2260</v>
      </c>
      <c r="AE341" s="1073">
        <v>0</v>
      </c>
      <c r="AF341" s="1073" t="s">
        <v>2260</v>
      </c>
      <c r="AG341" s="1073" t="s">
        <v>2260</v>
      </c>
      <c r="AH341" s="1073" t="s">
        <v>2260</v>
      </c>
      <c r="AI341" s="1074">
        <f t="shared" si="5"/>
        <v>1</v>
      </c>
      <c r="AJ341" s="1075" t="s">
        <v>1852</v>
      </c>
      <c r="AK341" s="1075" t="s">
        <v>1826</v>
      </c>
      <c r="AL341" s="1075" t="s">
        <v>1827</v>
      </c>
      <c r="AM341" s="1076" t="s">
        <v>2220</v>
      </c>
      <c r="AN341" s="987" t="s">
        <v>4414</v>
      </c>
      <c r="AO341" s="987" t="s">
        <v>4415</v>
      </c>
      <c r="AP341" s="1276">
        <v>0</v>
      </c>
      <c r="AQ341" s="1045" t="s">
        <v>1838</v>
      </c>
      <c r="AR341" s="1078" t="s">
        <v>179</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210</v>
      </c>
      <c r="CE341" s="1088" t="s">
        <v>210</v>
      </c>
      <c r="CF341" s="1088" t="s">
        <v>210</v>
      </c>
      <c r="CG341" s="1088" t="s">
        <v>210</v>
      </c>
      <c r="CH341" s="1089" t="s">
        <v>210</v>
      </c>
      <c r="CI341" s="1118" t="s">
        <v>2260</v>
      </c>
      <c r="CJ341" s="1119" t="s">
        <v>2260</v>
      </c>
      <c r="CK341" s="1119" t="s">
        <v>2260</v>
      </c>
      <c r="CL341" s="1119" t="s">
        <v>2260</v>
      </c>
      <c r="CM341" s="1122" t="s">
        <v>2260</v>
      </c>
      <c r="CN341" s="1118">
        <v>7.2916666666666659E-3</v>
      </c>
      <c r="CO341" s="1119">
        <v>7.6388888888888886E-3</v>
      </c>
      <c r="CP341" s="1119">
        <v>7.9861111111111105E-3</v>
      </c>
      <c r="CQ341" s="1119">
        <v>8.3333333333333297E-3</v>
      </c>
      <c r="CR341" s="1122">
        <v>8.6805555555555594E-3</v>
      </c>
      <c r="CS341" s="1118" t="s">
        <v>2260</v>
      </c>
      <c r="CT341" s="1119" t="s">
        <v>2260</v>
      </c>
      <c r="CU341" s="1119" t="s">
        <v>2260</v>
      </c>
      <c r="CV341" s="1119" t="s">
        <v>2260</v>
      </c>
      <c r="CW341" s="1122" t="s">
        <v>2260</v>
      </c>
      <c r="CX341" s="1118" t="s">
        <v>2260</v>
      </c>
      <c r="CY341" s="1119" t="s">
        <v>2260</v>
      </c>
      <c r="CZ341" s="1119" t="s">
        <v>2260</v>
      </c>
      <c r="DA341" s="1119" t="s">
        <v>2260</v>
      </c>
      <c r="DB341" s="1122" t="s">
        <v>2260</v>
      </c>
      <c r="DC341" s="1119">
        <v>2.8009259259259268E-3</v>
      </c>
      <c r="DD341" s="1119">
        <v>2.5462962962962965E-3</v>
      </c>
      <c r="DE341" s="1119">
        <v>2.2800925925925931E-3</v>
      </c>
      <c r="DF341" s="1119">
        <v>2.0254629629629633E-3</v>
      </c>
      <c r="DG341" s="1122">
        <v>1.7592592592592592E-3</v>
      </c>
      <c r="DH341" s="1118" t="s">
        <v>2260</v>
      </c>
      <c r="DI341" s="1119" t="s">
        <v>2260</v>
      </c>
      <c r="DJ341" s="1119" t="s">
        <v>2260</v>
      </c>
      <c r="DK341" s="1119" t="s">
        <v>2260</v>
      </c>
      <c r="DL341" s="1122" t="s">
        <v>2260</v>
      </c>
      <c r="DM341" s="1090">
        <v>-0.19700000000000001</v>
      </c>
      <c r="DN341" s="1091" t="s">
        <v>2260</v>
      </c>
      <c r="DO341" s="1091" t="s">
        <v>2260</v>
      </c>
      <c r="DP341" s="1092" t="s">
        <v>2260</v>
      </c>
      <c r="DQ341" s="1091">
        <v>0.19700000000000001</v>
      </c>
      <c r="DR341" s="1091" t="s">
        <v>2260</v>
      </c>
      <c r="DS341" s="1091" t="s">
        <v>2260</v>
      </c>
      <c r="DT341" s="1092" t="s">
        <v>2260</v>
      </c>
      <c r="DU341" s="1088" t="s">
        <v>2260</v>
      </c>
      <c r="DV341" s="1093">
        <v>1</v>
      </c>
      <c r="DW341" s="1094" t="s">
        <v>2260</v>
      </c>
    </row>
    <row r="342" spans="1:127" s="382" customFormat="1" ht="15.75" customHeight="1">
      <c r="A342" s="1066" t="s">
        <v>1287</v>
      </c>
      <c r="B342" s="1026">
        <v>333</v>
      </c>
      <c r="C342" s="987"/>
      <c r="D342" s="987"/>
      <c r="E342" s="987"/>
      <c r="F342" s="987"/>
      <c r="G342" s="987"/>
      <c r="H342" s="987"/>
      <c r="I342" s="987"/>
      <c r="J342" s="987"/>
      <c r="K342" s="987"/>
      <c r="L342" s="987"/>
      <c r="M342" s="1026"/>
      <c r="N342" s="987"/>
      <c r="O342" s="987"/>
      <c r="P342" s="987"/>
      <c r="Q342" s="987"/>
      <c r="R342" s="987"/>
      <c r="S342" s="987"/>
      <c r="T342" s="988"/>
      <c r="U342" s="1067" t="s">
        <v>1224</v>
      </c>
      <c r="V342" s="1068" t="s">
        <v>3358</v>
      </c>
      <c r="W342" s="1068" t="s">
        <v>2231</v>
      </c>
      <c r="X342" s="1069" t="s">
        <v>3364</v>
      </c>
      <c r="Y342" s="1070" t="s">
        <v>567</v>
      </c>
      <c r="Z342" s="1071" t="s">
        <v>3365</v>
      </c>
      <c r="AA342" s="1072">
        <v>1</v>
      </c>
      <c r="AB342" s="1073">
        <v>0</v>
      </c>
      <c r="AC342" s="1073" t="s">
        <v>2260</v>
      </c>
      <c r="AD342" s="1073" t="s">
        <v>2260</v>
      </c>
      <c r="AE342" s="1073">
        <v>0</v>
      </c>
      <c r="AF342" s="1073" t="s">
        <v>2260</v>
      </c>
      <c r="AG342" s="1073" t="s">
        <v>2260</v>
      </c>
      <c r="AH342" s="1073" t="s">
        <v>2260</v>
      </c>
      <c r="AI342" s="1074">
        <f t="shared" si="5"/>
        <v>1</v>
      </c>
      <c r="AJ342" s="1075" t="s">
        <v>1825</v>
      </c>
      <c r="AK342" s="1075" t="s">
        <v>2260</v>
      </c>
      <c r="AL342" s="1075" t="s">
        <v>2260</v>
      </c>
      <c r="AM342" s="1076" t="s">
        <v>3028</v>
      </c>
      <c r="AN342" s="987" t="s">
        <v>321</v>
      </c>
      <c r="AO342" s="987" t="s">
        <v>4417</v>
      </c>
      <c r="AP342" s="1276">
        <v>1</v>
      </c>
      <c r="AQ342" s="1045" t="s">
        <v>1838</v>
      </c>
      <c r="AR342" s="1078" t="s">
        <v>567</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2260</v>
      </c>
      <c r="CE342" s="1088" t="s">
        <v>2260</v>
      </c>
      <c r="CF342" s="1088" t="s">
        <v>2260</v>
      </c>
      <c r="CG342" s="1088" t="s">
        <v>2260</v>
      </c>
      <c r="CH342" s="1089" t="s">
        <v>2260</v>
      </c>
      <c r="CI342" s="1044" t="s">
        <v>2260</v>
      </c>
      <c r="CJ342" s="1045" t="s">
        <v>2260</v>
      </c>
      <c r="CK342" s="1045" t="s">
        <v>2260</v>
      </c>
      <c r="CL342" s="1045" t="s">
        <v>2260</v>
      </c>
      <c r="CM342" s="1086" t="s">
        <v>2260</v>
      </c>
      <c r="CN342" s="1044" t="s">
        <v>2260</v>
      </c>
      <c r="CO342" s="1045" t="s">
        <v>2260</v>
      </c>
      <c r="CP342" s="1045" t="s">
        <v>2260</v>
      </c>
      <c r="CQ342" s="1045" t="s">
        <v>2260</v>
      </c>
      <c r="CR342" s="1086" t="s">
        <v>2260</v>
      </c>
      <c r="CS342" s="1044" t="s">
        <v>2260</v>
      </c>
      <c r="CT342" s="1045" t="s">
        <v>2260</v>
      </c>
      <c r="CU342" s="1045" t="s">
        <v>2260</v>
      </c>
      <c r="CV342" s="1045" t="s">
        <v>2260</v>
      </c>
      <c r="CW342" s="1086" t="s">
        <v>2260</v>
      </c>
      <c r="CX342" s="1044" t="s">
        <v>2260</v>
      </c>
      <c r="CY342" s="1045" t="s">
        <v>2260</v>
      </c>
      <c r="CZ342" s="1045" t="s">
        <v>2260</v>
      </c>
      <c r="DA342" s="1045" t="s">
        <v>2260</v>
      </c>
      <c r="DB342" s="1086" t="s">
        <v>2260</v>
      </c>
      <c r="DC342" s="1045" t="s">
        <v>2260</v>
      </c>
      <c r="DD342" s="1045" t="s">
        <v>2260</v>
      </c>
      <c r="DE342" s="1045" t="s">
        <v>2260</v>
      </c>
      <c r="DF342" s="1045" t="s">
        <v>2260</v>
      </c>
      <c r="DG342" s="1086" t="s">
        <v>2260</v>
      </c>
      <c r="DH342" s="1044" t="s">
        <v>2260</v>
      </c>
      <c r="DI342" s="1045" t="s">
        <v>2260</v>
      </c>
      <c r="DJ342" s="1045" t="s">
        <v>2260</v>
      </c>
      <c r="DK342" s="1045" t="s">
        <v>2260</v>
      </c>
      <c r="DL342" s="1086" t="s">
        <v>2260</v>
      </c>
      <c r="DM342" s="1090" t="s">
        <v>2260</v>
      </c>
      <c r="DN342" s="1091" t="s">
        <v>2260</v>
      </c>
      <c r="DO342" s="1091" t="s">
        <v>2260</v>
      </c>
      <c r="DP342" s="1092" t="s">
        <v>2260</v>
      </c>
      <c r="DQ342" s="1091" t="s">
        <v>2260</v>
      </c>
      <c r="DR342" s="1091" t="s">
        <v>2260</v>
      </c>
      <c r="DS342" s="1091" t="s">
        <v>2260</v>
      </c>
      <c r="DT342" s="1092" t="s">
        <v>2260</v>
      </c>
      <c r="DU342" s="1088" t="s">
        <v>2260</v>
      </c>
      <c r="DV342" s="1093">
        <v>1</v>
      </c>
      <c r="DW342" s="1094" t="s">
        <v>2260</v>
      </c>
    </row>
    <row r="343" spans="1:127" s="382" customFormat="1" ht="15.75" customHeight="1">
      <c r="A343" s="1066" t="s">
        <v>1287</v>
      </c>
      <c r="B343" s="1026">
        <v>334</v>
      </c>
      <c r="C343" s="987"/>
      <c r="D343" s="987"/>
      <c r="E343" s="987"/>
      <c r="F343" s="987"/>
      <c r="G343" s="987"/>
      <c r="H343" s="987"/>
      <c r="I343" s="987"/>
      <c r="J343" s="987"/>
      <c r="K343" s="987"/>
      <c r="L343" s="987"/>
      <c r="M343" s="1026"/>
      <c r="N343" s="987"/>
      <c r="O343" s="987"/>
      <c r="P343" s="987"/>
      <c r="Q343" s="987"/>
      <c r="R343" s="987"/>
      <c r="S343" s="987"/>
      <c r="T343" s="988"/>
      <c r="U343" s="1067" t="s">
        <v>1218</v>
      </c>
      <c r="V343" s="1068" t="s">
        <v>3358</v>
      </c>
      <c r="W343" s="1068" t="s">
        <v>2231</v>
      </c>
      <c r="X343" s="1069" t="s">
        <v>3366</v>
      </c>
      <c r="Y343" s="1070" t="s">
        <v>203</v>
      </c>
      <c r="Z343" s="1071" t="s">
        <v>3367</v>
      </c>
      <c r="AA343" s="1072">
        <v>0</v>
      </c>
      <c r="AB343" s="1073">
        <v>1</v>
      </c>
      <c r="AC343" s="1073" t="s">
        <v>2260</v>
      </c>
      <c r="AD343" s="1073" t="s">
        <v>2260</v>
      </c>
      <c r="AE343" s="1073">
        <v>0</v>
      </c>
      <c r="AF343" s="1073" t="s">
        <v>2260</v>
      </c>
      <c r="AG343" s="1073" t="s">
        <v>2260</v>
      </c>
      <c r="AH343" s="1073" t="s">
        <v>2260</v>
      </c>
      <c r="AI343" s="1074">
        <f t="shared" si="5"/>
        <v>1</v>
      </c>
      <c r="AJ343" s="1075" t="s">
        <v>1852</v>
      </c>
      <c r="AK343" s="1075" t="s">
        <v>1826</v>
      </c>
      <c r="AL343" s="1075" t="s">
        <v>1827</v>
      </c>
      <c r="AM343" s="1076" t="s">
        <v>2242</v>
      </c>
      <c r="AN343" s="987" t="s">
        <v>2439</v>
      </c>
      <c r="AO343" s="987" t="s">
        <v>4419</v>
      </c>
      <c r="AP343" s="1276">
        <v>1</v>
      </c>
      <c r="AQ343" s="1045" t="s">
        <v>1838</v>
      </c>
      <c r="AR343" s="1078" t="s">
        <v>203</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210</v>
      </c>
      <c r="CE343" s="1088" t="s">
        <v>210</v>
      </c>
      <c r="CF343" s="1088" t="s">
        <v>210</v>
      </c>
      <c r="CG343" s="1088" t="s">
        <v>210</v>
      </c>
      <c r="CH343" s="1089" t="s">
        <v>210</v>
      </c>
      <c r="CI343" s="1044" t="s">
        <v>2260</v>
      </c>
      <c r="CJ343" s="1045" t="s">
        <v>2260</v>
      </c>
      <c r="CK343" s="1045" t="s">
        <v>2260</v>
      </c>
      <c r="CL343" s="1045" t="s">
        <v>2260</v>
      </c>
      <c r="CM343" s="1086" t="s">
        <v>2260</v>
      </c>
      <c r="CN343" s="1044">
        <v>142</v>
      </c>
      <c r="CO343" s="1045">
        <v>144</v>
      </c>
      <c r="CP343" s="1045">
        <v>146</v>
      </c>
      <c r="CQ343" s="1045">
        <v>148</v>
      </c>
      <c r="CR343" s="1086">
        <v>150</v>
      </c>
      <c r="CS343" s="1044" t="s">
        <v>2260</v>
      </c>
      <c r="CT343" s="1045" t="s">
        <v>2260</v>
      </c>
      <c r="CU343" s="1045" t="s">
        <v>2260</v>
      </c>
      <c r="CV343" s="1045" t="s">
        <v>2260</v>
      </c>
      <c r="CW343" s="1086" t="s">
        <v>2260</v>
      </c>
      <c r="CX343" s="1044" t="s">
        <v>2260</v>
      </c>
      <c r="CY343" s="1045" t="s">
        <v>2260</v>
      </c>
      <c r="CZ343" s="1045" t="s">
        <v>2260</v>
      </c>
      <c r="DA343" s="1045" t="s">
        <v>2260</v>
      </c>
      <c r="DB343" s="1086" t="s">
        <v>2260</v>
      </c>
      <c r="DC343" s="1045">
        <v>111.6</v>
      </c>
      <c r="DD343" s="1045">
        <v>109.8</v>
      </c>
      <c r="DE343" s="1045">
        <v>108</v>
      </c>
      <c r="DF343" s="1045">
        <v>106.2</v>
      </c>
      <c r="DG343" s="1086">
        <v>104.4</v>
      </c>
      <c r="DH343" s="1044" t="s">
        <v>2260</v>
      </c>
      <c r="DI343" s="1045" t="s">
        <v>2260</v>
      </c>
      <c r="DJ343" s="1045" t="s">
        <v>2260</v>
      </c>
      <c r="DK343" s="1045" t="s">
        <v>2260</v>
      </c>
      <c r="DL343" s="1086" t="s">
        <v>2260</v>
      </c>
      <c r="DM343" s="1090">
        <v>-5.6000000000000001E-2</v>
      </c>
      <c r="DN343" s="1091" t="s">
        <v>2260</v>
      </c>
      <c r="DO343" s="1091" t="s">
        <v>2260</v>
      </c>
      <c r="DP343" s="1092" t="s">
        <v>2260</v>
      </c>
      <c r="DQ343" s="1091">
        <v>1.9E-2</v>
      </c>
      <c r="DR343" s="1091" t="s">
        <v>2260</v>
      </c>
      <c r="DS343" s="1091" t="s">
        <v>2260</v>
      </c>
      <c r="DT343" s="1092" t="s">
        <v>2260</v>
      </c>
      <c r="DU343" s="1088" t="s">
        <v>2260</v>
      </c>
      <c r="DV343" s="1093">
        <v>1</v>
      </c>
      <c r="DW343" s="1094" t="s">
        <v>2260</v>
      </c>
    </row>
    <row r="344" spans="1:127" s="382" customFormat="1" ht="15.75" customHeight="1">
      <c r="A344" s="1066" t="s">
        <v>1287</v>
      </c>
      <c r="B344" s="1026">
        <v>335</v>
      </c>
      <c r="C344" s="987"/>
      <c r="D344" s="987"/>
      <c r="E344" s="987"/>
      <c r="F344" s="987"/>
      <c r="G344" s="987"/>
      <c r="H344" s="987"/>
      <c r="I344" s="987"/>
      <c r="J344" s="987"/>
      <c r="K344" s="987"/>
      <c r="L344" s="987"/>
      <c r="M344" s="1026"/>
      <c r="N344" s="987"/>
      <c r="O344" s="987"/>
      <c r="P344" s="987"/>
      <c r="Q344" s="987"/>
      <c r="R344" s="987"/>
      <c r="S344" s="987"/>
      <c r="T344" s="988"/>
      <c r="U344" s="1067" t="s">
        <v>1219</v>
      </c>
      <c r="V344" s="1068" t="s">
        <v>3358</v>
      </c>
      <c r="W344" s="1068" t="s">
        <v>2231</v>
      </c>
      <c r="X344" s="1069" t="s">
        <v>3369</v>
      </c>
      <c r="Y344" s="1070" t="s">
        <v>209</v>
      </c>
      <c r="Z344" s="1071" t="s">
        <v>3370</v>
      </c>
      <c r="AA344" s="1072">
        <v>0.10100000000000001</v>
      </c>
      <c r="AB344" s="1073">
        <v>0.89900000000000002</v>
      </c>
      <c r="AC344" s="1073" t="s">
        <v>2260</v>
      </c>
      <c r="AD344" s="1073" t="s">
        <v>2260</v>
      </c>
      <c r="AE344" s="1073">
        <v>0</v>
      </c>
      <c r="AF344" s="1073" t="s">
        <v>2260</v>
      </c>
      <c r="AG344" s="1073" t="s">
        <v>2260</v>
      </c>
      <c r="AH344" s="1073" t="s">
        <v>2260</v>
      </c>
      <c r="AI344" s="1074">
        <f t="shared" si="5"/>
        <v>1</v>
      </c>
      <c r="AJ344" s="1075" t="s">
        <v>1852</v>
      </c>
      <c r="AK344" s="1075" t="s">
        <v>1826</v>
      </c>
      <c r="AL344" s="1075" t="s">
        <v>1827</v>
      </c>
      <c r="AM344" s="1076" t="s">
        <v>2242</v>
      </c>
      <c r="AN344" s="987" t="s">
        <v>321</v>
      </c>
      <c r="AO344" s="987" t="s">
        <v>4418</v>
      </c>
      <c r="AP344" s="1276">
        <v>2</v>
      </c>
      <c r="AQ344" s="1045" t="s">
        <v>1838</v>
      </c>
      <c r="AR344" s="1078" t="s">
        <v>209</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210</v>
      </c>
      <c r="CE344" s="1088" t="s">
        <v>210</v>
      </c>
      <c r="CF344" s="1088" t="s">
        <v>210</v>
      </c>
      <c r="CG344" s="1088" t="s">
        <v>210</v>
      </c>
      <c r="CH344" s="1089" t="s">
        <v>210</v>
      </c>
      <c r="CI344" s="1044" t="s">
        <v>2260</v>
      </c>
      <c r="CJ344" s="1045" t="s">
        <v>2260</v>
      </c>
      <c r="CK344" s="1045" t="s">
        <v>2260</v>
      </c>
      <c r="CL344" s="1045" t="s">
        <v>2260</v>
      </c>
      <c r="CM344" s="1086" t="s">
        <v>2260</v>
      </c>
      <c r="CN344" s="1044">
        <v>4.68</v>
      </c>
      <c r="CO344" s="1045">
        <v>4.68</v>
      </c>
      <c r="CP344" s="1045">
        <v>4.68</v>
      </c>
      <c r="CQ344" s="1045">
        <v>4.68</v>
      </c>
      <c r="CR344" s="1086">
        <v>4.68</v>
      </c>
      <c r="CS344" s="1044" t="s">
        <v>2260</v>
      </c>
      <c r="CT344" s="1045" t="s">
        <v>2260</v>
      </c>
      <c r="CU344" s="1045" t="s">
        <v>2260</v>
      </c>
      <c r="CV344" s="1045" t="s">
        <v>2260</v>
      </c>
      <c r="CW344" s="1086" t="s">
        <v>2260</v>
      </c>
      <c r="CX344" s="1044" t="s">
        <v>2260</v>
      </c>
      <c r="CY344" s="1045" t="s">
        <v>2260</v>
      </c>
      <c r="CZ344" s="1045" t="s">
        <v>2260</v>
      </c>
      <c r="DA344" s="1045" t="s">
        <v>2260</v>
      </c>
      <c r="DB344" s="1086" t="s">
        <v>2260</v>
      </c>
      <c r="DC344" s="1045">
        <v>1.64</v>
      </c>
      <c r="DD344" s="1045">
        <v>1.64</v>
      </c>
      <c r="DE344" s="1045">
        <v>1.64</v>
      </c>
      <c r="DF344" s="1045">
        <v>1.64</v>
      </c>
      <c r="DG344" s="1086">
        <v>1.64</v>
      </c>
      <c r="DH344" s="1044" t="s">
        <v>2260</v>
      </c>
      <c r="DI344" s="1045" t="s">
        <v>2260</v>
      </c>
      <c r="DJ344" s="1045" t="s">
        <v>2260</v>
      </c>
      <c r="DK344" s="1045" t="s">
        <v>2260</v>
      </c>
      <c r="DL344" s="1086" t="s">
        <v>2260</v>
      </c>
      <c r="DM344" s="1090">
        <v>-0.54700000000000004</v>
      </c>
      <c r="DN344" s="1091" t="s">
        <v>2260</v>
      </c>
      <c r="DO344" s="1091" t="s">
        <v>2260</v>
      </c>
      <c r="DP344" s="1092" t="s">
        <v>2260</v>
      </c>
      <c r="DQ344" s="1091">
        <v>0.36199999999999999</v>
      </c>
      <c r="DR344" s="1091" t="s">
        <v>2260</v>
      </c>
      <c r="DS344" s="1091" t="s">
        <v>2260</v>
      </c>
      <c r="DT344" s="1092" t="s">
        <v>2260</v>
      </c>
      <c r="DU344" s="1088" t="s">
        <v>2260</v>
      </c>
      <c r="DV344" s="1093">
        <v>1</v>
      </c>
      <c r="DW344" s="1094" t="s">
        <v>2260</v>
      </c>
    </row>
    <row r="345" spans="1:127" s="382" customFormat="1" ht="15.75" customHeight="1">
      <c r="A345" s="1066" t="s">
        <v>1287</v>
      </c>
      <c r="B345" s="1026">
        <v>336</v>
      </c>
      <c r="C345" s="987"/>
      <c r="D345" s="987"/>
      <c r="E345" s="987"/>
      <c r="F345" s="987"/>
      <c r="G345" s="987"/>
      <c r="H345" s="987"/>
      <c r="I345" s="987"/>
      <c r="J345" s="987"/>
      <c r="K345" s="987"/>
      <c r="L345" s="987"/>
      <c r="M345" s="1026"/>
      <c r="N345" s="987"/>
      <c r="O345" s="987"/>
      <c r="P345" s="987"/>
      <c r="Q345" s="987"/>
      <c r="R345" s="987"/>
      <c r="S345" s="987"/>
      <c r="T345" s="988"/>
      <c r="U345" s="1067" t="s">
        <v>1398</v>
      </c>
      <c r="V345" s="1068" t="s">
        <v>3358</v>
      </c>
      <c r="W345" s="1068" t="s">
        <v>2223</v>
      </c>
      <c r="X345" s="1069" t="s">
        <v>3371</v>
      </c>
      <c r="Y345" s="1070" t="s">
        <v>3372</v>
      </c>
      <c r="Z345" s="1071" t="s">
        <v>3373</v>
      </c>
      <c r="AA345" s="1072">
        <v>0</v>
      </c>
      <c r="AB345" s="1073">
        <v>1</v>
      </c>
      <c r="AC345" s="1073" t="s">
        <v>2260</v>
      </c>
      <c r="AD345" s="1073" t="s">
        <v>2260</v>
      </c>
      <c r="AE345" s="1073">
        <v>0</v>
      </c>
      <c r="AF345" s="1073" t="s">
        <v>2260</v>
      </c>
      <c r="AG345" s="1073" t="s">
        <v>2260</v>
      </c>
      <c r="AH345" s="1073" t="s">
        <v>2260</v>
      </c>
      <c r="AI345" s="1074">
        <f t="shared" si="5"/>
        <v>1</v>
      </c>
      <c r="AJ345" s="1075" t="s">
        <v>1852</v>
      </c>
      <c r="AK345" s="1075" t="s">
        <v>1826</v>
      </c>
      <c r="AL345" s="1075" t="s">
        <v>1827</v>
      </c>
      <c r="AM345" s="1076" t="s">
        <v>2421</v>
      </c>
      <c r="AN345" s="987" t="s">
        <v>439</v>
      </c>
      <c r="AO345" s="987" t="s">
        <v>4423</v>
      </c>
      <c r="AP345" s="1276">
        <v>2</v>
      </c>
      <c r="AQ345" s="1045" t="s">
        <v>1838</v>
      </c>
      <c r="AR345" s="1078"/>
      <c r="AS345" s="1079"/>
      <c r="AT345" s="1069"/>
      <c r="AU345" s="1069"/>
      <c r="AV345" s="1069"/>
      <c r="AW345" s="1080"/>
      <c r="AX345" s="1081"/>
      <c r="AY345" s="1044"/>
      <c r="AZ345" s="1045"/>
      <c r="BA345" s="1045"/>
      <c r="BB345" s="1045"/>
      <c r="BC345" s="1045"/>
      <c r="BD345" s="1045"/>
      <c r="BE345" s="1045"/>
      <c r="BF345" s="1045"/>
      <c r="BG345" s="1045"/>
      <c r="BH345" s="1045"/>
      <c r="BI345" s="1369"/>
      <c r="BJ345" s="1319"/>
      <c r="BK345" s="1319"/>
      <c r="BL345" s="1319"/>
      <c r="BM345" s="1319"/>
      <c r="BN345" s="1044"/>
      <c r="BO345" s="1045"/>
      <c r="BP345" s="1045"/>
      <c r="BQ345" s="1045"/>
      <c r="BR345" s="1045"/>
      <c r="BS345" s="1084"/>
      <c r="BT345" s="1045"/>
      <c r="BU345" s="1045"/>
      <c r="BV345" s="1045"/>
      <c r="BW345" s="1085"/>
      <c r="BX345" s="1084"/>
      <c r="BY345" s="1045"/>
      <c r="BZ345" s="1045"/>
      <c r="CA345" s="1045"/>
      <c r="CB345" s="1085"/>
      <c r="CC345" s="1086"/>
      <c r="CD345" s="1327"/>
      <c r="CE345" s="1328"/>
      <c r="CF345" s="1328"/>
      <c r="CG345" s="1328"/>
      <c r="CH345" s="1389"/>
      <c r="CI345" s="1369"/>
      <c r="CJ345" s="1319"/>
      <c r="CK345" s="1319"/>
      <c r="CL345" s="1319"/>
      <c r="CM345" s="1320"/>
      <c r="CN345" s="1369"/>
      <c r="CO345" s="1319"/>
      <c r="CP345" s="1319"/>
      <c r="CQ345" s="1319"/>
      <c r="CR345" s="1320"/>
      <c r="CS345" s="1369"/>
      <c r="CT345" s="1319"/>
      <c r="CU345" s="1319"/>
      <c r="CV345" s="1319"/>
      <c r="CW345" s="1320"/>
      <c r="CX345" s="1369"/>
      <c r="CY345" s="1319"/>
      <c r="CZ345" s="1319"/>
      <c r="DA345" s="1319"/>
      <c r="DB345" s="1320"/>
      <c r="DC345" s="1319"/>
      <c r="DD345" s="1319"/>
      <c r="DE345" s="1319"/>
      <c r="DF345" s="1319"/>
      <c r="DG345" s="1320"/>
      <c r="DH345" s="1369"/>
      <c r="DI345" s="1319"/>
      <c r="DJ345" s="1319"/>
      <c r="DK345" s="1319"/>
      <c r="DL345" s="1320"/>
      <c r="DM345" s="1743"/>
      <c r="DN345" s="1744"/>
      <c r="DO345" s="1744"/>
      <c r="DP345" s="1745"/>
      <c r="DQ345" s="1744"/>
      <c r="DR345" s="1744"/>
      <c r="DS345" s="1744"/>
      <c r="DT345" s="1745"/>
      <c r="DU345" s="1328"/>
      <c r="DV345" s="1664"/>
      <c r="DW345" s="1746"/>
    </row>
    <row r="346" spans="1:127" s="382" customFormat="1" ht="15.75" customHeight="1">
      <c r="A346" s="1066" t="s">
        <v>1287</v>
      </c>
      <c r="B346" s="1026">
        <v>337</v>
      </c>
      <c r="C346" s="987"/>
      <c r="D346" s="987"/>
      <c r="E346" s="987"/>
      <c r="F346" s="987"/>
      <c r="G346" s="987"/>
      <c r="H346" s="987"/>
      <c r="I346" s="987"/>
      <c r="J346" s="987"/>
      <c r="K346" s="987"/>
      <c r="L346" s="987"/>
      <c r="M346" s="1026"/>
      <c r="N346" s="987"/>
      <c r="O346" s="987"/>
      <c r="P346" s="987"/>
      <c r="Q346" s="987"/>
      <c r="R346" s="987"/>
      <c r="S346" s="987"/>
      <c r="T346" s="988"/>
      <c r="U346" s="1067" t="s">
        <v>1415</v>
      </c>
      <c r="V346" s="1068" t="s">
        <v>3358</v>
      </c>
      <c r="W346" s="1068" t="s">
        <v>2231</v>
      </c>
      <c r="X346" s="1069" t="s">
        <v>3375</v>
      </c>
      <c r="Y346" s="1070" t="s">
        <v>2731</v>
      </c>
      <c r="Z346" s="1071" t="s">
        <v>3376</v>
      </c>
      <c r="AA346" s="1072">
        <v>0</v>
      </c>
      <c r="AB346" s="1073">
        <v>1</v>
      </c>
      <c r="AC346" s="1073" t="s">
        <v>2260</v>
      </c>
      <c r="AD346" s="1073" t="s">
        <v>2260</v>
      </c>
      <c r="AE346" s="1073">
        <v>0</v>
      </c>
      <c r="AF346" s="1073" t="s">
        <v>2260</v>
      </c>
      <c r="AG346" s="1073" t="s">
        <v>2260</v>
      </c>
      <c r="AH346" s="1073" t="s">
        <v>2260</v>
      </c>
      <c r="AI346" s="1074">
        <f t="shared" si="5"/>
        <v>1</v>
      </c>
      <c r="AJ346" s="1075" t="s">
        <v>1852</v>
      </c>
      <c r="AK346" s="1075" t="s">
        <v>1826</v>
      </c>
      <c r="AL346" s="1075" t="s">
        <v>1827</v>
      </c>
      <c r="AM346" s="1076" t="s">
        <v>2482</v>
      </c>
      <c r="AN346" s="987" t="s">
        <v>1890</v>
      </c>
      <c r="AO346" s="987" t="s">
        <v>3377</v>
      </c>
      <c r="AP346" s="1285">
        <v>0</v>
      </c>
      <c r="AQ346" s="1045" t="s">
        <v>1838</v>
      </c>
      <c r="AR346" s="1078" t="s">
        <v>2260</v>
      </c>
      <c r="AS346" s="1079"/>
      <c r="AT346" s="1069"/>
      <c r="AU346" s="1069"/>
      <c r="AV346" s="1069"/>
      <c r="AW346" s="1080"/>
      <c r="AX346" s="1081"/>
      <c r="AY346" s="1044"/>
      <c r="AZ346" s="1045"/>
      <c r="BA346" s="1045"/>
      <c r="BB346" s="1045"/>
      <c r="BC346" s="1045"/>
      <c r="BD346" s="1045"/>
      <c r="BE346" s="1045"/>
      <c r="BF346" s="1045"/>
      <c r="BG346" s="1045"/>
      <c r="BH346" s="1045"/>
      <c r="BI346" s="1369"/>
      <c r="BJ346" s="1319"/>
      <c r="BK346" s="1319"/>
      <c r="BL346" s="1319"/>
      <c r="BM346" s="1319"/>
      <c r="BN346" s="1044"/>
      <c r="BO346" s="1045"/>
      <c r="BP346" s="1045"/>
      <c r="BQ346" s="1045"/>
      <c r="BR346" s="1045"/>
      <c r="BS346" s="1084"/>
      <c r="BT346" s="1045"/>
      <c r="BU346" s="1045"/>
      <c r="BV346" s="1045"/>
      <c r="BW346" s="1085"/>
      <c r="BX346" s="1084"/>
      <c r="BY346" s="1045"/>
      <c r="BZ346" s="1045"/>
      <c r="CA346" s="1045"/>
      <c r="CB346" s="1085"/>
      <c r="CC346" s="1086"/>
      <c r="CD346" s="1327"/>
      <c r="CE346" s="1328"/>
      <c r="CF346" s="1328"/>
      <c r="CG346" s="1328"/>
      <c r="CH346" s="1389"/>
      <c r="CI346" s="1369"/>
      <c r="CJ346" s="1319"/>
      <c r="CK346" s="1319"/>
      <c r="CL346" s="1319"/>
      <c r="CM346" s="1320"/>
      <c r="CN346" s="1369"/>
      <c r="CO346" s="1319"/>
      <c r="CP346" s="1319"/>
      <c r="CQ346" s="1319"/>
      <c r="CR346" s="1320"/>
      <c r="CS346" s="1369"/>
      <c r="CT346" s="1319"/>
      <c r="CU346" s="1319"/>
      <c r="CV346" s="1319"/>
      <c r="CW346" s="1320"/>
      <c r="CX346" s="1369"/>
      <c r="CY346" s="1319"/>
      <c r="CZ346" s="1319"/>
      <c r="DA346" s="1319"/>
      <c r="DB346" s="1320"/>
      <c r="DC346" s="1319"/>
      <c r="DD346" s="1319"/>
      <c r="DE346" s="1319"/>
      <c r="DF346" s="1319"/>
      <c r="DG346" s="1320"/>
      <c r="DH346" s="1369"/>
      <c r="DI346" s="1319"/>
      <c r="DJ346" s="1319"/>
      <c r="DK346" s="1319"/>
      <c r="DL346" s="1320"/>
      <c r="DM346" s="1743"/>
      <c r="DN346" s="1744"/>
      <c r="DO346" s="1744"/>
      <c r="DP346" s="1745"/>
      <c r="DQ346" s="1744"/>
      <c r="DR346" s="1744"/>
      <c r="DS346" s="1744"/>
      <c r="DT346" s="1745"/>
      <c r="DU346" s="1328"/>
      <c r="DV346" s="1664"/>
      <c r="DW346" s="1746"/>
    </row>
    <row r="347" spans="1:127" s="382" customFormat="1" ht="15.75" customHeight="1">
      <c r="A347" s="1066" t="s">
        <v>1287</v>
      </c>
      <c r="B347" s="1026">
        <v>338</v>
      </c>
      <c r="C347" s="987"/>
      <c r="D347" s="987"/>
      <c r="E347" s="987"/>
      <c r="F347" s="987"/>
      <c r="G347" s="987"/>
      <c r="H347" s="987"/>
      <c r="I347" s="987"/>
      <c r="J347" s="987"/>
      <c r="K347" s="987"/>
      <c r="L347" s="987"/>
      <c r="M347" s="1026"/>
      <c r="N347" s="987"/>
      <c r="O347" s="987"/>
      <c r="P347" s="987"/>
      <c r="Q347" s="987"/>
      <c r="R347" s="987"/>
      <c r="S347" s="987"/>
      <c r="T347" s="988"/>
      <c r="U347" s="1067" t="s">
        <v>1431</v>
      </c>
      <c r="V347" s="1068" t="s">
        <v>3358</v>
      </c>
      <c r="W347" s="1068" t="s">
        <v>2231</v>
      </c>
      <c r="X347" s="1069" t="s">
        <v>3378</v>
      </c>
      <c r="Y347" s="1070" t="s">
        <v>3379</v>
      </c>
      <c r="Z347" s="1071" t="s">
        <v>3380</v>
      </c>
      <c r="AA347" s="1072">
        <v>0</v>
      </c>
      <c r="AB347" s="1073">
        <v>1</v>
      </c>
      <c r="AC347" s="1073" t="s">
        <v>2260</v>
      </c>
      <c r="AD347" s="1073" t="s">
        <v>2260</v>
      </c>
      <c r="AE347" s="1073">
        <v>0</v>
      </c>
      <c r="AF347" s="1073" t="s">
        <v>2260</v>
      </c>
      <c r="AG347" s="1073" t="s">
        <v>2260</v>
      </c>
      <c r="AH347" s="1073" t="s">
        <v>2260</v>
      </c>
      <c r="AI347" s="1074">
        <f t="shared" si="5"/>
        <v>1</v>
      </c>
      <c r="AJ347" s="1075" t="s">
        <v>1846</v>
      </c>
      <c r="AK347" s="1075" t="s">
        <v>1826</v>
      </c>
      <c r="AL347" s="1075" t="s">
        <v>1827</v>
      </c>
      <c r="AM347" s="1076" t="s">
        <v>2371</v>
      </c>
      <c r="AN347" s="987" t="s">
        <v>321</v>
      </c>
      <c r="AO347" s="987" t="s">
        <v>3381</v>
      </c>
      <c r="AP347" s="1285">
        <v>1</v>
      </c>
      <c r="AQ347" s="1045" t="s">
        <v>1828</v>
      </c>
      <c r="AR347" s="1078" t="s">
        <v>2260</v>
      </c>
      <c r="AS347" s="1079"/>
      <c r="AT347" s="1069"/>
      <c r="AU347" s="1069"/>
      <c r="AV347" s="1069"/>
      <c r="AW347" s="1080"/>
      <c r="AX347" s="1081"/>
      <c r="AY347" s="1044"/>
      <c r="AZ347" s="1045"/>
      <c r="BA347" s="1045"/>
      <c r="BB347" s="1045"/>
      <c r="BC347" s="1045"/>
      <c r="BD347" s="1045"/>
      <c r="BE347" s="1045"/>
      <c r="BF347" s="1045"/>
      <c r="BG347" s="1045"/>
      <c r="BH347" s="1045"/>
      <c r="BI347" s="1369"/>
      <c r="BJ347" s="1319"/>
      <c r="BK347" s="1319"/>
      <c r="BL347" s="1319"/>
      <c r="BM347" s="1319"/>
      <c r="BN347" s="1044"/>
      <c r="BO347" s="1045"/>
      <c r="BP347" s="1045"/>
      <c r="BQ347" s="1045"/>
      <c r="BR347" s="1045"/>
      <c r="BS347" s="1084"/>
      <c r="BT347" s="1045"/>
      <c r="BU347" s="1045"/>
      <c r="BV347" s="1045"/>
      <c r="BW347" s="1085"/>
      <c r="BX347" s="1084"/>
      <c r="BY347" s="1045"/>
      <c r="BZ347" s="1045"/>
      <c r="CA347" s="1045"/>
      <c r="CB347" s="1085"/>
      <c r="CC347" s="1086"/>
      <c r="CD347" s="1327"/>
      <c r="CE347" s="1328"/>
      <c r="CF347" s="1328"/>
      <c r="CG347" s="1328"/>
      <c r="CH347" s="1389"/>
      <c r="CI347" s="1369"/>
      <c r="CJ347" s="1319"/>
      <c r="CK347" s="1319"/>
      <c r="CL347" s="1319"/>
      <c r="CM347" s="1320"/>
      <c r="CN347" s="1369"/>
      <c r="CO347" s="1319"/>
      <c r="CP347" s="1319"/>
      <c r="CQ347" s="1319"/>
      <c r="CR347" s="1320"/>
      <c r="CS347" s="1369"/>
      <c r="CT347" s="1319"/>
      <c r="CU347" s="1319"/>
      <c r="CV347" s="1319"/>
      <c r="CW347" s="1320"/>
      <c r="CX347" s="1369"/>
      <c r="CY347" s="1319"/>
      <c r="CZ347" s="1319"/>
      <c r="DA347" s="1319"/>
      <c r="DB347" s="1320"/>
      <c r="DC347" s="1319"/>
      <c r="DD347" s="1319"/>
      <c r="DE347" s="1319"/>
      <c r="DF347" s="1319"/>
      <c r="DG347" s="1320"/>
      <c r="DH347" s="1369"/>
      <c r="DI347" s="1319"/>
      <c r="DJ347" s="1319"/>
      <c r="DK347" s="1319"/>
      <c r="DL347" s="1320"/>
      <c r="DM347" s="1743"/>
      <c r="DN347" s="1744"/>
      <c r="DO347" s="1744"/>
      <c r="DP347" s="1745"/>
      <c r="DQ347" s="1744"/>
      <c r="DR347" s="1744"/>
      <c r="DS347" s="1744"/>
      <c r="DT347" s="1745"/>
      <c r="DU347" s="1328"/>
      <c r="DV347" s="1664"/>
      <c r="DW347" s="1746"/>
    </row>
    <row r="348" spans="1:127" s="382" customFormat="1" ht="15.75" customHeight="1">
      <c r="A348" s="1066" t="s">
        <v>1287</v>
      </c>
      <c r="B348" s="1026">
        <v>339</v>
      </c>
      <c r="C348" s="987"/>
      <c r="D348" s="987"/>
      <c r="E348" s="987"/>
      <c r="F348" s="987"/>
      <c r="G348" s="987"/>
      <c r="H348" s="987"/>
      <c r="I348" s="987"/>
      <c r="J348" s="987"/>
      <c r="K348" s="987"/>
      <c r="L348" s="987"/>
      <c r="M348" s="1026"/>
      <c r="N348" s="987"/>
      <c r="O348" s="987"/>
      <c r="P348" s="987"/>
      <c r="Q348" s="987"/>
      <c r="R348" s="987"/>
      <c r="S348" s="987"/>
      <c r="T348" s="988"/>
      <c r="U348" s="1067" t="s">
        <v>1647</v>
      </c>
      <c r="V348" s="1068" t="s">
        <v>3382</v>
      </c>
      <c r="W348" s="1068" t="s">
        <v>2231</v>
      </c>
      <c r="X348" s="1069" t="s">
        <v>2613</v>
      </c>
      <c r="Y348" s="1070" t="s">
        <v>3383</v>
      </c>
      <c r="Z348" s="1071" t="s">
        <v>3384</v>
      </c>
      <c r="AA348" s="1072">
        <v>0</v>
      </c>
      <c r="AB348" s="1073">
        <v>0</v>
      </c>
      <c r="AC348" s="1073" t="s">
        <v>2260</v>
      </c>
      <c r="AD348" s="1073" t="s">
        <v>2260</v>
      </c>
      <c r="AE348" s="1073">
        <v>1</v>
      </c>
      <c r="AF348" s="1073" t="s">
        <v>2260</v>
      </c>
      <c r="AG348" s="1073" t="s">
        <v>2260</v>
      </c>
      <c r="AH348" s="1073" t="s">
        <v>2260</v>
      </c>
      <c r="AI348" s="1074">
        <f t="shared" si="5"/>
        <v>1</v>
      </c>
      <c r="AJ348" s="1075" t="s">
        <v>1825</v>
      </c>
      <c r="AK348" s="1075" t="s">
        <v>2260</v>
      </c>
      <c r="AL348" s="1075" t="s">
        <v>2260</v>
      </c>
      <c r="AM348" s="1076" t="s">
        <v>2827</v>
      </c>
      <c r="AN348" s="987" t="s">
        <v>321</v>
      </c>
      <c r="AO348" s="987" t="s">
        <v>2016</v>
      </c>
      <c r="AP348" s="1285">
        <v>2</v>
      </c>
      <c r="AQ348" s="1045" t="s">
        <v>1838</v>
      </c>
      <c r="AR348" s="1078" t="s">
        <v>2260</v>
      </c>
      <c r="AS348" s="1079"/>
      <c r="AT348" s="1069"/>
      <c r="AU348" s="1069"/>
      <c r="AV348" s="1069"/>
      <c r="AW348" s="1080"/>
      <c r="AX348" s="1081"/>
      <c r="AY348" s="1044"/>
      <c r="AZ348" s="1045"/>
      <c r="BA348" s="1045"/>
      <c r="BB348" s="1045"/>
      <c r="BC348" s="1045"/>
      <c r="BD348" s="1045"/>
      <c r="BE348" s="1045"/>
      <c r="BF348" s="1045"/>
      <c r="BG348" s="1045"/>
      <c r="BH348" s="1045"/>
      <c r="BI348" s="1369"/>
      <c r="BJ348" s="1319"/>
      <c r="BK348" s="1319"/>
      <c r="BL348" s="1319"/>
      <c r="BM348" s="1319"/>
      <c r="BN348" s="1044"/>
      <c r="BO348" s="1045"/>
      <c r="BP348" s="1045"/>
      <c r="BQ348" s="1045"/>
      <c r="BR348" s="1045"/>
      <c r="BS348" s="1084"/>
      <c r="BT348" s="1045"/>
      <c r="BU348" s="1045"/>
      <c r="BV348" s="1045"/>
      <c r="BW348" s="1085"/>
      <c r="BX348" s="1084"/>
      <c r="BY348" s="1045"/>
      <c r="BZ348" s="1045"/>
      <c r="CA348" s="1045"/>
      <c r="CB348" s="1085"/>
      <c r="CC348" s="1086"/>
      <c r="CD348" s="1327"/>
      <c r="CE348" s="1328"/>
      <c r="CF348" s="1328"/>
      <c r="CG348" s="1328"/>
      <c r="CH348" s="1389"/>
      <c r="CI348" s="1369"/>
      <c r="CJ348" s="1319"/>
      <c r="CK348" s="1319"/>
      <c r="CL348" s="1319"/>
      <c r="CM348" s="1320"/>
      <c r="CN348" s="1369"/>
      <c r="CO348" s="1319"/>
      <c r="CP348" s="1319"/>
      <c r="CQ348" s="1319"/>
      <c r="CR348" s="1320"/>
      <c r="CS348" s="1369"/>
      <c r="CT348" s="1319"/>
      <c r="CU348" s="1319"/>
      <c r="CV348" s="1319"/>
      <c r="CW348" s="1320"/>
      <c r="CX348" s="1369"/>
      <c r="CY348" s="1319"/>
      <c r="CZ348" s="1319"/>
      <c r="DA348" s="1319"/>
      <c r="DB348" s="1320"/>
      <c r="DC348" s="1319"/>
      <c r="DD348" s="1319"/>
      <c r="DE348" s="1319"/>
      <c r="DF348" s="1319"/>
      <c r="DG348" s="1320"/>
      <c r="DH348" s="1369"/>
      <c r="DI348" s="1319"/>
      <c r="DJ348" s="1319"/>
      <c r="DK348" s="1319"/>
      <c r="DL348" s="1320"/>
      <c r="DM348" s="1743"/>
      <c r="DN348" s="1744"/>
      <c r="DO348" s="1744"/>
      <c r="DP348" s="1745"/>
      <c r="DQ348" s="1744"/>
      <c r="DR348" s="1744"/>
      <c r="DS348" s="1744"/>
      <c r="DT348" s="1745"/>
      <c r="DU348" s="1328"/>
      <c r="DV348" s="1664"/>
      <c r="DW348" s="1746"/>
    </row>
    <row r="349" spans="1:127" s="382" customFormat="1" ht="15.75" customHeight="1">
      <c r="A349" s="1066" t="s">
        <v>1287</v>
      </c>
      <c r="B349" s="1026">
        <v>340</v>
      </c>
      <c r="C349" s="987"/>
      <c r="D349" s="987"/>
      <c r="E349" s="987"/>
      <c r="F349" s="987"/>
      <c r="G349" s="987"/>
      <c r="H349" s="987"/>
      <c r="I349" s="987"/>
      <c r="J349" s="987"/>
      <c r="K349" s="987"/>
      <c r="L349" s="987"/>
      <c r="M349" s="1026"/>
      <c r="N349" s="987"/>
      <c r="O349" s="987"/>
      <c r="P349" s="987"/>
      <c r="Q349" s="987"/>
      <c r="R349" s="987"/>
      <c r="S349" s="987"/>
      <c r="T349" s="988"/>
      <c r="U349" s="1067" t="s">
        <v>1446</v>
      </c>
      <c r="V349" s="1068" t="s">
        <v>3382</v>
      </c>
      <c r="W349" s="1068" t="s">
        <v>2231</v>
      </c>
      <c r="X349" s="1069" t="s">
        <v>2616</v>
      </c>
      <c r="Y349" s="1070" t="s">
        <v>3385</v>
      </c>
      <c r="Z349" s="1071" t="s">
        <v>3386</v>
      </c>
      <c r="AA349" s="1072">
        <v>0</v>
      </c>
      <c r="AB349" s="1073">
        <v>0</v>
      </c>
      <c r="AC349" s="1073" t="s">
        <v>2260</v>
      </c>
      <c r="AD349" s="1073" t="s">
        <v>2260</v>
      </c>
      <c r="AE349" s="1073">
        <v>1</v>
      </c>
      <c r="AF349" s="1073" t="s">
        <v>2260</v>
      </c>
      <c r="AG349" s="1073" t="s">
        <v>2260</v>
      </c>
      <c r="AH349" s="1073" t="s">
        <v>2260</v>
      </c>
      <c r="AI349" s="1074">
        <f t="shared" si="5"/>
        <v>1</v>
      </c>
      <c r="AJ349" s="1075" t="s">
        <v>1846</v>
      </c>
      <c r="AK349" s="1075" t="s">
        <v>1826</v>
      </c>
      <c r="AL349" s="1075" t="s">
        <v>1827</v>
      </c>
      <c r="AM349" s="1076" t="s">
        <v>2892</v>
      </c>
      <c r="AN349" s="987" t="s">
        <v>321</v>
      </c>
      <c r="AO349" s="987" t="s">
        <v>2016</v>
      </c>
      <c r="AP349" s="1285">
        <v>0</v>
      </c>
      <c r="AQ349" s="1045" t="s">
        <v>1828</v>
      </c>
      <c r="AR349" s="1078" t="s">
        <v>2260</v>
      </c>
      <c r="AS349" s="1079"/>
      <c r="AT349" s="1069"/>
      <c r="AU349" s="1069"/>
      <c r="AV349" s="1069"/>
      <c r="AW349" s="1080"/>
      <c r="AX349" s="1081"/>
      <c r="AY349" s="1044"/>
      <c r="AZ349" s="1045"/>
      <c r="BA349" s="1045"/>
      <c r="BB349" s="1045"/>
      <c r="BC349" s="1045"/>
      <c r="BD349" s="1045"/>
      <c r="BE349" s="1045"/>
      <c r="BF349" s="1045"/>
      <c r="BG349" s="1045"/>
      <c r="BH349" s="1045"/>
      <c r="BI349" s="1369"/>
      <c r="BJ349" s="1319"/>
      <c r="BK349" s="1319"/>
      <c r="BL349" s="1319"/>
      <c r="BM349" s="1319"/>
      <c r="BN349" s="1044"/>
      <c r="BO349" s="1045"/>
      <c r="BP349" s="1045"/>
      <c r="BQ349" s="1045"/>
      <c r="BR349" s="1045"/>
      <c r="BS349" s="1084"/>
      <c r="BT349" s="1045"/>
      <c r="BU349" s="1045"/>
      <c r="BV349" s="1045"/>
      <c r="BW349" s="1085"/>
      <c r="BX349" s="1084"/>
      <c r="BY349" s="1045"/>
      <c r="BZ349" s="1045"/>
      <c r="CA349" s="1045"/>
      <c r="CB349" s="1085"/>
      <c r="CC349" s="1086"/>
      <c r="CD349" s="1327"/>
      <c r="CE349" s="1328"/>
      <c r="CF349" s="1328"/>
      <c r="CG349" s="1328"/>
      <c r="CH349" s="1389"/>
      <c r="CI349" s="1369"/>
      <c r="CJ349" s="1319"/>
      <c r="CK349" s="1319"/>
      <c r="CL349" s="1319"/>
      <c r="CM349" s="1320"/>
      <c r="CN349" s="1369"/>
      <c r="CO349" s="1319"/>
      <c r="CP349" s="1319"/>
      <c r="CQ349" s="1319"/>
      <c r="CR349" s="1320"/>
      <c r="CS349" s="1369"/>
      <c r="CT349" s="1319"/>
      <c r="CU349" s="1319"/>
      <c r="CV349" s="1319"/>
      <c r="CW349" s="1320"/>
      <c r="CX349" s="1369"/>
      <c r="CY349" s="1319"/>
      <c r="CZ349" s="1319"/>
      <c r="DA349" s="1319"/>
      <c r="DB349" s="1320"/>
      <c r="DC349" s="1319"/>
      <c r="DD349" s="1319"/>
      <c r="DE349" s="1319"/>
      <c r="DF349" s="1319"/>
      <c r="DG349" s="1320"/>
      <c r="DH349" s="1369"/>
      <c r="DI349" s="1319"/>
      <c r="DJ349" s="1319"/>
      <c r="DK349" s="1319"/>
      <c r="DL349" s="1320"/>
      <c r="DM349" s="1743"/>
      <c r="DN349" s="1744"/>
      <c r="DO349" s="1744"/>
      <c r="DP349" s="1745"/>
      <c r="DQ349" s="1744"/>
      <c r="DR349" s="1744"/>
      <c r="DS349" s="1744"/>
      <c r="DT349" s="1745"/>
      <c r="DU349" s="1328"/>
      <c r="DV349" s="1664"/>
      <c r="DW349" s="1746"/>
    </row>
    <row r="350" spans="1:127" s="382" customFormat="1" ht="15.75" customHeight="1">
      <c r="A350" s="1066" t="s">
        <v>1287</v>
      </c>
      <c r="B350" s="1026">
        <v>341</v>
      </c>
      <c r="C350" s="987"/>
      <c r="D350" s="987"/>
      <c r="E350" s="987"/>
      <c r="F350" s="987"/>
      <c r="G350" s="987"/>
      <c r="H350" s="987"/>
      <c r="I350" s="987"/>
      <c r="J350" s="987"/>
      <c r="K350" s="987"/>
      <c r="L350" s="987"/>
      <c r="M350" s="1026"/>
      <c r="N350" s="987"/>
      <c r="O350" s="987"/>
      <c r="P350" s="987"/>
      <c r="Q350" s="987"/>
      <c r="R350" s="987"/>
      <c r="S350" s="987"/>
      <c r="T350" s="988"/>
      <c r="U350" s="1067" t="s">
        <v>1663</v>
      </c>
      <c r="V350" s="1068" t="s">
        <v>3382</v>
      </c>
      <c r="W350" s="1068" t="s">
        <v>2231</v>
      </c>
      <c r="X350" s="1069" t="s">
        <v>2619</v>
      </c>
      <c r="Y350" s="1070" t="s">
        <v>3387</v>
      </c>
      <c r="Z350" s="1071" t="s">
        <v>3388</v>
      </c>
      <c r="AA350" s="1072">
        <v>8.1000000000000003E-2</v>
      </c>
      <c r="AB350" s="1073">
        <v>0.91900000000000004</v>
      </c>
      <c r="AC350" s="1073" t="s">
        <v>2260</v>
      </c>
      <c r="AD350" s="1073" t="s">
        <v>2260</v>
      </c>
      <c r="AE350" s="1073">
        <v>0</v>
      </c>
      <c r="AF350" s="1073" t="s">
        <v>2260</v>
      </c>
      <c r="AG350" s="1073" t="s">
        <v>2260</v>
      </c>
      <c r="AH350" s="1073" t="s">
        <v>2260</v>
      </c>
      <c r="AI350" s="1074">
        <f t="shared" si="5"/>
        <v>1</v>
      </c>
      <c r="AJ350" s="1075" t="s">
        <v>1825</v>
      </c>
      <c r="AK350" s="1075" t="s">
        <v>2260</v>
      </c>
      <c r="AL350" s="1075" t="s">
        <v>2260</v>
      </c>
      <c r="AM350" s="1076" t="s">
        <v>3389</v>
      </c>
      <c r="AN350" s="987" t="s">
        <v>1897</v>
      </c>
      <c r="AO350" s="987" t="s">
        <v>3390</v>
      </c>
      <c r="AP350" s="1285">
        <v>0</v>
      </c>
      <c r="AQ350" s="1045" t="s">
        <v>1828</v>
      </c>
      <c r="AR350" s="1078" t="s">
        <v>2260</v>
      </c>
      <c r="AS350" s="1079"/>
      <c r="AT350" s="1069"/>
      <c r="AU350" s="1069"/>
      <c r="AV350" s="1069"/>
      <c r="AW350" s="1080"/>
      <c r="AX350" s="1081"/>
      <c r="AY350" s="1044"/>
      <c r="AZ350" s="1045"/>
      <c r="BA350" s="1045"/>
      <c r="BB350" s="1045"/>
      <c r="BC350" s="1045"/>
      <c r="BD350" s="1045"/>
      <c r="BE350" s="1045"/>
      <c r="BF350" s="1045"/>
      <c r="BG350" s="1045"/>
      <c r="BH350" s="1045"/>
      <c r="BI350" s="1369"/>
      <c r="BJ350" s="1319"/>
      <c r="BK350" s="1319"/>
      <c r="BL350" s="1319"/>
      <c r="BM350" s="1319"/>
      <c r="BN350" s="1044"/>
      <c r="BO350" s="1045"/>
      <c r="BP350" s="1045"/>
      <c r="BQ350" s="1045"/>
      <c r="BR350" s="1045"/>
      <c r="BS350" s="1084"/>
      <c r="BT350" s="1045"/>
      <c r="BU350" s="1045"/>
      <c r="BV350" s="1045"/>
      <c r="BW350" s="1085"/>
      <c r="BX350" s="1084"/>
      <c r="BY350" s="1045"/>
      <c r="BZ350" s="1045"/>
      <c r="CA350" s="1045"/>
      <c r="CB350" s="1085"/>
      <c r="CC350" s="1086"/>
      <c r="CD350" s="1327"/>
      <c r="CE350" s="1328"/>
      <c r="CF350" s="1328"/>
      <c r="CG350" s="1328"/>
      <c r="CH350" s="1389"/>
      <c r="CI350" s="1369"/>
      <c r="CJ350" s="1319"/>
      <c r="CK350" s="1319"/>
      <c r="CL350" s="1319"/>
      <c r="CM350" s="1320"/>
      <c r="CN350" s="1369"/>
      <c r="CO350" s="1319"/>
      <c r="CP350" s="1319"/>
      <c r="CQ350" s="1319"/>
      <c r="CR350" s="1320"/>
      <c r="CS350" s="1369"/>
      <c r="CT350" s="1319"/>
      <c r="CU350" s="1319"/>
      <c r="CV350" s="1319"/>
      <c r="CW350" s="1320"/>
      <c r="CX350" s="1369"/>
      <c r="CY350" s="1319"/>
      <c r="CZ350" s="1319"/>
      <c r="DA350" s="1319"/>
      <c r="DB350" s="1320"/>
      <c r="DC350" s="1319"/>
      <c r="DD350" s="1319"/>
      <c r="DE350" s="1319"/>
      <c r="DF350" s="1319"/>
      <c r="DG350" s="1320"/>
      <c r="DH350" s="1369"/>
      <c r="DI350" s="1319"/>
      <c r="DJ350" s="1319"/>
      <c r="DK350" s="1319"/>
      <c r="DL350" s="1320"/>
      <c r="DM350" s="1743"/>
      <c r="DN350" s="1744"/>
      <c r="DO350" s="1744"/>
      <c r="DP350" s="1745"/>
      <c r="DQ350" s="1744"/>
      <c r="DR350" s="1744"/>
      <c r="DS350" s="1744"/>
      <c r="DT350" s="1745"/>
      <c r="DU350" s="1328"/>
      <c r="DV350" s="1664"/>
      <c r="DW350" s="1746"/>
    </row>
    <row r="351" spans="1:127" s="382" customFormat="1" ht="15.75" customHeight="1">
      <c r="A351" s="1066" t="s">
        <v>1287</v>
      </c>
      <c r="B351" s="1026">
        <v>342</v>
      </c>
      <c r="C351" s="987"/>
      <c r="D351" s="987"/>
      <c r="E351" s="987"/>
      <c r="F351" s="987"/>
      <c r="G351" s="987"/>
      <c r="H351" s="987"/>
      <c r="I351" s="987"/>
      <c r="J351" s="987"/>
      <c r="K351" s="987"/>
      <c r="L351" s="987"/>
      <c r="M351" s="1026"/>
      <c r="N351" s="987"/>
      <c r="O351" s="987"/>
      <c r="P351" s="987"/>
      <c r="Q351" s="987"/>
      <c r="R351" s="987"/>
      <c r="S351" s="987"/>
      <c r="T351" s="988"/>
      <c r="U351" s="1067" t="s">
        <v>1677</v>
      </c>
      <c r="V351" s="1068" t="s">
        <v>3382</v>
      </c>
      <c r="W351" s="1068" t="s">
        <v>2231</v>
      </c>
      <c r="X351" s="1069" t="s">
        <v>2624</v>
      </c>
      <c r="Y351" s="1070" t="s">
        <v>3391</v>
      </c>
      <c r="Z351" s="1071" t="s">
        <v>3392</v>
      </c>
      <c r="AA351" s="1072">
        <v>0.10100000000000001</v>
      </c>
      <c r="AB351" s="1073">
        <v>0.89900000000000002</v>
      </c>
      <c r="AC351" s="1073" t="s">
        <v>2260</v>
      </c>
      <c r="AD351" s="1073" t="s">
        <v>2260</v>
      </c>
      <c r="AE351" s="1073">
        <v>0</v>
      </c>
      <c r="AF351" s="1073" t="s">
        <v>2260</v>
      </c>
      <c r="AG351" s="1073" t="s">
        <v>2260</v>
      </c>
      <c r="AH351" s="1073" t="s">
        <v>2260</v>
      </c>
      <c r="AI351" s="1074">
        <f t="shared" si="5"/>
        <v>1</v>
      </c>
      <c r="AJ351" s="1075" t="s">
        <v>1825</v>
      </c>
      <c r="AK351" s="1075" t="s">
        <v>2260</v>
      </c>
      <c r="AL351" s="1075" t="s">
        <v>2260</v>
      </c>
      <c r="AM351" s="1076" t="s">
        <v>3393</v>
      </c>
      <c r="AN351" s="987" t="s">
        <v>321</v>
      </c>
      <c r="AO351" s="987" t="s">
        <v>2016</v>
      </c>
      <c r="AP351" s="1285">
        <v>0</v>
      </c>
      <c r="AQ351" s="1045" t="s">
        <v>1828</v>
      </c>
      <c r="AR351" s="1078" t="s">
        <v>2260</v>
      </c>
      <c r="AS351" s="1079"/>
      <c r="AT351" s="1069"/>
      <c r="AU351" s="1069"/>
      <c r="AV351" s="1069"/>
      <c r="AW351" s="1080"/>
      <c r="AX351" s="1081"/>
      <c r="AY351" s="1044"/>
      <c r="AZ351" s="1045"/>
      <c r="BA351" s="1045"/>
      <c r="BB351" s="1045"/>
      <c r="BC351" s="1045"/>
      <c r="BD351" s="1045"/>
      <c r="BE351" s="1045"/>
      <c r="BF351" s="1045"/>
      <c r="BG351" s="1045"/>
      <c r="BH351" s="1045"/>
      <c r="BI351" s="1369"/>
      <c r="BJ351" s="1319"/>
      <c r="BK351" s="1319"/>
      <c r="BL351" s="1319"/>
      <c r="BM351" s="1319"/>
      <c r="BN351" s="1044"/>
      <c r="BO351" s="1045"/>
      <c r="BP351" s="1045"/>
      <c r="BQ351" s="1045"/>
      <c r="BR351" s="1045"/>
      <c r="BS351" s="1084"/>
      <c r="BT351" s="1045"/>
      <c r="BU351" s="1045"/>
      <c r="BV351" s="1045"/>
      <c r="BW351" s="1085"/>
      <c r="BX351" s="1084"/>
      <c r="BY351" s="1045"/>
      <c r="BZ351" s="1045"/>
      <c r="CA351" s="1045"/>
      <c r="CB351" s="1085"/>
      <c r="CC351" s="1086"/>
      <c r="CD351" s="1327"/>
      <c r="CE351" s="1328"/>
      <c r="CF351" s="1328"/>
      <c r="CG351" s="1328"/>
      <c r="CH351" s="1389"/>
      <c r="CI351" s="1369"/>
      <c r="CJ351" s="1319"/>
      <c r="CK351" s="1319"/>
      <c r="CL351" s="1319"/>
      <c r="CM351" s="1320"/>
      <c r="CN351" s="1369"/>
      <c r="CO351" s="1319"/>
      <c r="CP351" s="1319"/>
      <c r="CQ351" s="1319"/>
      <c r="CR351" s="1320"/>
      <c r="CS351" s="1369"/>
      <c r="CT351" s="1319"/>
      <c r="CU351" s="1319"/>
      <c r="CV351" s="1319"/>
      <c r="CW351" s="1320"/>
      <c r="CX351" s="1369"/>
      <c r="CY351" s="1319"/>
      <c r="CZ351" s="1319"/>
      <c r="DA351" s="1319"/>
      <c r="DB351" s="1320"/>
      <c r="DC351" s="1319"/>
      <c r="DD351" s="1319"/>
      <c r="DE351" s="1319"/>
      <c r="DF351" s="1319"/>
      <c r="DG351" s="1320"/>
      <c r="DH351" s="1369"/>
      <c r="DI351" s="1319"/>
      <c r="DJ351" s="1319"/>
      <c r="DK351" s="1319"/>
      <c r="DL351" s="1320"/>
      <c r="DM351" s="1743"/>
      <c r="DN351" s="1744"/>
      <c r="DO351" s="1744"/>
      <c r="DP351" s="1745"/>
      <c r="DQ351" s="1744"/>
      <c r="DR351" s="1744"/>
      <c r="DS351" s="1744"/>
      <c r="DT351" s="1745"/>
      <c r="DU351" s="1328"/>
      <c r="DV351" s="1664"/>
      <c r="DW351" s="1746"/>
    </row>
    <row r="352" spans="1:127" s="382" customFormat="1" ht="15.75" customHeight="1">
      <c r="A352" s="1066" t="s">
        <v>1287</v>
      </c>
      <c r="B352" s="1026">
        <v>343</v>
      </c>
      <c r="C352" s="987"/>
      <c r="D352" s="987"/>
      <c r="E352" s="987"/>
      <c r="F352" s="987"/>
      <c r="G352" s="987"/>
      <c r="H352" s="987"/>
      <c r="I352" s="987"/>
      <c r="J352" s="987"/>
      <c r="K352" s="987"/>
      <c r="L352" s="987"/>
      <c r="M352" s="1026"/>
      <c r="N352" s="987"/>
      <c r="O352" s="987"/>
      <c r="P352" s="987"/>
      <c r="Q352" s="987"/>
      <c r="R352" s="987"/>
      <c r="S352" s="987"/>
      <c r="T352" s="988"/>
      <c r="U352" s="1067" t="s">
        <v>1689</v>
      </c>
      <c r="V352" s="1068" t="s">
        <v>3394</v>
      </c>
      <c r="W352" s="1068" t="s">
        <v>2231</v>
      </c>
      <c r="X352" s="1069" t="s">
        <v>2631</v>
      </c>
      <c r="Y352" s="1070" t="s">
        <v>3395</v>
      </c>
      <c r="Z352" s="1071" t="s">
        <v>3396</v>
      </c>
      <c r="AA352" s="1072">
        <v>0</v>
      </c>
      <c r="AB352" s="1073">
        <v>0</v>
      </c>
      <c r="AC352" s="1073" t="s">
        <v>2260</v>
      </c>
      <c r="AD352" s="1073" t="s">
        <v>2260</v>
      </c>
      <c r="AE352" s="1073">
        <v>1</v>
      </c>
      <c r="AF352" s="1073" t="s">
        <v>2260</v>
      </c>
      <c r="AG352" s="1073" t="s">
        <v>2260</v>
      </c>
      <c r="AH352" s="1073" t="s">
        <v>2260</v>
      </c>
      <c r="AI352" s="1074">
        <f t="shared" si="5"/>
        <v>1</v>
      </c>
      <c r="AJ352" s="1075" t="s">
        <v>1825</v>
      </c>
      <c r="AK352" s="1075" t="s">
        <v>2260</v>
      </c>
      <c r="AL352" s="1075" t="s">
        <v>2260</v>
      </c>
      <c r="AM352" s="1076" t="s">
        <v>2264</v>
      </c>
      <c r="AN352" s="987" t="s">
        <v>1857</v>
      </c>
      <c r="AO352" s="987" t="s">
        <v>3397</v>
      </c>
      <c r="AP352" s="1285">
        <v>2</v>
      </c>
      <c r="AQ352" s="1045" t="s">
        <v>1828</v>
      </c>
      <c r="AR352" s="1078" t="s">
        <v>2260</v>
      </c>
      <c r="AS352" s="1079"/>
      <c r="AT352" s="1069"/>
      <c r="AU352" s="1069"/>
      <c r="AV352" s="1069"/>
      <c r="AW352" s="1080"/>
      <c r="AX352" s="1081"/>
      <c r="AY352" s="1044"/>
      <c r="AZ352" s="1045"/>
      <c r="BA352" s="1045"/>
      <c r="BB352" s="1045"/>
      <c r="BC352" s="1045"/>
      <c r="BD352" s="1045"/>
      <c r="BE352" s="1045"/>
      <c r="BF352" s="1045"/>
      <c r="BG352" s="1045"/>
      <c r="BH352" s="1045"/>
      <c r="BI352" s="1369"/>
      <c r="BJ352" s="1319"/>
      <c r="BK352" s="1319"/>
      <c r="BL352" s="1319"/>
      <c r="BM352" s="1319"/>
      <c r="BN352" s="1044"/>
      <c r="BO352" s="1045"/>
      <c r="BP352" s="1045"/>
      <c r="BQ352" s="1045"/>
      <c r="BR352" s="1045"/>
      <c r="BS352" s="1084"/>
      <c r="BT352" s="1045"/>
      <c r="BU352" s="1045"/>
      <c r="BV352" s="1045"/>
      <c r="BW352" s="1085"/>
      <c r="BX352" s="1084"/>
      <c r="BY352" s="1045"/>
      <c r="BZ352" s="1045"/>
      <c r="CA352" s="1045"/>
      <c r="CB352" s="1085"/>
      <c r="CC352" s="1086"/>
      <c r="CD352" s="1327"/>
      <c r="CE352" s="1328"/>
      <c r="CF352" s="1328"/>
      <c r="CG352" s="1328"/>
      <c r="CH352" s="1389"/>
      <c r="CI352" s="1369"/>
      <c r="CJ352" s="1319"/>
      <c r="CK352" s="1319"/>
      <c r="CL352" s="1319"/>
      <c r="CM352" s="1320"/>
      <c r="CN352" s="1369"/>
      <c r="CO352" s="1319"/>
      <c r="CP352" s="1319"/>
      <c r="CQ352" s="1319"/>
      <c r="CR352" s="1320"/>
      <c r="CS352" s="1369"/>
      <c r="CT352" s="1319"/>
      <c r="CU352" s="1319"/>
      <c r="CV352" s="1319"/>
      <c r="CW352" s="1320"/>
      <c r="CX352" s="1369"/>
      <c r="CY352" s="1319"/>
      <c r="CZ352" s="1319"/>
      <c r="DA352" s="1319"/>
      <c r="DB352" s="1320"/>
      <c r="DC352" s="1319"/>
      <c r="DD352" s="1319"/>
      <c r="DE352" s="1319"/>
      <c r="DF352" s="1319"/>
      <c r="DG352" s="1320"/>
      <c r="DH352" s="1369"/>
      <c r="DI352" s="1319"/>
      <c r="DJ352" s="1319"/>
      <c r="DK352" s="1319"/>
      <c r="DL352" s="1320"/>
      <c r="DM352" s="1743"/>
      <c r="DN352" s="1744"/>
      <c r="DO352" s="1744"/>
      <c r="DP352" s="1745"/>
      <c r="DQ352" s="1744"/>
      <c r="DR352" s="1744"/>
      <c r="DS352" s="1744"/>
      <c r="DT352" s="1745"/>
      <c r="DU352" s="1328"/>
      <c r="DV352" s="1664"/>
      <c r="DW352" s="1746"/>
    </row>
    <row r="353" spans="1:127" s="382" customFormat="1" ht="15.75" customHeight="1">
      <c r="A353" s="1066" t="s">
        <v>1287</v>
      </c>
      <c r="B353" s="1026">
        <v>344</v>
      </c>
      <c r="C353" s="987"/>
      <c r="D353" s="987"/>
      <c r="E353" s="987"/>
      <c r="F353" s="987"/>
      <c r="G353" s="987"/>
      <c r="H353" s="987"/>
      <c r="I353" s="987"/>
      <c r="J353" s="987"/>
      <c r="K353" s="987"/>
      <c r="L353" s="987"/>
      <c r="M353" s="1026"/>
      <c r="N353" s="987"/>
      <c r="O353" s="987"/>
      <c r="P353" s="987"/>
      <c r="Q353" s="987"/>
      <c r="R353" s="987"/>
      <c r="S353" s="987"/>
      <c r="T353" s="988"/>
      <c r="U353" s="1067" t="s">
        <v>1700</v>
      </c>
      <c r="V353" s="1068" t="s">
        <v>3394</v>
      </c>
      <c r="W353" s="1068" t="s">
        <v>2217</v>
      </c>
      <c r="X353" s="1069" t="s">
        <v>3398</v>
      </c>
      <c r="Y353" s="1070" t="s">
        <v>2494</v>
      </c>
      <c r="Z353" s="1071" t="s">
        <v>3399</v>
      </c>
      <c r="AA353" s="1072">
        <v>0</v>
      </c>
      <c r="AB353" s="1073">
        <v>0</v>
      </c>
      <c r="AC353" s="1073" t="s">
        <v>2260</v>
      </c>
      <c r="AD353" s="1073" t="s">
        <v>2260</v>
      </c>
      <c r="AE353" s="1073">
        <v>1</v>
      </c>
      <c r="AF353" s="1073" t="s">
        <v>2260</v>
      </c>
      <c r="AG353" s="1073" t="s">
        <v>2260</v>
      </c>
      <c r="AH353" s="1073" t="s">
        <v>2260</v>
      </c>
      <c r="AI353" s="1074">
        <f t="shared" si="5"/>
        <v>1</v>
      </c>
      <c r="AJ353" s="1075" t="s">
        <v>1825</v>
      </c>
      <c r="AK353" s="1075" t="s">
        <v>2260</v>
      </c>
      <c r="AL353" s="1075" t="s">
        <v>2260</v>
      </c>
      <c r="AM353" s="1076" t="s">
        <v>2827</v>
      </c>
      <c r="AN353" s="987" t="s">
        <v>321</v>
      </c>
      <c r="AO353" s="987" t="s">
        <v>2016</v>
      </c>
      <c r="AP353" s="1285">
        <v>0</v>
      </c>
      <c r="AQ353" s="1045" t="s">
        <v>1828</v>
      </c>
      <c r="AR353" s="1078" t="s">
        <v>2260</v>
      </c>
      <c r="AS353" s="1079"/>
      <c r="AT353" s="1069"/>
      <c r="AU353" s="1069"/>
      <c r="AV353" s="1069"/>
      <c r="AW353" s="1080"/>
      <c r="AX353" s="1081"/>
      <c r="AY353" s="1044"/>
      <c r="AZ353" s="1045"/>
      <c r="BA353" s="1045"/>
      <c r="BB353" s="1045"/>
      <c r="BC353" s="1045"/>
      <c r="BD353" s="1045"/>
      <c r="BE353" s="1045"/>
      <c r="BF353" s="1045"/>
      <c r="BG353" s="1045"/>
      <c r="BH353" s="1045"/>
      <c r="BI353" s="1369"/>
      <c r="BJ353" s="1319"/>
      <c r="BK353" s="1319"/>
      <c r="BL353" s="1319"/>
      <c r="BM353" s="1319"/>
      <c r="BN353" s="1044"/>
      <c r="BO353" s="1045"/>
      <c r="BP353" s="1045"/>
      <c r="BQ353" s="1045"/>
      <c r="BR353" s="1045"/>
      <c r="BS353" s="1084"/>
      <c r="BT353" s="1045"/>
      <c r="BU353" s="1045"/>
      <c r="BV353" s="1045"/>
      <c r="BW353" s="1085"/>
      <c r="BX353" s="1084"/>
      <c r="BY353" s="1045"/>
      <c r="BZ353" s="1045"/>
      <c r="CA353" s="1045"/>
      <c r="CB353" s="1085"/>
      <c r="CC353" s="1086"/>
      <c r="CD353" s="1327"/>
      <c r="CE353" s="1328"/>
      <c r="CF353" s="1328"/>
      <c r="CG353" s="1328"/>
      <c r="CH353" s="1389"/>
      <c r="CI353" s="1369"/>
      <c r="CJ353" s="1319"/>
      <c r="CK353" s="1319"/>
      <c r="CL353" s="1319"/>
      <c r="CM353" s="1320"/>
      <c r="CN353" s="1369"/>
      <c r="CO353" s="1319"/>
      <c r="CP353" s="1319"/>
      <c r="CQ353" s="1319"/>
      <c r="CR353" s="1320"/>
      <c r="CS353" s="1369"/>
      <c r="CT353" s="1319"/>
      <c r="CU353" s="1319"/>
      <c r="CV353" s="1319"/>
      <c r="CW353" s="1320"/>
      <c r="CX353" s="1369"/>
      <c r="CY353" s="1319"/>
      <c r="CZ353" s="1319"/>
      <c r="DA353" s="1319"/>
      <c r="DB353" s="1320"/>
      <c r="DC353" s="1319"/>
      <c r="DD353" s="1319"/>
      <c r="DE353" s="1319"/>
      <c r="DF353" s="1319"/>
      <c r="DG353" s="1320"/>
      <c r="DH353" s="1369"/>
      <c r="DI353" s="1319"/>
      <c r="DJ353" s="1319"/>
      <c r="DK353" s="1319"/>
      <c r="DL353" s="1320"/>
      <c r="DM353" s="1743"/>
      <c r="DN353" s="1744"/>
      <c r="DO353" s="1744"/>
      <c r="DP353" s="1745"/>
      <c r="DQ353" s="1744"/>
      <c r="DR353" s="1744"/>
      <c r="DS353" s="1744"/>
      <c r="DT353" s="1745"/>
      <c r="DU353" s="1328"/>
      <c r="DV353" s="1664"/>
      <c r="DW353" s="1746"/>
    </row>
    <row r="354" spans="1:127" s="382" customFormat="1" ht="15.75" customHeight="1">
      <c r="A354" s="1066" t="s">
        <v>1287</v>
      </c>
      <c r="B354" s="1026">
        <v>345</v>
      </c>
      <c r="C354" s="987"/>
      <c r="D354" s="987"/>
      <c r="E354" s="987"/>
      <c r="F354" s="987"/>
      <c r="G354" s="987"/>
      <c r="H354" s="987"/>
      <c r="I354" s="987"/>
      <c r="J354" s="987"/>
      <c r="K354" s="987"/>
      <c r="L354" s="987"/>
      <c r="M354" s="1026"/>
      <c r="N354" s="987"/>
      <c r="O354" s="987"/>
      <c r="P354" s="987"/>
      <c r="Q354" s="987"/>
      <c r="R354" s="987"/>
      <c r="S354" s="987"/>
      <c r="T354" s="988"/>
      <c r="U354" s="1067" t="s">
        <v>1710</v>
      </c>
      <c r="V354" s="1068" t="s">
        <v>2260</v>
      </c>
      <c r="W354" s="1068" t="s">
        <v>2260</v>
      </c>
      <c r="X354" s="1069" t="s">
        <v>2331</v>
      </c>
      <c r="Y354" s="1070" t="s">
        <v>2332</v>
      </c>
      <c r="Z354" s="1071" t="s">
        <v>2260</v>
      </c>
      <c r="AA354" s="1072" t="s">
        <v>2260</v>
      </c>
      <c r="AB354" s="1073" t="s">
        <v>2260</v>
      </c>
      <c r="AC354" s="1073" t="s">
        <v>2260</v>
      </c>
      <c r="AD354" s="1073" t="s">
        <v>2260</v>
      </c>
      <c r="AE354" s="1073" t="s">
        <v>2260</v>
      </c>
      <c r="AF354" s="1073" t="s">
        <v>2260</v>
      </c>
      <c r="AG354" s="1073" t="s">
        <v>2260</v>
      </c>
      <c r="AH354" s="1073" t="s">
        <v>2260</v>
      </c>
      <c r="AI354" s="1074">
        <f t="shared" si="5"/>
        <v>0</v>
      </c>
      <c r="AJ354" s="1075" t="s">
        <v>1825</v>
      </c>
      <c r="AK354" s="1075" t="s">
        <v>2260</v>
      </c>
      <c r="AL354" s="1075" t="s">
        <v>2260</v>
      </c>
      <c r="AM354" s="1076" t="s">
        <v>2260</v>
      </c>
      <c r="AN354" s="987" t="s">
        <v>2260</v>
      </c>
      <c r="AO354" s="987" t="s">
        <v>2333</v>
      </c>
      <c r="AP354" s="1285">
        <v>0</v>
      </c>
      <c r="AQ354" s="1045" t="s">
        <v>2260</v>
      </c>
      <c r="AR354" s="1078" t="s">
        <v>2260</v>
      </c>
      <c r="AS354" s="1079"/>
      <c r="AT354" s="1069"/>
      <c r="AU354" s="1069"/>
      <c r="AV354" s="1069"/>
      <c r="AW354" s="1080"/>
      <c r="AX354" s="1081"/>
      <c r="AY354" s="1044"/>
      <c r="AZ354" s="1045"/>
      <c r="BA354" s="1045"/>
      <c r="BB354" s="1045"/>
      <c r="BC354" s="1045"/>
      <c r="BD354" s="1045"/>
      <c r="BE354" s="1045"/>
      <c r="BF354" s="1045"/>
      <c r="BG354" s="1045"/>
      <c r="BH354" s="1045"/>
      <c r="BI354" s="1369"/>
      <c r="BJ354" s="1319"/>
      <c r="BK354" s="1319"/>
      <c r="BL354" s="1319"/>
      <c r="BM354" s="1319"/>
      <c r="BN354" s="1044"/>
      <c r="BO354" s="1045"/>
      <c r="BP354" s="1045"/>
      <c r="BQ354" s="1045"/>
      <c r="BR354" s="1045"/>
      <c r="BS354" s="1084"/>
      <c r="BT354" s="1045"/>
      <c r="BU354" s="1045"/>
      <c r="BV354" s="1045"/>
      <c r="BW354" s="1085"/>
      <c r="BX354" s="1084"/>
      <c r="BY354" s="1045"/>
      <c r="BZ354" s="1045"/>
      <c r="CA354" s="1045"/>
      <c r="CB354" s="1085"/>
      <c r="CC354" s="1086"/>
      <c r="CD354" s="1327"/>
      <c r="CE354" s="1328"/>
      <c r="CF354" s="1328"/>
      <c r="CG354" s="1328"/>
      <c r="CH354" s="1389"/>
      <c r="CI354" s="1369"/>
      <c r="CJ354" s="1319"/>
      <c r="CK354" s="1319"/>
      <c r="CL354" s="1319"/>
      <c r="CM354" s="1320"/>
      <c r="CN354" s="1369"/>
      <c r="CO354" s="1319"/>
      <c r="CP354" s="1319"/>
      <c r="CQ354" s="1319"/>
      <c r="CR354" s="1320"/>
      <c r="CS354" s="1369"/>
      <c r="CT354" s="1319"/>
      <c r="CU354" s="1319"/>
      <c r="CV354" s="1319"/>
      <c r="CW354" s="1320"/>
      <c r="CX354" s="1369"/>
      <c r="CY354" s="1319"/>
      <c r="CZ354" s="1319"/>
      <c r="DA354" s="1319"/>
      <c r="DB354" s="1320"/>
      <c r="DC354" s="1319"/>
      <c r="DD354" s="1319"/>
      <c r="DE354" s="1319"/>
      <c r="DF354" s="1319"/>
      <c r="DG354" s="1320"/>
      <c r="DH354" s="1369"/>
      <c r="DI354" s="1319"/>
      <c r="DJ354" s="1319"/>
      <c r="DK354" s="1319"/>
      <c r="DL354" s="1320"/>
      <c r="DM354" s="1743"/>
      <c r="DN354" s="1744"/>
      <c r="DO354" s="1744"/>
      <c r="DP354" s="1745"/>
      <c r="DQ354" s="1744"/>
      <c r="DR354" s="1744"/>
      <c r="DS354" s="1744"/>
      <c r="DT354" s="1745"/>
      <c r="DU354" s="1328"/>
      <c r="DV354" s="1664"/>
      <c r="DW354" s="1746"/>
    </row>
    <row r="355" spans="1:127" s="382" customFormat="1" ht="15.75" customHeight="1">
      <c r="A355" s="1066" t="s">
        <v>1157</v>
      </c>
      <c r="B355" s="1026">
        <v>346</v>
      </c>
      <c r="C355" s="987"/>
      <c r="D355" s="987"/>
      <c r="E355" s="987"/>
      <c r="F355" s="987"/>
      <c r="G355" s="987"/>
      <c r="H355" s="987"/>
      <c r="I355" s="987"/>
      <c r="J355" s="987"/>
      <c r="K355" s="987"/>
      <c r="L355" s="987"/>
      <c r="M355" s="1026"/>
      <c r="N355" s="987"/>
      <c r="O355" s="987"/>
      <c r="P355" s="987"/>
      <c r="Q355" s="987"/>
      <c r="R355" s="987"/>
      <c r="S355" s="987"/>
      <c r="T355" s="988"/>
      <c r="U355" s="1067" t="s">
        <v>1314</v>
      </c>
      <c r="V355" s="1068" t="s">
        <v>2630</v>
      </c>
      <c r="W355" s="1068" t="s">
        <v>2231</v>
      </c>
      <c r="X355" s="1069" t="s">
        <v>3400</v>
      </c>
      <c r="Y355" s="1070" t="s">
        <v>3401</v>
      </c>
      <c r="Z355" s="1071" t="s">
        <v>3402</v>
      </c>
      <c r="AA355" s="1072" t="s">
        <v>2260</v>
      </c>
      <c r="AB355" s="1073" t="s">
        <v>2260</v>
      </c>
      <c r="AC355" s="1073" t="s">
        <v>2260</v>
      </c>
      <c r="AD355" s="1073" t="s">
        <v>2260</v>
      </c>
      <c r="AE355" s="1073">
        <v>1</v>
      </c>
      <c r="AF355" s="1073" t="s">
        <v>2260</v>
      </c>
      <c r="AG355" s="1073" t="s">
        <v>2260</v>
      </c>
      <c r="AH355" s="1073" t="s">
        <v>2260</v>
      </c>
      <c r="AI355" s="1074">
        <f t="shared" si="5"/>
        <v>1</v>
      </c>
      <c r="AJ355" s="1075" t="s">
        <v>1835</v>
      </c>
      <c r="AK355" s="1075" t="s">
        <v>1826</v>
      </c>
      <c r="AL355" s="1075" t="s">
        <v>1827</v>
      </c>
      <c r="AM355" s="1076" t="s">
        <v>2827</v>
      </c>
      <c r="AN355" s="987" t="s">
        <v>1857</v>
      </c>
      <c r="AO355" s="987" t="s">
        <v>3403</v>
      </c>
      <c r="AP355" s="1285">
        <v>0</v>
      </c>
      <c r="AQ355" s="1045" t="s">
        <v>1838</v>
      </c>
      <c r="AR355" s="1078" t="s">
        <v>2260</v>
      </c>
      <c r="AS355" s="1079"/>
      <c r="AT355" s="1069"/>
      <c r="AU355" s="1069"/>
      <c r="AV355" s="1069"/>
      <c r="AW355" s="1080"/>
      <c r="AX355" s="1081"/>
      <c r="AY355" s="1044"/>
      <c r="AZ355" s="1045"/>
      <c r="BA355" s="1045"/>
      <c r="BB355" s="1045"/>
      <c r="BC355" s="1045"/>
      <c r="BD355" s="1045"/>
      <c r="BE355" s="1045"/>
      <c r="BF355" s="1045"/>
      <c r="BG355" s="1045"/>
      <c r="BH355" s="1045"/>
      <c r="BI355" s="1369"/>
      <c r="BJ355" s="1319"/>
      <c r="BK355" s="1319"/>
      <c r="BL355" s="1319"/>
      <c r="BM355" s="1319"/>
      <c r="BN355" s="1044"/>
      <c r="BO355" s="1045"/>
      <c r="BP355" s="1045"/>
      <c r="BQ355" s="1045"/>
      <c r="BR355" s="1045"/>
      <c r="BS355" s="1084"/>
      <c r="BT355" s="1045"/>
      <c r="BU355" s="1045"/>
      <c r="BV355" s="1045"/>
      <c r="BW355" s="1085"/>
      <c r="BX355" s="1084"/>
      <c r="BY355" s="1045"/>
      <c r="BZ355" s="1045"/>
      <c r="CA355" s="1045"/>
      <c r="CB355" s="1085"/>
      <c r="CC355" s="1086"/>
      <c r="CD355" s="1327"/>
      <c r="CE355" s="1328"/>
      <c r="CF355" s="1328"/>
      <c r="CG355" s="1328"/>
      <c r="CH355" s="1389"/>
      <c r="CI355" s="1369"/>
      <c r="CJ355" s="1319"/>
      <c r="CK355" s="1319"/>
      <c r="CL355" s="1319"/>
      <c r="CM355" s="1320"/>
      <c r="CN355" s="1369"/>
      <c r="CO355" s="1319"/>
      <c r="CP355" s="1319"/>
      <c r="CQ355" s="1319"/>
      <c r="CR355" s="1320"/>
      <c r="CS355" s="1369"/>
      <c r="CT355" s="1319"/>
      <c r="CU355" s="1319"/>
      <c r="CV355" s="1319"/>
      <c r="CW355" s="1320"/>
      <c r="CX355" s="1369"/>
      <c r="CY355" s="1319"/>
      <c r="CZ355" s="1319"/>
      <c r="DA355" s="1319"/>
      <c r="DB355" s="1320"/>
      <c r="DC355" s="1319"/>
      <c r="DD355" s="1319"/>
      <c r="DE355" s="1319"/>
      <c r="DF355" s="1319"/>
      <c r="DG355" s="1320"/>
      <c r="DH355" s="1369"/>
      <c r="DI355" s="1319"/>
      <c r="DJ355" s="1319"/>
      <c r="DK355" s="1319"/>
      <c r="DL355" s="1320"/>
      <c r="DM355" s="1743"/>
      <c r="DN355" s="1744"/>
      <c r="DO355" s="1744"/>
      <c r="DP355" s="1745"/>
      <c r="DQ355" s="1744"/>
      <c r="DR355" s="1744"/>
      <c r="DS355" s="1744"/>
      <c r="DT355" s="1745"/>
      <c r="DU355" s="1328"/>
      <c r="DV355" s="1664"/>
      <c r="DW355" s="1746"/>
    </row>
    <row r="356" spans="1:127" s="382" customFormat="1" ht="15.75" customHeight="1">
      <c r="A356" s="1066" t="s">
        <v>1157</v>
      </c>
      <c r="B356" s="1026">
        <v>347</v>
      </c>
      <c r="C356" s="987"/>
      <c r="D356" s="987"/>
      <c r="E356" s="987"/>
      <c r="F356" s="987"/>
      <c r="G356" s="987"/>
      <c r="H356" s="987"/>
      <c r="I356" s="987"/>
      <c r="J356" s="987"/>
      <c r="K356" s="987"/>
      <c r="L356" s="987"/>
      <c r="M356" s="1026"/>
      <c r="N356" s="987"/>
      <c r="O356" s="987"/>
      <c r="P356" s="987"/>
      <c r="Q356" s="987"/>
      <c r="R356" s="987"/>
      <c r="S356" s="987"/>
      <c r="T356" s="988"/>
      <c r="U356" s="1067" t="s">
        <v>1597</v>
      </c>
      <c r="V356" s="1068" t="s">
        <v>2630</v>
      </c>
      <c r="W356" s="1068" t="s">
        <v>2231</v>
      </c>
      <c r="X356" s="1069" t="s">
        <v>3404</v>
      </c>
      <c r="Y356" s="1070" t="s">
        <v>3405</v>
      </c>
      <c r="Z356" s="1071" t="s">
        <v>3406</v>
      </c>
      <c r="AA356" s="1072" t="s">
        <v>2260</v>
      </c>
      <c r="AB356" s="1073" t="s">
        <v>2260</v>
      </c>
      <c r="AC356" s="1073" t="s">
        <v>2260</v>
      </c>
      <c r="AD356" s="1073" t="s">
        <v>2260</v>
      </c>
      <c r="AE356" s="1073">
        <v>1</v>
      </c>
      <c r="AF356" s="1073" t="s">
        <v>2260</v>
      </c>
      <c r="AG356" s="1073" t="s">
        <v>2260</v>
      </c>
      <c r="AH356" s="1073" t="s">
        <v>2260</v>
      </c>
      <c r="AI356" s="1074">
        <f t="shared" si="5"/>
        <v>1</v>
      </c>
      <c r="AJ356" s="1075" t="s">
        <v>1825</v>
      </c>
      <c r="AK356" s="1075" t="s">
        <v>2260</v>
      </c>
      <c r="AL356" s="1075" t="s">
        <v>2260</v>
      </c>
      <c r="AM356" s="1076" t="s">
        <v>2827</v>
      </c>
      <c r="AN356" s="987" t="s">
        <v>1857</v>
      </c>
      <c r="AO356" s="987" t="s">
        <v>3407</v>
      </c>
      <c r="AP356" s="1285">
        <v>0</v>
      </c>
      <c r="AQ356" s="1045" t="s">
        <v>1828</v>
      </c>
      <c r="AR356" s="1078" t="s">
        <v>2260</v>
      </c>
      <c r="AS356" s="1079"/>
      <c r="AT356" s="1069"/>
      <c r="AU356" s="1069"/>
      <c r="AV356" s="1069"/>
      <c r="AW356" s="1080"/>
      <c r="AX356" s="1081"/>
      <c r="AY356" s="1044"/>
      <c r="AZ356" s="1045"/>
      <c r="BA356" s="1045"/>
      <c r="BB356" s="1045"/>
      <c r="BC356" s="1045"/>
      <c r="BD356" s="1045"/>
      <c r="BE356" s="1045"/>
      <c r="BF356" s="1045"/>
      <c r="BG356" s="1045"/>
      <c r="BH356" s="1045"/>
      <c r="BI356" s="1369"/>
      <c r="BJ356" s="1319"/>
      <c r="BK356" s="1319"/>
      <c r="BL356" s="1319"/>
      <c r="BM356" s="1319"/>
      <c r="BN356" s="1044"/>
      <c r="BO356" s="1045"/>
      <c r="BP356" s="1045"/>
      <c r="BQ356" s="1045"/>
      <c r="BR356" s="1045"/>
      <c r="BS356" s="1084"/>
      <c r="BT356" s="1045"/>
      <c r="BU356" s="1045"/>
      <c r="BV356" s="1045"/>
      <c r="BW356" s="1085"/>
      <c r="BX356" s="1084"/>
      <c r="BY356" s="1045"/>
      <c r="BZ356" s="1045"/>
      <c r="CA356" s="1045"/>
      <c r="CB356" s="1085"/>
      <c r="CC356" s="1086"/>
      <c r="CD356" s="1327"/>
      <c r="CE356" s="1328"/>
      <c r="CF356" s="1328"/>
      <c r="CG356" s="1328"/>
      <c r="CH356" s="1389"/>
      <c r="CI356" s="1369"/>
      <c r="CJ356" s="1319"/>
      <c r="CK356" s="1319"/>
      <c r="CL356" s="1319"/>
      <c r="CM356" s="1320"/>
      <c r="CN356" s="1369"/>
      <c r="CO356" s="1319"/>
      <c r="CP356" s="1319"/>
      <c r="CQ356" s="1319"/>
      <c r="CR356" s="1320"/>
      <c r="CS356" s="1369"/>
      <c r="CT356" s="1319"/>
      <c r="CU356" s="1319"/>
      <c r="CV356" s="1319"/>
      <c r="CW356" s="1320"/>
      <c r="CX356" s="1369"/>
      <c r="CY356" s="1319"/>
      <c r="CZ356" s="1319"/>
      <c r="DA356" s="1319"/>
      <c r="DB356" s="1320"/>
      <c r="DC356" s="1319"/>
      <c r="DD356" s="1319"/>
      <c r="DE356" s="1319"/>
      <c r="DF356" s="1319"/>
      <c r="DG356" s="1320"/>
      <c r="DH356" s="1369"/>
      <c r="DI356" s="1319"/>
      <c r="DJ356" s="1319"/>
      <c r="DK356" s="1319"/>
      <c r="DL356" s="1320"/>
      <c r="DM356" s="1743"/>
      <c r="DN356" s="1744"/>
      <c r="DO356" s="1744"/>
      <c r="DP356" s="1745"/>
      <c r="DQ356" s="1744"/>
      <c r="DR356" s="1744"/>
      <c r="DS356" s="1744"/>
      <c r="DT356" s="1745"/>
      <c r="DU356" s="1328"/>
      <c r="DV356" s="1664"/>
      <c r="DW356" s="1746"/>
    </row>
    <row r="357" spans="1:127" s="382" customFormat="1" ht="15.75" customHeight="1">
      <c r="A357" s="1066" t="s">
        <v>1157</v>
      </c>
      <c r="B357" s="1026">
        <v>348</v>
      </c>
      <c r="C357" s="987"/>
      <c r="D357" s="987"/>
      <c r="E357" s="987"/>
      <c r="F357" s="987"/>
      <c r="G357" s="987"/>
      <c r="H357" s="987"/>
      <c r="I357" s="987"/>
      <c r="J357" s="987"/>
      <c r="K357" s="987"/>
      <c r="L357" s="987"/>
      <c r="M357" s="1026"/>
      <c r="N357" s="987"/>
      <c r="O357" s="987"/>
      <c r="P357" s="987"/>
      <c r="Q357" s="987"/>
      <c r="R357" s="987"/>
      <c r="S357" s="987"/>
      <c r="T357" s="988"/>
      <c r="U357" s="1067" t="s">
        <v>1331</v>
      </c>
      <c r="V357" s="1068" t="s">
        <v>2630</v>
      </c>
      <c r="W357" s="1068" t="s">
        <v>2231</v>
      </c>
      <c r="X357" s="1069" t="s">
        <v>3408</v>
      </c>
      <c r="Y357" s="1070" t="s">
        <v>3409</v>
      </c>
      <c r="Z357" s="1071" t="s">
        <v>3410</v>
      </c>
      <c r="AA357" s="1072" t="s">
        <v>2260</v>
      </c>
      <c r="AB357" s="1073">
        <v>0.5</v>
      </c>
      <c r="AC357" s="1073">
        <v>0.5</v>
      </c>
      <c r="AD357" s="1073" t="s">
        <v>2260</v>
      </c>
      <c r="AE357" s="1073" t="s">
        <v>2260</v>
      </c>
      <c r="AF357" s="1073" t="s">
        <v>2260</v>
      </c>
      <c r="AG357" s="1073" t="s">
        <v>2260</v>
      </c>
      <c r="AH357" s="1073" t="s">
        <v>2260</v>
      </c>
      <c r="AI357" s="1074">
        <f t="shared" si="5"/>
        <v>1</v>
      </c>
      <c r="AJ357" s="1075" t="s">
        <v>1835</v>
      </c>
      <c r="AK357" s="1075" t="s">
        <v>1826</v>
      </c>
      <c r="AL357" s="1075" t="s">
        <v>1827</v>
      </c>
      <c r="AM357" s="1076" t="s">
        <v>2827</v>
      </c>
      <c r="AN357" s="987" t="s">
        <v>1857</v>
      </c>
      <c r="AO357" s="987" t="s">
        <v>3411</v>
      </c>
      <c r="AP357" s="1285">
        <v>0</v>
      </c>
      <c r="AQ357" s="1045" t="s">
        <v>1828</v>
      </c>
      <c r="AR357" s="1078" t="s">
        <v>2260</v>
      </c>
      <c r="AS357" s="1079"/>
      <c r="AT357" s="1069"/>
      <c r="AU357" s="1069"/>
      <c r="AV357" s="1069"/>
      <c r="AW357" s="1080"/>
      <c r="AX357" s="1081"/>
      <c r="AY357" s="1044"/>
      <c r="AZ357" s="1045"/>
      <c r="BA357" s="1045"/>
      <c r="BB357" s="1045"/>
      <c r="BC357" s="1045"/>
      <c r="BD357" s="1045"/>
      <c r="BE357" s="1045"/>
      <c r="BF357" s="1045"/>
      <c r="BG357" s="1045"/>
      <c r="BH357" s="1045"/>
      <c r="BI357" s="1369"/>
      <c r="BJ357" s="1319"/>
      <c r="BK357" s="1319"/>
      <c r="BL357" s="1319"/>
      <c r="BM357" s="1319"/>
      <c r="BN357" s="1044"/>
      <c r="BO357" s="1045"/>
      <c r="BP357" s="1045"/>
      <c r="BQ357" s="1045"/>
      <c r="BR357" s="1045"/>
      <c r="BS357" s="1084"/>
      <c r="BT357" s="1045"/>
      <c r="BU357" s="1045"/>
      <c r="BV357" s="1045"/>
      <c r="BW357" s="1085"/>
      <c r="BX357" s="1084"/>
      <c r="BY357" s="1045"/>
      <c r="BZ357" s="1045"/>
      <c r="CA357" s="1045"/>
      <c r="CB357" s="1085"/>
      <c r="CC357" s="1086"/>
      <c r="CD357" s="1327"/>
      <c r="CE357" s="1328"/>
      <c r="CF357" s="1328"/>
      <c r="CG357" s="1328"/>
      <c r="CH357" s="1389"/>
      <c r="CI357" s="1369"/>
      <c r="CJ357" s="1319"/>
      <c r="CK357" s="1319"/>
      <c r="CL357" s="1319"/>
      <c r="CM357" s="1320"/>
      <c r="CN357" s="1369"/>
      <c r="CO357" s="1319"/>
      <c r="CP357" s="1319"/>
      <c r="CQ357" s="1319"/>
      <c r="CR357" s="1320"/>
      <c r="CS357" s="1369"/>
      <c r="CT357" s="1319"/>
      <c r="CU357" s="1319"/>
      <c r="CV357" s="1319"/>
      <c r="CW357" s="1320"/>
      <c r="CX357" s="1369"/>
      <c r="CY357" s="1319"/>
      <c r="CZ357" s="1319"/>
      <c r="DA357" s="1319"/>
      <c r="DB357" s="1320"/>
      <c r="DC357" s="1319"/>
      <c r="DD357" s="1319"/>
      <c r="DE357" s="1319"/>
      <c r="DF357" s="1319"/>
      <c r="DG357" s="1320"/>
      <c r="DH357" s="1369"/>
      <c r="DI357" s="1319"/>
      <c r="DJ357" s="1319"/>
      <c r="DK357" s="1319"/>
      <c r="DL357" s="1320"/>
      <c r="DM357" s="1743"/>
      <c r="DN357" s="1744"/>
      <c r="DO357" s="1744"/>
      <c r="DP357" s="1745"/>
      <c r="DQ357" s="1744"/>
      <c r="DR357" s="1744"/>
      <c r="DS357" s="1744"/>
      <c r="DT357" s="1745"/>
      <c r="DU357" s="1328"/>
      <c r="DV357" s="1664"/>
      <c r="DW357" s="1746"/>
    </row>
    <row r="358" spans="1:127" s="382" customFormat="1" ht="15.75" customHeight="1">
      <c r="A358" s="1066" t="s">
        <v>1157</v>
      </c>
      <c r="B358" s="1026">
        <v>349</v>
      </c>
      <c r="C358" s="987"/>
      <c r="D358" s="987" t="s">
        <v>2381</v>
      </c>
      <c r="E358" s="987"/>
      <c r="F358" s="987"/>
      <c r="G358" s="987"/>
      <c r="H358" s="987"/>
      <c r="I358" s="987"/>
      <c r="J358" s="987"/>
      <c r="K358" s="987"/>
      <c r="L358" s="987"/>
      <c r="M358" s="1026"/>
      <c r="N358" s="987"/>
      <c r="O358" s="987"/>
      <c r="P358" s="987"/>
      <c r="Q358" s="987"/>
      <c r="R358" s="987"/>
      <c r="S358" s="987"/>
      <c r="T358" s="988"/>
      <c r="U358" s="1067" t="s">
        <v>1614</v>
      </c>
      <c r="V358" s="1068" t="s">
        <v>2630</v>
      </c>
      <c r="W358" s="1068" t="s">
        <v>2217</v>
      </c>
      <c r="X358" s="1069" t="s">
        <v>3412</v>
      </c>
      <c r="Y358" s="1070" t="s">
        <v>2436</v>
      </c>
      <c r="Z358" s="1071" t="s">
        <v>3413</v>
      </c>
      <c r="AA358" s="1072" t="s">
        <v>2260</v>
      </c>
      <c r="AB358" s="1073" t="s">
        <v>2260</v>
      </c>
      <c r="AC358" s="1073" t="s">
        <v>2260</v>
      </c>
      <c r="AD358" s="1073" t="s">
        <v>2260</v>
      </c>
      <c r="AE358" s="1073">
        <v>1</v>
      </c>
      <c r="AF358" s="1073" t="s">
        <v>2260</v>
      </c>
      <c r="AG358" s="1073" t="s">
        <v>2260</v>
      </c>
      <c r="AH358" s="1073" t="s">
        <v>2260</v>
      </c>
      <c r="AI358" s="1074">
        <f t="shared" si="5"/>
        <v>1</v>
      </c>
      <c r="AJ358" s="1075" t="s">
        <v>1825</v>
      </c>
      <c r="AK358" s="1075" t="s">
        <v>2260</v>
      </c>
      <c r="AL358" s="1075" t="s">
        <v>2260</v>
      </c>
      <c r="AM358" s="1076" t="s">
        <v>2827</v>
      </c>
      <c r="AN358" s="987" t="s">
        <v>321</v>
      </c>
      <c r="AO358" s="987" t="s">
        <v>3414</v>
      </c>
      <c r="AP358" s="1285">
        <v>1</v>
      </c>
      <c r="AQ358" s="1045" t="s">
        <v>1828</v>
      </c>
      <c r="AR358" s="1078" t="s">
        <v>2260</v>
      </c>
      <c r="AS358" s="1079"/>
      <c r="AT358" s="1069"/>
      <c r="AU358" s="1069"/>
      <c r="AV358" s="1069"/>
      <c r="AW358" s="1080"/>
      <c r="AX358" s="1081"/>
      <c r="AY358" s="1044"/>
      <c r="AZ358" s="1045"/>
      <c r="BA358" s="1045"/>
      <c r="BB358" s="1045"/>
      <c r="BC358" s="1045"/>
      <c r="BD358" s="1045"/>
      <c r="BE358" s="1045"/>
      <c r="BF358" s="1045"/>
      <c r="BG358" s="1045"/>
      <c r="BH358" s="1045"/>
      <c r="BI358" s="1369"/>
      <c r="BJ358" s="1319"/>
      <c r="BK358" s="1319"/>
      <c r="BL358" s="1319"/>
      <c r="BM358" s="1319"/>
      <c r="BN358" s="1044"/>
      <c r="BO358" s="1045"/>
      <c r="BP358" s="1045"/>
      <c r="BQ358" s="1045"/>
      <c r="BR358" s="1045"/>
      <c r="BS358" s="1084"/>
      <c r="BT358" s="1045"/>
      <c r="BU358" s="1045"/>
      <c r="BV358" s="1045"/>
      <c r="BW358" s="1085"/>
      <c r="BX358" s="1084"/>
      <c r="BY358" s="1045"/>
      <c r="BZ358" s="1045"/>
      <c r="CA358" s="1045"/>
      <c r="CB358" s="1085"/>
      <c r="CC358" s="1086"/>
      <c r="CD358" s="1327"/>
      <c r="CE358" s="1328"/>
      <c r="CF358" s="1328"/>
      <c r="CG358" s="1328"/>
      <c r="CH358" s="1389"/>
      <c r="CI358" s="1369"/>
      <c r="CJ358" s="1319"/>
      <c r="CK358" s="1319"/>
      <c r="CL358" s="1319"/>
      <c r="CM358" s="1320"/>
      <c r="CN358" s="1369"/>
      <c r="CO358" s="1319"/>
      <c r="CP358" s="1319"/>
      <c r="CQ358" s="1319"/>
      <c r="CR358" s="1320"/>
      <c r="CS358" s="1369"/>
      <c r="CT358" s="1319"/>
      <c r="CU358" s="1319"/>
      <c r="CV358" s="1319"/>
      <c r="CW358" s="1320"/>
      <c r="CX358" s="1369"/>
      <c r="CY358" s="1319"/>
      <c r="CZ358" s="1319"/>
      <c r="DA358" s="1319"/>
      <c r="DB358" s="1320"/>
      <c r="DC358" s="1319"/>
      <c r="DD358" s="1319"/>
      <c r="DE358" s="1319"/>
      <c r="DF358" s="1319"/>
      <c r="DG358" s="1320"/>
      <c r="DH358" s="1369"/>
      <c r="DI358" s="1319"/>
      <c r="DJ358" s="1319"/>
      <c r="DK358" s="1319"/>
      <c r="DL358" s="1320"/>
      <c r="DM358" s="1743"/>
      <c r="DN358" s="1744"/>
      <c r="DO358" s="1744"/>
      <c r="DP358" s="1745"/>
      <c r="DQ358" s="1744"/>
      <c r="DR358" s="1744"/>
      <c r="DS358" s="1744"/>
      <c r="DT358" s="1745"/>
      <c r="DU358" s="1328"/>
      <c r="DV358" s="1664"/>
      <c r="DW358" s="1746"/>
    </row>
    <row r="359" spans="1:127" s="382" customFormat="1" ht="15.75" customHeight="1">
      <c r="A359" s="1066" t="s">
        <v>1157</v>
      </c>
      <c r="B359" s="1026">
        <v>350</v>
      </c>
      <c r="C359" s="987"/>
      <c r="D359" s="987"/>
      <c r="E359" s="987"/>
      <c r="F359" s="987"/>
      <c r="G359" s="987"/>
      <c r="H359" s="987"/>
      <c r="I359" s="987"/>
      <c r="J359" s="987"/>
      <c r="K359" s="987"/>
      <c r="L359" s="987"/>
      <c r="M359" s="1026"/>
      <c r="N359" s="987"/>
      <c r="O359" s="987"/>
      <c r="P359" s="987"/>
      <c r="Q359" s="987"/>
      <c r="R359" s="987"/>
      <c r="S359" s="987"/>
      <c r="T359" s="988"/>
      <c r="U359" s="1067" t="s">
        <v>1348</v>
      </c>
      <c r="V359" s="1068" t="s">
        <v>3415</v>
      </c>
      <c r="W359" s="1068" t="s">
        <v>2217</v>
      </c>
      <c r="X359" s="1069" t="s">
        <v>3416</v>
      </c>
      <c r="Y359" s="1070" t="s">
        <v>2608</v>
      </c>
      <c r="Z359" s="1071" t="s">
        <v>3417</v>
      </c>
      <c r="AA359" s="1072" t="s">
        <v>2260</v>
      </c>
      <c r="AB359" s="1073">
        <v>0.5</v>
      </c>
      <c r="AC359" s="1073">
        <v>0.5</v>
      </c>
      <c r="AD359" s="1073" t="s">
        <v>2260</v>
      </c>
      <c r="AE359" s="1073" t="s">
        <v>2260</v>
      </c>
      <c r="AF359" s="1073" t="s">
        <v>2260</v>
      </c>
      <c r="AG359" s="1073" t="s">
        <v>2260</v>
      </c>
      <c r="AH359" s="1073" t="s">
        <v>2260</v>
      </c>
      <c r="AI359" s="1074">
        <f t="shared" si="5"/>
        <v>1</v>
      </c>
      <c r="AJ359" s="1075" t="s">
        <v>1852</v>
      </c>
      <c r="AK359" s="1075" t="s">
        <v>1826</v>
      </c>
      <c r="AL359" s="1075" t="s">
        <v>1827</v>
      </c>
      <c r="AM359" s="1076" t="s">
        <v>2610</v>
      </c>
      <c r="AN359" s="987" t="s">
        <v>1857</v>
      </c>
      <c r="AO359" s="987" t="s">
        <v>2611</v>
      </c>
      <c r="AP359" s="1285">
        <v>0</v>
      </c>
      <c r="AQ359" s="1045" t="s">
        <v>1828</v>
      </c>
      <c r="AR359" s="1078" t="s">
        <v>2260</v>
      </c>
      <c r="AS359" s="1079"/>
      <c r="AT359" s="1069"/>
      <c r="AU359" s="1069"/>
      <c r="AV359" s="1069"/>
      <c r="AW359" s="1080"/>
      <c r="AX359" s="1081"/>
      <c r="AY359" s="1044"/>
      <c r="AZ359" s="1045"/>
      <c r="BA359" s="1045"/>
      <c r="BB359" s="1045"/>
      <c r="BC359" s="1045"/>
      <c r="BD359" s="1045"/>
      <c r="BE359" s="1045"/>
      <c r="BF359" s="1045"/>
      <c r="BG359" s="1045"/>
      <c r="BH359" s="1045"/>
      <c r="BI359" s="1369"/>
      <c r="BJ359" s="1319"/>
      <c r="BK359" s="1319"/>
      <c r="BL359" s="1319"/>
      <c r="BM359" s="1319"/>
      <c r="BN359" s="1044"/>
      <c r="BO359" s="1045"/>
      <c r="BP359" s="1045"/>
      <c r="BQ359" s="1045"/>
      <c r="BR359" s="1045"/>
      <c r="BS359" s="1084"/>
      <c r="BT359" s="1045"/>
      <c r="BU359" s="1045"/>
      <c r="BV359" s="1045"/>
      <c r="BW359" s="1085"/>
      <c r="BX359" s="1084"/>
      <c r="BY359" s="1045"/>
      <c r="BZ359" s="1045"/>
      <c r="CA359" s="1045"/>
      <c r="CB359" s="1085"/>
      <c r="CC359" s="1086"/>
      <c r="CD359" s="1327"/>
      <c r="CE359" s="1328"/>
      <c r="CF359" s="1328"/>
      <c r="CG359" s="1328"/>
      <c r="CH359" s="1389"/>
      <c r="CI359" s="1369"/>
      <c r="CJ359" s="1319"/>
      <c r="CK359" s="1319"/>
      <c r="CL359" s="1319"/>
      <c r="CM359" s="1320"/>
      <c r="CN359" s="1369"/>
      <c r="CO359" s="1319"/>
      <c r="CP359" s="1319"/>
      <c r="CQ359" s="1319"/>
      <c r="CR359" s="1320"/>
      <c r="CS359" s="1369"/>
      <c r="CT359" s="1319"/>
      <c r="CU359" s="1319"/>
      <c r="CV359" s="1319"/>
      <c r="CW359" s="1320"/>
      <c r="CX359" s="1369"/>
      <c r="CY359" s="1319"/>
      <c r="CZ359" s="1319"/>
      <c r="DA359" s="1319"/>
      <c r="DB359" s="1320"/>
      <c r="DC359" s="1319"/>
      <c r="DD359" s="1319"/>
      <c r="DE359" s="1319"/>
      <c r="DF359" s="1319"/>
      <c r="DG359" s="1320"/>
      <c r="DH359" s="1369"/>
      <c r="DI359" s="1319"/>
      <c r="DJ359" s="1319"/>
      <c r="DK359" s="1319"/>
      <c r="DL359" s="1320"/>
      <c r="DM359" s="1743"/>
      <c r="DN359" s="1744"/>
      <c r="DO359" s="1744"/>
      <c r="DP359" s="1745"/>
      <c r="DQ359" s="1744"/>
      <c r="DR359" s="1744"/>
      <c r="DS359" s="1744"/>
      <c r="DT359" s="1745"/>
      <c r="DU359" s="1328"/>
      <c r="DV359" s="1664"/>
      <c r="DW359" s="1746"/>
    </row>
    <row r="360" spans="1:127" s="382" customFormat="1" ht="15.75" customHeight="1">
      <c r="A360" s="1066" t="s">
        <v>1157</v>
      </c>
      <c r="B360" s="1026">
        <v>351</v>
      </c>
      <c r="C360" s="987"/>
      <c r="D360" s="987"/>
      <c r="E360" s="987"/>
      <c r="F360" s="987"/>
      <c r="G360" s="987"/>
      <c r="H360" s="987"/>
      <c r="I360" s="987"/>
      <c r="J360" s="987"/>
      <c r="K360" s="987"/>
      <c r="L360" s="987"/>
      <c r="M360" s="1026"/>
      <c r="N360" s="987"/>
      <c r="O360" s="987"/>
      <c r="P360" s="987"/>
      <c r="Q360" s="987"/>
      <c r="R360" s="987"/>
      <c r="S360" s="987"/>
      <c r="T360" s="988"/>
      <c r="U360" s="1067" t="s">
        <v>1153</v>
      </c>
      <c r="V360" s="1068" t="s">
        <v>2591</v>
      </c>
      <c r="W360" s="1068" t="s">
        <v>2231</v>
      </c>
      <c r="X360" s="1069" t="s">
        <v>3418</v>
      </c>
      <c r="Y360" s="1070" t="s">
        <v>1085</v>
      </c>
      <c r="Z360" s="1071" t="s">
        <v>2604</v>
      </c>
      <c r="AA360" s="1072" t="s">
        <v>2260</v>
      </c>
      <c r="AB360" s="1073">
        <v>0.1</v>
      </c>
      <c r="AC360" s="1073">
        <v>0.9</v>
      </c>
      <c r="AD360" s="1073" t="s">
        <v>2260</v>
      </c>
      <c r="AE360" s="1073" t="s">
        <v>2260</v>
      </c>
      <c r="AF360" s="1073" t="s">
        <v>2260</v>
      </c>
      <c r="AG360" s="1073" t="s">
        <v>2260</v>
      </c>
      <c r="AH360" s="1073" t="s">
        <v>2260</v>
      </c>
      <c r="AI360" s="1074">
        <f t="shared" si="5"/>
        <v>1</v>
      </c>
      <c r="AJ360" s="1075" t="s">
        <v>1846</v>
      </c>
      <c r="AK360" s="1075" t="s">
        <v>1826</v>
      </c>
      <c r="AL360" s="1075" t="s">
        <v>1827</v>
      </c>
      <c r="AM360" s="1076" t="s">
        <v>2387</v>
      </c>
      <c r="AN360" s="987" t="s">
        <v>321</v>
      </c>
      <c r="AO360" s="987" t="s">
        <v>2649</v>
      </c>
      <c r="AP360" s="1276">
        <v>2</v>
      </c>
      <c r="AQ360" s="1045" t="s">
        <v>1828</v>
      </c>
      <c r="AR360" s="1078" t="s">
        <v>1085</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210</v>
      </c>
      <c r="CE360" s="1088" t="s">
        <v>210</v>
      </c>
      <c r="CF360" s="1088" t="s">
        <v>210</v>
      </c>
      <c r="CG360" s="1088" t="s">
        <v>210</v>
      </c>
      <c r="CH360" s="1089" t="s">
        <v>210</v>
      </c>
      <c r="CI360" s="1044" t="s">
        <v>2260</v>
      </c>
      <c r="CJ360" s="1045" t="s">
        <v>2260</v>
      </c>
      <c r="CK360" s="1045" t="s">
        <v>2260</v>
      </c>
      <c r="CL360" s="1045" t="s">
        <v>2260</v>
      </c>
      <c r="CM360" s="1086" t="s">
        <v>2260</v>
      </c>
      <c r="CN360" s="1044" t="s">
        <v>2260</v>
      </c>
      <c r="CO360" s="1045" t="s">
        <v>2260</v>
      </c>
      <c r="CP360" s="1045" t="s">
        <v>2260</v>
      </c>
      <c r="CQ360" s="1045" t="s">
        <v>2260</v>
      </c>
      <c r="CR360" s="1086" t="s">
        <v>2260</v>
      </c>
      <c r="CS360" s="1044">
        <v>99</v>
      </c>
      <c r="CT360" s="1045">
        <v>99</v>
      </c>
      <c r="CU360" s="1045">
        <v>99</v>
      </c>
      <c r="CV360" s="1045">
        <v>99</v>
      </c>
      <c r="CW360" s="1086">
        <v>99</v>
      </c>
      <c r="CX360" s="1044" t="s">
        <v>2260</v>
      </c>
      <c r="CY360" s="1045" t="s">
        <v>2260</v>
      </c>
      <c r="CZ360" s="1045" t="s">
        <v>2260</v>
      </c>
      <c r="DA360" s="1045" t="s">
        <v>2260</v>
      </c>
      <c r="DB360" s="1086" t="s">
        <v>2260</v>
      </c>
      <c r="DC360" s="1045" t="s">
        <v>2260</v>
      </c>
      <c r="DD360" s="1045" t="s">
        <v>2260</v>
      </c>
      <c r="DE360" s="1045" t="s">
        <v>2260</v>
      </c>
      <c r="DF360" s="1045" t="s">
        <v>2260</v>
      </c>
      <c r="DG360" s="1086" t="s">
        <v>2260</v>
      </c>
      <c r="DH360" s="1044" t="s">
        <v>2260</v>
      </c>
      <c r="DI360" s="1045" t="s">
        <v>2260</v>
      </c>
      <c r="DJ360" s="1045" t="s">
        <v>2260</v>
      </c>
      <c r="DK360" s="1045" t="s">
        <v>2260</v>
      </c>
      <c r="DL360" s="1086" t="s">
        <v>2260</v>
      </c>
      <c r="DM360" s="1090">
        <v>-1.9450000000000001</v>
      </c>
      <c r="DN360" s="1091" t="s">
        <v>2260</v>
      </c>
      <c r="DO360" s="1091" t="s">
        <v>2260</v>
      </c>
      <c r="DP360" s="1092" t="s">
        <v>2260</v>
      </c>
      <c r="DQ360" s="1091" t="s">
        <v>2260</v>
      </c>
      <c r="DR360" s="1091" t="s">
        <v>2260</v>
      </c>
      <c r="DS360" s="1091" t="s">
        <v>2260</v>
      </c>
      <c r="DT360" s="1092" t="s">
        <v>2260</v>
      </c>
      <c r="DU360" s="1088" t="s">
        <v>2260</v>
      </c>
      <c r="DV360" s="1093">
        <v>1</v>
      </c>
      <c r="DW360" s="1094" t="s">
        <v>2260</v>
      </c>
    </row>
    <row r="361" spans="1:127" s="382" customFormat="1" ht="15.75" customHeight="1">
      <c r="A361" s="1066" t="s">
        <v>1157</v>
      </c>
      <c r="B361" s="1026">
        <v>352</v>
      </c>
      <c r="C361" s="987"/>
      <c r="D361" s="987"/>
      <c r="E361" s="987"/>
      <c r="F361" s="987"/>
      <c r="G361" s="987"/>
      <c r="H361" s="987"/>
      <c r="I361" s="987"/>
      <c r="J361" s="987"/>
      <c r="K361" s="987"/>
      <c r="L361" s="987"/>
      <c r="M361" s="1026"/>
      <c r="N361" s="987"/>
      <c r="O361" s="987"/>
      <c r="P361" s="987"/>
      <c r="Q361" s="987"/>
      <c r="R361" s="987"/>
      <c r="S361" s="987"/>
      <c r="T361" s="988"/>
      <c r="U361" s="1067" t="s">
        <v>1499</v>
      </c>
      <c r="V361" s="1068" t="s">
        <v>2591</v>
      </c>
      <c r="W361" s="1068" t="s">
        <v>2217</v>
      </c>
      <c r="X361" s="1069" t="s">
        <v>3420</v>
      </c>
      <c r="Y361" s="1070" t="s">
        <v>3421</v>
      </c>
      <c r="Z361" s="1071" t="s">
        <v>3422</v>
      </c>
      <c r="AA361" s="1072">
        <v>0.1</v>
      </c>
      <c r="AB361" s="1073" t="s">
        <v>2260</v>
      </c>
      <c r="AC361" s="1073">
        <v>0.9</v>
      </c>
      <c r="AD361" s="1073" t="s">
        <v>2260</v>
      </c>
      <c r="AE361" s="1073" t="s">
        <v>2260</v>
      </c>
      <c r="AF361" s="1073" t="s">
        <v>2260</v>
      </c>
      <c r="AG361" s="1073" t="s">
        <v>2260</v>
      </c>
      <c r="AH361" s="1073" t="s">
        <v>2260</v>
      </c>
      <c r="AI361" s="1074">
        <f t="shared" si="5"/>
        <v>1</v>
      </c>
      <c r="AJ361" s="1075" t="s">
        <v>1852</v>
      </c>
      <c r="AK361" s="1075" t="s">
        <v>1826</v>
      </c>
      <c r="AL361" s="1075" t="s">
        <v>1837</v>
      </c>
      <c r="AM361" s="1076" t="s">
        <v>2387</v>
      </c>
      <c r="AN361" s="987" t="s">
        <v>1857</v>
      </c>
      <c r="AO361" s="987" t="s">
        <v>3423</v>
      </c>
      <c r="AP361" s="1285">
        <v>0</v>
      </c>
      <c r="AQ361" s="1045" t="s">
        <v>1828</v>
      </c>
      <c r="AR361" s="1078" t="s">
        <v>2260</v>
      </c>
      <c r="AS361" s="1079"/>
      <c r="AT361" s="1069"/>
      <c r="AU361" s="1069"/>
      <c r="AV361" s="1069"/>
      <c r="AW361" s="1080"/>
      <c r="AX361" s="1081"/>
      <c r="AY361" s="1044"/>
      <c r="AZ361" s="1045"/>
      <c r="BA361" s="1045"/>
      <c r="BB361" s="1045"/>
      <c r="BC361" s="1045"/>
      <c r="BD361" s="1045"/>
      <c r="BE361" s="1045"/>
      <c r="BF361" s="1045"/>
      <c r="BG361" s="1045"/>
      <c r="BH361" s="1045"/>
      <c r="BI361" s="1369"/>
      <c r="BJ361" s="1319"/>
      <c r="BK361" s="1319"/>
      <c r="BL361" s="1319"/>
      <c r="BM361" s="1319"/>
      <c r="BN361" s="1044"/>
      <c r="BO361" s="1045"/>
      <c r="BP361" s="1045"/>
      <c r="BQ361" s="1045"/>
      <c r="BR361" s="1045"/>
      <c r="BS361" s="1084"/>
      <c r="BT361" s="1045"/>
      <c r="BU361" s="1045"/>
      <c r="BV361" s="1045"/>
      <c r="BW361" s="1085"/>
      <c r="BX361" s="1084"/>
      <c r="BY361" s="1045"/>
      <c r="BZ361" s="1045"/>
      <c r="CA361" s="1045"/>
      <c r="CB361" s="1085"/>
      <c r="CC361" s="1086"/>
      <c r="CD361" s="1327"/>
      <c r="CE361" s="1328"/>
      <c r="CF361" s="1328"/>
      <c r="CG361" s="1328"/>
      <c r="CH361" s="1389"/>
      <c r="CI361" s="1369"/>
      <c r="CJ361" s="1319"/>
      <c r="CK361" s="1319"/>
      <c r="CL361" s="1319"/>
      <c r="CM361" s="1320"/>
      <c r="CN361" s="1369"/>
      <c r="CO361" s="1319"/>
      <c r="CP361" s="1319"/>
      <c r="CQ361" s="1319"/>
      <c r="CR361" s="1320"/>
      <c r="CS361" s="1369"/>
      <c r="CT361" s="1319"/>
      <c r="CU361" s="1319"/>
      <c r="CV361" s="1319"/>
      <c r="CW361" s="1320"/>
      <c r="CX361" s="1369"/>
      <c r="CY361" s="1319"/>
      <c r="CZ361" s="1319"/>
      <c r="DA361" s="1319"/>
      <c r="DB361" s="1320"/>
      <c r="DC361" s="1319"/>
      <c r="DD361" s="1319"/>
      <c r="DE361" s="1319"/>
      <c r="DF361" s="1319"/>
      <c r="DG361" s="1320"/>
      <c r="DH361" s="1369"/>
      <c r="DI361" s="1319"/>
      <c r="DJ361" s="1319"/>
      <c r="DK361" s="1319"/>
      <c r="DL361" s="1320"/>
      <c r="DM361" s="1743"/>
      <c r="DN361" s="1744"/>
      <c r="DO361" s="1744"/>
      <c r="DP361" s="1745"/>
      <c r="DQ361" s="1744"/>
      <c r="DR361" s="1744"/>
      <c r="DS361" s="1744"/>
      <c r="DT361" s="1745"/>
      <c r="DU361" s="1328"/>
      <c r="DV361" s="1664"/>
      <c r="DW361" s="1746"/>
    </row>
    <row r="362" spans="1:127" s="382" customFormat="1" ht="15.75" customHeight="1">
      <c r="A362" s="1066" t="s">
        <v>1157</v>
      </c>
      <c r="B362" s="1026">
        <v>353</v>
      </c>
      <c r="C362" s="987"/>
      <c r="D362" s="987"/>
      <c r="E362" s="987"/>
      <c r="F362" s="987"/>
      <c r="G362" s="987"/>
      <c r="H362" s="987"/>
      <c r="I362" s="987"/>
      <c r="J362" s="987"/>
      <c r="K362" s="987"/>
      <c r="L362" s="987"/>
      <c r="M362" s="1026"/>
      <c r="N362" s="987"/>
      <c r="O362" s="987"/>
      <c r="P362" s="987"/>
      <c r="Q362" s="987"/>
      <c r="R362" s="987"/>
      <c r="S362" s="987"/>
      <c r="T362" s="988"/>
      <c r="U362" s="1067" t="s">
        <v>1365</v>
      </c>
      <c r="V362" s="1068" t="s">
        <v>2591</v>
      </c>
      <c r="W362" s="1068" t="s">
        <v>2217</v>
      </c>
      <c r="X362" s="1069" t="s">
        <v>3424</v>
      </c>
      <c r="Y362" s="1070" t="s">
        <v>3425</v>
      </c>
      <c r="Z362" s="1071" t="s">
        <v>3426</v>
      </c>
      <c r="AA362" s="1072">
        <v>1</v>
      </c>
      <c r="AB362" s="1073" t="s">
        <v>2260</v>
      </c>
      <c r="AC362" s="1073" t="s">
        <v>2260</v>
      </c>
      <c r="AD362" s="1073" t="s">
        <v>2260</v>
      </c>
      <c r="AE362" s="1073" t="s">
        <v>2260</v>
      </c>
      <c r="AF362" s="1073" t="s">
        <v>2260</v>
      </c>
      <c r="AG362" s="1073" t="s">
        <v>2260</v>
      </c>
      <c r="AH362" s="1073" t="s">
        <v>2260</v>
      </c>
      <c r="AI362" s="1074">
        <f t="shared" si="5"/>
        <v>1</v>
      </c>
      <c r="AJ362" s="1075" t="s">
        <v>1852</v>
      </c>
      <c r="AK362" s="1075" t="s">
        <v>1826</v>
      </c>
      <c r="AL362" s="1075" t="s">
        <v>1827</v>
      </c>
      <c r="AM362" s="1076" t="s">
        <v>2523</v>
      </c>
      <c r="AN362" s="987" t="s">
        <v>1857</v>
      </c>
      <c r="AO362" s="987" t="s">
        <v>3353</v>
      </c>
      <c r="AP362" s="1285">
        <v>1</v>
      </c>
      <c r="AQ362" s="1045" t="s">
        <v>1828</v>
      </c>
      <c r="AR362" s="1078" t="s">
        <v>2260</v>
      </c>
      <c r="AS362" s="1079"/>
      <c r="AT362" s="1069"/>
      <c r="AU362" s="1069"/>
      <c r="AV362" s="1069"/>
      <c r="AW362" s="1080"/>
      <c r="AX362" s="1081"/>
      <c r="AY362" s="1044"/>
      <c r="AZ362" s="1045"/>
      <c r="BA362" s="1045"/>
      <c r="BB362" s="1045"/>
      <c r="BC362" s="1045"/>
      <c r="BD362" s="1045"/>
      <c r="BE362" s="1045"/>
      <c r="BF362" s="1045"/>
      <c r="BG362" s="1045"/>
      <c r="BH362" s="1045"/>
      <c r="BI362" s="1369"/>
      <c r="BJ362" s="1319"/>
      <c r="BK362" s="1319"/>
      <c r="BL362" s="1319"/>
      <c r="BM362" s="1319"/>
      <c r="BN362" s="1044"/>
      <c r="BO362" s="1045"/>
      <c r="BP362" s="1045"/>
      <c r="BQ362" s="1045"/>
      <c r="BR362" s="1045"/>
      <c r="BS362" s="1084"/>
      <c r="BT362" s="1045"/>
      <c r="BU362" s="1045"/>
      <c r="BV362" s="1045"/>
      <c r="BW362" s="1085"/>
      <c r="BX362" s="1084"/>
      <c r="BY362" s="1045"/>
      <c r="BZ362" s="1045"/>
      <c r="CA362" s="1045"/>
      <c r="CB362" s="1085"/>
      <c r="CC362" s="1086"/>
      <c r="CD362" s="1327"/>
      <c r="CE362" s="1328"/>
      <c r="CF362" s="1328"/>
      <c r="CG362" s="1328"/>
      <c r="CH362" s="1389"/>
      <c r="CI362" s="1369"/>
      <c r="CJ362" s="1319"/>
      <c r="CK362" s="1319"/>
      <c r="CL362" s="1319"/>
      <c r="CM362" s="1320"/>
      <c r="CN362" s="1369"/>
      <c r="CO362" s="1319"/>
      <c r="CP362" s="1319"/>
      <c r="CQ362" s="1319"/>
      <c r="CR362" s="1320"/>
      <c r="CS362" s="1369"/>
      <c r="CT362" s="1319"/>
      <c r="CU362" s="1319"/>
      <c r="CV362" s="1319"/>
      <c r="CW362" s="1320"/>
      <c r="CX362" s="1369"/>
      <c r="CY362" s="1319"/>
      <c r="CZ362" s="1319"/>
      <c r="DA362" s="1319"/>
      <c r="DB362" s="1320"/>
      <c r="DC362" s="1319"/>
      <c r="DD362" s="1319"/>
      <c r="DE362" s="1319"/>
      <c r="DF362" s="1319"/>
      <c r="DG362" s="1320"/>
      <c r="DH362" s="1369"/>
      <c r="DI362" s="1319"/>
      <c r="DJ362" s="1319"/>
      <c r="DK362" s="1319"/>
      <c r="DL362" s="1320"/>
      <c r="DM362" s="1743"/>
      <c r="DN362" s="1744"/>
      <c r="DO362" s="1744"/>
      <c r="DP362" s="1745"/>
      <c r="DQ362" s="1744"/>
      <c r="DR362" s="1744"/>
      <c r="DS362" s="1744"/>
      <c r="DT362" s="1745"/>
      <c r="DU362" s="1328"/>
      <c r="DV362" s="1664"/>
      <c r="DW362" s="1746"/>
    </row>
    <row r="363" spans="1:127" s="382" customFormat="1" ht="15.75" customHeight="1">
      <c r="A363" s="1066" t="s">
        <v>1157</v>
      </c>
      <c r="B363" s="1026">
        <v>354</v>
      </c>
      <c r="C363" s="987"/>
      <c r="D363" s="987"/>
      <c r="E363" s="987"/>
      <c r="F363" s="987"/>
      <c r="G363" s="987"/>
      <c r="H363" s="987"/>
      <c r="I363" s="987"/>
      <c r="J363" s="987"/>
      <c r="K363" s="987"/>
      <c r="L363" s="987"/>
      <c r="M363" s="1026"/>
      <c r="N363" s="987"/>
      <c r="O363" s="987"/>
      <c r="P363" s="987"/>
      <c r="Q363" s="987"/>
      <c r="R363" s="987"/>
      <c r="S363" s="987"/>
      <c r="T363" s="988"/>
      <c r="U363" s="1067" t="s">
        <v>1510</v>
      </c>
      <c r="V363" s="1068" t="s">
        <v>2591</v>
      </c>
      <c r="W363" s="1068" t="s">
        <v>2217</v>
      </c>
      <c r="X363" s="1069" t="s">
        <v>3427</v>
      </c>
      <c r="Y363" s="1070" t="s">
        <v>3428</v>
      </c>
      <c r="Z363" s="1071" t="s">
        <v>3426</v>
      </c>
      <c r="AA363" s="1072" t="s">
        <v>2260</v>
      </c>
      <c r="AB363" s="1073" t="s">
        <v>2260</v>
      </c>
      <c r="AC363" s="1073">
        <v>1</v>
      </c>
      <c r="AD363" s="1073" t="s">
        <v>2260</v>
      </c>
      <c r="AE363" s="1073" t="s">
        <v>2260</v>
      </c>
      <c r="AF363" s="1073" t="s">
        <v>2260</v>
      </c>
      <c r="AG363" s="1073" t="s">
        <v>2260</v>
      </c>
      <c r="AH363" s="1073" t="s">
        <v>2260</v>
      </c>
      <c r="AI363" s="1074">
        <f t="shared" si="5"/>
        <v>1</v>
      </c>
      <c r="AJ363" s="1075" t="s">
        <v>1852</v>
      </c>
      <c r="AK363" s="1075" t="s">
        <v>1826</v>
      </c>
      <c r="AL363" s="1075" t="s">
        <v>1827</v>
      </c>
      <c r="AM363" s="1076" t="s">
        <v>2523</v>
      </c>
      <c r="AN363" s="987" t="s">
        <v>1857</v>
      </c>
      <c r="AO363" s="987" t="s">
        <v>3353</v>
      </c>
      <c r="AP363" s="1285">
        <v>1</v>
      </c>
      <c r="AQ363" s="1045" t="s">
        <v>1828</v>
      </c>
      <c r="AR363" s="1078" t="s">
        <v>2260</v>
      </c>
      <c r="AS363" s="1079"/>
      <c r="AT363" s="1069"/>
      <c r="AU363" s="1069"/>
      <c r="AV363" s="1069"/>
      <c r="AW363" s="1080"/>
      <c r="AX363" s="1081"/>
      <c r="AY363" s="1044"/>
      <c r="AZ363" s="1045"/>
      <c r="BA363" s="1045"/>
      <c r="BB363" s="1045"/>
      <c r="BC363" s="1045"/>
      <c r="BD363" s="1045"/>
      <c r="BE363" s="1045"/>
      <c r="BF363" s="1045"/>
      <c r="BG363" s="1045"/>
      <c r="BH363" s="1045"/>
      <c r="BI363" s="1369"/>
      <c r="BJ363" s="1319"/>
      <c r="BK363" s="1319"/>
      <c r="BL363" s="1319"/>
      <c r="BM363" s="1319"/>
      <c r="BN363" s="1044"/>
      <c r="BO363" s="1045"/>
      <c r="BP363" s="1045"/>
      <c r="BQ363" s="1045"/>
      <c r="BR363" s="1045"/>
      <c r="BS363" s="1084"/>
      <c r="BT363" s="1045"/>
      <c r="BU363" s="1045"/>
      <c r="BV363" s="1045"/>
      <c r="BW363" s="1085"/>
      <c r="BX363" s="1084"/>
      <c r="BY363" s="1045"/>
      <c r="BZ363" s="1045"/>
      <c r="CA363" s="1045"/>
      <c r="CB363" s="1085"/>
      <c r="CC363" s="1086"/>
      <c r="CD363" s="1327"/>
      <c r="CE363" s="1328"/>
      <c r="CF363" s="1328"/>
      <c r="CG363" s="1328"/>
      <c r="CH363" s="1389"/>
      <c r="CI363" s="1369"/>
      <c r="CJ363" s="1319"/>
      <c r="CK363" s="1319"/>
      <c r="CL363" s="1319"/>
      <c r="CM363" s="1320"/>
      <c r="CN363" s="1369"/>
      <c r="CO363" s="1319"/>
      <c r="CP363" s="1319"/>
      <c r="CQ363" s="1319"/>
      <c r="CR363" s="1320"/>
      <c r="CS363" s="1369"/>
      <c r="CT363" s="1319"/>
      <c r="CU363" s="1319"/>
      <c r="CV363" s="1319"/>
      <c r="CW363" s="1320"/>
      <c r="CX363" s="1369"/>
      <c r="CY363" s="1319"/>
      <c r="CZ363" s="1319"/>
      <c r="DA363" s="1319"/>
      <c r="DB363" s="1320"/>
      <c r="DC363" s="1319"/>
      <c r="DD363" s="1319"/>
      <c r="DE363" s="1319"/>
      <c r="DF363" s="1319"/>
      <c r="DG363" s="1320"/>
      <c r="DH363" s="1369"/>
      <c r="DI363" s="1319"/>
      <c r="DJ363" s="1319"/>
      <c r="DK363" s="1319"/>
      <c r="DL363" s="1320"/>
      <c r="DM363" s="1743"/>
      <c r="DN363" s="1744"/>
      <c r="DO363" s="1744"/>
      <c r="DP363" s="1745"/>
      <c r="DQ363" s="1744"/>
      <c r="DR363" s="1744"/>
      <c r="DS363" s="1744"/>
      <c r="DT363" s="1745"/>
      <c r="DU363" s="1328"/>
      <c r="DV363" s="1664"/>
      <c r="DW363" s="1746"/>
    </row>
    <row r="364" spans="1:127" s="382" customFormat="1" ht="15.75" customHeight="1">
      <c r="A364" s="1066" t="s">
        <v>1157</v>
      </c>
      <c r="B364" s="1026">
        <v>355</v>
      </c>
      <c r="C364" s="987"/>
      <c r="D364" s="987"/>
      <c r="E364" s="987"/>
      <c r="F364" s="987"/>
      <c r="G364" s="987"/>
      <c r="H364" s="987"/>
      <c r="I364" s="987"/>
      <c r="J364" s="987"/>
      <c r="K364" s="987"/>
      <c r="L364" s="987"/>
      <c r="M364" s="1026"/>
      <c r="N364" s="987"/>
      <c r="O364" s="987"/>
      <c r="P364" s="987"/>
      <c r="Q364" s="987"/>
      <c r="R364" s="987"/>
      <c r="S364" s="987"/>
      <c r="T364" s="988"/>
      <c r="U364" s="1067" t="s">
        <v>1521</v>
      </c>
      <c r="V364" s="1068" t="s">
        <v>2591</v>
      </c>
      <c r="W364" s="1068" t="s">
        <v>2231</v>
      </c>
      <c r="X364" s="1069" t="s">
        <v>3429</v>
      </c>
      <c r="Y364" s="1070" t="s">
        <v>3430</v>
      </c>
      <c r="Z364" s="1071" t="s">
        <v>3431</v>
      </c>
      <c r="AA364" s="1072" t="s">
        <v>2260</v>
      </c>
      <c r="AB364" s="1073" t="s">
        <v>2260</v>
      </c>
      <c r="AC364" s="1073" t="s">
        <v>2260</v>
      </c>
      <c r="AD364" s="1073">
        <v>1</v>
      </c>
      <c r="AE364" s="1073" t="s">
        <v>2260</v>
      </c>
      <c r="AF364" s="1073" t="s">
        <v>2260</v>
      </c>
      <c r="AG364" s="1073" t="s">
        <v>2260</v>
      </c>
      <c r="AH364" s="1073" t="s">
        <v>2260</v>
      </c>
      <c r="AI364" s="1074">
        <f t="shared" si="5"/>
        <v>1</v>
      </c>
      <c r="AJ364" s="1075" t="s">
        <v>1846</v>
      </c>
      <c r="AK364" s="1075" t="s">
        <v>1826</v>
      </c>
      <c r="AL364" s="1075" t="s">
        <v>1827</v>
      </c>
      <c r="AM364" s="1076" t="s">
        <v>815</v>
      </c>
      <c r="AN364" s="987" t="s">
        <v>321</v>
      </c>
      <c r="AO364" s="987" t="s">
        <v>3432</v>
      </c>
      <c r="AP364" s="1285">
        <v>2</v>
      </c>
      <c r="AQ364" s="1045" t="s">
        <v>1828</v>
      </c>
      <c r="AR364" s="1078" t="s">
        <v>2260</v>
      </c>
      <c r="AS364" s="1079"/>
      <c r="AT364" s="1069"/>
      <c r="AU364" s="1069"/>
      <c r="AV364" s="1069"/>
      <c r="AW364" s="1080"/>
      <c r="AX364" s="1081"/>
      <c r="AY364" s="1044"/>
      <c r="AZ364" s="1045"/>
      <c r="BA364" s="1045"/>
      <c r="BB364" s="1045"/>
      <c r="BC364" s="1045"/>
      <c r="BD364" s="1045"/>
      <c r="BE364" s="1045"/>
      <c r="BF364" s="1045"/>
      <c r="BG364" s="1045"/>
      <c r="BH364" s="1045"/>
      <c r="BI364" s="1369"/>
      <c r="BJ364" s="1319"/>
      <c r="BK364" s="1319"/>
      <c r="BL364" s="1319"/>
      <c r="BM364" s="1319"/>
      <c r="BN364" s="1044"/>
      <c r="BO364" s="1045"/>
      <c r="BP364" s="1045"/>
      <c r="BQ364" s="1045"/>
      <c r="BR364" s="1045"/>
      <c r="BS364" s="1084"/>
      <c r="BT364" s="1045"/>
      <c r="BU364" s="1045"/>
      <c r="BV364" s="1045"/>
      <c r="BW364" s="1085"/>
      <c r="BX364" s="1084"/>
      <c r="BY364" s="1045"/>
      <c r="BZ364" s="1045"/>
      <c r="CA364" s="1045"/>
      <c r="CB364" s="1085"/>
      <c r="CC364" s="1086"/>
      <c r="CD364" s="1327"/>
      <c r="CE364" s="1328"/>
      <c r="CF364" s="1328"/>
      <c r="CG364" s="1328"/>
      <c r="CH364" s="1389"/>
      <c r="CI364" s="1369"/>
      <c r="CJ364" s="1319"/>
      <c r="CK364" s="1319"/>
      <c r="CL364" s="1319"/>
      <c r="CM364" s="1320"/>
      <c r="CN364" s="1369"/>
      <c r="CO364" s="1319"/>
      <c r="CP364" s="1319"/>
      <c r="CQ364" s="1319"/>
      <c r="CR364" s="1320"/>
      <c r="CS364" s="1369"/>
      <c r="CT364" s="1319"/>
      <c r="CU364" s="1319"/>
      <c r="CV364" s="1319"/>
      <c r="CW364" s="1320"/>
      <c r="CX364" s="1369"/>
      <c r="CY364" s="1319"/>
      <c r="CZ364" s="1319"/>
      <c r="DA364" s="1319"/>
      <c r="DB364" s="1320"/>
      <c r="DC364" s="1319"/>
      <c r="DD364" s="1319"/>
      <c r="DE364" s="1319"/>
      <c r="DF364" s="1319"/>
      <c r="DG364" s="1320"/>
      <c r="DH364" s="1369"/>
      <c r="DI364" s="1319"/>
      <c r="DJ364" s="1319"/>
      <c r="DK364" s="1319"/>
      <c r="DL364" s="1320"/>
      <c r="DM364" s="1743"/>
      <c r="DN364" s="1744"/>
      <c r="DO364" s="1744"/>
      <c r="DP364" s="1745"/>
      <c r="DQ364" s="1744"/>
      <c r="DR364" s="1744"/>
      <c r="DS364" s="1744"/>
      <c r="DT364" s="1745"/>
      <c r="DU364" s="1328"/>
      <c r="DV364" s="1664"/>
      <c r="DW364" s="1746"/>
    </row>
    <row r="365" spans="1:127" s="382" customFormat="1" ht="15.75" customHeight="1">
      <c r="A365" s="1066" t="s">
        <v>1157</v>
      </c>
      <c r="B365" s="1026">
        <v>356</v>
      </c>
      <c r="C365" s="987"/>
      <c r="D365" s="987"/>
      <c r="E365" s="987"/>
      <c r="F365" s="987"/>
      <c r="G365" s="987"/>
      <c r="H365" s="987"/>
      <c r="I365" s="987"/>
      <c r="J365" s="987"/>
      <c r="K365" s="987"/>
      <c r="L365" s="987"/>
      <c r="M365" s="1026"/>
      <c r="N365" s="987"/>
      <c r="O365" s="987"/>
      <c r="P365" s="987"/>
      <c r="Q365" s="987"/>
      <c r="R365" s="987"/>
      <c r="S365" s="987"/>
      <c r="T365" s="988"/>
      <c r="U365" s="1067" t="s">
        <v>1769</v>
      </c>
      <c r="V365" s="1068" t="s">
        <v>3433</v>
      </c>
      <c r="W365" s="1068" t="s">
        <v>2231</v>
      </c>
      <c r="X365" s="1069" t="s">
        <v>3434</v>
      </c>
      <c r="Y365" s="1070" t="s">
        <v>2251</v>
      </c>
      <c r="Z365" s="1071" t="s">
        <v>2637</v>
      </c>
      <c r="AA365" s="1072" t="s">
        <v>2260</v>
      </c>
      <c r="AB365" s="1073" t="s">
        <v>2260</v>
      </c>
      <c r="AC365" s="1073" t="s">
        <v>2260</v>
      </c>
      <c r="AD365" s="1073" t="s">
        <v>2260</v>
      </c>
      <c r="AE365" s="1073">
        <v>1</v>
      </c>
      <c r="AF365" s="1073" t="s">
        <v>2260</v>
      </c>
      <c r="AG365" s="1073" t="s">
        <v>2260</v>
      </c>
      <c r="AH365" s="1073" t="s">
        <v>2260</v>
      </c>
      <c r="AI365" s="1074">
        <f t="shared" si="5"/>
        <v>1</v>
      </c>
      <c r="AJ365" s="1075" t="s">
        <v>1852</v>
      </c>
      <c r="AK365" s="1075" t="s">
        <v>1826</v>
      </c>
      <c r="AL365" s="1075" t="s">
        <v>1827</v>
      </c>
      <c r="AM365" s="1076" t="s">
        <v>1888</v>
      </c>
      <c r="AN365" s="987" t="s">
        <v>1897</v>
      </c>
      <c r="AO365" s="987" t="s">
        <v>2337</v>
      </c>
      <c r="AP365" s="1285">
        <v>2</v>
      </c>
      <c r="AQ365" s="1045" t="s">
        <v>1828</v>
      </c>
      <c r="AR365" s="1078" t="s">
        <v>2251</v>
      </c>
      <c r="AS365" s="1079"/>
      <c r="AT365" s="1069"/>
      <c r="AU365" s="1069"/>
      <c r="AV365" s="1069"/>
      <c r="AW365" s="1080"/>
      <c r="AX365" s="1081"/>
      <c r="AY365" s="1044"/>
      <c r="AZ365" s="1045"/>
      <c r="BA365" s="1045"/>
      <c r="BB365" s="1045"/>
      <c r="BC365" s="1045"/>
      <c r="BD365" s="1045"/>
      <c r="BE365" s="1045"/>
      <c r="BF365" s="1045"/>
      <c r="BG365" s="1045"/>
      <c r="BH365" s="1045"/>
      <c r="BI365" s="1044" t="s">
        <v>4448</v>
      </c>
      <c r="BJ365" s="1045" t="s">
        <v>4448</v>
      </c>
      <c r="BK365" s="1045" t="s">
        <v>4448</v>
      </c>
      <c r="BL365" s="1045" t="s">
        <v>4448</v>
      </c>
      <c r="BM365" s="1045" t="s">
        <v>4448</v>
      </c>
      <c r="BN365" s="1044"/>
      <c r="BO365" s="1045"/>
      <c r="BP365" s="1045"/>
      <c r="BQ365" s="1045"/>
      <c r="BR365" s="1045"/>
      <c r="BS365" s="1084"/>
      <c r="BT365" s="1045"/>
      <c r="BU365" s="1045"/>
      <c r="BV365" s="1045"/>
      <c r="BW365" s="1085"/>
      <c r="BX365" s="1084"/>
      <c r="BY365" s="1045"/>
      <c r="BZ365" s="1045"/>
      <c r="CA365" s="1045"/>
      <c r="CB365" s="1085"/>
      <c r="CC365" s="1086"/>
      <c r="CD365" s="1087" t="s">
        <v>210</v>
      </c>
      <c r="CE365" s="1088" t="s">
        <v>210</v>
      </c>
      <c r="CF365" s="1088" t="s">
        <v>210</v>
      </c>
      <c r="CG365" s="1088" t="s">
        <v>210</v>
      </c>
      <c r="CH365" s="1089" t="s">
        <v>210</v>
      </c>
      <c r="CI365" s="1044" t="s">
        <v>2260</v>
      </c>
      <c r="CJ365" s="1045" t="s">
        <v>2260</v>
      </c>
      <c r="CK365" s="1045" t="s">
        <v>2260</v>
      </c>
      <c r="CL365" s="1045" t="s">
        <v>2260</v>
      </c>
      <c r="CM365" s="1086" t="s">
        <v>2260</v>
      </c>
      <c r="CN365" s="1044" t="s">
        <v>2260</v>
      </c>
      <c r="CO365" s="1045" t="s">
        <v>2260</v>
      </c>
      <c r="CP365" s="1045" t="s">
        <v>2260</v>
      </c>
      <c r="CQ365" s="1045" t="s">
        <v>2260</v>
      </c>
      <c r="CR365" s="1086" t="s">
        <v>2260</v>
      </c>
      <c r="CS365" s="1044" t="s">
        <v>2260</v>
      </c>
      <c r="CT365" s="1045" t="s">
        <v>2260</v>
      </c>
      <c r="CU365" s="1045" t="s">
        <v>2260</v>
      </c>
      <c r="CV365" s="1045" t="s">
        <v>2260</v>
      </c>
      <c r="CW365" s="1086" t="s">
        <v>2260</v>
      </c>
      <c r="CX365" s="1044" t="s">
        <v>2260</v>
      </c>
      <c r="CY365" s="1045" t="s">
        <v>2260</v>
      </c>
      <c r="CZ365" s="1045" t="s">
        <v>2260</v>
      </c>
      <c r="DA365" s="1045" t="s">
        <v>2260</v>
      </c>
      <c r="DB365" s="1086" t="s">
        <v>2260</v>
      </c>
      <c r="DC365" s="1045" t="s">
        <v>2260</v>
      </c>
      <c r="DD365" s="1045" t="s">
        <v>2260</v>
      </c>
      <c r="DE365" s="1045" t="s">
        <v>2260</v>
      </c>
      <c r="DF365" s="1045" t="s">
        <v>2260</v>
      </c>
      <c r="DG365" s="1086" t="s">
        <v>2260</v>
      </c>
      <c r="DH365" s="1044" t="s">
        <v>2260</v>
      </c>
      <c r="DI365" s="1045" t="s">
        <v>2260</v>
      </c>
      <c r="DJ365" s="1045" t="s">
        <v>2260</v>
      </c>
      <c r="DK365" s="1045" t="s">
        <v>2260</v>
      </c>
      <c r="DL365" s="1086" t="s">
        <v>2260</v>
      </c>
      <c r="DM365" s="1090" t="s">
        <v>2260</v>
      </c>
      <c r="DN365" s="1091" t="s">
        <v>2260</v>
      </c>
      <c r="DO365" s="1091" t="s">
        <v>2260</v>
      </c>
      <c r="DP365" s="1092" t="s">
        <v>2260</v>
      </c>
      <c r="DQ365" s="1091" t="s">
        <v>2260</v>
      </c>
      <c r="DR365" s="1091" t="s">
        <v>2260</v>
      </c>
      <c r="DS365" s="1091" t="s">
        <v>2260</v>
      </c>
      <c r="DT365" s="1092" t="s">
        <v>2260</v>
      </c>
      <c r="DU365" s="1088" t="s">
        <v>2260</v>
      </c>
      <c r="DV365" s="1093">
        <v>1</v>
      </c>
      <c r="DW365" s="1094" t="s">
        <v>2260</v>
      </c>
    </row>
    <row r="366" spans="1:127" s="382" customFormat="1" ht="15.75" customHeight="1">
      <c r="A366" s="1066" t="s">
        <v>1157</v>
      </c>
      <c r="B366" s="1026">
        <v>357</v>
      </c>
      <c r="C366" s="987"/>
      <c r="D366" s="987"/>
      <c r="E366" s="987"/>
      <c r="F366" s="987"/>
      <c r="G366" s="987"/>
      <c r="H366" s="987"/>
      <c r="I366" s="987"/>
      <c r="J366" s="987"/>
      <c r="K366" s="987"/>
      <c r="L366" s="987"/>
      <c r="M366" s="1026"/>
      <c r="N366" s="987"/>
      <c r="O366" s="987"/>
      <c r="P366" s="987"/>
      <c r="Q366" s="987"/>
      <c r="R366" s="987"/>
      <c r="S366" s="987"/>
      <c r="T366" s="988"/>
      <c r="U366" s="1067" t="s">
        <v>1786</v>
      </c>
      <c r="V366" s="1068" t="s">
        <v>3433</v>
      </c>
      <c r="W366" s="1068" t="s">
        <v>2231</v>
      </c>
      <c r="X366" s="1069" t="s">
        <v>3435</v>
      </c>
      <c r="Y366" s="1070" t="s">
        <v>2254</v>
      </c>
      <c r="Z366" s="1071" t="s">
        <v>2640</v>
      </c>
      <c r="AA366" s="1072" t="s">
        <v>2260</v>
      </c>
      <c r="AB366" s="1073">
        <v>0.5</v>
      </c>
      <c r="AC366" s="1073">
        <v>0.5</v>
      </c>
      <c r="AD366" s="1073" t="s">
        <v>2260</v>
      </c>
      <c r="AE366" s="1073" t="s">
        <v>2260</v>
      </c>
      <c r="AF366" s="1073" t="s">
        <v>2260</v>
      </c>
      <c r="AG366" s="1073" t="s">
        <v>2260</v>
      </c>
      <c r="AH366" s="1073" t="s">
        <v>2260</v>
      </c>
      <c r="AI366" s="1074">
        <f t="shared" si="5"/>
        <v>1</v>
      </c>
      <c r="AJ366" s="1075" t="s">
        <v>1852</v>
      </c>
      <c r="AK366" s="1075" t="s">
        <v>1826</v>
      </c>
      <c r="AL366" s="1075" t="s">
        <v>1827</v>
      </c>
      <c r="AM366" s="1076" t="s">
        <v>1891</v>
      </c>
      <c r="AN366" s="987" t="s">
        <v>1897</v>
      </c>
      <c r="AO366" s="987" t="s">
        <v>470</v>
      </c>
      <c r="AP366" s="1285">
        <v>2</v>
      </c>
      <c r="AQ366" s="1045" t="s">
        <v>1828</v>
      </c>
      <c r="AR366" s="1078" t="s">
        <v>2254</v>
      </c>
      <c r="AS366" s="1079"/>
      <c r="AT366" s="1069"/>
      <c r="AU366" s="1069"/>
      <c r="AV366" s="1069"/>
      <c r="AW366" s="1080"/>
      <c r="AX366" s="1081"/>
      <c r="AY366" s="1044"/>
      <c r="AZ366" s="1045"/>
      <c r="BA366" s="1045"/>
      <c r="BB366" s="1045"/>
      <c r="BC366" s="1045"/>
      <c r="BD366" s="1045"/>
      <c r="BE366" s="1045"/>
      <c r="BF366" s="1045"/>
      <c r="BG366" s="1045"/>
      <c r="BH366" s="1045"/>
      <c r="BI366" s="1044" t="s">
        <v>4448</v>
      </c>
      <c r="BJ366" s="1045" t="s">
        <v>4448</v>
      </c>
      <c r="BK366" s="1045" t="s">
        <v>4448</v>
      </c>
      <c r="BL366" s="1045" t="s">
        <v>4448</v>
      </c>
      <c r="BM366" s="1045" t="s">
        <v>4448</v>
      </c>
      <c r="BN366" s="1044"/>
      <c r="BO366" s="1045"/>
      <c r="BP366" s="1045"/>
      <c r="BQ366" s="1045"/>
      <c r="BR366" s="1045"/>
      <c r="BS366" s="1084"/>
      <c r="BT366" s="1045"/>
      <c r="BU366" s="1045"/>
      <c r="BV366" s="1045"/>
      <c r="BW366" s="1085"/>
      <c r="BX366" s="1084"/>
      <c r="BY366" s="1045"/>
      <c r="BZ366" s="1045"/>
      <c r="CA366" s="1045"/>
      <c r="CB366" s="1085"/>
      <c r="CC366" s="1086"/>
      <c r="CD366" s="1087" t="s">
        <v>210</v>
      </c>
      <c r="CE366" s="1088" t="s">
        <v>210</v>
      </c>
      <c r="CF366" s="1088" t="s">
        <v>210</v>
      </c>
      <c r="CG366" s="1088" t="s">
        <v>210</v>
      </c>
      <c r="CH366" s="1089" t="s">
        <v>210</v>
      </c>
      <c r="CI366" s="1044" t="s">
        <v>2260</v>
      </c>
      <c r="CJ366" s="1045" t="s">
        <v>2260</v>
      </c>
      <c r="CK366" s="1045" t="s">
        <v>2260</v>
      </c>
      <c r="CL366" s="1045" t="s">
        <v>2260</v>
      </c>
      <c r="CM366" s="1086" t="s">
        <v>2260</v>
      </c>
      <c r="CN366" s="1044" t="s">
        <v>2260</v>
      </c>
      <c r="CO366" s="1045" t="s">
        <v>2260</v>
      </c>
      <c r="CP366" s="1045" t="s">
        <v>2260</v>
      </c>
      <c r="CQ366" s="1045" t="s">
        <v>2260</v>
      </c>
      <c r="CR366" s="1086" t="s">
        <v>2260</v>
      </c>
      <c r="CS366" s="1044" t="s">
        <v>2260</v>
      </c>
      <c r="CT366" s="1045" t="s">
        <v>2260</v>
      </c>
      <c r="CU366" s="1045" t="s">
        <v>2260</v>
      </c>
      <c r="CV366" s="1045" t="s">
        <v>2260</v>
      </c>
      <c r="CW366" s="1086" t="s">
        <v>2260</v>
      </c>
      <c r="CX366" s="1044" t="s">
        <v>2260</v>
      </c>
      <c r="CY366" s="1045" t="s">
        <v>2260</v>
      </c>
      <c r="CZ366" s="1045" t="s">
        <v>2260</v>
      </c>
      <c r="DA366" s="1045" t="s">
        <v>2260</v>
      </c>
      <c r="DB366" s="1086" t="s">
        <v>2260</v>
      </c>
      <c r="DC366" s="1045" t="s">
        <v>2260</v>
      </c>
      <c r="DD366" s="1045" t="s">
        <v>2260</v>
      </c>
      <c r="DE366" s="1045" t="s">
        <v>2260</v>
      </c>
      <c r="DF366" s="1045" t="s">
        <v>2260</v>
      </c>
      <c r="DG366" s="1086" t="s">
        <v>2260</v>
      </c>
      <c r="DH366" s="1044" t="s">
        <v>2260</v>
      </c>
      <c r="DI366" s="1045" t="s">
        <v>2260</v>
      </c>
      <c r="DJ366" s="1045" t="s">
        <v>2260</v>
      </c>
      <c r="DK366" s="1045" t="s">
        <v>2260</v>
      </c>
      <c r="DL366" s="1086" t="s">
        <v>2260</v>
      </c>
      <c r="DM366" s="1090" t="s">
        <v>2260</v>
      </c>
      <c r="DN366" s="1091" t="s">
        <v>2260</v>
      </c>
      <c r="DO366" s="1091" t="s">
        <v>2260</v>
      </c>
      <c r="DP366" s="1092" t="s">
        <v>2260</v>
      </c>
      <c r="DQ366" s="1091" t="s">
        <v>2260</v>
      </c>
      <c r="DR366" s="1091" t="s">
        <v>2260</v>
      </c>
      <c r="DS366" s="1091" t="s">
        <v>2260</v>
      </c>
      <c r="DT366" s="1092" t="s">
        <v>2260</v>
      </c>
      <c r="DU366" s="1088" t="s">
        <v>173</v>
      </c>
      <c r="DV366" s="1093">
        <v>1</v>
      </c>
      <c r="DW366" s="1094" t="s">
        <v>2260</v>
      </c>
    </row>
    <row r="367" spans="1:127" s="382" customFormat="1" ht="15.75" customHeight="1">
      <c r="A367" s="1066" t="s">
        <v>1157</v>
      </c>
      <c r="B367" s="1026">
        <v>358</v>
      </c>
      <c r="C367" s="987"/>
      <c r="D367" s="987"/>
      <c r="E367" s="987"/>
      <c r="F367" s="987"/>
      <c r="G367" s="987"/>
      <c r="H367" s="987"/>
      <c r="I367" s="987"/>
      <c r="J367" s="987"/>
      <c r="K367" s="987"/>
      <c r="L367" s="987"/>
      <c r="M367" s="1026"/>
      <c r="N367" s="987"/>
      <c r="O367" s="987"/>
      <c r="P367" s="987"/>
      <c r="Q367" s="987"/>
      <c r="R367" s="987"/>
      <c r="S367" s="987"/>
      <c r="T367" s="988"/>
      <c r="U367" s="1067" t="s">
        <v>1631</v>
      </c>
      <c r="V367" s="1068" t="s">
        <v>2650</v>
      </c>
      <c r="W367" s="1068" t="s">
        <v>2217</v>
      </c>
      <c r="X367" s="1069" t="s">
        <v>3436</v>
      </c>
      <c r="Y367" s="1070" t="s">
        <v>2655</v>
      </c>
      <c r="Z367" s="1071" t="s">
        <v>3437</v>
      </c>
      <c r="AA367" s="1072" t="s">
        <v>2260</v>
      </c>
      <c r="AB367" s="1073" t="s">
        <v>2260</v>
      </c>
      <c r="AC367" s="1073" t="s">
        <v>2260</v>
      </c>
      <c r="AD367" s="1073" t="s">
        <v>2260</v>
      </c>
      <c r="AE367" s="1073">
        <v>1</v>
      </c>
      <c r="AF367" s="1073" t="s">
        <v>2260</v>
      </c>
      <c r="AG367" s="1073" t="s">
        <v>2260</v>
      </c>
      <c r="AH367" s="1073" t="s">
        <v>2260</v>
      </c>
      <c r="AI367" s="1074">
        <f t="shared" si="5"/>
        <v>1</v>
      </c>
      <c r="AJ367" s="1075" t="s">
        <v>1825</v>
      </c>
      <c r="AK367" s="1075" t="s">
        <v>2260</v>
      </c>
      <c r="AL367" s="1075" t="s">
        <v>2260</v>
      </c>
      <c r="AM367" s="1076" t="s">
        <v>2396</v>
      </c>
      <c r="AN367" s="987" t="s">
        <v>321</v>
      </c>
      <c r="AO367" s="987" t="s">
        <v>2657</v>
      </c>
      <c r="AP367" s="1285">
        <v>0</v>
      </c>
      <c r="AQ367" s="1045" t="s">
        <v>1828</v>
      </c>
      <c r="AR367" s="1078" t="s">
        <v>2260</v>
      </c>
      <c r="AS367" s="1079"/>
      <c r="AT367" s="1069"/>
      <c r="AU367" s="1069"/>
      <c r="AV367" s="1069"/>
      <c r="AW367" s="1080"/>
      <c r="AX367" s="1081"/>
      <c r="AY367" s="1044"/>
      <c r="AZ367" s="1045"/>
      <c r="BA367" s="1045"/>
      <c r="BB367" s="1045"/>
      <c r="BC367" s="1045"/>
      <c r="BD367" s="1045"/>
      <c r="BE367" s="1045"/>
      <c r="BF367" s="1045"/>
      <c r="BG367" s="1045"/>
      <c r="BH367" s="1045"/>
      <c r="BI367" s="1369"/>
      <c r="BJ367" s="1319"/>
      <c r="BK367" s="1319"/>
      <c r="BL367" s="1319"/>
      <c r="BM367" s="1319"/>
      <c r="BN367" s="1044"/>
      <c r="BO367" s="1045"/>
      <c r="BP367" s="1045"/>
      <c r="BQ367" s="1045"/>
      <c r="BR367" s="1045"/>
      <c r="BS367" s="1084"/>
      <c r="BT367" s="1045"/>
      <c r="BU367" s="1045"/>
      <c r="BV367" s="1045"/>
      <c r="BW367" s="1085"/>
      <c r="BX367" s="1084"/>
      <c r="BY367" s="1045"/>
      <c r="BZ367" s="1045"/>
      <c r="CA367" s="1045"/>
      <c r="CB367" s="1085"/>
      <c r="CC367" s="1086"/>
      <c r="CD367" s="1327"/>
      <c r="CE367" s="1328"/>
      <c r="CF367" s="1328"/>
      <c r="CG367" s="1328"/>
      <c r="CH367" s="1389"/>
      <c r="CI367" s="1369"/>
      <c r="CJ367" s="1319"/>
      <c r="CK367" s="1319"/>
      <c r="CL367" s="1319"/>
      <c r="CM367" s="1320"/>
      <c r="CN367" s="1369"/>
      <c r="CO367" s="1319"/>
      <c r="CP367" s="1319"/>
      <c r="CQ367" s="1319"/>
      <c r="CR367" s="1320"/>
      <c r="CS367" s="1369"/>
      <c r="CT367" s="1319"/>
      <c r="CU367" s="1319"/>
      <c r="CV367" s="1319"/>
      <c r="CW367" s="1320"/>
      <c r="CX367" s="1369"/>
      <c r="CY367" s="1319"/>
      <c r="CZ367" s="1319"/>
      <c r="DA367" s="1319"/>
      <c r="DB367" s="1320"/>
      <c r="DC367" s="1319"/>
      <c r="DD367" s="1319"/>
      <c r="DE367" s="1319"/>
      <c r="DF367" s="1319"/>
      <c r="DG367" s="1320"/>
      <c r="DH367" s="1369"/>
      <c r="DI367" s="1319"/>
      <c r="DJ367" s="1319"/>
      <c r="DK367" s="1319"/>
      <c r="DL367" s="1320"/>
      <c r="DM367" s="1743"/>
      <c r="DN367" s="1744"/>
      <c r="DO367" s="1744"/>
      <c r="DP367" s="1745"/>
      <c r="DQ367" s="1744"/>
      <c r="DR367" s="1744"/>
      <c r="DS367" s="1744"/>
      <c r="DT367" s="1745"/>
      <c r="DU367" s="1328"/>
      <c r="DV367" s="1664"/>
      <c r="DW367" s="1746"/>
    </row>
    <row r="368" spans="1:127" s="382" customFormat="1" ht="15.75" customHeight="1">
      <c r="A368" s="1066" t="s">
        <v>1157</v>
      </c>
      <c r="B368" s="1026">
        <v>359</v>
      </c>
      <c r="C368" s="987"/>
      <c r="D368" s="987"/>
      <c r="E368" s="987"/>
      <c r="F368" s="987"/>
      <c r="G368" s="987"/>
      <c r="H368" s="987"/>
      <c r="I368" s="987"/>
      <c r="J368" s="987"/>
      <c r="K368" s="987"/>
      <c r="L368" s="987"/>
      <c r="M368" s="1026"/>
      <c r="N368" s="987"/>
      <c r="O368" s="987"/>
      <c r="P368" s="987"/>
      <c r="Q368" s="987"/>
      <c r="R368" s="987"/>
      <c r="S368" s="987"/>
      <c r="T368" s="988"/>
      <c r="U368" s="1067" t="s">
        <v>1239</v>
      </c>
      <c r="V368" s="1068" t="s">
        <v>2650</v>
      </c>
      <c r="W368" s="1068" t="s">
        <v>2231</v>
      </c>
      <c r="X368" s="1069" t="s">
        <v>3438</v>
      </c>
      <c r="Y368" s="1070" t="s">
        <v>755</v>
      </c>
      <c r="Z368" s="1071" t="s">
        <v>3439</v>
      </c>
      <c r="AA368" s="1072" t="s">
        <v>2260</v>
      </c>
      <c r="AB368" s="1073" t="s">
        <v>2260</v>
      </c>
      <c r="AC368" s="1073" t="s">
        <v>2260</v>
      </c>
      <c r="AD368" s="1073" t="s">
        <v>2260</v>
      </c>
      <c r="AE368" s="1073">
        <v>1</v>
      </c>
      <c r="AF368" s="1073" t="s">
        <v>2260</v>
      </c>
      <c r="AG368" s="1073" t="s">
        <v>2260</v>
      </c>
      <c r="AH368" s="1073" t="s">
        <v>2260</v>
      </c>
      <c r="AI368" s="1074">
        <f t="shared" si="5"/>
        <v>1</v>
      </c>
      <c r="AJ368" s="1075" t="s">
        <v>1825</v>
      </c>
      <c r="AK368" s="1075" t="s">
        <v>2260</v>
      </c>
      <c r="AL368" s="1075" t="s">
        <v>2260</v>
      </c>
      <c r="AM368" s="1076" t="s">
        <v>2396</v>
      </c>
      <c r="AN368" s="987" t="s">
        <v>321</v>
      </c>
      <c r="AO368" s="987" t="s">
        <v>4424</v>
      </c>
      <c r="AP368" s="1276">
        <v>1</v>
      </c>
      <c r="AQ368" s="1045" t="s">
        <v>1828</v>
      </c>
      <c r="AR368" s="1078" t="s">
        <v>755</v>
      </c>
      <c r="AS368" s="1079"/>
      <c r="AT368" s="1069"/>
      <c r="AU368" s="1069"/>
      <c r="AV368" s="1069"/>
      <c r="AW368" s="1080"/>
      <c r="AX368" s="1081"/>
      <c r="AY368" s="1044"/>
      <c r="AZ368" s="1045"/>
      <c r="BA368" s="1045"/>
      <c r="BB368" s="1045"/>
      <c r="BC368" s="1045"/>
      <c r="BD368" s="1045"/>
      <c r="BE368" s="1045"/>
      <c r="BF368" s="1045"/>
      <c r="BG368" s="1045"/>
      <c r="BH368" s="1045"/>
      <c r="BI368" s="1044" t="s">
        <v>4486</v>
      </c>
      <c r="BJ368" s="1045" t="s">
        <v>4487</v>
      </c>
      <c r="BK368" s="1045" t="s">
        <v>4462</v>
      </c>
      <c r="BL368" s="1045" t="s">
        <v>4471</v>
      </c>
      <c r="BM368" s="1045" t="s">
        <v>4488</v>
      </c>
      <c r="BN368" s="1044"/>
      <c r="BO368" s="1045"/>
      <c r="BP368" s="1045"/>
      <c r="BQ368" s="1045"/>
      <c r="BR368" s="1045"/>
      <c r="BS368" s="1084"/>
      <c r="BT368" s="1045"/>
      <c r="BU368" s="1045"/>
      <c r="BV368" s="1045"/>
      <c r="BW368" s="1085"/>
      <c r="BX368" s="1084"/>
      <c r="BY368" s="1045"/>
      <c r="BZ368" s="1045"/>
      <c r="CA368" s="1045"/>
      <c r="CB368" s="1085"/>
      <c r="CC368" s="1086"/>
      <c r="CD368" s="1087" t="s">
        <v>2260</v>
      </c>
      <c r="CE368" s="1088" t="s">
        <v>2260</v>
      </c>
      <c r="CF368" s="1088" t="s">
        <v>2260</v>
      </c>
      <c r="CG368" s="1088" t="s">
        <v>2260</v>
      </c>
      <c r="CH368" s="1089" t="s">
        <v>2260</v>
      </c>
      <c r="CI368" s="1044" t="s">
        <v>2260</v>
      </c>
      <c r="CJ368" s="1045" t="s">
        <v>2260</v>
      </c>
      <c r="CK368" s="1045" t="s">
        <v>2260</v>
      </c>
      <c r="CL368" s="1045" t="s">
        <v>2260</v>
      </c>
      <c r="CM368" s="1086" t="s">
        <v>2260</v>
      </c>
      <c r="CN368" s="1044" t="s">
        <v>2260</v>
      </c>
      <c r="CO368" s="1045" t="s">
        <v>2260</v>
      </c>
      <c r="CP368" s="1045" t="s">
        <v>2260</v>
      </c>
      <c r="CQ368" s="1045" t="s">
        <v>2260</v>
      </c>
      <c r="CR368" s="1086" t="s">
        <v>2260</v>
      </c>
      <c r="CS368" s="1044" t="s">
        <v>2260</v>
      </c>
      <c r="CT368" s="1045" t="s">
        <v>2260</v>
      </c>
      <c r="CU368" s="1045" t="s">
        <v>2260</v>
      </c>
      <c r="CV368" s="1045" t="s">
        <v>2260</v>
      </c>
      <c r="CW368" s="1086" t="s">
        <v>2260</v>
      </c>
      <c r="CX368" s="1044" t="s">
        <v>2260</v>
      </c>
      <c r="CY368" s="1045" t="s">
        <v>2260</v>
      </c>
      <c r="CZ368" s="1045" t="s">
        <v>2260</v>
      </c>
      <c r="DA368" s="1045" t="s">
        <v>2260</v>
      </c>
      <c r="DB368" s="1086" t="s">
        <v>2260</v>
      </c>
      <c r="DC368" s="1045" t="s">
        <v>2260</v>
      </c>
      <c r="DD368" s="1045" t="s">
        <v>2260</v>
      </c>
      <c r="DE368" s="1045" t="s">
        <v>2260</v>
      </c>
      <c r="DF368" s="1045" t="s">
        <v>2260</v>
      </c>
      <c r="DG368" s="1086" t="s">
        <v>2260</v>
      </c>
      <c r="DH368" s="1044" t="s">
        <v>2260</v>
      </c>
      <c r="DI368" s="1045" t="s">
        <v>2260</v>
      </c>
      <c r="DJ368" s="1045" t="s">
        <v>2260</v>
      </c>
      <c r="DK368" s="1045" t="s">
        <v>2260</v>
      </c>
      <c r="DL368" s="1086" t="s">
        <v>2260</v>
      </c>
      <c r="DM368" s="1090" t="s">
        <v>2260</v>
      </c>
      <c r="DN368" s="1091" t="s">
        <v>2260</v>
      </c>
      <c r="DO368" s="1091" t="s">
        <v>2260</v>
      </c>
      <c r="DP368" s="1092" t="s">
        <v>2260</v>
      </c>
      <c r="DQ368" s="1091" t="s">
        <v>2260</v>
      </c>
      <c r="DR368" s="1091" t="s">
        <v>2260</v>
      </c>
      <c r="DS368" s="1091" t="s">
        <v>2260</v>
      </c>
      <c r="DT368" s="1092" t="s">
        <v>2260</v>
      </c>
      <c r="DU368" s="1088" t="s">
        <v>2260</v>
      </c>
      <c r="DV368" s="1093">
        <v>1</v>
      </c>
      <c r="DW368" s="1094" t="s">
        <v>2260</v>
      </c>
    </row>
    <row r="369" spans="1:127" s="382" customFormat="1" ht="15.75" customHeight="1">
      <c r="A369" s="1066" t="s">
        <v>1157</v>
      </c>
      <c r="B369" s="1026">
        <v>360</v>
      </c>
      <c r="C369" s="987"/>
      <c r="D369" s="987"/>
      <c r="E369" s="987"/>
      <c r="F369" s="987"/>
      <c r="G369" s="987"/>
      <c r="H369" s="987"/>
      <c r="I369" s="987"/>
      <c r="J369" s="987"/>
      <c r="K369" s="987"/>
      <c r="L369" s="987"/>
      <c r="M369" s="1026"/>
      <c r="N369" s="987"/>
      <c r="O369" s="987"/>
      <c r="P369" s="987"/>
      <c r="Q369" s="987"/>
      <c r="R369" s="987"/>
      <c r="S369" s="987"/>
      <c r="T369" s="988"/>
      <c r="U369" s="1067" t="s">
        <v>1150</v>
      </c>
      <c r="V369" s="1068" t="s">
        <v>2612</v>
      </c>
      <c r="W369" s="1068" t="s">
        <v>2217</v>
      </c>
      <c r="X369" s="1069" t="s">
        <v>3440</v>
      </c>
      <c r="Y369" s="1070" t="s">
        <v>784</v>
      </c>
      <c r="Z369" s="1071" t="s">
        <v>2614</v>
      </c>
      <c r="AA369" s="1072" t="s">
        <v>2260</v>
      </c>
      <c r="AB369" s="1073" t="s">
        <v>2260</v>
      </c>
      <c r="AC369" s="1073">
        <v>1</v>
      </c>
      <c r="AD369" s="1073" t="s">
        <v>2260</v>
      </c>
      <c r="AE369" s="1073" t="s">
        <v>2260</v>
      </c>
      <c r="AF369" s="1073" t="s">
        <v>2260</v>
      </c>
      <c r="AG369" s="1073" t="s">
        <v>2260</v>
      </c>
      <c r="AH369" s="1073" t="s">
        <v>2260</v>
      </c>
      <c r="AI369" s="1074">
        <f t="shared" si="5"/>
        <v>1</v>
      </c>
      <c r="AJ369" s="1075" t="s">
        <v>1852</v>
      </c>
      <c r="AK369" s="1075" t="s">
        <v>1826</v>
      </c>
      <c r="AL369" s="1075" t="s">
        <v>1827</v>
      </c>
      <c r="AM369" s="1076" t="s">
        <v>2351</v>
      </c>
      <c r="AN369" s="987" t="s">
        <v>2439</v>
      </c>
      <c r="AO369" s="987" t="s">
        <v>4197</v>
      </c>
      <c r="AP369" s="1276">
        <v>2</v>
      </c>
      <c r="AQ369" s="1045" t="s">
        <v>1838</v>
      </c>
      <c r="AR369" s="1078" t="s">
        <v>784</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210</v>
      </c>
      <c r="CE369" s="1088" t="s">
        <v>210</v>
      </c>
      <c r="CF369" s="1088" t="s">
        <v>210</v>
      </c>
      <c r="CG369" s="1088" t="s">
        <v>210</v>
      </c>
      <c r="CH369" s="1089" t="s">
        <v>210</v>
      </c>
      <c r="CI369" s="1369">
        <v>2.56</v>
      </c>
      <c r="CJ369" s="1369">
        <v>2.56</v>
      </c>
      <c r="CK369" s="1369">
        <v>2.56</v>
      </c>
      <c r="CL369" s="1369">
        <v>2.56</v>
      </c>
      <c r="CM369" s="1369">
        <v>2.56</v>
      </c>
      <c r="CN369" s="1370">
        <v>2.35</v>
      </c>
      <c r="CO369" s="1370">
        <v>2.35</v>
      </c>
      <c r="CP369" s="1370">
        <v>2.35</v>
      </c>
      <c r="CQ369" s="1370">
        <v>2.35</v>
      </c>
      <c r="CR369" s="1370">
        <v>2.35</v>
      </c>
      <c r="CS369" s="1044" t="s">
        <v>2260</v>
      </c>
      <c r="CT369" s="1045" t="s">
        <v>2260</v>
      </c>
      <c r="CU369" s="1045" t="s">
        <v>2260</v>
      </c>
      <c r="CV369" s="1045" t="s">
        <v>2260</v>
      </c>
      <c r="CW369" s="1086" t="s">
        <v>2260</v>
      </c>
      <c r="CX369" s="1044" t="s">
        <v>2260</v>
      </c>
      <c r="CY369" s="1045" t="s">
        <v>2260</v>
      </c>
      <c r="CZ369" s="1045" t="s">
        <v>2260</v>
      </c>
      <c r="DA369" s="1045" t="s">
        <v>2260</v>
      </c>
      <c r="DB369" s="1086" t="s">
        <v>2260</v>
      </c>
      <c r="DC369" s="1045">
        <v>0.93</v>
      </c>
      <c r="DD369" s="1045">
        <v>0.91</v>
      </c>
      <c r="DE369" s="1045">
        <v>0.87</v>
      </c>
      <c r="DF369" s="1045">
        <v>0.8</v>
      </c>
      <c r="DG369" s="1086">
        <v>0.74</v>
      </c>
      <c r="DH369" s="1044">
        <v>0</v>
      </c>
      <c r="DI369" s="1045">
        <v>0</v>
      </c>
      <c r="DJ369" s="1045">
        <v>0</v>
      </c>
      <c r="DK369" s="1045">
        <v>0</v>
      </c>
      <c r="DL369" s="1086">
        <v>0</v>
      </c>
      <c r="DM369" s="1090">
        <v>-22.602</v>
      </c>
      <c r="DN369" s="1091" t="s">
        <v>2260</v>
      </c>
      <c r="DO369" s="1091" t="s">
        <v>2260</v>
      </c>
      <c r="DP369" s="1092">
        <v>-33.904000000000003</v>
      </c>
      <c r="DQ369" s="1091">
        <v>18.72</v>
      </c>
      <c r="DR369" s="1091" t="s">
        <v>2260</v>
      </c>
      <c r="DS369" s="1091" t="s">
        <v>2260</v>
      </c>
      <c r="DT369" s="1092">
        <v>28.08</v>
      </c>
      <c r="DU369" s="1088" t="s">
        <v>2260</v>
      </c>
      <c r="DV369" s="1093">
        <v>1</v>
      </c>
      <c r="DW369" s="1094" t="s">
        <v>2260</v>
      </c>
    </row>
    <row r="370" spans="1:127" s="382" customFormat="1" ht="15.75" customHeight="1">
      <c r="A370" s="1066" t="s">
        <v>1157</v>
      </c>
      <c r="B370" s="1026">
        <v>361</v>
      </c>
      <c r="C370" s="987"/>
      <c r="D370" s="987"/>
      <c r="E370" s="987"/>
      <c r="F370" s="987"/>
      <c r="G370" s="987"/>
      <c r="H370" s="987"/>
      <c r="I370" s="987"/>
      <c r="J370" s="987"/>
      <c r="K370" s="987"/>
      <c r="L370" s="987"/>
      <c r="M370" s="1026"/>
      <c r="N370" s="987"/>
      <c r="O370" s="987"/>
      <c r="P370" s="987"/>
      <c r="Q370" s="987"/>
      <c r="R370" s="987"/>
      <c r="S370" s="987"/>
      <c r="T370" s="988"/>
      <c r="U370" s="1067" t="s">
        <v>1165</v>
      </c>
      <c r="V370" s="1068" t="s">
        <v>2612</v>
      </c>
      <c r="W370" s="1068" t="s">
        <v>2217</v>
      </c>
      <c r="X370" s="1069" t="s">
        <v>3442</v>
      </c>
      <c r="Y370" s="1070" t="s">
        <v>788</v>
      </c>
      <c r="Z370" s="1071" t="s">
        <v>2617</v>
      </c>
      <c r="AA370" s="1072" t="s">
        <v>2260</v>
      </c>
      <c r="AB370" s="1073" t="s">
        <v>2260</v>
      </c>
      <c r="AC370" s="1073">
        <v>1</v>
      </c>
      <c r="AD370" s="1073" t="s">
        <v>2260</v>
      </c>
      <c r="AE370" s="1073" t="s">
        <v>2260</v>
      </c>
      <c r="AF370" s="1073" t="s">
        <v>2260</v>
      </c>
      <c r="AG370" s="1073" t="s">
        <v>2260</v>
      </c>
      <c r="AH370" s="1073" t="s">
        <v>2260</v>
      </c>
      <c r="AI370" s="1074">
        <f t="shared" si="5"/>
        <v>1</v>
      </c>
      <c r="AJ370" s="1075" t="s">
        <v>1852</v>
      </c>
      <c r="AK370" s="1075" t="s">
        <v>1826</v>
      </c>
      <c r="AL370" s="1075" t="s">
        <v>1827</v>
      </c>
      <c r="AM370" s="1076" t="s">
        <v>788</v>
      </c>
      <c r="AN370" s="987" t="s">
        <v>2439</v>
      </c>
      <c r="AO370" s="987" t="s">
        <v>4431</v>
      </c>
      <c r="AP370" s="1276">
        <v>2</v>
      </c>
      <c r="AQ370" s="1045" t="s">
        <v>1838</v>
      </c>
      <c r="AR370" s="1078" t="s">
        <v>788</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210</v>
      </c>
      <c r="CE370" s="1088" t="s">
        <v>210</v>
      </c>
      <c r="CF370" s="1088" t="s">
        <v>210</v>
      </c>
      <c r="CG370" s="1088" t="s">
        <v>210</v>
      </c>
      <c r="CH370" s="1089" t="s">
        <v>210</v>
      </c>
      <c r="CI370" s="1044" t="s">
        <v>2260</v>
      </c>
      <c r="CJ370" s="1045" t="s">
        <v>2260</v>
      </c>
      <c r="CK370" s="1045" t="s">
        <v>2260</v>
      </c>
      <c r="CL370" s="1045" t="s">
        <v>2260</v>
      </c>
      <c r="CM370" s="1086" t="s">
        <v>2260</v>
      </c>
      <c r="CN370" s="1044">
        <v>28.73</v>
      </c>
      <c r="CO370" s="1045">
        <v>27.82</v>
      </c>
      <c r="CP370" s="1045">
        <v>26.96</v>
      </c>
      <c r="CQ370" s="1045">
        <v>26.25</v>
      </c>
      <c r="CR370" s="1086">
        <v>22.85</v>
      </c>
      <c r="CS370" s="1044" t="s">
        <v>2260</v>
      </c>
      <c r="CT370" s="1045" t="s">
        <v>2260</v>
      </c>
      <c r="CU370" s="1045" t="s">
        <v>2260</v>
      </c>
      <c r="CV370" s="1045" t="s">
        <v>2260</v>
      </c>
      <c r="CW370" s="1086" t="s">
        <v>2260</v>
      </c>
      <c r="CX370" s="1044" t="s">
        <v>2260</v>
      </c>
      <c r="CY370" s="1045" t="s">
        <v>2260</v>
      </c>
      <c r="CZ370" s="1045" t="s">
        <v>2260</v>
      </c>
      <c r="DA370" s="1045" t="s">
        <v>2260</v>
      </c>
      <c r="DB370" s="1086" t="s">
        <v>2260</v>
      </c>
      <c r="DC370" s="1045">
        <v>8.83</v>
      </c>
      <c r="DD370" s="1045">
        <v>8.5500000000000007</v>
      </c>
      <c r="DE370" s="1045">
        <v>8.2799999999999994</v>
      </c>
      <c r="DF370" s="1045">
        <v>8.07</v>
      </c>
      <c r="DG370" s="1086">
        <v>7.02</v>
      </c>
      <c r="DH370" s="1044" t="s">
        <v>2260</v>
      </c>
      <c r="DI370" s="1045" t="s">
        <v>2260</v>
      </c>
      <c r="DJ370" s="1045" t="s">
        <v>2260</v>
      </c>
      <c r="DK370" s="1045" t="s">
        <v>2260</v>
      </c>
      <c r="DL370" s="1086" t="s">
        <v>2260</v>
      </c>
      <c r="DM370" s="1090">
        <v>-0.61</v>
      </c>
      <c r="DN370" s="1091" t="s">
        <v>2260</v>
      </c>
      <c r="DO370" s="1091" t="s">
        <v>2260</v>
      </c>
      <c r="DP370" s="1092" t="s">
        <v>2260</v>
      </c>
      <c r="DQ370" s="1091">
        <v>0.59699999999999998</v>
      </c>
      <c r="DR370" s="1091" t="s">
        <v>2260</v>
      </c>
      <c r="DS370" s="1091" t="s">
        <v>2260</v>
      </c>
      <c r="DT370" s="1092" t="s">
        <v>2260</v>
      </c>
      <c r="DU370" s="1088" t="s">
        <v>2260</v>
      </c>
      <c r="DV370" s="1093">
        <v>1</v>
      </c>
      <c r="DW370" s="1094" t="s">
        <v>2260</v>
      </c>
    </row>
    <row r="371" spans="1:127" s="382" customFormat="1" ht="15.75" customHeight="1">
      <c r="A371" s="1066" t="s">
        <v>1157</v>
      </c>
      <c r="B371" s="1026">
        <v>362</v>
      </c>
      <c r="C371" s="987"/>
      <c r="D371" s="987"/>
      <c r="E371" s="987"/>
      <c r="F371" s="987"/>
      <c r="G371" s="987"/>
      <c r="H371" s="987"/>
      <c r="I371" s="987"/>
      <c r="J371" s="987"/>
      <c r="K371" s="987"/>
      <c r="L371" s="987"/>
      <c r="M371" s="1026"/>
      <c r="N371" s="987"/>
      <c r="O371" s="987"/>
      <c r="P371" s="987"/>
      <c r="Q371" s="987"/>
      <c r="R371" s="987"/>
      <c r="S371" s="987"/>
      <c r="T371" s="988"/>
      <c r="U371" s="1067" t="s">
        <v>1152</v>
      </c>
      <c r="V371" s="1068" t="s">
        <v>2612</v>
      </c>
      <c r="W371" s="1068" t="s">
        <v>2231</v>
      </c>
      <c r="X371" s="1069" t="s">
        <v>3444</v>
      </c>
      <c r="Y371" s="1070" t="s">
        <v>795</v>
      </c>
      <c r="Z371" s="1071" t="s">
        <v>2628</v>
      </c>
      <c r="AA371" s="1072" t="s">
        <v>2260</v>
      </c>
      <c r="AB371" s="1073" t="s">
        <v>2260</v>
      </c>
      <c r="AC371" s="1073">
        <v>1</v>
      </c>
      <c r="AD371" s="1073" t="s">
        <v>2260</v>
      </c>
      <c r="AE371" s="1073" t="s">
        <v>2260</v>
      </c>
      <c r="AF371" s="1073" t="s">
        <v>2260</v>
      </c>
      <c r="AG371" s="1073" t="s">
        <v>2260</v>
      </c>
      <c r="AH371" s="1073" t="s">
        <v>2260</v>
      </c>
      <c r="AI371" s="1074">
        <f t="shared" si="5"/>
        <v>1</v>
      </c>
      <c r="AJ371" s="1075" t="s">
        <v>1852</v>
      </c>
      <c r="AK371" s="1075" t="s">
        <v>1826</v>
      </c>
      <c r="AL371" s="1075" t="s">
        <v>1827</v>
      </c>
      <c r="AM371" s="1076" t="s">
        <v>2242</v>
      </c>
      <c r="AN371" s="987" t="s">
        <v>2439</v>
      </c>
      <c r="AO371" s="987" t="s">
        <v>4432</v>
      </c>
      <c r="AP371" s="1276">
        <v>2</v>
      </c>
      <c r="AQ371" s="1045" t="s">
        <v>1838</v>
      </c>
      <c r="AR371" s="1078" t="s">
        <v>795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210</v>
      </c>
      <c r="CE371" s="1088" t="s">
        <v>210</v>
      </c>
      <c r="CF371" s="1088" t="s">
        <v>210</v>
      </c>
      <c r="CG371" s="1088" t="s">
        <v>210</v>
      </c>
      <c r="CH371" s="1089" t="s">
        <v>210</v>
      </c>
      <c r="CI371" s="1044" t="s">
        <v>2260</v>
      </c>
      <c r="CJ371" s="1045" t="s">
        <v>2260</v>
      </c>
      <c r="CK371" s="1045" t="s">
        <v>2260</v>
      </c>
      <c r="CL371" s="1045" t="s">
        <v>2260</v>
      </c>
      <c r="CM371" s="1086" t="s">
        <v>2260</v>
      </c>
      <c r="CN371" s="1044" t="s">
        <v>2260</v>
      </c>
      <c r="CO371" s="1045" t="s">
        <v>2260</v>
      </c>
      <c r="CP371" s="1045" t="s">
        <v>2260</v>
      </c>
      <c r="CQ371" s="1045" t="s">
        <v>2260</v>
      </c>
      <c r="CR371" s="1086" t="s">
        <v>2260</v>
      </c>
      <c r="CS371" s="1044" t="s">
        <v>2260</v>
      </c>
      <c r="CT371" s="1045" t="s">
        <v>2260</v>
      </c>
      <c r="CU371" s="1045" t="s">
        <v>2260</v>
      </c>
      <c r="CV371" s="1045" t="s">
        <v>2260</v>
      </c>
      <c r="CW371" s="1086" t="s">
        <v>2260</v>
      </c>
      <c r="CX371" s="1044" t="s">
        <v>2260</v>
      </c>
      <c r="CY371" s="1045" t="s">
        <v>2260</v>
      </c>
      <c r="CZ371" s="1045" t="s">
        <v>2260</v>
      </c>
      <c r="DA371" s="1045" t="s">
        <v>2260</v>
      </c>
      <c r="DB371" s="1086" t="s">
        <v>2260</v>
      </c>
      <c r="DC371" s="1045" t="s">
        <v>2260</v>
      </c>
      <c r="DD371" s="1045" t="s">
        <v>2260</v>
      </c>
      <c r="DE371" s="1045" t="s">
        <v>2260</v>
      </c>
      <c r="DF371" s="1045" t="s">
        <v>2260</v>
      </c>
      <c r="DG371" s="1086" t="s">
        <v>2260</v>
      </c>
      <c r="DH371" s="1044" t="s">
        <v>2260</v>
      </c>
      <c r="DI371" s="1045" t="s">
        <v>2260</v>
      </c>
      <c r="DJ371" s="1045" t="s">
        <v>2260</v>
      </c>
      <c r="DK371" s="1045" t="s">
        <v>2260</v>
      </c>
      <c r="DL371" s="1086" t="s">
        <v>2260</v>
      </c>
      <c r="DM371" s="1090">
        <v>-1.0449999999999999</v>
      </c>
      <c r="DN371" s="1091" t="s">
        <v>2260</v>
      </c>
      <c r="DO371" s="1091" t="s">
        <v>2260</v>
      </c>
      <c r="DP371" s="1092" t="s">
        <v>2260</v>
      </c>
      <c r="DQ371" s="1091">
        <v>0.34499999999999997</v>
      </c>
      <c r="DR371" s="1091" t="s">
        <v>2260</v>
      </c>
      <c r="DS371" s="1091" t="s">
        <v>2260</v>
      </c>
      <c r="DT371" s="1092" t="s">
        <v>2260</v>
      </c>
      <c r="DU371" s="1088" t="s">
        <v>2260</v>
      </c>
      <c r="DV371" s="1093">
        <v>1</v>
      </c>
      <c r="DW371" s="1094" t="s">
        <v>2260</v>
      </c>
    </row>
    <row r="372" spans="1:127" s="382" customFormat="1" ht="15.75" customHeight="1">
      <c r="A372" s="1066" t="s">
        <v>1157</v>
      </c>
      <c r="B372" s="1026">
        <v>363</v>
      </c>
      <c r="C372" s="987"/>
      <c r="D372" s="987"/>
      <c r="E372" s="987"/>
      <c r="F372" s="987"/>
      <c r="G372" s="987"/>
      <c r="H372" s="987"/>
      <c r="I372" s="987"/>
      <c r="J372" s="987"/>
      <c r="K372" s="987"/>
      <c r="L372" s="987"/>
      <c r="M372" s="1026"/>
      <c r="N372" s="987"/>
      <c r="O372" s="987"/>
      <c r="P372" s="987"/>
      <c r="Q372" s="987"/>
      <c r="R372" s="987"/>
      <c r="S372" s="987"/>
      <c r="T372" s="988"/>
      <c r="U372" s="1067" t="s">
        <v>1156</v>
      </c>
      <c r="V372" s="1068" t="s">
        <v>2612</v>
      </c>
      <c r="W372" s="1068" t="s">
        <v>2231</v>
      </c>
      <c r="X372" s="1069" t="s">
        <v>3446</v>
      </c>
      <c r="Y372" s="1070" t="s">
        <v>891</v>
      </c>
      <c r="Z372" s="1071" t="s">
        <v>2625</v>
      </c>
      <c r="AA372" s="1072" t="s">
        <v>2260</v>
      </c>
      <c r="AB372" s="1073" t="s">
        <v>2260</v>
      </c>
      <c r="AC372" s="1073">
        <v>1</v>
      </c>
      <c r="AD372" s="1073" t="s">
        <v>2260</v>
      </c>
      <c r="AE372" s="1073" t="s">
        <v>2260</v>
      </c>
      <c r="AF372" s="1073" t="s">
        <v>2260</v>
      </c>
      <c r="AG372" s="1073" t="s">
        <v>2260</v>
      </c>
      <c r="AH372" s="1073" t="s">
        <v>2260</v>
      </c>
      <c r="AI372" s="1074">
        <f t="shared" si="5"/>
        <v>1</v>
      </c>
      <c r="AJ372" s="1075" t="s">
        <v>1825</v>
      </c>
      <c r="AK372" s="1075" t="s">
        <v>2260</v>
      </c>
      <c r="AL372" s="1075" t="s">
        <v>2260</v>
      </c>
      <c r="AM372" s="1076" t="s">
        <v>2234</v>
      </c>
      <c r="AN372" s="987" t="s">
        <v>321</v>
      </c>
      <c r="AO372" s="987" t="s">
        <v>4417</v>
      </c>
      <c r="AP372" s="1276">
        <v>2</v>
      </c>
      <c r="AQ372" s="1045" t="s">
        <v>1838</v>
      </c>
      <c r="AR372" s="1078" t="s">
        <v>891</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2260</v>
      </c>
      <c r="CE372" s="1088" t="s">
        <v>2260</v>
      </c>
      <c r="CF372" s="1088" t="s">
        <v>2260</v>
      </c>
      <c r="CG372" s="1088" t="s">
        <v>2260</v>
      </c>
      <c r="CH372" s="1089" t="s">
        <v>2260</v>
      </c>
      <c r="CI372" s="1044" t="s">
        <v>2260</v>
      </c>
      <c r="CJ372" s="1045" t="s">
        <v>2260</v>
      </c>
      <c r="CK372" s="1045" t="s">
        <v>2260</v>
      </c>
      <c r="CL372" s="1045" t="s">
        <v>2260</v>
      </c>
      <c r="CM372" s="1086" t="s">
        <v>2260</v>
      </c>
      <c r="CN372" s="1044" t="s">
        <v>2260</v>
      </c>
      <c r="CO372" s="1045" t="s">
        <v>2260</v>
      </c>
      <c r="CP372" s="1045" t="s">
        <v>2260</v>
      </c>
      <c r="CQ372" s="1045" t="s">
        <v>2260</v>
      </c>
      <c r="CR372" s="1086" t="s">
        <v>2260</v>
      </c>
      <c r="CS372" s="1044" t="s">
        <v>2260</v>
      </c>
      <c r="CT372" s="1045" t="s">
        <v>2260</v>
      </c>
      <c r="CU372" s="1045" t="s">
        <v>2260</v>
      </c>
      <c r="CV372" s="1045" t="s">
        <v>2260</v>
      </c>
      <c r="CW372" s="1086" t="s">
        <v>2260</v>
      </c>
      <c r="CX372" s="1044" t="s">
        <v>2260</v>
      </c>
      <c r="CY372" s="1045" t="s">
        <v>2260</v>
      </c>
      <c r="CZ372" s="1045" t="s">
        <v>2260</v>
      </c>
      <c r="DA372" s="1045" t="s">
        <v>2260</v>
      </c>
      <c r="DB372" s="1086" t="s">
        <v>2260</v>
      </c>
      <c r="DC372" s="1045" t="s">
        <v>2260</v>
      </c>
      <c r="DD372" s="1045" t="s">
        <v>2260</v>
      </c>
      <c r="DE372" s="1045" t="s">
        <v>2260</v>
      </c>
      <c r="DF372" s="1045" t="s">
        <v>2260</v>
      </c>
      <c r="DG372" s="1086" t="s">
        <v>2260</v>
      </c>
      <c r="DH372" s="1044" t="s">
        <v>2260</v>
      </c>
      <c r="DI372" s="1045" t="s">
        <v>2260</v>
      </c>
      <c r="DJ372" s="1045" t="s">
        <v>2260</v>
      </c>
      <c r="DK372" s="1045" t="s">
        <v>2260</v>
      </c>
      <c r="DL372" s="1086" t="s">
        <v>2260</v>
      </c>
      <c r="DM372" s="1090" t="s">
        <v>2260</v>
      </c>
      <c r="DN372" s="1091" t="s">
        <v>2260</v>
      </c>
      <c r="DO372" s="1091" t="s">
        <v>2260</v>
      </c>
      <c r="DP372" s="1092" t="s">
        <v>2260</v>
      </c>
      <c r="DQ372" s="1091" t="s">
        <v>2260</v>
      </c>
      <c r="DR372" s="1091" t="s">
        <v>2260</v>
      </c>
      <c r="DS372" s="1091" t="s">
        <v>2260</v>
      </c>
      <c r="DT372" s="1092" t="s">
        <v>2260</v>
      </c>
      <c r="DU372" s="1088" t="s">
        <v>2260</v>
      </c>
      <c r="DV372" s="1093">
        <v>1</v>
      </c>
      <c r="DW372" s="1094" t="s">
        <v>2260</v>
      </c>
    </row>
    <row r="373" spans="1:127" s="382" customFormat="1" ht="15.75" customHeight="1">
      <c r="A373" s="1066" t="s">
        <v>1157</v>
      </c>
      <c r="B373" s="1026">
        <v>364</v>
      </c>
      <c r="C373" s="987"/>
      <c r="D373" s="987"/>
      <c r="E373" s="987"/>
      <c r="F373" s="987"/>
      <c r="G373" s="987"/>
      <c r="H373" s="987"/>
      <c r="I373" s="987"/>
      <c r="J373" s="987"/>
      <c r="K373" s="987"/>
      <c r="L373" s="987"/>
      <c r="M373" s="1026"/>
      <c r="N373" s="987"/>
      <c r="O373" s="987"/>
      <c r="P373" s="987"/>
      <c r="Q373" s="987"/>
      <c r="R373" s="987"/>
      <c r="S373" s="987"/>
      <c r="T373" s="988"/>
      <c r="U373" s="1067" t="s">
        <v>1531</v>
      </c>
      <c r="V373" s="1068" t="s">
        <v>2612</v>
      </c>
      <c r="W373" s="1068" t="s">
        <v>2217</v>
      </c>
      <c r="X373" s="1069" t="s">
        <v>3448</v>
      </c>
      <c r="Y373" s="1070" t="s">
        <v>2381</v>
      </c>
      <c r="Z373" s="1071" t="s">
        <v>3449</v>
      </c>
      <c r="AA373" s="1072" t="s">
        <v>2260</v>
      </c>
      <c r="AB373" s="1073" t="s">
        <v>2260</v>
      </c>
      <c r="AC373" s="1073">
        <v>1</v>
      </c>
      <c r="AD373" s="1073" t="s">
        <v>2260</v>
      </c>
      <c r="AE373" s="1073" t="s">
        <v>2260</v>
      </c>
      <c r="AF373" s="1073" t="s">
        <v>2260</v>
      </c>
      <c r="AG373" s="1073" t="s">
        <v>2260</v>
      </c>
      <c r="AH373" s="1073" t="s">
        <v>2260</v>
      </c>
      <c r="AI373" s="1074">
        <f t="shared" si="5"/>
        <v>1</v>
      </c>
      <c r="AJ373" s="1075" t="s">
        <v>1852</v>
      </c>
      <c r="AK373" s="1075" t="s">
        <v>1826</v>
      </c>
      <c r="AL373" s="1075" t="s">
        <v>1827</v>
      </c>
      <c r="AM373" s="1076" t="s">
        <v>2351</v>
      </c>
      <c r="AN373" s="987" t="s">
        <v>2439</v>
      </c>
      <c r="AO373" s="987" t="s">
        <v>4197</v>
      </c>
      <c r="AP373" s="1285">
        <v>0</v>
      </c>
      <c r="AQ373" s="1045" t="s">
        <v>1838</v>
      </c>
      <c r="AR373" s="1078"/>
      <c r="AS373" s="1079"/>
      <c r="AT373" s="1069"/>
      <c r="AU373" s="1069"/>
      <c r="AV373" s="1069"/>
      <c r="AW373" s="1080"/>
      <c r="AX373" s="1081"/>
      <c r="AY373" s="1044"/>
      <c r="AZ373" s="1045"/>
      <c r="BA373" s="1045"/>
      <c r="BB373" s="1045"/>
      <c r="BC373" s="1045"/>
      <c r="BD373" s="1045"/>
      <c r="BE373" s="1045"/>
      <c r="BF373" s="1045"/>
      <c r="BG373" s="1045"/>
      <c r="BH373" s="1045"/>
      <c r="BI373" s="1369"/>
      <c r="BJ373" s="1319"/>
      <c r="BK373" s="1319"/>
      <c r="BL373" s="1319"/>
      <c r="BM373" s="1319"/>
      <c r="BN373" s="1044"/>
      <c r="BO373" s="1045"/>
      <c r="BP373" s="1045"/>
      <c r="BQ373" s="1045"/>
      <c r="BR373" s="1045"/>
      <c r="BS373" s="1084"/>
      <c r="BT373" s="1045"/>
      <c r="BU373" s="1045"/>
      <c r="BV373" s="1045"/>
      <c r="BW373" s="1085"/>
      <c r="BX373" s="1084"/>
      <c r="BY373" s="1045"/>
      <c r="BZ373" s="1045"/>
      <c r="CA373" s="1045"/>
      <c r="CB373" s="1085"/>
      <c r="CC373" s="1086"/>
      <c r="CD373" s="1327"/>
      <c r="CE373" s="1328"/>
      <c r="CF373" s="1328"/>
      <c r="CG373" s="1328"/>
      <c r="CH373" s="1389"/>
      <c r="CI373" s="1369"/>
      <c r="CJ373" s="1319"/>
      <c r="CK373" s="1319"/>
      <c r="CL373" s="1319"/>
      <c r="CM373" s="1320"/>
      <c r="CN373" s="1369"/>
      <c r="CO373" s="1319"/>
      <c r="CP373" s="1319"/>
      <c r="CQ373" s="1319"/>
      <c r="CR373" s="1320"/>
      <c r="CS373" s="1369"/>
      <c r="CT373" s="1319"/>
      <c r="CU373" s="1319"/>
      <c r="CV373" s="1319"/>
      <c r="CW373" s="1320"/>
      <c r="CX373" s="1369"/>
      <c r="CY373" s="1319"/>
      <c r="CZ373" s="1319"/>
      <c r="DA373" s="1319"/>
      <c r="DB373" s="1320"/>
      <c r="DC373" s="1319"/>
      <c r="DD373" s="1319"/>
      <c r="DE373" s="1319"/>
      <c r="DF373" s="1319"/>
      <c r="DG373" s="1320"/>
      <c r="DH373" s="1369"/>
      <c r="DI373" s="1319"/>
      <c r="DJ373" s="1319"/>
      <c r="DK373" s="1319"/>
      <c r="DL373" s="1320"/>
      <c r="DM373" s="1743"/>
      <c r="DN373" s="1744"/>
      <c r="DO373" s="1744"/>
      <c r="DP373" s="1745"/>
      <c r="DQ373" s="1744"/>
      <c r="DR373" s="1744"/>
      <c r="DS373" s="1744"/>
      <c r="DT373" s="1745"/>
      <c r="DU373" s="1328"/>
      <c r="DV373" s="1664"/>
      <c r="DW373" s="1746"/>
    </row>
    <row r="374" spans="1:127" s="382" customFormat="1" ht="15.75" customHeight="1">
      <c r="A374" s="1066" t="s">
        <v>1157</v>
      </c>
      <c r="B374" s="1026">
        <v>365</v>
      </c>
      <c r="C374" s="987"/>
      <c r="D374" s="987"/>
      <c r="E374" s="987"/>
      <c r="F374" s="987"/>
      <c r="G374" s="987"/>
      <c r="H374" s="987"/>
      <c r="I374" s="987"/>
      <c r="J374" s="987"/>
      <c r="K374" s="987"/>
      <c r="L374" s="987"/>
      <c r="M374" s="1026"/>
      <c r="N374" s="987"/>
      <c r="O374" s="987"/>
      <c r="P374" s="987"/>
      <c r="Q374" s="987"/>
      <c r="R374" s="987"/>
      <c r="S374" s="987"/>
      <c r="T374" s="988"/>
      <c r="U374" s="1067" t="s">
        <v>1541</v>
      </c>
      <c r="V374" s="1068" t="s">
        <v>2612</v>
      </c>
      <c r="W374" s="1068" t="s">
        <v>2223</v>
      </c>
      <c r="X374" s="1069" t="s">
        <v>3451</v>
      </c>
      <c r="Y374" s="1070" t="s">
        <v>2623</v>
      </c>
      <c r="Z374" s="1071" t="s">
        <v>3452</v>
      </c>
      <c r="AA374" s="1072" t="s">
        <v>2260</v>
      </c>
      <c r="AB374" s="1073" t="s">
        <v>2260</v>
      </c>
      <c r="AC374" s="1073">
        <v>1</v>
      </c>
      <c r="AD374" s="1073" t="s">
        <v>2260</v>
      </c>
      <c r="AE374" s="1073" t="s">
        <v>2260</v>
      </c>
      <c r="AF374" s="1073" t="s">
        <v>2260</v>
      </c>
      <c r="AG374" s="1073" t="s">
        <v>2260</v>
      </c>
      <c r="AH374" s="1073" t="s">
        <v>2260</v>
      </c>
      <c r="AI374" s="1074">
        <f t="shared" si="5"/>
        <v>1</v>
      </c>
      <c r="AJ374" s="1075" t="s">
        <v>1852</v>
      </c>
      <c r="AK374" s="1075" t="s">
        <v>1826</v>
      </c>
      <c r="AL374" s="1075" t="s">
        <v>1827</v>
      </c>
      <c r="AM374" s="1076" t="s">
        <v>2387</v>
      </c>
      <c r="AN374" s="987" t="s">
        <v>2439</v>
      </c>
      <c r="AO374" s="987" t="s">
        <v>4447</v>
      </c>
      <c r="AP374" s="1285">
        <v>0</v>
      </c>
      <c r="AQ374" s="1045" t="s">
        <v>1838</v>
      </c>
      <c r="AR374" s="1078"/>
      <c r="AS374" s="1079"/>
      <c r="AT374" s="1069"/>
      <c r="AU374" s="1069"/>
      <c r="AV374" s="1069"/>
      <c r="AW374" s="1080"/>
      <c r="AX374" s="1081"/>
      <c r="AY374" s="1044"/>
      <c r="AZ374" s="1045"/>
      <c r="BA374" s="1045"/>
      <c r="BB374" s="1045"/>
      <c r="BC374" s="1045"/>
      <c r="BD374" s="1045"/>
      <c r="BE374" s="1045"/>
      <c r="BF374" s="1045"/>
      <c r="BG374" s="1045"/>
      <c r="BH374" s="1045"/>
      <c r="BI374" s="1369"/>
      <c r="BJ374" s="1319"/>
      <c r="BK374" s="1319"/>
      <c r="BL374" s="1319"/>
      <c r="BM374" s="1319"/>
      <c r="BN374" s="1044"/>
      <c r="BO374" s="1045"/>
      <c r="BP374" s="1045"/>
      <c r="BQ374" s="1045"/>
      <c r="BR374" s="1045"/>
      <c r="BS374" s="1084"/>
      <c r="BT374" s="1045"/>
      <c r="BU374" s="1045"/>
      <c r="BV374" s="1045"/>
      <c r="BW374" s="1085"/>
      <c r="BX374" s="1084"/>
      <c r="BY374" s="1045"/>
      <c r="BZ374" s="1045"/>
      <c r="CA374" s="1045"/>
      <c r="CB374" s="1085"/>
      <c r="CC374" s="1086"/>
      <c r="CD374" s="1327"/>
      <c r="CE374" s="1328"/>
      <c r="CF374" s="1328"/>
      <c r="CG374" s="1328"/>
      <c r="CH374" s="1389"/>
      <c r="CI374" s="1369"/>
      <c r="CJ374" s="1319"/>
      <c r="CK374" s="1319"/>
      <c r="CL374" s="1319"/>
      <c r="CM374" s="1320"/>
      <c r="CN374" s="1369"/>
      <c r="CO374" s="1319"/>
      <c r="CP374" s="1319"/>
      <c r="CQ374" s="1319"/>
      <c r="CR374" s="1320"/>
      <c r="CS374" s="1369"/>
      <c r="CT374" s="1319"/>
      <c r="CU374" s="1319"/>
      <c r="CV374" s="1319"/>
      <c r="CW374" s="1320"/>
      <c r="CX374" s="1369"/>
      <c r="CY374" s="1319"/>
      <c r="CZ374" s="1319"/>
      <c r="DA374" s="1319"/>
      <c r="DB374" s="1320"/>
      <c r="DC374" s="1319"/>
      <c r="DD374" s="1319"/>
      <c r="DE374" s="1319"/>
      <c r="DF374" s="1319"/>
      <c r="DG374" s="1320"/>
      <c r="DH374" s="1369"/>
      <c r="DI374" s="1319"/>
      <c r="DJ374" s="1319"/>
      <c r="DK374" s="1319"/>
      <c r="DL374" s="1320"/>
      <c r="DM374" s="1743"/>
      <c r="DN374" s="1744"/>
      <c r="DO374" s="1744"/>
      <c r="DP374" s="1745"/>
      <c r="DQ374" s="1744"/>
      <c r="DR374" s="1744"/>
      <c r="DS374" s="1744"/>
      <c r="DT374" s="1745"/>
      <c r="DU374" s="1328"/>
      <c r="DV374" s="1664"/>
      <c r="DW374" s="1746"/>
    </row>
    <row r="375" spans="1:127" s="382" customFormat="1" ht="15.75" customHeight="1">
      <c r="A375" s="1066" t="s">
        <v>1157</v>
      </c>
      <c r="B375" s="1026">
        <v>366</v>
      </c>
      <c r="C375" s="987"/>
      <c r="D375" s="987"/>
      <c r="E375" s="987"/>
      <c r="F375" s="987"/>
      <c r="G375" s="987"/>
      <c r="H375" s="987"/>
      <c r="I375" s="987"/>
      <c r="J375" s="987"/>
      <c r="K375" s="987"/>
      <c r="L375" s="987"/>
      <c r="M375" s="1026"/>
      <c r="N375" s="987"/>
      <c r="O375" s="987"/>
      <c r="P375" s="987"/>
      <c r="Q375" s="987"/>
      <c r="R375" s="987"/>
      <c r="S375" s="987"/>
      <c r="T375" s="988"/>
      <c r="U375" s="1067" t="s">
        <v>1550</v>
      </c>
      <c r="V375" s="1068" t="s">
        <v>2612</v>
      </c>
      <c r="W375" s="1068" t="s">
        <v>2231</v>
      </c>
      <c r="X375" s="1069" t="s">
        <v>3453</v>
      </c>
      <c r="Y375" s="1070" t="s">
        <v>3454</v>
      </c>
      <c r="Z375" s="1071" t="s">
        <v>3455</v>
      </c>
      <c r="AA375" s="1072" t="s">
        <v>2260</v>
      </c>
      <c r="AB375" s="1073" t="s">
        <v>2260</v>
      </c>
      <c r="AC375" s="1073">
        <v>1</v>
      </c>
      <c r="AD375" s="1073" t="s">
        <v>2260</v>
      </c>
      <c r="AE375" s="1073" t="s">
        <v>2260</v>
      </c>
      <c r="AF375" s="1073" t="s">
        <v>2260</v>
      </c>
      <c r="AG375" s="1073" t="s">
        <v>2260</v>
      </c>
      <c r="AH375" s="1073" t="s">
        <v>2260</v>
      </c>
      <c r="AI375" s="1074">
        <f t="shared" si="5"/>
        <v>1</v>
      </c>
      <c r="AJ375" s="1075" t="s">
        <v>1852</v>
      </c>
      <c r="AK375" s="1075" t="s">
        <v>1826</v>
      </c>
      <c r="AL375" s="1075" t="s">
        <v>1827</v>
      </c>
      <c r="AM375" s="1076" t="s">
        <v>2351</v>
      </c>
      <c r="AN375" s="987" t="s">
        <v>1857</v>
      </c>
      <c r="AO375" s="987" t="s">
        <v>3450</v>
      </c>
      <c r="AP375" s="1285">
        <v>0</v>
      </c>
      <c r="AQ375" s="1045" t="s">
        <v>1838</v>
      </c>
      <c r="AR375" s="1078" t="s">
        <v>2260</v>
      </c>
      <c r="AS375" s="1079"/>
      <c r="AT375" s="1069"/>
      <c r="AU375" s="1069"/>
      <c r="AV375" s="1069"/>
      <c r="AW375" s="1080"/>
      <c r="AX375" s="1081"/>
      <c r="AY375" s="1044"/>
      <c r="AZ375" s="1045"/>
      <c r="BA375" s="1045"/>
      <c r="BB375" s="1045"/>
      <c r="BC375" s="1045"/>
      <c r="BD375" s="1045"/>
      <c r="BE375" s="1045"/>
      <c r="BF375" s="1045"/>
      <c r="BG375" s="1045"/>
      <c r="BH375" s="1045"/>
      <c r="BI375" s="1369"/>
      <c r="BJ375" s="1319"/>
      <c r="BK375" s="1319"/>
      <c r="BL375" s="1319"/>
      <c r="BM375" s="1319"/>
      <c r="BN375" s="1044"/>
      <c r="BO375" s="1045"/>
      <c r="BP375" s="1045"/>
      <c r="BQ375" s="1045"/>
      <c r="BR375" s="1045"/>
      <c r="BS375" s="1084"/>
      <c r="BT375" s="1045"/>
      <c r="BU375" s="1045"/>
      <c r="BV375" s="1045"/>
      <c r="BW375" s="1085"/>
      <c r="BX375" s="1084"/>
      <c r="BY375" s="1045"/>
      <c r="BZ375" s="1045"/>
      <c r="CA375" s="1045"/>
      <c r="CB375" s="1085"/>
      <c r="CC375" s="1086"/>
      <c r="CD375" s="1327"/>
      <c r="CE375" s="1328"/>
      <c r="CF375" s="1328"/>
      <c r="CG375" s="1328"/>
      <c r="CH375" s="1389"/>
      <c r="CI375" s="1369"/>
      <c r="CJ375" s="1319"/>
      <c r="CK375" s="1319"/>
      <c r="CL375" s="1319"/>
      <c r="CM375" s="1320"/>
      <c r="CN375" s="1369"/>
      <c r="CO375" s="1319"/>
      <c r="CP375" s="1319"/>
      <c r="CQ375" s="1319"/>
      <c r="CR375" s="1320"/>
      <c r="CS375" s="1369"/>
      <c r="CT375" s="1319"/>
      <c r="CU375" s="1319"/>
      <c r="CV375" s="1319"/>
      <c r="CW375" s="1320"/>
      <c r="CX375" s="1369"/>
      <c r="CY375" s="1319"/>
      <c r="CZ375" s="1319"/>
      <c r="DA375" s="1319"/>
      <c r="DB375" s="1320"/>
      <c r="DC375" s="1319"/>
      <c r="DD375" s="1319"/>
      <c r="DE375" s="1319"/>
      <c r="DF375" s="1319"/>
      <c r="DG375" s="1320"/>
      <c r="DH375" s="1369"/>
      <c r="DI375" s="1319"/>
      <c r="DJ375" s="1319"/>
      <c r="DK375" s="1319"/>
      <c r="DL375" s="1320"/>
      <c r="DM375" s="1743"/>
      <c r="DN375" s="1744"/>
      <c r="DO375" s="1744"/>
      <c r="DP375" s="1745"/>
      <c r="DQ375" s="1744"/>
      <c r="DR375" s="1744"/>
      <c r="DS375" s="1744"/>
      <c r="DT375" s="1745"/>
      <c r="DU375" s="1328"/>
      <c r="DV375" s="1664"/>
      <c r="DW375" s="1746"/>
    </row>
    <row r="376" spans="1:127" s="382" customFormat="1" ht="15.75" customHeight="1">
      <c r="A376" s="1066" t="s">
        <v>1157</v>
      </c>
      <c r="B376" s="1026">
        <v>367</v>
      </c>
      <c r="C376" s="987"/>
      <c r="D376" s="987"/>
      <c r="E376" s="987"/>
      <c r="F376" s="987"/>
      <c r="G376" s="987"/>
      <c r="H376" s="987"/>
      <c r="I376" s="987"/>
      <c r="J376" s="987"/>
      <c r="K376" s="987"/>
      <c r="L376" s="987"/>
      <c r="M376" s="1026"/>
      <c r="N376" s="987"/>
      <c r="O376" s="987"/>
      <c r="P376" s="987"/>
      <c r="Q376" s="987"/>
      <c r="R376" s="987"/>
      <c r="S376" s="987"/>
      <c r="T376" s="988"/>
      <c r="U376" s="1067" t="s">
        <v>1559</v>
      </c>
      <c r="V376" s="1068" t="s">
        <v>2612</v>
      </c>
      <c r="W376" s="1068" t="s">
        <v>2231</v>
      </c>
      <c r="X376" s="1069" t="s">
        <v>3456</v>
      </c>
      <c r="Y376" s="1070" t="s">
        <v>3457</v>
      </c>
      <c r="Z376" s="1071" t="s">
        <v>3458</v>
      </c>
      <c r="AA376" s="1072" t="s">
        <v>2260</v>
      </c>
      <c r="AB376" s="1073" t="s">
        <v>2260</v>
      </c>
      <c r="AC376" s="1073">
        <v>1</v>
      </c>
      <c r="AD376" s="1073" t="s">
        <v>2260</v>
      </c>
      <c r="AE376" s="1073" t="s">
        <v>2260</v>
      </c>
      <c r="AF376" s="1073" t="s">
        <v>2260</v>
      </c>
      <c r="AG376" s="1073" t="s">
        <v>2260</v>
      </c>
      <c r="AH376" s="1073" t="s">
        <v>2260</v>
      </c>
      <c r="AI376" s="1074">
        <f t="shared" si="5"/>
        <v>1</v>
      </c>
      <c r="AJ376" s="1075" t="s">
        <v>1852</v>
      </c>
      <c r="AK376" s="1075" t="s">
        <v>1826</v>
      </c>
      <c r="AL376" s="1075" t="s">
        <v>1827</v>
      </c>
      <c r="AM376" s="1076" t="s">
        <v>2351</v>
      </c>
      <c r="AN376" s="987" t="s">
        <v>165</v>
      </c>
      <c r="AO376" s="987" t="s">
        <v>3459</v>
      </c>
      <c r="AP376" s="1285">
        <v>3</v>
      </c>
      <c r="AQ376" s="1045" t="s">
        <v>1828</v>
      </c>
      <c r="AR376" s="1078" t="s">
        <v>2260</v>
      </c>
      <c r="AS376" s="1079"/>
      <c r="AT376" s="1069"/>
      <c r="AU376" s="1069"/>
      <c r="AV376" s="1069"/>
      <c r="AW376" s="1080"/>
      <c r="AX376" s="1081"/>
      <c r="AY376" s="1044"/>
      <c r="AZ376" s="1045"/>
      <c r="BA376" s="1045"/>
      <c r="BB376" s="1045"/>
      <c r="BC376" s="1045"/>
      <c r="BD376" s="1045"/>
      <c r="BE376" s="1045"/>
      <c r="BF376" s="1045"/>
      <c r="BG376" s="1045"/>
      <c r="BH376" s="1045"/>
      <c r="BI376" s="1369"/>
      <c r="BJ376" s="1319"/>
      <c r="BK376" s="1319"/>
      <c r="BL376" s="1319"/>
      <c r="BM376" s="1319"/>
      <c r="BN376" s="1044"/>
      <c r="BO376" s="1045"/>
      <c r="BP376" s="1045"/>
      <c r="BQ376" s="1045"/>
      <c r="BR376" s="1045"/>
      <c r="BS376" s="1084"/>
      <c r="BT376" s="1045"/>
      <c r="BU376" s="1045"/>
      <c r="BV376" s="1045"/>
      <c r="BW376" s="1085"/>
      <c r="BX376" s="1084"/>
      <c r="BY376" s="1045"/>
      <c r="BZ376" s="1045"/>
      <c r="CA376" s="1045"/>
      <c r="CB376" s="1085"/>
      <c r="CC376" s="1086"/>
      <c r="CD376" s="1327"/>
      <c r="CE376" s="1328"/>
      <c r="CF376" s="1328"/>
      <c r="CG376" s="1328"/>
      <c r="CH376" s="1389"/>
      <c r="CI376" s="1369"/>
      <c r="CJ376" s="1319"/>
      <c r="CK376" s="1319"/>
      <c r="CL376" s="1319"/>
      <c r="CM376" s="1320"/>
      <c r="CN376" s="1369"/>
      <c r="CO376" s="1319"/>
      <c r="CP376" s="1319"/>
      <c r="CQ376" s="1319"/>
      <c r="CR376" s="1320"/>
      <c r="CS376" s="1369"/>
      <c r="CT376" s="1319"/>
      <c r="CU376" s="1319"/>
      <c r="CV376" s="1319"/>
      <c r="CW376" s="1320"/>
      <c r="CX376" s="1369"/>
      <c r="CY376" s="1319"/>
      <c r="CZ376" s="1319"/>
      <c r="DA376" s="1319"/>
      <c r="DB376" s="1320"/>
      <c r="DC376" s="1319"/>
      <c r="DD376" s="1319"/>
      <c r="DE376" s="1319"/>
      <c r="DF376" s="1319"/>
      <c r="DG376" s="1320"/>
      <c r="DH376" s="1369"/>
      <c r="DI376" s="1319"/>
      <c r="DJ376" s="1319"/>
      <c r="DK376" s="1319"/>
      <c r="DL376" s="1320"/>
      <c r="DM376" s="1743"/>
      <c r="DN376" s="1744"/>
      <c r="DO376" s="1744"/>
      <c r="DP376" s="1745"/>
      <c r="DQ376" s="1744"/>
      <c r="DR376" s="1744"/>
      <c r="DS376" s="1744"/>
      <c r="DT376" s="1745"/>
      <c r="DU376" s="1328"/>
      <c r="DV376" s="1664"/>
      <c r="DW376" s="1746"/>
    </row>
    <row r="377" spans="1:127" s="382" customFormat="1" ht="15.75" customHeight="1">
      <c r="A377" s="1066" t="s">
        <v>1157</v>
      </c>
      <c r="B377" s="1026">
        <v>368</v>
      </c>
      <c r="C377" s="987"/>
      <c r="D377" s="987"/>
      <c r="E377" s="987"/>
      <c r="F377" s="987"/>
      <c r="G377" s="987"/>
      <c r="H377" s="987"/>
      <c r="I377" s="987"/>
      <c r="J377" s="987"/>
      <c r="K377" s="987"/>
      <c r="L377" s="987"/>
      <c r="M377" s="1026"/>
      <c r="N377" s="987"/>
      <c r="O377" s="987"/>
      <c r="P377" s="987"/>
      <c r="Q377" s="987"/>
      <c r="R377" s="987"/>
      <c r="S377" s="987"/>
      <c r="T377" s="988"/>
      <c r="U377" s="1067" t="s">
        <v>1567</v>
      </c>
      <c r="V377" s="1068" t="s">
        <v>2612</v>
      </c>
      <c r="W377" s="1068" t="s">
        <v>2217</v>
      </c>
      <c r="X377" s="1069" t="s">
        <v>3460</v>
      </c>
      <c r="Y377" s="1070" t="s">
        <v>3461</v>
      </c>
      <c r="Z377" s="1071" t="s">
        <v>3462</v>
      </c>
      <c r="AA377" s="1072" t="s">
        <v>2260</v>
      </c>
      <c r="AB377" s="1073" t="s">
        <v>2260</v>
      </c>
      <c r="AC377" s="1073">
        <v>1</v>
      </c>
      <c r="AD377" s="1073" t="s">
        <v>2260</v>
      </c>
      <c r="AE377" s="1073" t="s">
        <v>2260</v>
      </c>
      <c r="AF377" s="1073" t="s">
        <v>2260</v>
      </c>
      <c r="AG377" s="1073" t="s">
        <v>2260</v>
      </c>
      <c r="AH377" s="1073" t="s">
        <v>2260</v>
      </c>
      <c r="AI377" s="1074">
        <f t="shared" si="5"/>
        <v>1</v>
      </c>
      <c r="AJ377" s="1075" t="s">
        <v>1852</v>
      </c>
      <c r="AK377" s="1075" t="s">
        <v>1826</v>
      </c>
      <c r="AL377" s="1075" t="s">
        <v>1837</v>
      </c>
      <c r="AM377" s="1076" t="s">
        <v>2351</v>
      </c>
      <c r="AN377" s="987" t="s">
        <v>1857</v>
      </c>
      <c r="AO377" s="987" t="s">
        <v>3463</v>
      </c>
      <c r="AP377" s="1285">
        <v>0</v>
      </c>
      <c r="AQ377" s="1045" t="s">
        <v>1828</v>
      </c>
      <c r="AR377" s="1078" t="s">
        <v>2260</v>
      </c>
      <c r="AS377" s="1079"/>
      <c r="AT377" s="1069"/>
      <c r="AU377" s="1069"/>
      <c r="AV377" s="1069"/>
      <c r="AW377" s="1080"/>
      <c r="AX377" s="1081"/>
      <c r="AY377" s="1044"/>
      <c r="AZ377" s="1045"/>
      <c r="BA377" s="1045"/>
      <c r="BB377" s="1045"/>
      <c r="BC377" s="1045"/>
      <c r="BD377" s="1045"/>
      <c r="BE377" s="1045"/>
      <c r="BF377" s="1045"/>
      <c r="BG377" s="1045"/>
      <c r="BH377" s="1045"/>
      <c r="BI377" s="1369"/>
      <c r="BJ377" s="1319"/>
      <c r="BK377" s="1319"/>
      <c r="BL377" s="1319"/>
      <c r="BM377" s="1319"/>
      <c r="BN377" s="1044"/>
      <c r="BO377" s="1045"/>
      <c r="BP377" s="1045"/>
      <c r="BQ377" s="1045"/>
      <c r="BR377" s="1045"/>
      <c r="BS377" s="1084"/>
      <c r="BT377" s="1045"/>
      <c r="BU377" s="1045"/>
      <c r="BV377" s="1045"/>
      <c r="BW377" s="1085"/>
      <c r="BX377" s="1084"/>
      <c r="BY377" s="1045"/>
      <c r="BZ377" s="1045"/>
      <c r="CA377" s="1045"/>
      <c r="CB377" s="1085"/>
      <c r="CC377" s="1086"/>
      <c r="CD377" s="1327"/>
      <c r="CE377" s="1328"/>
      <c r="CF377" s="1328"/>
      <c r="CG377" s="1328"/>
      <c r="CH377" s="1389"/>
      <c r="CI377" s="1369"/>
      <c r="CJ377" s="1319"/>
      <c r="CK377" s="1319"/>
      <c r="CL377" s="1319"/>
      <c r="CM377" s="1320"/>
      <c r="CN377" s="1369"/>
      <c r="CO377" s="1319"/>
      <c r="CP377" s="1319"/>
      <c r="CQ377" s="1319"/>
      <c r="CR377" s="1320"/>
      <c r="CS377" s="1369"/>
      <c r="CT377" s="1319"/>
      <c r="CU377" s="1319"/>
      <c r="CV377" s="1319"/>
      <c r="CW377" s="1320"/>
      <c r="CX377" s="1369"/>
      <c r="CY377" s="1319"/>
      <c r="CZ377" s="1319"/>
      <c r="DA377" s="1319"/>
      <c r="DB377" s="1320"/>
      <c r="DC377" s="1319"/>
      <c r="DD377" s="1319"/>
      <c r="DE377" s="1319"/>
      <c r="DF377" s="1319"/>
      <c r="DG377" s="1320"/>
      <c r="DH377" s="1369"/>
      <c r="DI377" s="1319"/>
      <c r="DJ377" s="1319"/>
      <c r="DK377" s="1319"/>
      <c r="DL377" s="1320"/>
      <c r="DM377" s="1743"/>
      <c r="DN377" s="1744"/>
      <c r="DO377" s="1744"/>
      <c r="DP377" s="1745"/>
      <c r="DQ377" s="1744"/>
      <c r="DR377" s="1744"/>
      <c r="DS377" s="1744"/>
      <c r="DT377" s="1745"/>
      <c r="DU377" s="1328"/>
      <c r="DV377" s="1664"/>
      <c r="DW377" s="1746"/>
    </row>
    <row r="378" spans="1:127" s="382" customFormat="1" ht="15.75" customHeight="1">
      <c r="A378" s="1066" t="s">
        <v>1157</v>
      </c>
      <c r="B378" s="1026">
        <v>369</v>
      </c>
      <c r="C378" s="987"/>
      <c r="D378" s="987"/>
      <c r="E378" s="987"/>
      <c r="F378" s="987"/>
      <c r="G378" s="987"/>
      <c r="H378" s="987"/>
      <c r="I378" s="987"/>
      <c r="J378" s="987"/>
      <c r="K378" s="987"/>
      <c r="L378" s="987"/>
      <c r="M378" s="1026"/>
      <c r="N378" s="987"/>
      <c r="O378" s="987"/>
      <c r="P378" s="987"/>
      <c r="Q378" s="987"/>
      <c r="R378" s="987"/>
      <c r="S378" s="987"/>
      <c r="T378" s="988"/>
      <c r="U378" s="1067" t="s">
        <v>1229</v>
      </c>
      <c r="V378" s="1068" t="s">
        <v>2570</v>
      </c>
      <c r="W378" s="1068" t="s">
        <v>2217</v>
      </c>
      <c r="X378" s="1069" t="s">
        <v>3464</v>
      </c>
      <c r="Y378" s="1070" t="s">
        <v>179</v>
      </c>
      <c r="Z378" s="1071" t="s">
        <v>2572</v>
      </c>
      <c r="AA378" s="1072" t="s">
        <v>2260</v>
      </c>
      <c r="AB378" s="1073">
        <v>1</v>
      </c>
      <c r="AC378" s="1073" t="s">
        <v>2260</v>
      </c>
      <c r="AD378" s="1073" t="s">
        <v>2260</v>
      </c>
      <c r="AE378" s="1073" t="s">
        <v>2260</v>
      </c>
      <c r="AF378" s="1073" t="s">
        <v>2260</v>
      </c>
      <c r="AG378" s="1073" t="s">
        <v>2260</v>
      </c>
      <c r="AH378" s="1073" t="s">
        <v>2260</v>
      </c>
      <c r="AI378" s="1074">
        <f t="shared" si="5"/>
        <v>1</v>
      </c>
      <c r="AJ378" s="1075" t="s">
        <v>1852</v>
      </c>
      <c r="AK378" s="1075" t="s">
        <v>1826</v>
      </c>
      <c r="AL378" s="1075" t="s">
        <v>1827</v>
      </c>
      <c r="AM378" s="1076" t="s">
        <v>2220</v>
      </c>
      <c r="AN378" s="987" t="s">
        <v>4414</v>
      </c>
      <c r="AO378" s="987" t="s">
        <v>4415</v>
      </c>
      <c r="AP378" s="1276">
        <v>0</v>
      </c>
      <c r="AQ378" s="1045" t="s">
        <v>1838</v>
      </c>
      <c r="AR378" s="1078" t="s">
        <v>179</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210</v>
      </c>
      <c r="CE378" s="1088" t="s">
        <v>210</v>
      </c>
      <c r="CF378" s="1088" t="s">
        <v>210</v>
      </c>
      <c r="CG378" s="1088" t="s">
        <v>210</v>
      </c>
      <c r="CH378" s="1089" t="s">
        <v>210</v>
      </c>
      <c r="CI378" s="1118" t="s">
        <v>2260</v>
      </c>
      <c r="CJ378" s="1119" t="s">
        <v>2260</v>
      </c>
      <c r="CK378" s="1119" t="s">
        <v>2260</v>
      </c>
      <c r="CL378" s="1119" t="s">
        <v>2260</v>
      </c>
      <c r="CM378" s="1122" t="s">
        <v>2260</v>
      </c>
      <c r="CN378" s="1118">
        <v>1.5798611111111114E-2</v>
      </c>
      <c r="CO378" s="1119">
        <v>1.5798611111111114E-2</v>
      </c>
      <c r="CP378" s="1119">
        <v>1.5798611111111114E-2</v>
      </c>
      <c r="CQ378" s="1119">
        <v>1.5798611111111114E-2</v>
      </c>
      <c r="CR378" s="1122">
        <v>1.5798611111111114E-2</v>
      </c>
      <c r="CS378" s="1118" t="s">
        <v>2260</v>
      </c>
      <c r="CT378" s="1119" t="s">
        <v>2260</v>
      </c>
      <c r="CU378" s="1119" t="s">
        <v>2260</v>
      </c>
      <c r="CV378" s="1119" t="s">
        <v>2260</v>
      </c>
      <c r="CW378" s="1122" t="s">
        <v>2260</v>
      </c>
      <c r="CX378" s="1118" t="s">
        <v>2260</v>
      </c>
      <c r="CY378" s="1119" t="s">
        <v>2260</v>
      </c>
      <c r="CZ378" s="1119" t="s">
        <v>2260</v>
      </c>
      <c r="DA378" s="1119" t="s">
        <v>2260</v>
      </c>
      <c r="DB378" s="1122" t="s">
        <v>2260</v>
      </c>
      <c r="DC378" s="1119">
        <v>2.4305555555555556E-3</v>
      </c>
      <c r="DD378" s="1119">
        <v>2.3263888888888891E-3</v>
      </c>
      <c r="DE378" s="1119">
        <v>2.2106481481481491E-3</v>
      </c>
      <c r="DF378" s="1119">
        <v>2.1064814814814817E-3</v>
      </c>
      <c r="DG378" s="1122">
        <v>2.0138888888888888E-3</v>
      </c>
      <c r="DH378" s="1118" t="s">
        <v>2260</v>
      </c>
      <c r="DI378" s="1119" t="s">
        <v>2260</v>
      </c>
      <c r="DJ378" s="1119" t="s">
        <v>2260</v>
      </c>
      <c r="DK378" s="1119" t="s">
        <v>2260</v>
      </c>
      <c r="DL378" s="1122" t="s">
        <v>2260</v>
      </c>
      <c r="DM378" s="1090">
        <v>-1.081</v>
      </c>
      <c r="DN378" s="1091" t="s">
        <v>2260</v>
      </c>
      <c r="DO378" s="1091" t="s">
        <v>2260</v>
      </c>
      <c r="DP378" s="1092" t="s">
        <v>2260</v>
      </c>
      <c r="DQ378" s="1091">
        <v>1.081</v>
      </c>
      <c r="DR378" s="1091" t="s">
        <v>2260</v>
      </c>
      <c r="DS378" s="1091" t="s">
        <v>2260</v>
      </c>
      <c r="DT378" s="1092" t="s">
        <v>2260</v>
      </c>
      <c r="DU378" s="1088" t="s">
        <v>2260</v>
      </c>
      <c r="DV378" s="1093">
        <v>1</v>
      </c>
      <c r="DW378" s="1094" t="s">
        <v>2260</v>
      </c>
    </row>
    <row r="379" spans="1:127" s="382" customFormat="1" ht="15.75" customHeight="1">
      <c r="A379" s="1023" t="s">
        <v>1157</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1254</v>
      </c>
      <c r="V379" s="1029" t="s">
        <v>2570</v>
      </c>
      <c r="W379" s="1029" t="s">
        <v>2217</v>
      </c>
      <c r="X379" s="1030" t="s">
        <v>3465</v>
      </c>
      <c r="Y379" s="1031" t="s">
        <v>705</v>
      </c>
      <c r="Z379" s="1032" t="s">
        <v>2575</v>
      </c>
      <c r="AA379" s="1033" t="s">
        <v>2260</v>
      </c>
      <c r="AB379" s="1034">
        <v>1</v>
      </c>
      <c r="AC379" s="1034" t="s">
        <v>2260</v>
      </c>
      <c r="AD379" s="1034" t="s">
        <v>2260</v>
      </c>
      <c r="AE379" s="1034" t="s">
        <v>2260</v>
      </c>
      <c r="AF379" s="1034" t="s">
        <v>2260</v>
      </c>
      <c r="AG379" s="1034" t="s">
        <v>2260</v>
      </c>
      <c r="AH379" s="1034" t="s">
        <v>2260</v>
      </c>
      <c r="AI379" s="1035">
        <f t="shared" si="5"/>
        <v>1</v>
      </c>
      <c r="AJ379" s="1036" t="s">
        <v>1852</v>
      </c>
      <c r="AK379" s="1036" t="s">
        <v>1826</v>
      </c>
      <c r="AL379" s="1036" t="s">
        <v>1827</v>
      </c>
      <c r="AM379" s="1037" t="s">
        <v>705</v>
      </c>
      <c r="AN379" s="1031" t="s">
        <v>321</v>
      </c>
      <c r="AO379" s="1031" t="s">
        <v>4416</v>
      </c>
      <c r="AP379" s="1276">
        <v>1</v>
      </c>
      <c r="AQ379" s="802" t="s">
        <v>1828</v>
      </c>
      <c r="AR379" s="1040" t="s">
        <v>705</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210</v>
      </c>
      <c r="CE379" s="1054" t="s">
        <v>210</v>
      </c>
      <c r="CF379" s="1054" t="s">
        <v>210</v>
      </c>
      <c r="CG379" s="1054" t="s">
        <v>210</v>
      </c>
      <c r="CH379" s="1055" t="s">
        <v>210</v>
      </c>
      <c r="CI379" s="1058" t="s">
        <v>2260</v>
      </c>
      <c r="CJ379" s="1056" t="s">
        <v>2260</v>
      </c>
      <c r="CK379" s="1056" t="s">
        <v>2260</v>
      </c>
      <c r="CL379" s="1056" t="s">
        <v>2260</v>
      </c>
      <c r="CM379" s="1057" t="s">
        <v>2260</v>
      </c>
      <c r="CN379" s="1058" t="s">
        <v>2260</v>
      </c>
      <c r="CO379" s="1056" t="s">
        <v>2260</v>
      </c>
      <c r="CP379" s="1056" t="s">
        <v>2260</v>
      </c>
      <c r="CQ379" s="1056" t="s">
        <v>2260</v>
      </c>
      <c r="CR379" s="1057" t="s">
        <v>2260</v>
      </c>
      <c r="CS379" s="1048" t="s">
        <v>2260</v>
      </c>
      <c r="CT379" s="1049" t="s">
        <v>2260</v>
      </c>
      <c r="CU379" s="1049" t="s">
        <v>2260</v>
      </c>
      <c r="CV379" s="1049" t="s">
        <v>2260</v>
      </c>
      <c r="CW379" s="1052" t="s">
        <v>2260</v>
      </c>
      <c r="CX379" s="1048" t="s">
        <v>2260</v>
      </c>
      <c r="CY379" s="1049" t="s">
        <v>2260</v>
      </c>
      <c r="CZ379" s="1049" t="s">
        <v>2260</v>
      </c>
      <c r="DA379" s="1049" t="s">
        <v>2260</v>
      </c>
      <c r="DB379" s="1052" t="s">
        <v>2260</v>
      </c>
      <c r="DC379" s="1059" t="s">
        <v>2260</v>
      </c>
      <c r="DD379" s="1056" t="s">
        <v>2260</v>
      </c>
      <c r="DE379" s="1056" t="s">
        <v>2260</v>
      </c>
      <c r="DF379" s="1056" t="s">
        <v>2260</v>
      </c>
      <c r="DG379" s="1057" t="s">
        <v>2260</v>
      </c>
      <c r="DH379" s="1058" t="s">
        <v>2260</v>
      </c>
      <c r="DI379" s="1049" t="s">
        <v>2260</v>
      </c>
      <c r="DJ379" s="1049" t="s">
        <v>2260</v>
      </c>
      <c r="DK379" s="1049" t="s">
        <v>2260</v>
      </c>
      <c r="DL379" s="1052" t="s">
        <v>2260</v>
      </c>
      <c r="DM379" s="1060">
        <v>-0.32500000000000001</v>
      </c>
      <c r="DN379" s="1061" t="s">
        <v>2260</v>
      </c>
      <c r="DO379" s="1061" t="s">
        <v>2260</v>
      </c>
      <c r="DP379" s="1062" t="s">
        <v>2260</v>
      </c>
      <c r="DQ379" s="1061">
        <v>0.32500000000000001</v>
      </c>
      <c r="DR379" s="1061" t="s">
        <v>2260</v>
      </c>
      <c r="DS379" s="1061" t="s">
        <v>2260</v>
      </c>
      <c r="DT379" s="1062" t="s">
        <v>2260</v>
      </c>
      <c r="DU379" s="1054" t="s">
        <v>2260</v>
      </c>
      <c r="DV379" s="1063">
        <v>1</v>
      </c>
      <c r="DW379" s="1064" t="s">
        <v>2260</v>
      </c>
    </row>
    <row r="380" spans="1:127" s="382" customFormat="1" ht="15.75" customHeight="1">
      <c r="A380" s="1023" t="s">
        <v>1157</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1245</v>
      </c>
      <c r="V380" s="1029" t="s">
        <v>2570</v>
      </c>
      <c r="W380" s="1029" t="s">
        <v>2231</v>
      </c>
      <c r="X380" s="1030" t="s">
        <v>3466</v>
      </c>
      <c r="Y380" s="1031" t="s">
        <v>1084</v>
      </c>
      <c r="Z380" s="1032" t="s">
        <v>2577</v>
      </c>
      <c r="AA380" s="1033">
        <v>1</v>
      </c>
      <c r="AB380" s="1034" t="s">
        <v>2260</v>
      </c>
      <c r="AC380" s="1034" t="s">
        <v>2260</v>
      </c>
      <c r="AD380" s="1034" t="s">
        <v>2260</v>
      </c>
      <c r="AE380" s="1034" t="s">
        <v>2260</v>
      </c>
      <c r="AF380" s="1034" t="s">
        <v>2260</v>
      </c>
      <c r="AG380" s="1034" t="s">
        <v>2260</v>
      </c>
      <c r="AH380" s="1034" t="s">
        <v>2260</v>
      </c>
      <c r="AI380" s="1035">
        <f t="shared" si="5"/>
        <v>1</v>
      </c>
      <c r="AJ380" s="1036" t="s">
        <v>1846</v>
      </c>
      <c r="AK380" s="1036" t="s">
        <v>1826</v>
      </c>
      <c r="AL380" s="1389" t="s">
        <v>1837</v>
      </c>
      <c r="AM380" s="1037" t="s">
        <v>2348</v>
      </c>
      <c r="AN380" s="1031" t="s">
        <v>2397</v>
      </c>
      <c r="AO380" s="1031" t="s">
        <v>4416</v>
      </c>
      <c r="AP380" s="1276">
        <v>1</v>
      </c>
      <c r="AQ380" s="802" t="s">
        <v>1828</v>
      </c>
      <c r="AR380" s="1040" t="s">
        <v>1084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210</v>
      </c>
      <c r="CE380" s="1054" t="s">
        <v>210</v>
      </c>
      <c r="CF380" s="1054" t="s">
        <v>210</v>
      </c>
      <c r="CG380" s="1054" t="s">
        <v>210</v>
      </c>
      <c r="CH380" s="1055" t="s">
        <v>210</v>
      </c>
      <c r="CI380" s="1058" t="s">
        <v>2260</v>
      </c>
      <c r="CJ380" s="1056" t="s">
        <v>2260</v>
      </c>
      <c r="CK380" s="1056" t="s">
        <v>2260</v>
      </c>
      <c r="CL380" s="1056" t="s">
        <v>2260</v>
      </c>
      <c r="CM380" s="1057" t="s">
        <v>2260</v>
      </c>
      <c r="CN380" s="1058" t="s">
        <v>2260</v>
      </c>
      <c r="CO380" s="1056" t="s">
        <v>2260</v>
      </c>
      <c r="CP380" s="1056" t="s">
        <v>2260</v>
      </c>
      <c r="CQ380" s="1056" t="s">
        <v>2260</v>
      </c>
      <c r="CR380" s="1057" t="s">
        <v>2260</v>
      </c>
      <c r="CS380" s="1048" t="s">
        <v>2260</v>
      </c>
      <c r="CT380" s="1049" t="s">
        <v>2260</v>
      </c>
      <c r="CU380" s="1049" t="s">
        <v>2260</v>
      </c>
      <c r="CV380" s="1049" t="s">
        <v>2260</v>
      </c>
      <c r="CW380" s="1052" t="s">
        <v>2260</v>
      </c>
      <c r="CX380" s="1048" t="s">
        <v>2260</v>
      </c>
      <c r="CY380" s="1049" t="s">
        <v>2260</v>
      </c>
      <c r="CZ380" s="1049" t="s">
        <v>2260</v>
      </c>
      <c r="DA380" s="1049" t="s">
        <v>2260</v>
      </c>
      <c r="DB380" s="1052" t="s">
        <v>2260</v>
      </c>
      <c r="DC380" s="1056" t="s">
        <v>2260</v>
      </c>
      <c r="DD380" s="1056" t="s">
        <v>2260</v>
      </c>
      <c r="DE380" s="1056" t="s">
        <v>2260</v>
      </c>
      <c r="DF380" s="1056" t="s">
        <v>2260</v>
      </c>
      <c r="DG380" s="1057" t="s">
        <v>2260</v>
      </c>
      <c r="DH380" s="1058" t="s">
        <v>2260</v>
      </c>
      <c r="DI380" s="1049" t="s">
        <v>2260</v>
      </c>
      <c r="DJ380" s="1049" t="s">
        <v>2260</v>
      </c>
      <c r="DK380" s="1049" t="s">
        <v>2260</v>
      </c>
      <c r="DL380" s="1052" t="s">
        <v>2260</v>
      </c>
      <c r="DM380" s="1060">
        <v>-0.35</v>
      </c>
      <c r="DN380" s="1061" t="s">
        <v>2260</v>
      </c>
      <c r="DO380" s="1061" t="s">
        <v>2260</v>
      </c>
      <c r="DP380" s="1062" t="s">
        <v>2260</v>
      </c>
      <c r="DQ380" s="1061" t="s">
        <v>2260</v>
      </c>
      <c r="DR380" s="1061" t="s">
        <v>2260</v>
      </c>
      <c r="DS380" s="1061" t="s">
        <v>2260</v>
      </c>
      <c r="DT380" s="1062" t="s">
        <v>2260</v>
      </c>
      <c r="DU380" s="1054" t="s">
        <v>2260</v>
      </c>
      <c r="DV380" s="1063">
        <v>1</v>
      </c>
      <c r="DW380" s="1064" t="s">
        <v>2260</v>
      </c>
    </row>
    <row r="381" spans="1:127" s="382" customFormat="1" ht="15.75" customHeight="1">
      <c r="A381" s="1066" t="s">
        <v>1157</v>
      </c>
      <c r="B381" s="1026">
        <v>372</v>
      </c>
      <c r="C381" s="987"/>
      <c r="D381" s="987"/>
      <c r="E381" s="987"/>
      <c r="F381" s="987"/>
      <c r="G381" s="987"/>
      <c r="H381" s="987"/>
      <c r="I381" s="987"/>
      <c r="J381" s="987"/>
      <c r="K381" s="987"/>
      <c r="L381" s="987"/>
      <c r="M381" s="1026"/>
      <c r="N381" s="987"/>
      <c r="O381" s="987"/>
      <c r="P381" s="987"/>
      <c r="Q381" s="987"/>
      <c r="R381" s="987"/>
      <c r="S381" s="987"/>
      <c r="T381" s="988"/>
      <c r="U381" s="1067" t="s">
        <v>1232</v>
      </c>
      <c r="V381" s="1068" t="s">
        <v>2570</v>
      </c>
      <c r="W381" s="1068" t="s">
        <v>3467</v>
      </c>
      <c r="X381" s="1069" t="s">
        <v>3468</v>
      </c>
      <c r="Y381" s="1070" t="s">
        <v>203</v>
      </c>
      <c r="Z381" s="1071" t="s">
        <v>2583</v>
      </c>
      <c r="AA381" s="1072" t="s">
        <v>2260</v>
      </c>
      <c r="AB381" s="1073">
        <v>1</v>
      </c>
      <c r="AC381" s="1073" t="s">
        <v>2260</v>
      </c>
      <c r="AD381" s="1073" t="s">
        <v>2260</v>
      </c>
      <c r="AE381" s="1073" t="s">
        <v>2260</v>
      </c>
      <c r="AF381" s="1073" t="s">
        <v>2260</v>
      </c>
      <c r="AG381" s="1073" t="s">
        <v>2260</v>
      </c>
      <c r="AH381" s="1073" t="s">
        <v>2260</v>
      </c>
      <c r="AI381" s="1074">
        <f t="shared" si="5"/>
        <v>1</v>
      </c>
      <c r="AJ381" s="1075" t="s">
        <v>1852</v>
      </c>
      <c r="AK381" s="1075" t="s">
        <v>1826</v>
      </c>
      <c r="AL381" s="1075" t="s">
        <v>1827</v>
      </c>
      <c r="AM381" s="1076" t="s">
        <v>2363</v>
      </c>
      <c r="AN381" s="987" t="s">
        <v>2439</v>
      </c>
      <c r="AO381" s="987" t="s">
        <v>4419</v>
      </c>
      <c r="AP381" s="1276">
        <v>1</v>
      </c>
      <c r="AQ381" s="1045" t="s">
        <v>1838</v>
      </c>
      <c r="AR381" s="1078" t="s">
        <v>203</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210</v>
      </c>
      <c r="CE381" s="1088" t="s">
        <v>210</v>
      </c>
      <c r="CF381" s="1088" t="s">
        <v>210</v>
      </c>
      <c r="CG381" s="1088" t="s">
        <v>210</v>
      </c>
      <c r="CH381" s="1089" t="s">
        <v>210</v>
      </c>
      <c r="CI381" s="1044" t="s">
        <v>2260</v>
      </c>
      <c r="CJ381" s="1045" t="s">
        <v>2260</v>
      </c>
      <c r="CK381" s="1045" t="s">
        <v>2260</v>
      </c>
      <c r="CL381" s="1045" t="s">
        <v>2260</v>
      </c>
      <c r="CM381" s="1086" t="s">
        <v>2260</v>
      </c>
      <c r="CN381" s="1044">
        <v>163</v>
      </c>
      <c r="CO381" s="1045">
        <v>163</v>
      </c>
      <c r="CP381" s="1045">
        <v>163</v>
      </c>
      <c r="CQ381" s="1045">
        <v>163</v>
      </c>
      <c r="CR381" s="1086">
        <v>163</v>
      </c>
      <c r="CS381" s="1044" t="s">
        <v>2260</v>
      </c>
      <c r="CT381" s="1045" t="s">
        <v>2260</v>
      </c>
      <c r="CU381" s="1045" t="s">
        <v>2260</v>
      </c>
      <c r="CV381" s="1045" t="s">
        <v>2260</v>
      </c>
      <c r="CW381" s="1086" t="s">
        <v>2260</v>
      </c>
      <c r="CX381" s="1044" t="s">
        <v>2260</v>
      </c>
      <c r="CY381" s="1045" t="s">
        <v>2260</v>
      </c>
      <c r="CZ381" s="1045" t="s">
        <v>2260</v>
      </c>
      <c r="DA381" s="1045" t="s">
        <v>2260</v>
      </c>
      <c r="DB381" s="1086" t="s">
        <v>2260</v>
      </c>
      <c r="DC381" s="1045">
        <v>101</v>
      </c>
      <c r="DD381" s="1045">
        <v>101</v>
      </c>
      <c r="DE381" s="1045">
        <v>101</v>
      </c>
      <c r="DF381" s="1045">
        <v>101</v>
      </c>
      <c r="DG381" s="1086">
        <v>101</v>
      </c>
      <c r="DH381" s="1044" t="s">
        <v>2260</v>
      </c>
      <c r="DI381" s="1045" t="s">
        <v>2260</v>
      </c>
      <c r="DJ381" s="1045" t="s">
        <v>2260</v>
      </c>
      <c r="DK381" s="1045" t="s">
        <v>2260</v>
      </c>
      <c r="DL381" s="1086" t="s">
        <v>2260</v>
      </c>
      <c r="DM381" s="1090">
        <v>-0.56200000000000006</v>
      </c>
      <c r="DN381" s="1091" t="s">
        <v>2260</v>
      </c>
      <c r="DO381" s="1091" t="s">
        <v>2260</v>
      </c>
      <c r="DP381" s="1092" t="s">
        <v>2260</v>
      </c>
      <c r="DQ381" s="1091">
        <v>0.185</v>
      </c>
      <c r="DR381" s="1091" t="s">
        <v>2260</v>
      </c>
      <c r="DS381" s="1091" t="s">
        <v>2260</v>
      </c>
      <c r="DT381" s="1092" t="s">
        <v>2260</v>
      </c>
      <c r="DU381" s="1088" t="s">
        <v>2260</v>
      </c>
      <c r="DV381" s="1093">
        <v>1</v>
      </c>
      <c r="DW381" s="1094" t="s">
        <v>2260</v>
      </c>
    </row>
    <row r="382" spans="1:127" s="382" customFormat="1" ht="15.75" customHeight="1">
      <c r="A382" s="1066" t="s">
        <v>1157</v>
      </c>
      <c r="B382" s="1026">
        <v>373</v>
      </c>
      <c r="C382" s="987"/>
      <c r="D382" s="987"/>
      <c r="E382" s="987"/>
      <c r="F382" s="987"/>
      <c r="G382" s="987"/>
      <c r="H382" s="987"/>
      <c r="I382" s="987"/>
      <c r="J382" s="987"/>
      <c r="K382" s="987"/>
      <c r="L382" s="987"/>
      <c r="M382" s="1026"/>
      <c r="N382" s="987"/>
      <c r="O382" s="987"/>
      <c r="P382" s="987"/>
      <c r="Q382" s="987"/>
      <c r="R382" s="987"/>
      <c r="S382" s="987"/>
      <c r="T382" s="988"/>
      <c r="U382" s="1067" t="s">
        <v>1233</v>
      </c>
      <c r="V382" s="1068" t="s">
        <v>2570</v>
      </c>
      <c r="W382" s="1068" t="s">
        <v>2231</v>
      </c>
      <c r="X382" s="1069" t="s">
        <v>3470</v>
      </c>
      <c r="Y382" s="1070" t="s">
        <v>209</v>
      </c>
      <c r="Z382" s="1071" t="s">
        <v>2586</v>
      </c>
      <c r="AA382" s="1072">
        <v>0.1</v>
      </c>
      <c r="AB382" s="1073">
        <v>0.9</v>
      </c>
      <c r="AC382" s="1073" t="s">
        <v>2260</v>
      </c>
      <c r="AD382" s="1073" t="s">
        <v>2260</v>
      </c>
      <c r="AE382" s="1073" t="s">
        <v>2260</v>
      </c>
      <c r="AF382" s="1073" t="s">
        <v>2260</v>
      </c>
      <c r="AG382" s="1073" t="s">
        <v>2260</v>
      </c>
      <c r="AH382" s="1073" t="s">
        <v>2260</v>
      </c>
      <c r="AI382" s="1074">
        <f t="shared" si="5"/>
        <v>1</v>
      </c>
      <c r="AJ382" s="1075" t="s">
        <v>1846</v>
      </c>
      <c r="AK382" s="1075" t="s">
        <v>1826</v>
      </c>
      <c r="AL382" s="1075" t="s">
        <v>1827</v>
      </c>
      <c r="AM382" s="1076" t="s">
        <v>2238</v>
      </c>
      <c r="AN382" s="987" t="s">
        <v>321</v>
      </c>
      <c r="AO382" s="987" t="s">
        <v>4418</v>
      </c>
      <c r="AP382" s="1276">
        <v>2</v>
      </c>
      <c r="AQ382" s="1045" t="s">
        <v>1838</v>
      </c>
      <c r="AR382" s="1078" t="s">
        <v>209</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210</v>
      </c>
      <c r="CE382" s="1088" t="s">
        <v>210</v>
      </c>
      <c r="CF382" s="1088" t="s">
        <v>210</v>
      </c>
      <c r="CG382" s="1088" t="s">
        <v>210</v>
      </c>
      <c r="CH382" s="1089" t="s">
        <v>210</v>
      </c>
      <c r="CI382" s="1044" t="s">
        <v>2260</v>
      </c>
      <c r="CJ382" s="1045" t="s">
        <v>2260</v>
      </c>
      <c r="CK382" s="1045" t="s">
        <v>2260</v>
      </c>
      <c r="CL382" s="1045" t="s">
        <v>2260</v>
      </c>
      <c r="CM382" s="1086" t="s">
        <v>2260</v>
      </c>
      <c r="CN382" s="1044">
        <v>4.68</v>
      </c>
      <c r="CO382" s="1045">
        <v>4.68</v>
      </c>
      <c r="CP382" s="1045">
        <v>4.68</v>
      </c>
      <c r="CQ382" s="1045">
        <v>4.68</v>
      </c>
      <c r="CR382" s="1086">
        <v>4.68</v>
      </c>
      <c r="CS382" s="1044" t="s">
        <v>2260</v>
      </c>
      <c r="CT382" s="1045" t="s">
        <v>2260</v>
      </c>
      <c r="CU382" s="1045" t="s">
        <v>2260</v>
      </c>
      <c r="CV382" s="1045" t="s">
        <v>2260</v>
      </c>
      <c r="CW382" s="1086" t="s">
        <v>2260</v>
      </c>
      <c r="CX382" s="1044" t="s">
        <v>2260</v>
      </c>
      <c r="CY382" s="1045" t="s">
        <v>2260</v>
      </c>
      <c r="CZ382" s="1045" t="s">
        <v>2260</v>
      </c>
      <c r="DA382" s="1045" t="s">
        <v>2260</v>
      </c>
      <c r="DB382" s="1086" t="s">
        <v>2260</v>
      </c>
      <c r="DC382" s="1045" t="s">
        <v>2260</v>
      </c>
      <c r="DD382" s="1045" t="s">
        <v>2260</v>
      </c>
      <c r="DE382" s="1045" t="s">
        <v>2260</v>
      </c>
      <c r="DF382" s="1045" t="s">
        <v>2260</v>
      </c>
      <c r="DG382" s="1086" t="s">
        <v>2260</v>
      </c>
      <c r="DH382" s="1044" t="s">
        <v>2260</v>
      </c>
      <c r="DI382" s="1045" t="s">
        <v>2260</v>
      </c>
      <c r="DJ382" s="1045" t="s">
        <v>2260</v>
      </c>
      <c r="DK382" s="1045" t="s">
        <v>2260</v>
      </c>
      <c r="DL382" s="1086" t="s">
        <v>2260</v>
      </c>
      <c r="DM382" s="1090">
        <v>-3.0249999999999999</v>
      </c>
      <c r="DN382" s="1091" t="s">
        <v>2260</v>
      </c>
      <c r="DO382" s="1091" t="s">
        <v>2260</v>
      </c>
      <c r="DP382" s="1092" t="s">
        <v>2260</v>
      </c>
      <c r="DQ382" s="1091" t="s">
        <v>2260</v>
      </c>
      <c r="DR382" s="1091" t="s">
        <v>2260</v>
      </c>
      <c r="DS382" s="1091" t="s">
        <v>2260</v>
      </c>
      <c r="DT382" s="1092" t="s">
        <v>2260</v>
      </c>
      <c r="DU382" s="1088" t="s">
        <v>2260</v>
      </c>
      <c r="DV382" s="1093">
        <v>1</v>
      </c>
      <c r="DW382" s="1094" t="s">
        <v>2260</v>
      </c>
    </row>
    <row r="383" spans="1:127" s="382" customFormat="1" ht="15.75" customHeight="1">
      <c r="A383" s="1066" t="s">
        <v>1157</v>
      </c>
      <c r="B383" s="1026">
        <v>374</v>
      </c>
      <c r="C383" s="987"/>
      <c r="D383" s="987"/>
      <c r="E383" s="987"/>
      <c r="F383" s="987"/>
      <c r="G383" s="987"/>
      <c r="H383" s="987"/>
      <c r="I383" s="987"/>
      <c r="J383" s="987"/>
      <c r="K383" s="987"/>
      <c r="L383" s="987"/>
      <c r="M383" s="1026"/>
      <c r="N383" s="987"/>
      <c r="O383" s="987"/>
      <c r="P383" s="987"/>
      <c r="Q383" s="987"/>
      <c r="R383" s="987"/>
      <c r="S383" s="987"/>
      <c r="T383" s="988"/>
      <c r="U383" s="1067" t="s">
        <v>1238</v>
      </c>
      <c r="V383" s="1068" t="s">
        <v>2570</v>
      </c>
      <c r="W383" s="1068" t="s">
        <v>2231</v>
      </c>
      <c r="X383" s="1069" t="s">
        <v>3471</v>
      </c>
      <c r="Y383" s="1070" t="s">
        <v>567</v>
      </c>
      <c r="Z383" s="1071" t="s">
        <v>2580</v>
      </c>
      <c r="AA383" s="1072">
        <v>1</v>
      </c>
      <c r="AB383" s="1073" t="s">
        <v>2260</v>
      </c>
      <c r="AC383" s="1073" t="s">
        <v>2260</v>
      </c>
      <c r="AD383" s="1073" t="s">
        <v>2260</v>
      </c>
      <c r="AE383" s="1073" t="s">
        <v>2260</v>
      </c>
      <c r="AF383" s="1073" t="s">
        <v>2260</v>
      </c>
      <c r="AG383" s="1073" t="s">
        <v>2260</v>
      </c>
      <c r="AH383" s="1073" t="s">
        <v>2260</v>
      </c>
      <c r="AI383" s="1074">
        <f t="shared" si="5"/>
        <v>1</v>
      </c>
      <c r="AJ383" s="1075" t="s">
        <v>1825</v>
      </c>
      <c r="AK383" s="1075" t="s">
        <v>2260</v>
      </c>
      <c r="AL383" s="1075" t="s">
        <v>2260</v>
      </c>
      <c r="AM383" s="1076" t="s">
        <v>2234</v>
      </c>
      <c r="AN383" s="987" t="s">
        <v>321</v>
      </c>
      <c r="AO383" s="987" t="s">
        <v>4417</v>
      </c>
      <c r="AP383" s="1276">
        <v>1</v>
      </c>
      <c r="AQ383" s="1045" t="s">
        <v>1838</v>
      </c>
      <c r="AR383" s="1078" t="s">
        <v>567</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2260</v>
      </c>
      <c r="CE383" s="1088" t="s">
        <v>2260</v>
      </c>
      <c r="CF383" s="1088" t="s">
        <v>2260</v>
      </c>
      <c r="CG383" s="1088" t="s">
        <v>2260</v>
      </c>
      <c r="CH383" s="1089" t="s">
        <v>2260</v>
      </c>
      <c r="CI383" s="1044" t="s">
        <v>2260</v>
      </c>
      <c r="CJ383" s="1045" t="s">
        <v>2260</v>
      </c>
      <c r="CK383" s="1045" t="s">
        <v>2260</v>
      </c>
      <c r="CL383" s="1045" t="s">
        <v>2260</v>
      </c>
      <c r="CM383" s="1086" t="s">
        <v>2260</v>
      </c>
      <c r="CN383" s="1044" t="s">
        <v>2260</v>
      </c>
      <c r="CO383" s="1045" t="s">
        <v>2260</v>
      </c>
      <c r="CP383" s="1045" t="s">
        <v>2260</v>
      </c>
      <c r="CQ383" s="1045" t="s">
        <v>2260</v>
      </c>
      <c r="CR383" s="1086" t="s">
        <v>2260</v>
      </c>
      <c r="CS383" s="1044" t="s">
        <v>2260</v>
      </c>
      <c r="CT383" s="1045" t="s">
        <v>2260</v>
      </c>
      <c r="CU383" s="1045" t="s">
        <v>2260</v>
      </c>
      <c r="CV383" s="1045" t="s">
        <v>2260</v>
      </c>
      <c r="CW383" s="1086" t="s">
        <v>2260</v>
      </c>
      <c r="CX383" s="1044" t="s">
        <v>2260</v>
      </c>
      <c r="CY383" s="1045" t="s">
        <v>2260</v>
      </c>
      <c r="CZ383" s="1045" t="s">
        <v>2260</v>
      </c>
      <c r="DA383" s="1045" t="s">
        <v>2260</v>
      </c>
      <c r="DB383" s="1086" t="s">
        <v>2260</v>
      </c>
      <c r="DC383" s="1045" t="s">
        <v>2260</v>
      </c>
      <c r="DD383" s="1045" t="s">
        <v>2260</v>
      </c>
      <c r="DE383" s="1045" t="s">
        <v>2260</v>
      </c>
      <c r="DF383" s="1045" t="s">
        <v>2260</v>
      </c>
      <c r="DG383" s="1086" t="s">
        <v>2260</v>
      </c>
      <c r="DH383" s="1044" t="s">
        <v>2260</v>
      </c>
      <c r="DI383" s="1045" t="s">
        <v>2260</v>
      </c>
      <c r="DJ383" s="1045" t="s">
        <v>2260</v>
      </c>
      <c r="DK383" s="1045" t="s">
        <v>2260</v>
      </c>
      <c r="DL383" s="1086" t="s">
        <v>2260</v>
      </c>
      <c r="DM383" s="1090" t="s">
        <v>2260</v>
      </c>
      <c r="DN383" s="1091" t="s">
        <v>2260</v>
      </c>
      <c r="DO383" s="1091" t="s">
        <v>2260</v>
      </c>
      <c r="DP383" s="1092" t="s">
        <v>2260</v>
      </c>
      <c r="DQ383" s="1091" t="s">
        <v>2260</v>
      </c>
      <c r="DR383" s="1091" t="s">
        <v>2260</v>
      </c>
      <c r="DS383" s="1091" t="s">
        <v>2260</v>
      </c>
      <c r="DT383" s="1092" t="s">
        <v>2260</v>
      </c>
      <c r="DU383" s="1088" t="s">
        <v>2260</v>
      </c>
      <c r="DV383" s="1093">
        <v>1</v>
      </c>
      <c r="DW383" s="1094" t="s">
        <v>2260</v>
      </c>
    </row>
    <row r="384" spans="1:127" s="382" customFormat="1" ht="15.75" customHeight="1">
      <c r="A384" s="1066" t="s">
        <v>1157</v>
      </c>
      <c r="B384" s="1026">
        <v>375</v>
      </c>
      <c r="C384" s="987"/>
      <c r="D384" s="987"/>
      <c r="E384" s="987"/>
      <c r="F384" s="987"/>
      <c r="G384" s="987"/>
      <c r="H384" s="987"/>
      <c r="I384" s="987"/>
      <c r="J384" s="987"/>
      <c r="K384" s="987"/>
      <c r="L384" s="987"/>
      <c r="M384" s="1026"/>
      <c r="N384" s="987"/>
      <c r="O384" s="987"/>
      <c r="P384" s="987"/>
      <c r="Q384" s="987"/>
      <c r="R384" s="987"/>
      <c r="S384" s="987"/>
      <c r="T384" s="988"/>
      <c r="U384" s="1067" t="s">
        <v>1382</v>
      </c>
      <c r="V384" s="1068" t="s">
        <v>2570</v>
      </c>
      <c r="W384" s="1068" t="s">
        <v>2217</v>
      </c>
      <c r="X384" s="1069" t="s">
        <v>3473</v>
      </c>
      <c r="Y384" s="1070" t="s">
        <v>3474</v>
      </c>
      <c r="Z384" s="1071" t="s">
        <v>3475</v>
      </c>
      <c r="AA384" s="1072" t="s">
        <v>2260</v>
      </c>
      <c r="AB384" s="1073">
        <v>1</v>
      </c>
      <c r="AC384" s="1073" t="s">
        <v>2260</v>
      </c>
      <c r="AD384" s="1073" t="s">
        <v>2260</v>
      </c>
      <c r="AE384" s="1073" t="s">
        <v>2260</v>
      </c>
      <c r="AF384" s="1073" t="s">
        <v>2260</v>
      </c>
      <c r="AG384" s="1073" t="s">
        <v>2260</v>
      </c>
      <c r="AH384" s="1073" t="s">
        <v>2260</v>
      </c>
      <c r="AI384" s="1074">
        <f t="shared" si="5"/>
        <v>1</v>
      </c>
      <c r="AJ384" s="1075" t="s">
        <v>1852</v>
      </c>
      <c r="AK384" s="1075" t="s">
        <v>1826</v>
      </c>
      <c r="AL384" s="1075" t="s">
        <v>1827</v>
      </c>
      <c r="AM384" s="1076" t="s">
        <v>705</v>
      </c>
      <c r="AN384" s="987" t="s">
        <v>1851</v>
      </c>
      <c r="AO384" s="987" t="s">
        <v>3476</v>
      </c>
      <c r="AP384" s="1285">
        <v>1</v>
      </c>
      <c r="AQ384" s="1045" t="s">
        <v>1838</v>
      </c>
      <c r="AR384" s="1078" t="s">
        <v>2260</v>
      </c>
      <c r="AS384" s="1079"/>
      <c r="AT384" s="1069"/>
      <c r="AU384" s="1069"/>
      <c r="AV384" s="1069"/>
      <c r="AW384" s="1080"/>
      <c r="AX384" s="1081"/>
      <c r="AY384" s="1044"/>
      <c r="AZ384" s="1045"/>
      <c r="BA384" s="1045"/>
      <c r="BB384" s="1045"/>
      <c r="BC384" s="1045"/>
      <c r="BD384" s="1045"/>
      <c r="BE384" s="1045"/>
      <c r="BF384" s="1045"/>
      <c r="BG384" s="1045"/>
      <c r="BH384" s="1045"/>
      <c r="BI384" s="1369"/>
      <c r="BJ384" s="1319"/>
      <c r="BK384" s="1319"/>
      <c r="BL384" s="1319"/>
      <c r="BM384" s="1319"/>
      <c r="BN384" s="1044"/>
      <c r="BO384" s="1045"/>
      <c r="BP384" s="1045"/>
      <c r="BQ384" s="1045"/>
      <c r="BR384" s="1045"/>
      <c r="BS384" s="1084"/>
      <c r="BT384" s="1045"/>
      <c r="BU384" s="1045"/>
      <c r="BV384" s="1045"/>
      <c r="BW384" s="1085"/>
      <c r="BX384" s="1084"/>
      <c r="BY384" s="1045"/>
      <c r="BZ384" s="1045"/>
      <c r="CA384" s="1045"/>
      <c r="CB384" s="1085"/>
      <c r="CC384" s="1086"/>
      <c r="CD384" s="1327"/>
      <c r="CE384" s="1328"/>
      <c r="CF384" s="1328"/>
      <c r="CG384" s="1328"/>
      <c r="CH384" s="1389"/>
      <c r="CI384" s="1369"/>
      <c r="CJ384" s="1319"/>
      <c r="CK384" s="1319"/>
      <c r="CL384" s="1319"/>
      <c r="CM384" s="1320"/>
      <c r="CN384" s="1369"/>
      <c r="CO384" s="1319"/>
      <c r="CP384" s="1319"/>
      <c r="CQ384" s="1319"/>
      <c r="CR384" s="1320"/>
      <c r="CS384" s="1369"/>
      <c r="CT384" s="1319"/>
      <c r="CU384" s="1319"/>
      <c r="CV384" s="1319"/>
      <c r="CW384" s="1320"/>
      <c r="CX384" s="1369"/>
      <c r="CY384" s="1319"/>
      <c r="CZ384" s="1319"/>
      <c r="DA384" s="1319"/>
      <c r="DB384" s="1320"/>
      <c r="DC384" s="1319"/>
      <c r="DD384" s="1319"/>
      <c r="DE384" s="1319"/>
      <c r="DF384" s="1319"/>
      <c r="DG384" s="1320"/>
      <c r="DH384" s="1369"/>
      <c r="DI384" s="1319"/>
      <c r="DJ384" s="1319"/>
      <c r="DK384" s="1319"/>
      <c r="DL384" s="1320"/>
      <c r="DM384" s="1743"/>
      <c r="DN384" s="1744"/>
      <c r="DO384" s="1744"/>
      <c r="DP384" s="1745"/>
      <c r="DQ384" s="1744"/>
      <c r="DR384" s="1744"/>
      <c r="DS384" s="1744"/>
      <c r="DT384" s="1745"/>
      <c r="DU384" s="1328"/>
      <c r="DV384" s="1664"/>
      <c r="DW384" s="1746"/>
    </row>
    <row r="385" spans="1:127" s="382" customFormat="1" ht="15.75" customHeight="1">
      <c r="A385" s="1066" t="s">
        <v>1157</v>
      </c>
      <c r="B385" s="1026">
        <v>376</v>
      </c>
      <c r="C385" s="987"/>
      <c r="D385" s="987"/>
      <c r="E385" s="987"/>
      <c r="F385" s="987"/>
      <c r="G385" s="987"/>
      <c r="H385" s="987"/>
      <c r="I385" s="987"/>
      <c r="J385" s="987"/>
      <c r="K385" s="987"/>
      <c r="L385" s="987"/>
      <c r="M385" s="1026"/>
      <c r="N385" s="987"/>
      <c r="O385" s="987"/>
      <c r="P385" s="987"/>
      <c r="Q385" s="987"/>
      <c r="R385" s="987"/>
      <c r="S385" s="987"/>
      <c r="T385" s="988"/>
      <c r="U385" s="1067" t="s">
        <v>1399</v>
      </c>
      <c r="V385" s="1068" t="s">
        <v>2570</v>
      </c>
      <c r="W385" s="1068" t="s">
        <v>2217</v>
      </c>
      <c r="X385" s="1069" t="s">
        <v>3477</v>
      </c>
      <c r="Y385" s="1070" t="s">
        <v>3478</v>
      </c>
      <c r="Z385" s="1071" t="s">
        <v>3479</v>
      </c>
      <c r="AA385" s="1072" t="s">
        <v>2260</v>
      </c>
      <c r="AB385" s="1073">
        <v>1</v>
      </c>
      <c r="AC385" s="1073" t="s">
        <v>2260</v>
      </c>
      <c r="AD385" s="1073" t="s">
        <v>2260</v>
      </c>
      <c r="AE385" s="1073" t="s">
        <v>2260</v>
      </c>
      <c r="AF385" s="1073" t="s">
        <v>2260</v>
      </c>
      <c r="AG385" s="1073" t="s">
        <v>2260</v>
      </c>
      <c r="AH385" s="1073" t="s">
        <v>2260</v>
      </c>
      <c r="AI385" s="1074">
        <f t="shared" si="5"/>
        <v>1</v>
      </c>
      <c r="AJ385" s="1075" t="s">
        <v>1852</v>
      </c>
      <c r="AK385" s="1075" t="s">
        <v>1826</v>
      </c>
      <c r="AL385" s="1075" t="s">
        <v>1827</v>
      </c>
      <c r="AM385" s="1076" t="s">
        <v>2297</v>
      </c>
      <c r="AN385" s="987" t="s">
        <v>1857</v>
      </c>
      <c r="AO385" s="987" t="s">
        <v>3480</v>
      </c>
      <c r="AP385" s="1285">
        <v>0</v>
      </c>
      <c r="AQ385" s="1045" t="s">
        <v>1838</v>
      </c>
      <c r="AR385" s="1078" t="s">
        <v>2260</v>
      </c>
      <c r="AS385" s="1079"/>
      <c r="AT385" s="1069"/>
      <c r="AU385" s="1069"/>
      <c r="AV385" s="1069"/>
      <c r="AW385" s="1080"/>
      <c r="AX385" s="1081"/>
      <c r="AY385" s="1044"/>
      <c r="AZ385" s="1045"/>
      <c r="BA385" s="1045"/>
      <c r="BB385" s="1045"/>
      <c r="BC385" s="1045"/>
      <c r="BD385" s="1045"/>
      <c r="BE385" s="1045"/>
      <c r="BF385" s="1045"/>
      <c r="BG385" s="1045"/>
      <c r="BH385" s="1045"/>
      <c r="BI385" s="1369"/>
      <c r="BJ385" s="1319"/>
      <c r="BK385" s="1319"/>
      <c r="BL385" s="1319"/>
      <c r="BM385" s="1319"/>
      <c r="BN385" s="1044"/>
      <c r="BO385" s="1045"/>
      <c r="BP385" s="1045"/>
      <c r="BQ385" s="1045"/>
      <c r="BR385" s="1045"/>
      <c r="BS385" s="1084"/>
      <c r="BT385" s="1045"/>
      <c r="BU385" s="1045"/>
      <c r="BV385" s="1045"/>
      <c r="BW385" s="1085"/>
      <c r="BX385" s="1084"/>
      <c r="BY385" s="1045"/>
      <c r="BZ385" s="1045"/>
      <c r="CA385" s="1045"/>
      <c r="CB385" s="1085"/>
      <c r="CC385" s="1086"/>
      <c r="CD385" s="1327"/>
      <c r="CE385" s="1328"/>
      <c r="CF385" s="1328"/>
      <c r="CG385" s="1328"/>
      <c r="CH385" s="1389"/>
      <c r="CI385" s="1369"/>
      <c r="CJ385" s="1319"/>
      <c r="CK385" s="1319"/>
      <c r="CL385" s="1319"/>
      <c r="CM385" s="1320"/>
      <c r="CN385" s="1369"/>
      <c r="CO385" s="1319"/>
      <c r="CP385" s="1319"/>
      <c r="CQ385" s="1319"/>
      <c r="CR385" s="1320"/>
      <c r="CS385" s="1369"/>
      <c r="CT385" s="1319"/>
      <c r="CU385" s="1319"/>
      <c r="CV385" s="1319"/>
      <c r="CW385" s="1320"/>
      <c r="CX385" s="1369"/>
      <c r="CY385" s="1319"/>
      <c r="CZ385" s="1319"/>
      <c r="DA385" s="1319"/>
      <c r="DB385" s="1320"/>
      <c r="DC385" s="1319"/>
      <c r="DD385" s="1319"/>
      <c r="DE385" s="1319"/>
      <c r="DF385" s="1319"/>
      <c r="DG385" s="1320"/>
      <c r="DH385" s="1369"/>
      <c r="DI385" s="1319"/>
      <c r="DJ385" s="1319"/>
      <c r="DK385" s="1319"/>
      <c r="DL385" s="1320"/>
      <c r="DM385" s="1743"/>
      <c r="DN385" s="1744"/>
      <c r="DO385" s="1744"/>
      <c r="DP385" s="1745"/>
      <c r="DQ385" s="1744"/>
      <c r="DR385" s="1744"/>
      <c r="DS385" s="1744"/>
      <c r="DT385" s="1745"/>
      <c r="DU385" s="1328"/>
      <c r="DV385" s="1664"/>
      <c r="DW385" s="1746"/>
    </row>
    <row r="386" spans="1:127" s="382" customFormat="1" ht="15.75" customHeight="1">
      <c r="A386" s="1066" t="s">
        <v>1157</v>
      </c>
      <c r="B386" s="1026">
        <v>377</v>
      </c>
      <c r="C386" s="987"/>
      <c r="D386" s="987"/>
      <c r="E386" s="987"/>
      <c r="F386" s="987"/>
      <c r="G386" s="987"/>
      <c r="H386" s="987"/>
      <c r="I386" s="987"/>
      <c r="J386" s="987"/>
      <c r="K386" s="987"/>
      <c r="L386" s="987"/>
      <c r="M386" s="1026"/>
      <c r="N386" s="987"/>
      <c r="O386" s="987"/>
      <c r="P386" s="987"/>
      <c r="Q386" s="987"/>
      <c r="R386" s="987"/>
      <c r="S386" s="987"/>
      <c r="T386" s="988"/>
      <c r="U386" s="1067" t="s">
        <v>1416</v>
      </c>
      <c r="V386" s="1068" t="s">
        <v>2570</v>
      </c>
      <c r="W386" s="1068" t="s">
        <v>2231</v>
      </c>
      <c r="X386" s="1069" t="s">
        <v>3481</v>
      </c>
      <c r="Y386" s="1070" t="s">
        <v>2540</v>
      </c>
      <c r="Z386" s="1071" t="s">
        <v>3482</v>
      </c>
      <c r="AA386" s="1072">
        <v>1</v>
      </c>
      <c r="AB386" s="1073" t="s">
        <v>2260</v>
      </c>
      <c r="AC386" s="1073" t="s">
        <v>2260</v>
      </c>
      <c r="AD386" s="1073" t="s">
        <v>2260</v>
      </c>
      <c r="AE386" s="1073" t="s">
        <v>2260</v>
      </c>
      <c r="AF386" s="1073" t="s">
        <v>2260</v>
      </c>
      <c r="AG386" s="1073" t="s">
        <v>2260</v>
      </c>
      <c r="AH386" s="1073" t="s">
        <v>2260</v>
      </c>
      <c r="AI386" s="1074">
        <f t="shared" si="5"/>
        <v>1</v>
      </c>
      <c r="AJ386" s="1075" t="s">
        <v>1852</v>
      </c>
      <c r="AK386" s="1075" t="s">
        <v>1826</v>
      </c>
      <c r="AL386" s="1075" t="s">
        <v>1827</v>
      </c>
      <c r="AM386" s="1076" t="s">
        <v>2290</v>
      </c>
      <c r="AN386" s="987" t="s">
        <v>1857</v>
      </c>
      <c r="AO386" s="987" t="s">
        <v>2542</v>
      </c>
      <c r="AP386" s="1285">
        <v>0</v>
      </c>
      <c r="AQ386" s="1045" t="s">
        <v>1838</v>
      </c>
      <c r="AR386" s="1078" t="s">
        <v>2260</v>
      </c>
      <c r="AS386" s="1079"/>
      <c r="AT386" s="1069"/>
      <c r="AU386" s="1069"/>
      <c r="AV386" s="1069"/>
      <c r="AW386" s="1080"/>
      <c r="AX386" s="1081"/>
      <c r="AY386" s="1044"/>
      <c r="AZ386" s="1045"/>
      <c r="BA386" s="1045"/>
      <c r="BB386" s="1045"/>
      <c r="BC386" s="1045"/>
      <c r="BD386" s="1045"/>
      <c r="BE386" s="1045"/>
      <c r="BF386" s="1045"/>
      <c r="BG386" s="1045"/>
      <c r="BH386" s="1045"/>
      <c r="BI386" s="1369"/>
      <c r="BJ386" s="1319"/>
      <c r="BK386" s="1319"/>
      <c r="BL386" s="1319"/>
      <c r="BM386" s="1319"/>
      <c r="BN386" s="1044"/>
      <c r="BO386" s="1045"/>
      <c r="BP386" s="1045"/>
      <c r="BQ386" s="1045"/>
      <c r="BR386" s="1045"/>
      <c r="BS386" s="1084"/>
      <c r="BT386" s="1045"/>
      <c r="BU386" s="1045"/>
      <c r="BV386" s="1045"/>
      <c r="BW386" s="1085"/>
      <c r="BX386" s="1084"/>
      <c r="BY386" s="1045"/>
      <c r="BZ386" s="1045"/>
      <c r="CA386" s="1045"/>
      <c r="CB386" s="1085"/>
      <c r="CC386" s="1086"/>
      <c r="CD386" s="1327"/>
      <c r="CE386" s="1328"/>
      <c r="CF386" s="1328"/>
      <c r="CG386" s="1328"/>
      <c r="CH386" s="1389"/>
      <c r="CI386" s="1369"/>
      <c r="CJ386" s="1319"/>
      <c r="CK386" s="1319"/>
      <c r="CL386" s="1319"/>
      <c r="CM386" s="1320"/>
      <c r="CN386" s="1369"/>
      <c r="CO386" s="1319"/>
      <c r="CP386" s="1319"/>
      <c r="CQ386" s="1319"/>
      <c r="CR386" s="1320"/>
      <c r="CS386" s="1369"/>
      <c r="CT386" s="1319"/>
      <c r="CU386" s="1319"/>
      <c r="CV386" s="1319"/>
      <c r="CW386" s="1320"/>
      <c r="CX386" s="1369"/>
      <c r="CY386" s="1319"/>
      <c r="CZ386" s="1319"/>
      <c r="DA386" s="1319"/>
      <c r="DB386" s="1320"/>
      <c r="DC386" s="1319"/>
      <c r="DD386" s="1319"/>
      <c r="DE386" s="1319"/>
      <c r="DF386" s="1319"/>
      <c r="DG386" s="1320"/>
      <c r="DH386" s="1369"/>
      <c r="DI386" s="1319"/>
      <c r="DJ386" s="1319"/>
      <c r="DK386" s="1319"/>
      <c r="DL386" s="1320"/>
      <c r="DM386" s="1743"/>
      <c r="DN386" s="1744"/>
      <c r="DO386" s="1744"/>
      <c r="DP386" s="1745"/>
      <c r="DQ386" s="1744"/>
      <c r="DR386" s="1744"/>
      <c r="DS386" s="1744"/>
      <c r="DT386" s="1745"/>
      <c r="DU386" s="1328"/>
      <c r="DV386" s="1664"/>
      <c r="DW386" s="1746"/>
    </row>
    <row r="387" spans="1:127" s="382" customFormat="1" ht="15.75" customHeight="1">
      <c r="A387" s="1066" t="s">
        <v>1157</v>
      </c>
      <c r="B387" s="1026">
        <v>378</v>
      </c>
      <c r="C387" s="987"/>
      <c r="D387" s="987"/>
      <c r="E387" s="987"/>
      <c r="F387" s="987"/>
      <c r="G387" s="987"/>
      <c r="H387" s="987"/>
      <c r="I387" s="987"/>
      <c r="J387" s="987"/>
      <c r="K387" s="987"/>
      <c r="L387" s="987"/>
      <c r="M387" s="1026"/>
      <c r="N387" s="987"/>
      <c r="O387" s="987"/>
      <c r="P387" s="987"/>
      <c r="Q387" s="987"/>
      <c r="R387" s="987"/>
      <c r="S387" s="987"/>
      <c r="T387" s="988"/>
      <c r="U387" s="1067" t="s">
        <v>1432</v>
      </c>
      <c r="V387" s="1068" t="s">
        <v>2570</v>
      </c>
      <c r="W387" s="1068" t="s">
        <v>2217</v>
      </c>
      <c r="X387" s="1069" t="s">
        <v>3483</v>
      </c>
      <c r="Y387" s="1070" t="s">
        <v>3484</v>
      </c>
      <c r="Z387" s="1071" t="s">
        <v>3485</v>
      </c>
      <c r="AA387" s="1072" t="s">
        <v>2260</v>
      </c>
      <c r="AB387" s="1073">
        <v>1</v>
      </c>
      <c r="AC387" s="1073" t="s">
        <v>2260</v>
      </c>
      <c r="AD387" s="1073" t="s">
        <v>2260</v>
      </c>
      <c r="AE387" s="1073" t="s">
        <v>2260</v>
      </c>
      <c r="AF387" s="1073" t="s">
        <v>2260</v>
      </c>
      <c r="AG387" s="1073" t="s">
        <v>2260</v>
      </c>
      <c r="AH387" s="1073" t="s">
        <v>2260</v>
      </c>
      <c r="AI387" s="1074">
        <f t="shared" si="5"/>
        <v>1</v>
      </c>
      <c r="AJ387" s="1075" t="s">
        <v>1852</v>
      </c>
      <c r="AK387" s="1075" t="s">
        <v>1836</v>
      </c>
      <c r="AL387" s="1075" t="s">
        <v>1837</v>
      </c>
      <c r="AM387" s="1076" t="s">
        <v>2234</v>
      </c>
      <c r="AN387" s="987" t="s">
        <v>321</v>
      </c>
      <c r="AO387" s="987" t="s">
        <v>3486</v>
      </c>
      <c r="AP387" s="1285">
        <v>1</v>
      </c>
      <c r="AQ387" s="1045" t="s">
        <v>1828</v>
      </c>
      <c r="AR387" s="1078" t="s">
        <v>2260</v>
      </c>
      <c r="AS387" s="1079"/>
      <c r="AT387" s="1069"/>
      <c r="AU387" s="1069"/>
      <c r="AV387" s="1069"/>
      <c r="AW387" s="1080"/>
      <c r="AX387" s="1081"/>
      <c r="AY387" s="1044"/>
      <c r="AZ387" s="1045"/>
      <c r="BA387" s="1045"/>
      <c r="BB387" s="1045"/>
      <c r="BC387" s="1045"/>
      <c r="BD387" s="1045"/>
      <c r="BE387" s="1045"/>
      <c r="BF387" s="1045"/>
      <c r="BG387" s="1045"/>
      <c r="BH387" s="1045"/>
      <c r="BI387" s="1369"/>
      <c r="BJ387" s="1319"/>
      <c r="BK387" s="1319"/>
      <c r="BL387" s="1319"/>
      <c r="BM387" s="1319"/>
      <c r="BN387" s="1044"/>
      <c r="BO387" s="1045"/>
      <c r="BP387" s="1045"/>
      <c r="BQ387" s="1045"/>
      <c r="BR387" s="1045"/>
      <c r="BS387" s="1084"/>
      <c r="BT387" s="1045"/>
      <c r="BU387" s="1045"/>
      <c r="BV387" s="1045"/>
      <c r="BW387" s="1085"/>
      <c r="BX387" s="1084"/>
      <c r="BY387" s="1045"/>
      <c r="BZ387" s="1045"/>
      <c r="CA387" s="1045"/>
      <c r="CB387" s="1085"/>
      <c r="CC387" s="1086"/>
      <c r="CD387" s="1327"/>
      <c r="CE387" s="1328"/>
      <c r="CF387" s="1328"/>
      <c r="CG387" s="1328"/>
      <c r="CH387" s="1389"/>
      <c r="CI387" s="1369"/>
      <c r="CJ387" s="1319"/>
      <c r="CK387" s="1319"/>
      <c r="CL387" s="1319"/>
      <c r="CM387" s="1320"/>
      <c r="CN387" s="1369"/>
      <c r="CO387" s="1319"/>
      <c r="CP387" s="1319"/>
      <c r="CQ387" s="1319"/>
      <c r="CR387" s="1320"/>
      <c r="CS387" s="1369"/>
      <c r="CT387" s="1319"/>
      <c r="CU387" s="1319"/>
      <c r="CV387" s="1319"/>
      <c r="CW387" s="1320"/>
      <c r="CX387" s="1369"/>
      <c r="CY387" s="1319"/>
      <c r="CZ387" s="1319"/>
      <c r="DA387" s="1319"/>
      <c r="DB387" s="1320"/>
      <c r="DC387" s="1319"/>
      <c r="DD387" s="1319"/>
      <c r="DE387" s="1319"/>
      <c r="DF387" s="1319"/>
      <c r="DG387" s="1320"/>
      <c r="DH387" s="1369"/>
      <c r="DI387" s="1319"/>
      <c r="DJ387" s="1319"/>
      <c r="DK387" s="1319"/>
      <c r="DL387" s="1320"/>
      <c r="DM387" s="1743"/>
      <c r="DN387" s="1744"/>
      <c r="DO387" s="1744"/>
      <c r="DP387" s="1745"/>
      <c r="DQ387" s="1744"/>
      <c r="DR387" s="1744"/>
      <c r="DS387" s="1744"/>
      <c r="DT387" s="1745"/>
      <c r="DU387" s="1328"/>
      <c r="DV387" s="1664"/>
      <c r="DW387" s="1746"/>
    </row>
    <row r="388" spans="1:127" s="382" customFormat="1" ht="15.75" customHeight="1">
      <c r="A388" s="1066" t="s">
        <v>1157</v>
      </c>
      <c r="B388" s="1026">
        <v>379</v>
      </c>
      <c r="C388" s="987"/>
      <c r="D388" s="987"/>
      <c r="E388" s="987"/>
      <c r="F388" s="987"/>
      <c r="G388" s="987"/>
      <c r="H388" s="987"/>
      <c r="I388" s="987"/>
      <c r="J388" s="987"/>
      <c r="K388" s="987"/>
      <c r="L388" s="987"/>
      <c r="M388" s="1026"/>
      <c r="N388" s="987"/>
      <c r="O388" s="987"/>
      <c r="P388" s="987"/>
      <c r="Q388" s="987"/>
      <c r="R388" s="987"/>
      <c r="S388" s="987"/>
      <c r="T388" s="988"/>
      <c r="U388" s="1067" t="s">
        <v>1447</v>
      </c>
      <c r="V388" s="1068" t="s">
        <v>2570</v>
      </c>
      <c r="W388" s="1068" t="s">
        <v>2231</v>
      </c>
      <c r="X388" s="1069" t="s">
        <v>3487</v>
      </c>
      <c r="Y388" s="1070" t="s">
        <v>3488</v>
      </c>
      <c r="Z388" s="1071" t="s">
        <v>3489</v>
      </c>
      <c r="AA388" s="1072" t="s">
        <v>2260</v>
      </c>
      <c r="AB388" s="1073">
        <v>0.75</v>
      </c>
      <c r="AC388" s="1073" t="s">
        <v>2260</v>
      </c>
      <c r="AD388" s="1073" t="s">
        <v>2260</v>
      </c>
      <c r="AE388" s="1073">
        <v>0.25</v>
      </c>
      <c r="AF388" s="1073" t="s">
        <v>2260</v>
      </c>
      <c r="AG388" s="1073" t="s">
        <v>2260</v>
      </c>
      <c r="AH388" s="1073" t="s">
        <v>2260</v>
      </c>
      <c r="AI388" s="1074">
        <f t="shared" si="5"/>
        <v>1</v>
      </c>
      <c r="AJ388" s="1075" t="s">
        <v>1852</v>
      </c>
      <c r="AK388" s="1075" t="s">
        <v>1826</v>
      </c>
      <c r="AL388" s="1075" t="s">
        <v>1827</v>
      </c>
      <c r="AM388" s="1076" t="s">
        <v>2297</v>
      </c>
      <c r="AN388" s="987" t="s">
        <v>321</v>
      </c>
      <c r="AO388" s="987" t="s">
        <v>2016</v>
      </c>
      <c r="AP388" s="1285">
        <v>1</v>
      </c>
      <c r="AQ388" s="1045" t="s">
        <v>1828</v>
      </c>
      <c r="AR388" s="1078" t="s">
        <v>2260</v>
      </c>
      <c r="AS388" s="1079"/>
      <c r="AT388" s="1069"/>
      <c r="AU388" s="1069"/>
      <c r="AV388" s="1069"/>
      <c r="AW388" s="1080"/>
      <c r="AX388" s="1081"/>
      <c r="AY388" s="1044"/>
      <c r="AZ388" s="1045"/>
      <c r="BA388" s="1045"/>
      <c r="BB388" s="1045"/>
      <c r="BC388" s="1045"/>
      <c r="BD388" s="1045"/>
      <c r="BE388" s="1045"/>
      <c r="BF388" s="1045"/>
      <c r="BG388" s="1045"/>
      <c r="BH388" s="1045"/>
      <c r="BI388" s="1369"/>
      <c r="BJ388" s="1319"/>
      <c r="BK388" s="1319"/>
      <c r="BL388" s="1319"/>
      <c r="BM388" s="1319"/>
      <c r="BN388" s="1044"/>
      <c r="BO388" s="1045"/>
      <c r="BP388" s="1045"/>
      <c r="BQ388" s="1045"/>
      <c r="BR388" s="1045"/>
      <c r="BS388" s="1084"/>
      <c r="BT388" s="1045"/>
      <c r="BU388" s="1045"/>
      <c r="BV388" s="1045"/>
      <c r="BW388" s="1085"/>
      <c r="BX388" s="1084"/>
      <c r="BY388" s="1045"/>
      <c r="BZ388" s="1045"/>
      <c r="CA388" s="1045"/>
      <c r="CB388" s="1085"/>
      <c r="CC388" s="1086"/>
      <c r="CD388" s="1327"/>
      <c r="CE388" s="1328"/>
      <c r="CF388" s="1328"/>
      <c r="CG388" s="1328"/>
      <c r="CH388" s="1389"/>
      <c r="CI388" s="1369"/>
      <c r="CJ388" s="1319"/>
      <c r="CK388" s="1319"/>
      <c r="CL388" s="1319"/>
      <c r="CM388" s="1320"/>
      <c r="CN388" s="1369"/>
      <c r="CO388" s="1319"/>
      <c r="CP388" s="1319"/>
      <c r="CQ388" s="1319"/>
      <c r="CR388" s="1320"/>
      <c r="CS388" s="1369"/>
      <c r="CT388" s="1319"/>
      <c r="CU388" s="1319"/>
      <c r="CV388" s="1319"/>
      <c r="CW388" s="1320"/>
      <c r="CX388" s="1369"/>
      <c r="CY388" s="1319"/>
      <c r="CZ388" s="1319"/>
      <c r="DA388" s="1319"/>
      <c r="DB388" s="1320"/>
      <c r="DC388" s="1319"/>
      <c r="DD388" s="1319"/>
      <c r="DE388" s="1319"/>
      <c r="DF388" s="1319"/>
      <c r="DG388" s="1320"/>
      <c r="DH388" s="1369"/>
      <c r="DI388" s="1319"/>
      <c r="DJ388" s="1319"/>
      <c r="DK388" s="1319"/>
      <c r="DL388" s="1320"/>
      <c r="DM388" s="1743"/>
      <c r="DN388" s="1744"/>
      <c r="DO388" s="1744"/>
      <c r="DP388" s="1745"/>
      <c r="DQ388" s="1744"/>
      <c r="DR388" s="1744"/>
      <c r="DS388" s="1744"/>
      <c r="DT388" s="1745"/>
      <c r="DU388" s="1328"/>
      <c r="DV388" s="1664"/>
      <c r="DW388" s="1746"/>
    </row>
    <row r="389" spans="1:127" s="382" customFormat="1" ht="15.75" customHeight="1">
      <c r="A389" s="1066" t="s">
        <v>1157</v>
      </c>
      <c r="B389" s="1026">
        <v>380</v>
      </c>
      <c r="C389" s="987"/>
      <c r="D389" s="987" t="s">
        <v>2381</v>
      </c>
      <c r="E389" s="987"/>
      <c r="F389" s="987"/>
      <c r="G389" s="987"/>
      <c r="H389" s="987"/>
      <c r="I389" s="987"/>
      <c r="J389" s="987"/>
      <c r="K389" s="987"/>
      <c r="L389" s="987"/>
      <c r="M389" s="1026"/>
      <c r="N389" s="987"/>
      <c r="O389" s="987"/>
      <c r="P389" s="987"/>
      <c r="Q389" s="987"/>
      <c r="R389" s="987"/>
      <c r="S389" s="987"/>
      <c r="T389" s="988"/>
      <c r="U389" s="1067" t="s">
        <v>1459</v>
      </c>
      <c r="V389" s="1068" t="s">
        <v>2570</v>
      </c>
      <c r="W389" s="1068" t="s">
        <v>2231</v>
      </c>
      <c r="X389" s="1069" t="s">
        <v>3490</v>
      </c>
      <c r="Y389" s="1070" t="s">
        <v>3491</v>
      </c>
      <c r="Z389" s="1071" t="s">
        <v>3492</v>
      </c>
      <c r="AA389" s="1072">
        <v>1</v>
      </c>
      <c r="AB389" s="1073" t="s">
        <v>2260</v>
      </c>
      <c r="AC389" s="1073" t="s">
        <v>2260</v>
      </c>
      <c r="AD389" s="1073" t="s">
        <v>2260</v>
      </c>
      <c r="AE389" s="1073" t="s">
        <v>2260</v>
      </c>
      <c r="AF389" s="1073" t="s">
        <v>2260</v>
      </c>
      <c r="AG389" s="1073" t="s">
        <v>2260</v>
      </c>
      <c r="AH389" s="1073" t="s">
        <v>2260</v>
      </c>
      <c r="AI389" s="1074">
        <f t="shared" si="5"/>
        <v>1</v>
      </c>
      <c r="AJ389" s="1075" t="s">
        <v>1846</v>
      </c>
      <c r="AK389" s="1075" t="s">
        <v>1836</v>
      </c>
      <c r="AL389" s="1075" t="s">
        <v>1837</v>
      </c>
      <c r="AM389" s="1076" t="s">
        <v>2698</v>
      </c>
      <c r="AN389" s="987" t="s">
        <v>1857</v>
      </c>
      <c r="AO389" s="987" t="s">
        <v>2508</v>
      </c>
      <c r="AP389" s="1285">
        <v>1</v>
      </c>
      <c r="AQ389" s="1045" t="s">
        <v>1828</v>
      </c>
      <c r="AR389" s="1078" t="s">
        <v>2260</v>
      </c>
      <c r="AS389" s="1079"/>
      <c r="AT389" s="1069"/>
      <c r="AU389" s="1069"/>
      <c r="AV389" s="1069"/>
      <c r="AW389" s="1080"/>
      <c r="AX389" s="1081"/>
      <c r="AY389" s="1044"/>
      <c r="AZ389" s="1045"/>
      <c r="BA389" s="1045"/>
      <c r="BB389" s="1045"/>
      <c r="BC389" s="1045"/>
      <c r="BD389" s="1045"/>
      <c r="BE389" s="1045"/>
      <c r="BF389" s="1045"/>
      <c r="BG389" s="1045"/>
      <c r="BH389" s="1045"/>
      <c r="BI389" s="1369"/>
      <c r="BJ389" s="1319"/>
      <c r="BK389" s="1319"/>
      <c r="BL389" s="1319"/>
      <c r="BM389" s="1319"/>
      <c r="BN389" s="1044"/>
      <c r="BO389" s="1045"/>
      <c r="BP389" s="1045"/>
      <c r="BQ389" s="1045"/>
      <c r="BR389" s="1045"/>
      <c r="BS389" s="1084"/>
      <c r="BT389" s="1045"/>
      <c r="BU389" s="1045"/>
      <c r="BV389" s="1045"/>
      <c r="BW389" s="1085"/>
      <c r="BX389" s="1084"/>
      <c r="BY389" s="1045"/>
      <c r="BZ389" s="1045"/>
      <c r="CA389" s="1045"/>
      <c r="CB389" s="1085"/>
      <c r="CC389" s="1086"/>
      <c r="CD389" s="1327"/>
      <c r="CE389" s="1328"/>
      <c r="CF389" s="1328"/>
      <c r="CG389" s="1328"/>
      <c r="CH389" s="1389"/>
      <c r="CI389" s="1369"/>
      <c r="CJ389" s="1319"/>
      <c r="CK389" s="1319"/>
      <c r="CL389" s="1319"/>
      <c r="CM389" s="1320"/>
      <c r="CN389" s="1369"/>
      <c r="CO389" s="1319"/>
      <c r="CP389" s="1319"/>
      <c r="CQ389" s="1319"/>
      <c r="CR389" s="1320"/>
      <c r="CS389" s="1369"/>
      <c r="CT389" s="1319"/>
      <c r="CU389" s="1319"/>
      <c r="CV389" s="1319"/>
      <c r="CW389" s="1320"/>
      <c r="CX389" s="1369"/>
      <c r="CY389" s="1319"/>
      <c r="CZ389" s="1319"/>
      <c r="DA389" s="1319"/>
      <c r="DB389" s="1320"/>
      <c r="DC389" s="1319"/>
      <c r="DD389" s="1319"/>
      <c r="DE389" s="1319"/>
      <c r="DF389" s="1319"/>
      <c r="DG389" s="1320"/>
      <c r="DH389" s="1369"/>
      <c r="DI389" s="1319"/>
      <c r="DJ389" s="1319"/>
      <c r="DK389" s="1319"/>
      <c r="DL389" s="1320"/>
      <c r="DM389" s="1743"/>
      <c r="DN389" s="1744"/>
      <c r="DO389" s="1744"/>
      <c r="DP389" s="1745"/>
      <c r="DQ389" s="1744"/>
      <c r="DR389" s="1744"/>
      <c r="DS389" s="1744"/>
      <c r="DT389" s="1745"/>
      <c r="DU389" s="1328"/>
      <c r="DV389" s="1664"/>
      <c r="DW389" s="1746"/>
    </row>
    <row r="390" spans="1:127" s="382" customFormat="1" ht="15.75" customHeight="1">
      <c r="A390" s="1066" t="s">
        <v>1157</v>
      </c>
      <c r="B390" s="1026">
        <v>381</v>
      </c>
      <c r="C390" s="987"/>
      <c r="D390" s="987"/>
      <c r="E390" s="987"/>
      <c r="F390" s="987"/>
      <c r="G390" s="987"/>
      <c r="H390" s="987"/>
      <c r="I390" s="987"/>
      <c r="J390" s="987"/>
      <c r="K390" s="987"/>
      <c r="L390" s="987"/>
      <c r="M390" s="1026"/>
      <c r="N390" s="987"/>
      <c r="O390" s="987"/>
      <c r="P390" s="987"/>
      <c r="Q390" s="987"/>
      <c r="R390" s="987"/>
      <c r="S390" s="987"/>
      <c r="T390" s="988"/>
      <c r="U390" s="1067" t="s">
        <v>1468</v>
      </c>
      <c r="V390" s="1068" t="s">
        <v>2570</v>
      </c>
      <c r="W390" s="1068" t="s">
        <v>2231</v>
      </c>
      <c r="X390" s="1069" t="s">
        <v>3493</v>
      </c>
      <c r="Y390" s="1070" t="s">
        <v>3494</v>
      </c>
      <c r="Z390" s="1071" t="s">
        <v>3495</v>
      </c>
      <c r="AA390" s="1072">
        <v>1</v>
      </c>
      <c r="AB390" s="1073" t="s">
        <v>2260</v>
      </c>
      <c r="AC390" s="1073" t="s">
        <v>2260</v>
      </c>
      <c r="AD390" s="1073" t="s">
        <v>2260</v>
      </c>
      <c r="AE390" s="1073" t="s">
        <v>2260</v>
      </c>
      <c r="AF390" s="1073" t="s">
        <v>2260</v>
      </c>
      <c r="AG390" s="1073" t="s">
        <v>2260</v>
      </c>
      <c r="AH390" s="1073" t="s">
        <v>2260</v>
      </c>
      <c r="AI390" s="1074">
        <f t="shared" si="5"/>
        <v>1</v>
      </c>
      <c r="AJ390" s="1075" t="s">
        <v>1852</v>
      </c>
      <c r="AK390" s="1075" t="s">
        <v>1826</v>
      </c>
      <c r="AL390" s="1075" t="s">
        <v>1827</v>
      </c>
      <c r="AM390" s="1076" t="s">
        <v>2275</v>
      </c>
      <c r="AN390" s="987" t="s">
        <v>1857</v>
      </c>
      <c r="AO390" s="987" t="s">
        <v>3496</v>
      </c>
      <c r="AP390" s="1285">
        <v>0</v>
      </c>
      <c r="AQ390" s="1045" t="s">
        <v>1828</v>
      </c>
      <c r="AR390" s="1078" t="s">
        <v>2260</v>
      </c>
      <c r="AS390" s="1079"/>
      <c r="AT390" s="1069"/>
      <c r="AU390" s="1069"/>
      <c r="AV390" s="1069"/>
      <c r="AW390" s="1080"/>
      <c r="AX390" s="1081"/>
      <c r="AY390" s="1044"/>
      <c r="AZ390" s="1045"/>
      <c r="BA390" s="1045"/>
      <c r="BB390" s="1045"/>
      <c r="BC390" s="1045"/>
      <c r="BD390" s="1045"/>
      <c r="BE390" s="1045"/>
      <c r="BF390" s="1045"/>
      <c r="BG390" s="1045"/>
      <c r="BH390" s="1045"/>
      <c r="BI390" s="1369"/>
      <c r="BJ390" s="1319"/>
      <c r="BK390" s="1319"/>
      <c r="BL390" s="1319"/>
      <c r="BM390" s="1319"/>
      <c r="BN390" s="1044"/>
      <c r="BO390" s="1045"/>
      <c r="BP390" s="1045"/>
      <c r="BQ390" s="1045"/>
      <c r="BR390" s="1045"/>
      <c r="BS390" s="1084"/>
      <c r="BT390" s="1045"/>
      <c r="BU390" s="1045"/>
      <c r="BV390" s="1045"/>
      <c r="BW390" s="1085"/>
      <c r="BX390" s="1084"/>
      <c r="BY390" s="1045"/>
      <c r="BZ390" s="1045"/>
      <c r="CA390" s="1045"/>
      <c r="CB390" s="1085"/>
      <c r="CC390" s="1086"/>
      <c r="CD390" s="1327"/>
      <c r="CE390" s="1328"/>
      <c r="CF390" s="1328"/>
      <c r="CG390" s="1328"/>
      <c r="CH390" s="1389"/>
      <c r="CI390" s="1369"/>
      <c r="CJ390" s="1319"/>
      <c r="CK390" s="1319"/>
      <c r="CL390" s="1319"/>
      <c r="CM390" s="1320"/>
      <c r="CN390" s="1369"/>
      <c r="CO390" s="1319"/>
      <c r="CP390" s="1319"/>
      <c r="CQ390" s="1319"/>
      <c r="CR390" s="1320"/>
      <c r="CS390" s="1369"/>
      <c r="CT390" s="1319"/>
      <c r="CU390" s="1319"/>
      <c r="CV390" s="1319"/>
      <c r="CW390" s="1320"/>
      <c r="CX390" s="1369"/>
      <c r="CY390" s="1319"/>
      <c r="CZ390" s="1319"/>
      <c r="DA390" s="1319"/>
      <c r="DB390" s="1320"/>
      <c r="DC390" s="1319"/>
      <c r="DD390" s="1319"/>
      <c r="DE390" s="1319"/>
      <c r="DF390" s="1319"/>
      <c r="DG390" s="1320"/>
      <c r="DH390" s="1369"/>
      <c r="DI390" s="1319"/>
      <c r="DJ390" s="1319"/>
      <c r="DK390" s="1319"/>
      <c r="DL390" s="1320"/>
      <c r="DM390" s="1743"/>
      <c r="DN390" s="1744"/>
      <c r="DO390" s="1744"/>
      <c r="DP390" s="1745"/>
      <c r="DQ390" s="1744"/>
      <c r="DR390" s="1744"/>
      <c r="DS390" s="1744"/>
      <c r="DT390" s="1745"/>
      <c r="DU390" s="1328"/>
      <c r="DV390" s="1664"/>
      <c r="DW390" s="1746"/>
    </row>
    <row r="391" spans="1:127" s="382" customFormat="1" ht="15.75" customHeight="1">
      <c r="A391" s="1066" t="s">
        <v>1157</v>
      </c>
      <c r="B391" s="1026">
        <v>382</v>
      </c>
      <c r="C391" s="987"/>
      <c r="D391" s="987"/>
      <c r="E391" s="987"/>
      <c r="F391" s="987"/>
      <c r="G391" s="987"/>
      <c r="H391" s="987"/>
      <c r="I391" s="987"/>
      <c r="J391" s="987"/>
      <c r="K391" s="987"/>
      <c r="L391" s="987"/>
      <c r="M391" s="1026"/>
      <c r="N391" s="987"/>
      <c r="O391" s="987"/>
      <c r="P391" s="987"/>
      <c r="Q391" s="987"/>
      <c r="R391" s="987"/>
      <c r="S391" s="987"/>
      <c r="T391" s="988"/>
      <c r="U391" s="1067" t="s">
        <v>1228</v>
      </c>
      <c r="V391" s="1068" t="s">
        <v>2557</v>
      </c>
      <c r="W391" s="1068" t="s">
        <v>2231</v>
      </c>
      <c r="X391" s="1069" t="s">
        <v>3497</v>
      </c>
      <c r="Y391" s="1070" t="s">
        <v>172</v>
      </c>
      <c r="Z391" s="1071" t="s">
        <v>2559</v>
      </c>
      <c r="AA391" s="1072">
        <v>0.5</v>
      </c>
      <c r="AB391" s="1073">
        <v>0.5</v>
      </c>
      <c r="AC391" s="1073" t="s">
        <v>2260</v>
      </c>
      <c r="AD391" s="1073" t="s">
        <v>2260</v>
      </c>
      <c r="AE391" s="1073" t="s">
        <v>2260</v>
      </c>
      <c r="AF391" s="1073" t="s">
        <v>2260</v>
      </c>
      <c r="AG391" s="1073" t="s">
        <v>2260</v>
      </c>
      <c r="AH391" s="1073" t="s">
        <v>2260</v>
      </c>
      <c r="AI391" s="1074">
        <f t="shared" si="5"/>
        <v>1</v>
      </c>
      <c r="AJ391" s="1075" t="s">
        <v>1846</v>
      </c>
      <c r="AK391" s="1075" t="s">
        <v>1826</v>
      </c>
      <c r="AL391" s="1075" t="s">
        <v>1827</v>
      </c>
      <c r="AM391" s="1076" t="s">
        <v>2247</v>
      </c>
      <c r="AN391" s="987" t="s">
        <v>2439</v>
      </c>
      <c r="AO391" s="987" t="s">
        <v>4420</v>
      </c>
      <c r="AP391" s="1276">
        <v>2</v>
      </c>
      <c r="AQ391" s="1045" t="s">
        <v>1838</v>
      </c>
      <c r="AR391" s="1078" t="s">
        <v>172</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210</v>
      </c>
      <c r="CE391" s="1088" t="s">
        <v>210</v>
      </c>
      <c r="CF391" s="1088" t="s">
        <v>210</v>
      </c>
      <c r="CG391" s="1088" t="s">
        <v>210</v>
      </c>
      <c r="CH391" s="1089" t="s">
        <v>210</v>
      </c>
      <c r="CI391" s="1044" t="s">
        <v>2260</v>
      </c>
      <c r="CJ391" s="1045" t="s">
        <v>2260</v>
      </c>
      <c r="CK391" s="1045" t="s">
        <v>2260</v>
      </c>
      <c r="CL391" s="1045" t="s">
        <v>2260</v>
      </c>
      <c r="CM391" s="1086" t="s">
        <v>2260</v>
      </c>
      <c r="CN391" s="1044">
        <v>9.5</v>
      </c>
      <c r="CO391" s="1045">
        <v>9.5</v>
      </c>
      <c r="CP391" s="1045">
        <v>9.5</v>
      </c>
      <c r="CQ391" s="1045">
        <v>9.5</v>
      </c>
      <c r="CR391" s="1086">
        <v>9.5</v>
      </c>
      <c r="CS391" s="1044">
        <v>2</v>
      </c>
      <c r="CT391" s="1045">
        <v>2</v>
      </c>
      <c r="CU391" s="1045">
        <v>2</v>
      </c>
      <c r="CV391" s="1045">
        <v>2</v>
      </c>
      <c r="CW391" s="1086">
        <v>2</v>
      </c>
      <c r="CX391" s="1044" t="s">
        <v>2260</v>
      </c>
      <c r="CY391" s="1045" t="s">
        <v>2260</v>
      </c>
      <c r="CZ391" s="1045" t="s">
        <v>2260</v>
      </c>
      <c r="DA391" s="1045" t="s">
        <v>2260</v>
      </c>
      <c r="DB391" s="1086" t="s">
        <v>2260</v>
      </c>
      <c r="DC391" s="1045" t="s">
        <v>2260</v>
      </c>
      <c r="DD391" s="1045" t="s">
        <v>2260</v>
      </c>
      <c r="DE391" s="1045" t="s">
        <v>2260</v>
      </c>
      <c r="DF391" s="1045" t="s">
        <v>2260</v>
      </c>
      <c r="DG391" s="1086" t="s">
        <v>2260</v>
      </c>
      <c r="DH391" s="1044" t="s">
        <v>2260</v>
      </c>
      <c r="DI391" s="1045" t="s">
        <v>2260</v>
      </c>
      <c r="DJ391" s="1045" t="s">
        <v>2260</v>
      </c>
      <c r="DK391" s="1045" t="s">
        <v>2260</v>
      </c>
      <c r="DL391" s="1086" t="s">
        <v>2260</v>
      </c>
      <c r="DM391" s="1090">
        <v>-1.9610000000000001</v>
      </c>
      <c r="DN391" s="1091" t="s">
        <v>2260</v>
      </c>
      <c r="DO391" s="1091" t="s">
        <v>2260</v>
      </c>
      <c r="DP391" s="1092" t="s">
        <v>2260</v>
      </c>
      <c r="DQ391" s="1091">
        <v>0</v>
      </c>
      <c r="DR391" s="1091" t="s">
        <v>2260</v>
      </c>
      <c r="DS391" s="1091" t="s">
        <v>2260</v>
      </c>
      <c r="DT391" s="1092" t="s">
        <v>2260</v>
      </c>
      <c r="DU391" s="1088" t="s">
        <v>2260</v>
      </c>
      <c r="DV391" s="1093">
        <v>1</v>
      </c>
      <c r="DW391" s="1094" t="s">
        <v>2260</v>
      </c>
    </row>
    <row r="392" spans="1:127" s="382" customFormat="1" ht="15.75" customHeight="1">
      <c r="A392" s="1066" t="s">
        <v>1157</v>
      </c>
      <c r="B392" s="1026">
        <v>383</v>
      </c>
      <c r="C392" s="987"/>
      <c r="D392" s="987"/>
      <c r="E392" s="987"/>
      <c r="F392" s="987"/>
      <c r="G392" s="987"/>
      <c r="H392" s="987"/>
      <c r="I392" s="987"/>
      <c r="J392" s="987"/>
      <c r="K392" s="987"/>
      <c r="L392" s="987"/>
      <c r="M392" s="1026"/>
      <c r="N392" s="987"/>
      <c r="O392" s="987"/>
      <c r="P392" s="987"/>
      <c r="Q392" s="987"/>
      <c r="R392" s="987"/>
      <c r="S392" s="987"/>
      <c r="T392" s="988"/>
      <c r="U392" s="1067" t="s">
        <v>1475</v>
      </c>
      <c r="V392" s="1068" t="s">
        <v>2557</v>
      </c>
      <c r="W392" s="1068" t="s">
        <v>2223</v>
      </c>
      <c r="X392" s="1069" t="s">
        <v>3498</v>
      </c>
      <c r="Y392" s="1070" t="s">
        <v>3499</v>
      </c>
      <c r="Z392" s="1071" t="s">
        <v>3500</v>
      </c>
      <c r="AA392" s="1072">
        <v>0.25</v>
      </c>
      <c r="AB392" s="1073">
        <v>0.75</v>
      </c>
      <c r="AC392" s="1073" t="s">
        <v>2260</v>
      </c>
      <c r="AD392" s="1073" t="s">
        <v>2260</v>
      </c>
      <c r="AE392" s="1073" t="s">
        <v>2260</v>
      </c>
      <c r="AF392" s="1073" t="s">
        <v>2260</v>
      </c>
      <c r="AG392" s="1073" t="s">
        <v>2260</v>
      </c>
      <c r="AH392" s="1073" t="s">
        <v>2260</v>
      </c>
      <c r="AI392" s="1074">
        <f t="shared" si="5"/>
        <v>1</v>
      </c>
      <c r="AJ392" s="1075" t="s">
        <v>1852</v>
      </c>
      <c r="AK392" s="1075" t="s">
        <v>1826</v>
      </c>
      <c r="AL392" s="1075" t="s">
        <v>1827</v>
      </c>
      <c r="AM392" s="1076" t="s">
        <v>2421</v>
      </c>
      <c r="AN392" s="987" t="s">
        <v>439</v>
      </c>
      <c r="AO392" s="987" t="s">
        <v>4423</v>
      </c>
      <c r="AP392" s="1285">
        <v>0</v>
      </c>
      <c r="AQ392" s="1045" t="s">
        <v>1838</v>
      </c>
      <c r="AR392" s="1078"/>
      <c r="AS392" s="1079"/>
      <c r="AT392" s="1069"/>
      <c r="AU392" s="1069"/>
      <c r="AV392" s="1069"/>
      <c r="AW392" s="1080"/>
      <c r="AX392" s="1081"/>
      <c r="AY392" s="1044"/>
      <c r="AZ392" s="1045"/>
      <c r="BA392" s="1045"/>
      <c r="BB392" s="1045"/>
      <c r="BC392" s="1045"/>
      <c r="BD392" s="1045"/>
      <c r="BE392" s="1045"/>
      <c r="BF392" s="1045"/>
      <c r="BG392" s="1045"/>
      <c r="BH392" s="1045"/>
      <c r="BI392" s="1369"/>
      <c r="BJ392" s="1319"/>
      <c r="BK392" s="1319"/>
      <c r="BL392" s="1319"/>
      <c r="BM392" s="1319"/>
      <c r="BN392" s="1044"/>
      <c r="BO392" s="1045"/>
      <c r="BP392" s="1045"/>
      <c r="BQ392" s="1045"/>
      <c r="BR392" s="1045"/>
      <c r="BS392" s="1084"/>
      <c r="BT392" s="1045"/>
      <c r="BU392" s="1045"/>
      <c r="BV392" s="1045"/>
      <c r="BW392" s="1085"/>
      <c r="BX392" s="1084"/>
      <c r="BY392" s="1045"/>
      <c r="BZ392" s="1045"/>
      <c r="CA392" s="1045"/>
      <c r="CB392" s="1085"/>
      <c r="CC392" s="1086"/>
      <c r="CD392" s="1327"/>
      <c r="CE392" s="1328"/>
      <c r="CF392" s="1328"/>
      <c r="CG392" s="1328"/>
      <c r="CH392" s="1389"/>
      <c r="CI392" s="1369"/>
      <c r="CJ392" s="1319"/>
      <c r="CK392" s="1319"/>
      <c r="CL392" s="1319"/>
      <c r="CM392" s="1320"/>
      <c r="CN392" s="1369"/>
      <c r="CO392" s="1319"/>
      <c r="CP392" s="1319"/>
      <c r="CQ392" s="1319"/>
      <c r="CR392" s="1320"/>
      <c r="CS392" s="1369"/>
      <c r="CT392" s="1319"/>
      <c r="CU392" s="1319"/>
      <c r="CV392" s="1319"/>
      <c r="CW392" s="1320"/>
      <c r="CX392" s="1369"/>
      <c r="CY392" s="1319"/>
      <c r="CZ392" s="1319"/>
      <c r="DA392" s="1319"/>
      <c r="DB392" s="1320"/>
      <c r="DC392" s="1319"/>
      <c r="DD392" s="1319"/>
      <c r="DE392" s="1319"/>
      <c r="DF392" s="1319"/>
      <c r="DG392" s="1320"/>
      <c r="DH392" s="1369"/>
      <c r="DI392" s="1319"/>
      <c r="DJ392" s="1319"/>
      <c r="DK392" s="1319"/>
      <c r="DL392" s="1320"/>
      <c r="DM392" s="1743"/>
      <c r="DN392" s="1744"/>
      <c r="DO392" s="1744"/>
      <c r="DP392" s="1745"/>
      <c r="DQ392" s="1744"/>
      <c r="DR392" s="1744"/>
      <c r="DS392" s="1744"/>
      <c r="DT392" s="1745"/>
      <c r="DU392" s="1328"/>
      <c r="DV392" s="1664"/>
      <c r="DW392" s="1746"/>
    </row>
    <row r="393" spans="1:127" s="382" customFormat="1" ht="15.75" customHeight="1">
      <c r="A393" s="1066" t="s">
        <v>1157</v>
      </c>
      <c r="B393" s="1026">
        <v>384</v>
      </c>
      <c r="C393" s="987"/>
      <c r="D393" s="987"/>
      <c r="E393" s="987"/>
      <c r="F393" s="987"/>
      <c r="G393" s="987"/>
      <c r="H393" s="987"/>
      <c r="I393" s="987"/>
      <c r="J393" s="987"/>
      <c r="K393" s="987"/>
      <c r="L393" s="987"/>
      <c r="M393" s="1026"/>
      <c r="N393" s="987"/>
      <c r="O393" s="987"/>
      <c r="P393" s="987"/>
      <c r="Q393" s="987"/>
      <c r="R393" s="987"/>
      <c r="S393" s="987"/>
      <c r="T393" s="988"/>
      <c r="U393" s="1067" t="s">
        <v>1481</v>
      </c>
      <c r="V393" s="1068" t="s">
        <v>2557</v>
      </c>
      <c r="W393" s="1068" t="s">
        <v>2217</v>
      </c>
      <c r="X393" s="1069" t="s">
        <v>3502</v>
      </c>
      <c r="Y393" s="1070" t="s">
        <v>3503</v>
      </c>
      <c r="Z393" s="1071" t="s">
        <v>3504</v>
      </c>
      <c r="AA393" s="1072" t="s">
        <v>2260</v>
      </c>
      <c r="AB393" s="1073">
        <v>1</v>
      </c>
      <c r="AC393" s="1073" t="s">
        <v>2260</v>
      </c>
      <c r="AD393" s="1073" t="s">
        <v>2260</v>
      </c>
      <c r="AE393" s="1073" t="s">
        <v>2260</v>
      </c>
      <c r="AF393" s="1073" t="s">
        <v>2260</v>
      </c>
      <c r="AG393" s="1073" t="s">
        <v>2260</v>
      </c>
      <c r="AH393" s="1073" t="s">
        <v>2260</v>
      </c>
      <c r="AI393" s="1074">
        <f t="shared" si="5"/>
        <v>1</v>
      </c>
      <c r="AJ393" s="1075" t="s">
        <v>1852</v>
      </c>
      <c r="AK393" s="1075" t="s">
        <v>1826</v>
      </c>
      <c r="AL393" s="1075" t="s">
        <v>1837</v>
      </c>
      <c r="AM393" s="1076" t="s">
        <v>2280</v>
      </c>
      <c r="AN393" s="987" t="s">
        <v>1857</v>
      </c>
      <c r="AO393" s="987" t="s">
        <v>3505</v>
      </c>
      <c r="AP393" s="1285">
        <v>0</v>
      </c>
      <c r="AQ393" s="1045" t="s">
        <v>1828</v>
      </c>
      <c r="AR393" s="1078" t="s">
        <v>2260</v>
      </c>
      <c r="AS393" s="1079"/>
      <c r="AT393" s="1069"/>
      <c r="AU393" s="1069"/>
      <c r="AV393" s="1069"/>
      <c r="AW393" s="1080"/>
      <c r="AX393" s="1081"/>
      <c r="AY393" s="1044"/>
      <c r="AZ393" s="1045"/>
      <c r="BA393" s="1045"/>
      <c r="BB393" s="1045"/>
      <c r="BC393" s="1045"/>
      <c r="BD393" s="1045"/>
      <c r="BE393" s="1045"/>
      <c r="BF393" s="1045"/>
      <c r="BG393" s="1045"/>
      <c r="BH393" s="1045"/>
      <c r="BI393" s="1369"/>
      <c r="BJ393" s="1319"/>
      <c r="BK393" s="1319"/>
      <c r="BL393" s="1319"/>
      <c r="BM393" s="1319"/>
      <c r="BN393" s="1044"/>
      <c r="BO393" s="1045"/>
      <c r="BP393" s="1045"/>
      <c r="BQ393" s="1045"/>
      <c r="BR393" s="1045"/>
      <c r="BS393" s="1084"/>
      <c r="BT393" s="1045"/>
      <c r="BU393" s="1045"/>
      <c r="BV393" s="1045"/>
      <c r="BW393" s="1085"/>
      <c r="BX393" s="1084"/>
      <c r="BY393" s="1045"/>
      <c r="BZ393" s="1045"/>
      <c r="CA393" s="1045"/>
      <c r="CB393" s="1085"/>
      <c r="CC393" s="1086"/>
      <c r="CD393" s="1327"/>
      <c r="CE393" s="1328"/>
      <c r="CF393" s="1328"/>
      <c r="CG393" s="1328"/>
      <c r="CH393" s="1389"/>
      <c r="CI393" s="1369"/>
      <c r="CJ393" s="1319"/>
      <c r="CK393" s="1319"/>
      <c r="CL393" s="1319"/>
      <c r="CM393" s="1320"/>
      <c r="CN393" s="1369"/>
      <c r="CO393" s="1319"/>
      <c r="CP393" s="1319"/>
      <c r="CQ393" s="1319"/>
      <c r="CR393" s="1320"/>
      <c r="CS393" s="1369"/>
      <c r="CT393" s="1319"/>
      <c r="CU393" s="1319"/>
      <c r="CV393" s="1319"/>
      <c r="CW393" s="1320"/>
      <c r="CX393" s="1369"/>
      <c r="CY393" s="1319"/>
      <c r="CZ393" s="1319"/>
      <c r="DA393" s="1319"/>
      <c r="DB393" s="1320"/>
      <c r="DC393" s="1319"/>
      <c r="DD393" s="1319"/>
      <c r="DE393" s="1319"/>
      <c r="DF393" s="1319"/>
      <c r="DG393" s="1320"/>
      <c r="DH393" s="1369"/>
      <c r="DI393" s="1319"/>
      <c r="DJ393" s="1319"/>
      <c r="DK393" s="1319"/>
      <c r="DL393" s="1320"/>
      <c r="DM393" s="1743"/>
      <c r="DN393" s="1744"/>
      <c r="DO393" s="1744"/>
      <c r="DP393" s="1745"/>
      <c r="DQ393" s="1744"/>
      <c r="DR393" s="1744"/>
      <c r="DS393" s="1744"/>
      <c r="DT393" s="1745"/>
      <c r="DU393" s="1328"/>
      <c r="DV393" s="1664"/>
      <c r="DW393" s="1746"/>
    </row>
    <row r="394" spans="1:127" s="382" customFormat="1" ht="15.75" customHeight="1">
      <c r="A394" s="1066" t="s">
        <v>1157</v>
      </c>
      <c r="B394" s="1026">
        <v>385</v>
      </c>
      <c r="C394" s="987"/>
      <c r="D394" s="987"/>
      <c r="E394" s="987"/>
      <c r="F394" s="987"/>
      <c r="G394" s="987"/>
      <c r="H394" s="987"/>
      <c r="I394" s="987"/>
      <c r="J394" s="987"/>
      <c r="K394" s="987"/>
      <c r="L394" s="987"/>
      <c r="M394" s="1026"/>
      <c r="N394" s="987"/>
      <c r="O394" s="987"/>
      <c r="P394" s="987"/>
      <c r="Q394" s="987"/>
      <c r="R394" s="987"/>
      <c r="S394" s="987"/>
      <c r="T394" s="988"/>
      <c r="U394" s="1067" t="s">
        <v>1487</v>
      </c>
      <c r="V394" s="1068" t="s">
        <v>2557</v>
      </c>
      <c r="W394" s="1068" t="s">
        <v>2231</v>
      </c>
      <c r="X394" s="1069" t="s">
        <v>3506</v>
      </c>
      <c r="Y394" s="1070" t="s">
        <v>3507</v>
      </c>
      <c r="Z394" s="1071" t="s">
        <v>3508</v>
      </c>
      <c r="AA394" s="1072" t="s">
        <v>2260</v>
      </c>
      <c r="AB394" s="1073">
        <v>1</v>
      </c>
      <c r="AC394" s="1073" t="s">
        <v>2260</v>
      </c>
      <c r="AD394" s="1073" t="s">
        <v>2260</v>
      </c>
      <c r="AE394" s="1073" t="s">
        <v>2260</v>
      </c>
      <c r="AF394" s="1073" t="s">
        <v>2260</v>
      </c>
      <c r="AG394" s="1073" t="s">
        <v>2260</v>
      </c>
      <c r="AH394" s="1073" t="s">
        <v>2260</v>
      </c>
      <c r="AI394" s="1074">
        <f t="shared" ref="AI394:AI457" si="6">SUM(AA394:AH394)</f>
        <v>1</v>
      </c>
      <c r="AJ394" s="1075" t="s">
        <v>1852</v>
      </c>
      <c r="AK394" s="1075" t="s">
        <v>1826</v>
      </c>
      <c r="AL394" s="1075" t="s">
        <v>1837</v>
      </c>
      <c r="AM394" s="1076" t="s">
        <v>3223</v>
      </c>
      <c r="AN394" s="987" t="s">
        <v>1857</v>
      </c>
      <c r="AO394" s="987" t="s">
        <v>3509</v>
      </c>
      <c r="AP394" s="1285">
        <v>0</v>
      </c>
      <c r="AQ394" s="1045" t="s">
        <v>1828</v>
      </c>
      <c r="AR394" s="1078" t="s">
        <v>2260</v>
      </c>
      <c r="AS394" s="1079"/>
      <c r="AT394" s="1069"/>
      <c r="AU394" s="1069"/>
      <c r="AV394" s="1069"/>
      <c r="AW394" s="1080"/>
      <c r="AX394" s="1081"/>
      <c r="AY394" s="1044"/>
      <c r="AZ394" s="1045"/>
      <c r="BA394" s="1045"/>
      <c r="BB394" s="1045"/>
      <c r="BC394" s="1045"/>
      <c r="BD394" s="1045"/>
      <c r="BE394" s="1045"/>
      <c r="BF394" s="1045"/>
      <c r="BG394" s="1045"/>
      <c r="BH394" s="1045"/>
      <c r="BI394" s="1369"/>
      <c r="BJ394" s="1319"/>
      <c r="BK394" s="1319"/>
      <c r="BL394" s="1319"/>
      <c r="BM394" s="1319"/>
      <c r="BN394" s="1044"/>
      <c r="BO394" s="1045"/>
      <c r="BP394" s="1045"/>
      <c r="BQ394" s="1045"/>
      <c r="BR394" s="1045"/>
      <c r="BS394" s="1084"/>
      <c r="BT394" s="1045"/>
      <c r="BU394" s="1045"/>
      <c r="BV394" s="1045"/>
      <c r="BW394" s="1085"/>
      <c r="BX394" s="1084"/>
      <c r="BY394" s="1045"/>
      <c r="BZ394" s="1045"/>
      <c r="CA394" s="1045"/>
      <c r="CB394" s="1085"/>
      <c r="CC394" s="1086"/>
      <c r="CD394" s="1327"/>
      <c r="CE394" s="1328"/>
      <c r="CF394" s="1328"/>
      <c r="CG394" s="1328"/>
      <c r="CH394" s="1389"/>
      <c r="CI394" s="1369"/>
      <c r="CJ394" s="1319"/>
      <c r="CK394" s="1319"/>
      <c r="CL394" s="1319"/>
      <c r="CM394" s="1320"/>
      <c r="CN394" s="1369"/>
      <c r="CO394" s="1319"/>
      <c r="CP394" s="1319"/>
      <c r="CQ394" s="1319"/>
      <c r="CR394" s="1320"/>
      <c r="CS394" s="1369"/>
      <c r="CT394" s="1319"/>
      <c r="CU394" s="1319"/>
      <c r="CV394" s="1319"/>
      <c r="CW394" s="1320"/>
      <c r="CX394" s="1369"/>
      <c r="CY394" s="1319"/>
      <c r="CZ394" s="1319"/>
      <c r="DA394" s="1319"/>
      <c r="DB394" s="1320"/>
      <c r="DC394" s="1319"/>
      <c r="DD394" s="1319"/>
      <c r="DE394" s="1319"/>
      <c r="DF394" s="1319"/>
      <c r="DG394" s="1320"/>
      <c r="DH394" s="1369"/>
      <c r="DI394" s="1319"/>
      <c r="DJ394" s="1319"/>
      <c r="DK394" s="1319"/>
      <c r="DL394" s="1320"/>
      <c r="DM394" s="1743"/>
      <c r="DN394" s="1744"/>
      <c r="DO394" s="1744"/>
      <c r="DP394" s="1745"/>
      <c r="DQ394" s="1744"/>
      <c r="DR394" s="1744"/>
      <c r="DS394" s="1744"/>
      <c r="DT394" s="1745"/>
      <c r="DU394" s="1328"/>
      <c r="DV394" s="1664"/>
      <c r="DW394" s="1746"/>
    </row>
    <row r="395" spans="1:127" s="382" customFormat="1" ht="15.75" customHeight="1">
      <c r="A395" s="1066" t="s">
        <v>1171</v>
      </c>
      <c r="B395" s="1026">
        <v>386</v>
      </c>
      <c r="C395" s="987"/>
      <c r="D395" s="987"/>
      <c r="E395" s="987"/>
      <c r="F395" s="987"/>
      <c r="G395" s="987"/>
      <c r="H395" s="987"/>
      <c r="I395" s="987"/>
      <c r="J395" s="987"/>
      <c r="K395" s="987"/>
      <c r="L395" s="987"/>
      <c r="M395" s="1026"/>
      <c r="N395" s="987"/>
      <c r="O395" s="987"/>
      <c r="P395" s="987"/>
      <c r="Q395" s="987"/>
      <c r="R395" s="987"/>
      <c r="S395" s="987"/>
      <c r="T395" s="988"/>
      <c r="U395" s="1067" t="s">
        <v>1242</v>
      </c>
      <c r="V395" s="1068" t="s">
        <v>3510</v>
      </c>
      <c r="W395" s="1068" t="s">
        <v>2217</v>
      </c>
      <c r="X395" s="1069" t="s">
        <v>3511</v>
      </c>
      <c r="Y395" s="1070" t="s">
        <v>172</v>
      </c>
      <c r="Z395" s="1071" t="s">
        <v>3512</v>
      </c>
      <c r="AA395" s="1072" t="s">
        <v>2260</v>
      </c>
      <c r="AB395" s="1073">
        <v>1</v>
      </c>
      <c r="AC395" s="1073" t="s">
        <v>2260</v>
      </c>
      <c r="AD395" s="1073" t="s">
        <v>2260</v>
      </c>
      <c r="AE395" s="1073" t="s">
        <v>2260</v>
      </c>
      <c r="AF395" s="1073" t="s">
        <v>2260</v>
      </c>
      <c r="AG395" s="1073" t="s">
        <v>2260</v>
      </c>
      <c r="AH395" s="1073" t="s">
        <v>2260</v>
      </c>
      <c r="AI395" s="1074">
        <f t="shared" si="6"/>
        <v>1</v>
      </c>
      <c r="AJ395" s="1075" t="s">
        <v>1846</v>
      </c>
      <c r="AK395" s="1075" t="s">
        <v>1826</v>
      </c>
      <c r="AL395" s="1075" t="s">
        <v>1827</v>
      </c>
      <c r="AM395" s="1076" t="s">
        <v>2247</v>
      </c>
      <c r="AN395" s="987" t="s">
        <v>2439</v>
      </c>
      <c r="AO395" s="987" t="s">
        <v>4420</v>
      </c>
      <c r="AP395" s="1276">
        <v>2</v>
      </c>
      <c r="AQ395" s="1045" t="s">
        <v>1838</v>
      </c>
      <c r="AR395" s="1078" t="s">
        <v>172</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210</v>
      </c>
      <c r="CE395" s="1088" t="s">
        <v>210</v>
      </c>
      <c r="CF395" s="1088" t="s">
        <v>210</v>
      </c>
      <c r="CG395" s="1088" t="s">
        <v>210</v>
      </c>
      <c r="CH395" s="1089" t="s">
        <v>210</v>
      </c>
      <c r="CI395" s="1044" t="s">
        <v>2260</v>
      </c>
      <c r="CJ395" s="1045" t="s">
        <v>2260</v>
      </c>
      <c r="CK395" s="1045" t="s">
        <v>2260</v>
      </c>
      <c r="CL395" s="1045" t="s">
        <v>2260</v>
      </c>
      <c r="CM395" s="1086" t="s">
        <v>2260</v>
      </c>
      <c r="CN395" s="1044">
        <v>9.5</v>
      </c>
      <c r="CO395" s="1045">
        <v>9.5</v>
      </c>
      <c r="CP395" s="1045">
        <v>9.5</v>
      </c>
      <c r="CQ395" s="1045">
        <v>9.5</v>
      </c>
      <c r="CR395" s="1086">
        <v>9.5</v>
      </c>
      <c r="CS395" s="1044">
        <v>2</v>
      </c>
      <c r="CT395" s="1045">
        <v>2</v>
      </c>
      <c r="CU395" s="1045">
        <v>2</v>
      </c>
      <c r="CV395" s="1045">
        <v>2</v>
      </c>
      <c r="CW395" s="1086">
        <v>2</v>
      </c>
      <c r="CX395" s="1044" t="s">
        <v>2260</v>
      </c>
      <c r="CY395" s="1045" t="s">
        <v>2260</v>
      </c>
      <c r="CZ395" s="1045" t="s">
        <v>2260</v>
      </c>
      <c r="DA395" s="1045" t="s">
        <v>2260</v>
      </c>
      <c r="DB395" s="1086" t="s">
        <v>2260</v>
      </c>
      <c r="DC395" s="1045" t="s">
        <v>2260</v>
      </c>
      <c r="DD395" s="1045" t="s">
        <v>2260</v>
      </c>
      <c r="DE395" s="1045" t="s">
        <v>2260</v>
      </c>
      <c r="DF395" s="1045" t="s">
        <v>2260</v>
      </c>
      <c r="DG395" s="1086" t="s">
        <v>2260</v>
      </c>
      <c r="DH395" s="1044" t="s">
        <v>2260</v>
      </c>
      <c r="DI395" s="1045" t="s">
        <v>2260</v>
      </c>
      <c r="DJ395" s="1045" t="s">
        <v>2260</v>
      </c>
      <c r="DK395" s="1045" t="s">
        <v>2260</v>
      </c>
      <c r="DL395" s="1086" t="s">
        <v>2260</v>
      </c>
      <c r="DM395" s="1090">
        <v>-0.37</v>
      </c>
      <c r="DN395" s="1091" t="s">
        <v>2260</v>
      </c>
      <c r="DO395" s="1091" t="s">
        <v>2260</v>
      </c>
      <c r="DP395" s="1092" t="s">
        <v>2260</v>
      </c>
      <c r="DQ395" s="1091">
        <v>0</v>
      </c>
      <c r="DR395" s="1091" t="s">
        <v>2260</v>
      </c>
      <c r="DS395" s="1091" t="s">
        <v>2260</v>
      </c>
      <c r="DT395" s="1092" t="s">
        <v>2260</v>
      </c>
      <c r="DU395" s="1088" t="s">
        <v>2260</v>
      </c>
      <c r="DV395" s="1093">
        <v>1</v>
      </c>
      <c r="DW395" s="1094" t="s">
        <v>2260</v>
      </c>
    </row>
    <row r="396" spans="1:127" s="382" customFormat="1" ht="15.75" customHeight="1">
      <c r="A396" s="1066" t="s">
        <v>1171</v>
      </c>
      <c r="B396" s="1026">
        <v>387</v>
      </c>
      <c r="C396" s="987"/>
      <c r="D396" s="987"/>
      <c r="E396" s="987"/>
      <c r="F396" s="987"/>
      <c r="G396" s="987"/>
      <c r="H396" s="987"/>
      <c r="I396" s="987"/>
      <c r="J396" s="987"/>
      <c r="K396" s="987"/>
      <c r="L396" s="987"/>
      <c r="M396" s="1026"/>
      <c r="N396" s="987"/>
      <c r="O396" s="987"/>
      <c r="P396" s="987"/>
      <c r="Q396" s="987"/>
      <c r="R396" s="987"/>
      <c r="S396" s="987"/>
      <c r="T396" s="988"/>
      <c r="U396" s="1067" t="s">
        <v>1243</v>
      </c>
      <c r="V396" s="1068" t="s">
        <v>3510</v>
      </c>
      <c r="W396" s="1068" t="s">
        <v>2217</v>
      </c>
      <c r="X396" s="1069" t="s">
        <v>3513</v>
      </c>
      <c r="Y396" s="1070" t="s">
        <v>179</v>
      </c>
      <c r="Z396" s="1071" t="s">
        <v>3514</v>
      </c>
      <c r="AA396" s="1072" t="s">
        <v>2260</v>
      </c>
      <c r="AB396" s="1073">
        <v>1</v>
      </c>
      <c r="AC396" s="1073" t="s">
        <v>2260</v>
      </c>
      <c r="AD396" s="1073" t="s">
        <v>2260</v>
      </c>
      <c r="AE396" s="1073" t="s">
        <v>2260</v>
      </c>
      <c r="AF396" s="1073" t="s">
        <v>2260</v>
      </c>
      <c r="AG396" s="1073" t="s">
        <v>2260</v>
      </c>
      <c r="AH396" s="1073" t="s">
        <v>2260</v>
      </c>
      <c r="AI396" s="1074">
        <f t="shared" si="6"/>
        <v>1</v>
      </c>
      <c r="AJ396" s="1075" t="s">
        <v>1852</v>
      </c>
      <c r="AK396" s="1075" t="s">
        <v>1826</v>
      </c>
      <c r="AL396" s="1075" t="s">
        <v>1827</v>
      </c>
      <c r="AM396" s="1076" t="s">
        <v>2220</v>
      </c>
      <c r="AN396" s="987" t="s">
        <v>4414</v>
      </c>
      <c r="AO396" s="987" t="s">
        <v>4415</v>
      </c>
      <c r="AP396" s="1276">
        <v>0</v>
      </c>
      <c r="AQ396" s="1045" t="s">
        <v>1838</v>
      </c>
      <c r="AR396" s="1078" t="s">
        <v>179</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210</v>
      </c>
      <c r="CE396" s="1088" t="s">
        <v>210</v>
      </c>
      <c r="CF396" s="1088" t="s">
        <v>210</v>
      </c>
      <c r="CG396" s="1088" t="s">
        <v>210</v>
      </c>
      <c r="CH396" s="1089" t="s">
        <v>210</v>
      </c>
      <c r="CI396" s="1044" t="s">
        <v>2260</v>
      </c>
      <c r="CJ396" s="1045" t="s">
        <v>2260</v>
      </c>
      <c r="CK396" s="1045" t="s">
        <v>2260</v>
      </c>
      <c r="CL396" s="1045" t="s">
        <v>2260</v>
      </c>
      <c r="CM396" s="1086" t="s">
        <v>2260</v>
      </c>
      <c r="CN396" s="1044" t="s">
        <v>2260</v>
      </c>
      <c r="CO396" s="1045" t="s">
        <v>2260</v>
      </c>
      <c r="CP396" s="1045" t="s">
        <v>2260</v>
      </c>
      <c r="CQ396" s="1045" t="s">
        <v>2260</v>
      </c>
      <c r="CR396" s="1086" t="s">
        <v>2260</v>
      </c>
      <c r="CS396" s="1044" t="s">
        <v>2260</v>
      </c>
      <c r="CT396" s="1045" t="s">
        <v>2260</v>
      </c>
      <c r="CU396" s="1045" t="s">
        <v>2260</v>
      </c>
      <c r="CV396" s="1045" t="s">
        <v>2260</v>
      </c>
      <c r="CW396" s="1086" t="s">
        <v>2260</v>
      </c>
      <c r="CX396" s="1044" t="s">
        <v>2260</v>
      </c>
      <c r="CY396" s="1045" t="s">
        <v>2260</v>
      </c>
      <c r="CZ396" s="1045" t="s">
        <v>2260</v>
      </c>
      <c r="DA396" s="1045" t="s">
        <v>2260</v>
      </c>
      <c r="DB396" s="1086" t="s">
        <v>2260</v>
      </c>
      <c r="DC396" s="1045" t="s">
        <v>2260</v>
      </c>
      <c r="DD396" s="1045" t="s">
        <v>2260</v>
      </c>
      <c r="DE396" s="1045" t="s">
        <v>2260</v>
      </c>
      <c r="DF396" s="1045" t="s">
        <v>2260</v>
      </c>
      <c r="DG396" s="1086" t="s">
        <v>2260</v>
      </c>
      <c r="DH396" s="1044" t="s">
        <v>2260</v>
      </c>
      <c r="DI396" s="1045" t="s">
        <v>2260</v>
      </c>
      <c r="DJ396" s="1045" t="s">
        <v>2260</v>
      </c>
      <c r="DK396" s="1045" t="s">
        <v>2260</v>
      </c>
      <c r="DL396" s="1086" t="s">
        <v>2260</v>
      </c>
      <c r="DM396" s="1090">
        <v>-0.46100000000000002</v>
      </c>
      <c r="DN396" s="1091" t="s">
        <v>2260</v>
      </c>
      <c r="DO396" s="1091" t="s">
        <v>2260</v>
      </c>
      <c r="DP396" s="1092" t="s">
        <v>2260</v>
      </c>
      <c r="DQ396" s="1091">
        <v>9.1999999999999998E-2</v>
      </c>
      <c r="DR396" s="1091" t="s">
        <v>2260</v>
      </c>
      <c r="DS396" s="1091" t="s">
        <v>2260</v>
      </c>
      <c r="DT396" s="1092" t="s">
        <v>2260</v>
      </c>
      <c r="DU396" s="1088" t="s">
        <v>2260</v>
      </c>
      <c r="DV396" s="1093">
        <v>1</v>
      </c>
      <c r="DW396" s="1094" t="s">
        <v>2260</v>
      </c>
    </row>
    <row r="397" spans="1:127" s="382" customFormat="1" ht="15.75" customHeight="1">
      <c r="A397" s="1066" t="s">
        <v>1171</v>
      </c>
      <c r="B397" s="1026">
        <v>388</v>
      </c>
      <c r="C397" s="987"/>
      <c r="D397" s="987"/>
      <c r="E397" s="987"/>
      <c r="F397" s="987"/>
      <c r="G397" s="987"/>
      <c r="H397" s="987"/>
      <c r="I397" s="987"/>
      <c r="J397" s="987"/>
      <c r="K397" s="987"/>
      <c r="L397" s="987"/>
      <c r="M397" s="1026"/>
      <c r="N397" s="987"/>
      <c r="O397" s="987"/>
      <c r="P397" s="987"/>
      <c r="Q397" s="987"/>
      <c r="R397" s="987"/>
      <c r="S397" s="987"/>
      <c r="T397" s="988"/>
      <c r="U397" s="1067" t="s">
        <v>1246</v>
      </c>
      <c r="V397" s="1068" t="s">
        <v>3510</v>
      </c>
      <c r="W397" s="1068" t="s">
        <v>2217</v>
      </c>
      <c r="X397" s="1069" t="s">
        <v>3516</v>
      </c>
      <c r="Y397" s="1070" t="s">
        <v>203</v>
      </c>
      <c r="Z397" s="1071" t="s">
        <v>3517</v>
      </c>
      <c r="AA397" s="1072" t="s">
        <v>2260</v>
      </c>
      <c r="AB397" s="1073">
        <v>1</v>
      </c>
      <c r="AC397" s="1073" t="s">
        <v>2260</v>
      </c>
      <c r="AD397" s="1073" t="s">
        <v>2260</v>
      </c>
      <c r="AE397" s="1073" t="s">
        <v>2260</v>
      </c>
      <c r="AF397" s="1073" t="s">
        <v>2260</v>
      </c>
      <c r="AG397" s="1073" t="s">
        <v>2260</v>
      </c>
      <c r="AH397" s="1073" t="s">
        <v>2260</v>
      </c>
      <c r="AI397" s="1074">
        <f t="shared" si="6"/>
        <v>1</v>
      </c>
      <c r="AJ397" s="1075" t="s">
        <v>1852</v>
      </c>
      <c r="AK397" s="1075" t="s">
        <v>1826</v>
      </c>
      <c r="AL397" s="1075" t="s">
        <v>1827</v>
      </c>
      <c r="AM397" s="1076" t="s">
        <v>2363</v>
      </c>
      <c r="AN397" s="987" t="s">
        <v>2439</v>
      </c>
      <c r="AO397" s="987" t="s">
        <v>4419</v>
      </c>
      <c r="AP397" s="1276">
        <v>1</v>
      </c>
      <c r="AQ397" s="1045" t="s">
        <v>1838</v>
      </c>
      <c r="AR397" s="1078" t="s">
        <v>203</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210</v>
      </c>
      <c r="CE397" s="1088" t="s">
        <v>210</v>
      </c>
      <c r="CF397" s="1088" t="s">
        <v>210</v>
      </c>
      <c r="CG397" s="1088" t="s">
        <v>210</v>
      </c>
      <c r="CH397" s="1089" t="s">
        <v>210</v>
      </c>
      <c r="CI397" s="1044" t="s">
        <v>2260</v>
      </c>
      <c r="CJ397" s="1045" t="s">
        <v>2260</v>
      </c>
      <c r="CK397" s="1045" t="s">
        <v>2260</v>
      </c>
      <c r="CL397" s="1045" t="s">
        <v>2260</v>
      </c>
      <c r="CM397" s="1086" t="s">
        <v>2260</v>
      </c>
      <c r="CN397" s="1044" t="s">
        <v>2260</v>
      </c>
      <c r="CO397" s="1045" t="s">
        <v>2260</v>
      </c>
      <c r="CP397" s="1045" t="s">
        <v>2260</v>
      </c>
      <c r="CQ397" s="1045" t="s">
        <v>2260</v>
      </c>
      <c r="CR397" s="1086" t="s">
        <v>2260</v>
      </c>
      <c r="CS397" s="1044" t="s">
        <v>2260</v>
      </c>
      <c r="CT397" s="1045" t="s">
        <v>2260</v>
      </c>
      <c r="CU397" s="1045" t="s">
        <v>2260</v>
      </c>
      <c r="CV397" s="1045" t="s">
        <v>2260</v>
      </c>
      <c r="CW397" s="1086" t="s">
        <v>2260</v>
      </c>
      <c r="CX397" s="1044" t="s">
        <v>2260</v>
      </c>
      <c r="CY397" s="1045" t="s">
        <v>2260</v>
      </c>
      <c r="CZ397" s="1045" t="s">
        <v>2260</v>
      </c>
      <c r="DA397" s="1045" t="s">
        <v>2260</v>
      </c>
      <c r="DB397" s="1086" t="s">
        <v>2260</v>
      </c>
      <c r="DC397" s="1045" t="s">
        <v>2260</v>
      </c>
      <c r="DD397" s="1045" t="s">
        <v>2260</v>
      </c>
      <c r="DE397" s="1045" t="s">
        <v>2260</v>
      </c>
      <c r="DF397" s="1045" t="s">
        <v>2260</v>
      </c>
      <c r="DG397" s="1086" t="s">
        <v>2260</v>
      </c>
      <c r="DH397" s="1044" t="s">
        <v>2260</v>
      </c>
      <c r="DI397" s="1045" t="s">
        <v>2260</v>
      </c>
      <c r="DJ397" s="1045" t="s">
        <v>2260</v>
      </c>
      <c r="DK397" s="1045" t="s">
        <v>2260</v>
      </c>
      <c r="DL397" s="1086" t="s">
        <v>2260</v>
      </c>
      <c r="DM397" s="1090">
        <v>-9.5000000000000001E-2</v>
      </c>
      <c r="DN397" s="1091" t="s">
        <v>2260</v>
      </c>
      <c r="DO397" s="1091" t="s">
        <v>2260</v>
      </c>
      <c r="DP397" s="1092" t="s">
        <v>2260</v>
      </c>
      <c r="DQ397" s="1091">
        <v>6.0000000000000001E-3</v>
      </c>
      <c r="DR397" s="1091" t="s">
        <v>2260</v>
      </c>
      <c r="DS397" s="1091" t="s">
        <v>2260</v>
      </c>
      <c r="DT397" s="1092" t="s">
        <v>2260</v>
      </c>
      <c r="DU397" s="1088" t="s">
        <v>2260</v>
      </c>
      <c r="DV397" s="1093">
        <v>1</v>
      </c>
      <c r="DW397" s="1094" t="s">
        <v>2260</v>
      </c>
    </row>
    <row r="398" spans="1:127" s="382" customFormat="1" ht="15.75" customHeight="1">
      <c r="A398" s="1066" t="s">
        <v>1171</v>
      </c>
      <c r="B398" s="1026">
        <v>389</v>
      </c>
      <c r="C398" s="987"/>
      <c r="D398" s="987"/>
      <c r="E398" s="987"/>
      <c r="F398" s="987"/>
      <c r="G398" s="987"/>
      <c r="H398" s="987"/>
      <c r="I398" s="987"/>
      <c r="J398" s="987"/>
      <c r="K398" s="987"/>
      <c r="L398" s="987"/>
      <c r="M398" s="1026"/>
      <c r="N398" s="987"/>
      <c r="O398" s="987"/>
      <c r="P398" s="987"/>
      <c r="Q398" s="987"/>
      <c r="R398" s="987"/>
      <c r="S398" s="987"/>
      <c r="T398" s="988"/>
      <c r="U398" s="1067" t="s">
        <v>1247</v>
      </c>
      <c r="V398" s="1068" t="s">
        <v>3510</v>
      </c>
      <c r="W398" s="1068" t="s">
        <v>2231</v>
      </c>
      <c r="X398" s="1069" t="s">
        <v>3519</v>
      </c>
      <c r="Y398" s="1070" t="s">
        <v>209</v>
      </c>
      <c r="Z398" s="1071" t="s">
        <v>3520</v>
      </c>
      <c r="AA398" s="1072" t="s">
        <v>2260</v>
      </c>
      <c r="AB398" s="1073">
        <v>1</v>
      </c>
      <c r="AC398" s="1073" t="s">
        <v>2260</v>
      </c>
      <c r="AD398" s="1073" t="s">
        <v>2260</v>
      </c>
      <c r="AE398" s="1073" t="s">
        <v>2260</v>
      </c>
      <c r="AF398" s="1073" t="s">
        <v>2260</v>
      </c>
      <c r="AG398" s="1073" t="s">
        <v>2260</v>
      </c>
      <c r="AH398" s="1073" t="s">
        <v>2260</v>
      </c>
      <c r="AI398" s="1074">
        <f t="shared" si="6"/>
        <v>1</v>
      </c>
      <c r="AJ398" s="1075" t="s">
        <v>1846</v>
      </c>
      <c r="AK398" s="1075" t="s">
        <v>1826</v>
      </c>
      <c r="AL398" s="1075" t="s">
        <v>1827</v>
      </c>
      <c r="AM398" s="1076" t="s">
        <v>2238</v>
      </c>
      <c r="AN398" s="987" t="s">
        <v>321</v>
      </c>
      <c r="AO398" s="987" t="s">
        <v>4418</v>
      </c>
      <c r="AP398" s="1276">
        <v>2</v>
      </c>
      <c r="AQ398" s="1045" t="s">
        <v>1838</v>
      </c>
      <c r="AR398" s="1078" t="s">
        <v>209</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210</v>
      </c>
      <c r="CE398" s="1088" t="s">
        <v>210</v>
      </c>
      <c r="CF398" s="1088" t="s">
        <v>210</v>
      </c>
      <c r="CG398" s="1088" t="s">
        <v>210</v>
      </c>
      <c r="CH398" s="1089" t="s">
        <v>210</v>
      </c>
      <c r="CI398" s="1044" t="s">
        <v>2260</v>
      </c>
      <c r="CJ398" s="1045" t="s">
        <v>2260</v>
      </c>
      <c r="CK398" s="1045" t="s">
        <v>2260</v>
      </c>
      <c r="CL398" s="1045" t="s">
        <v>2260</v>
      </c>
      <c r="CM398" s="1086" t="s">
        <v>2260</v>
      </c>
      <c r="CN398" s="1044">
        <v>2.98</v>
      </c>
      <c r="CO398" s="1045">
        <v>2.98</v>
      </c>
      <c r="CP398" s="1045">
        <v>2.98</v>
      </c>
      <c r="CQ398" s="1045">
        <v>2.98</v>
      </c>
      <c r="CR398" s="1086">
        <v>2.98</v>
      </c>
      <c r="CS398" s="1044" t="s">
        <v>2260</v>
      </c>
      <c r="CT398" s="1045" t="s">
        <v>2260</v>
      </c>
      <c r="CU398" s="1045" t="s">
        <v>2260</v>
      </c>
      <c r="CV398" s="1045" t="s">
        <v>2260</v>
      </c>
      <c r="CW398" s="1086" t="s">
        <v>2260</v>
      </c>
      <c r="CX398" s="1044" t="s">
        <v>2260</v>
      </c>
      <c r="CY398" s="1045" t="s">
        <v>2260</v>
      </c>
      <c r="CZ398" s="1045" t="s">
        <v>2260</v>
      </c>
      <c r="DA398" s="1045" t="s">
        <v>2260</v>
      </c>
      <c r="DB398" s="1086" t="s">
        <v>2260</v>
      </c>
      <c r="DC398" s="1045" t="s">
        <v>2260</v>
      </c>
      <c r="DD398" s="1045" t="s">
        <v>2260</v>
      </c>
      <c r="DE398" s="1045" t="s">
        <v>2260</v>
      </c>
      <c r="DF398" s="1045" t="s">
        <v>2260</v>
      </c>
      <c r="DG398" s="1086" t="s">
        <v>2260</v>
      </c>
      <c r="DH398" s="1044" t="s">
        <v>2260</v>
      </c>
      <c r="DI398" s="1045" t="s">
        <v>2260</v>
      </c>
      <c r="DJ398" s="1045" t="s">
        <v>2260</v>
      </c>
      <c r="DK398" s="1045" t="s">
        <v>2260</v>
      </c>
      <c r="DL398" s="1086" t="s">
        <v>2260</v>
      </c>
      <c r="DM398" s="1090">
        <v>-1.58</v>
      </c>
      <c r="DN398" s="1091" t="s">
        <v>2260</v>
      </c>
      <c r="DO398" s="1091" t="s">
        <v>2260</v>
      </c>
      <c r="DP398" s="1092" t="s">
        <v>2260</v>
      </c>
      <c r="DQ398" s="1091" t="s">
        <v>2260</v>
      </c>
      <c r="DR398" s="1091" t="s">
        <v>2260</v>
      </c>
      <c r="DS398" s="1091" t="s">
        <v>2260</v>
      </c>
      <c r="DT398" s="1092" t="s">
        <v>2260</v>
      </c>
      <c r="DU398" s="1088" t="s">
        <v>2260</v>
      </c>
      <c r="DV398" s="1093">
        <v>1</v>
      </c>
      <c r="DW398" s="1094" t="s">
        <v>2260</v>
      </c>
    </row>
    <row r="399" spans="1:127" s="382" customFormat="1" ht="15.75" customHeight="1">
      <c r="A399" s="1066" t="s">
        <v>1171</v>
      </c>
      <c r="B399" s="1026">
        <v>390</v>
      </c>
      <c r="C399" s="987"/>
      <c r="D399" s="987"/>
      <c r="E399" s="987"/>
      <c r="F399" s="987"/>
      <c r="G399" s="987"/>
      <c r="H399" s="987"/>
      <c r="I399" s="987"/>
      <c r="J399" s="987"/>
      <c r="K399" s="987"/>
      <c r="L399" s="987"/>
      <c r="M399" s="1026"/>
      <c r="N399" s="987"/>
      <c r="O399" s="987"/>
      <c r="P399" s="987"/>
      <c r="Q399" s="987"/>
      <c r="R399" s="987"/>
      <c r="S399" s="987"/>
      <c r="T399" s="988"/>
      <c r="U399" s="1067" t="s">
        <v>1315</v>
      </c>
      <c r="V399" s="1068" t="s">
        <v>3510</v>
      </c>
      <c r="W399" s="1068" t="s">
        <v>2217</v>
      </c>
      <c r="X399" s="1069" t="s">
        <v>3521</v>
      </c>
      <c r="Y399" s="1070" t="s">
        <v>3522</v>
      </c>
      <c r="Z399" s="1071" t="s">
        <v>3523</v>
      </c>
      <c r="AA399" s="1072" t="s">
        <v>2260</v>
      </c>
      <c r="AB399" s="1073">
        <v>1</v>
      </c>
      <c r="AC399" s="1073" t="s">
        <v>2260</v>
      </c>
      <c r="AD399" s="1073" t="s">
        <v>2260</v>
      </c>
      <c r="AE399" s="1073" t="s">
        <v>2260</v>
      </c>
      <c r="AF399" s="1073" t="s">
        <v>2260</v>
      </c>
      <c r="AG399" s="1073" t="s">
        <v>2260</v>
      </c>
      <c r="AH399" s="1073" t="s">
        <v>2260</v>
      </c>
      <c r="AI399" s="1074">
        <f t="shared" si="6"/>
        <v>1</v>
      </c>
      <c r="AJ399" s="1075" t="s">
        <v>1852</v>
      </c>
      <c r="AK399" s="1075" t="s">
        <v>1826</v>
      </c>
      <c r="AL399" s="1075" t="s">
        <v>1827</v>
      </c>
      <c r="AM399" s="1076" t="s">
        <v>2421</v>
      </c>
      <c r="AN399" s="987" t="s">
        <v>439</v>
      </c>
      <c r="AO399" s="987" t="s">
        <v>4423</v>
      </c>
      <c r="AP399" s="1276">
        <v>2</v>
      </c>
      <c r="AQ399" s="1045" t="s">
        <v>1838</v>
      </c>
      <c r="AR399" s="1078"/>
      <c r="AS399" s="1079"/>
      <c r="AT399" s="1069"/>
      <c r="AU399" s="1069"/>
      <c r="AV399" s="1069"/>
      <c r="AW399" s="1080"/>
      <c r="AX399" s="1081"/>
      <c r="AY399" s="1044"/>
      <c r="AZ399" s="1045"/>
      <c r="BA399" s="1045"/>
      <c r="BB399" s="1045"/>
      <c r="BC399" s="1045"/>
      <c r="BD399" s="1045"/>
      <c r="BE399" s="1045"/>
      <c r="BF399" s="1045"/>
      <c r="BG399" s="1045"/>
      <c r="BH399" s="1045"/>
      <c r="BI399" s="1369"/>
      <c r="BJ399" s="1319"/>
      <c r="BK399" s="1319"/>
      <c r="BL399" s="1319"/>
      <c r="BM399" s="1319"/>
      <c r="BN399" s="1044"/>
      <c r="BO399" s="1045"/>
      <c r="BP399" s="1045"/>
      <c r="BQ399" s="1045"/>
      <c r="BR399" s="1045"/>
      <c r="BS399" s="1084"/>
      <c r="BT399" s="1045"/>
      <c r="BU399" s="1045"/>
      <c r="BV399" s="1045"/>
      <c r="BW399" s="1085"/>
      <c r="BX399" s="1084"/>
      <c r="BY399" s="1045"/>
      <c r="BZ399" s="1045"/>
      <c r="CA399" s="1045"/>
      <c r="CB399" s="1085"/>
      <c r="CC399" s="1086"/>
      <c r="CD399" s="1327"/>
      <c r="CE399" s="1328"/>
      <c r="CF399" s="1328"/>
      <c r="CG399" s="1328"/>
      <c r="CH399" s="1389"/>
      <c r="CI399" s="1369"/>
      <c r="CJ399" s="1319"/>
      <c r="CK399" s="1319"/>
      <c r="CL399" s="1319"/>
      <c r="CM399" s="1320"/>
      <c r="CN399" s="1369"/>
      <c r="CO399" s="1319"/>
      <c r="CP399" s="1319"/>
      <c r="CQ399" s="1319"/>
      <c r="CR399" s="1320"/>
      <c r="CS399" s="1369"/>
      <c r="CT399" s="1319"/>
      <c r="CU399" s="1319"/>
      <c r="CV399" s="1319"/>
      <c r="CW399" s="1320"/>
      <c r="CX399" s="1369"/>
      <c r="CY399" s="1319"/>
      <c r="CZ399" s="1319"/>
      <c r="DA399" s="1319"/>
      <c r="DB399" s="1320"/>
      <c r="DC399" s="1319"/>
      <c r="DD399" s="1319"/>
      <c r="DE399" s="1319"/>
      <c r="DF399" s="1319"/>
      <c r="DG399" s="1320"/>
      <c r="DH399" s="1369"/>
      <c r="DI399" s="1319"/>
      <c r="DJ399" s="1319"/>
      <c r="DK399" s="1319"/>
      <c r="DL399" s="1320"/>
      <c r="DM399" s="1743"/>
      <c r="DN399" s="1744"/>
      <c r="DO399" s="1744"/>
      <c r="DP399" s="1745"/>
      <c r="DQ399" s="1744"/>
      <c r="DR399" s="1744"/>
      <c r="DS399" s="1744"/>
      <c r="DT399" s="1745"/>
      <c r="DU399" s="1328"/>
      <c r="DV399" s="1664"/>
      <c r="DW399" s="1746"/>
    </row>
    <row r="400" spans="1:127" s="382" customFormat="1" ht="15.75" customHeight="1">
      <c r="A400" s="1066" t="s">
        <v>1171</v>
      </c>
      <c r="B400" s="1026">
        <v>391</v>
      </c>
      <c r="C400" s="987"/>
      <c r="D400" s="987"/>
      <c r="E400" s="987"/>
      <c r="F400" s="987"/>
      <c r="G400" s="987"/>
      <c r="H400" s="987"/>
      <c r="I400" s="987"/>
      <c r="J400" s="987"/>
      <c r="K400" s="987"/>
      <c r="L400" s="987"/>
      <c r="M400" s="1026"/>
      <c r="N400" s="987"/>
      <c r="O400" s="987"/>
      <c r="P400" s="987"/>
      <c r="Q400" s="987"/>
      <c r="R400" s="987"/>
      <c r="S400" s="987"/>
      <c r="T400" s="988"/>
      <c r="U400" s="1067" t="s">
        <v>1332</v>
      </c>
      <c r="V400" s="1068" t="s">
        <v>3525</v>
      </c>
      <c r="W400" s="1068" t="s">
        <v>2217</v>
      </c>
      <c r="X400" s="1069" t="s">
        <v>3526</v>
      </c>
      <c r="Y400" s="1070" t="s">
        <v>2082</v>
      </c>
      <c r="Z400" s="1071" t="s">
        <v>3527</v>
      </c>
      <c r="AA400" s="1072">
        <v>0.1</v>
      </c>
      <c r="AB400" s="1073">
        <v>0.9</v>
      </c>
      <c r="AC400" s="1073" t="s">
        <v>2260</v>
      </c>
      <c r="AD400" s="1073" t="s">
        <v>2260</v>
      </c>
      <c r="AE400" s="1073" t="s">
        <v>2260</v>
      </c>
      <c r="AF400" s="1073" t="s">
        <v>2260</v>
      </c>
      <c r="AG400" s="1073" t="s">
        <v>2260</v>
      </c>
      <c r="AH400" s="1073" t="s">
        <v>2260</v>
      </c>
      <c r="AI400" s="1074">
        <f t="shared" si="6"/>
        <v>1</v>
      </c>
      <c r="AJ400" s="1075" t="s">
        <v>1846</v>
      </c>
      <c r="AK400" s="1075" t="s">
        <v>1836</v>
      </c>
      <c r="AL400" s="1075" t="s">
        <v>1837</v>
      </c>
      <c r="AM400" s="1076" t="s">
        <v>3028</v>
      </c>
      <c r="AN400" s="987" t="s">
        <v>4489</v>
      </c>
      <c r="AO400" s="987" t="s">
        <v>439</v>
      </c>
      <c r="AP400" s="1276">
        <v>0</v>
      </c>
      <c r="AQ400" s="1045" t="s">
        <v>1838</v>
      </c>
      <c r="AR400" s="1078" t="s">
        <v>2260</v>
      </c>
      <c r="AS400" s="1079"/>
      <c r="AT400" s="1069"/>
      <c r="AU400" s="1069"/>
      <c r="AV400" s="1069"/>
      <c r="AW400" s="1080"/>
      <c r="AX400" s="1081"/>
      <c r="AY400" s="1044"/>
      <c r="AZ400" s="1045"/>
      <c r="BA400" s="1045"/>
      <c r="BB400" s="1045"/>
      <c r="BC400" s="1045"/>
      <c r="BD400" s="1045"/>
      <c r="BE400" s="1045"/>
      <c r="BF400" s="1045"/>
      <c r="BG400" s="1045"/>
      <c r="BH400" s="1045"/>
      <c r="BI400" s="1369"/>
      <c r="BJ400" s="1319"/>
      <c r="BK400" s="1319"/>
      <c r="BL400" s="1319"/>
      <c r="BM400" s="1319"/>
      <c r="BN400" s="1044"/>
      <c r="BO400" s="1045"/>
      <c r="BP400" s="1045"/>
      <c r="BQ400" s="1045"/>
      <c r="BR400" s="1045"/>
      <c r="BS400" s="1084"/>
      <c r="BT400" s="1045"/>
      <c r="BU400" s="1045"/>
      <c r="BV400" s="1045"/>
      <c r="BW400" s="1085"/>
      <c r="BX400" s="1084"/>
      <c r="BY400" s="1045"/>
      <c r="BZ400" s="1045"/>
      <c r="CA400" s="1045"/>
      <c r="CB400" s="1085"/>
      <c r="CC400" s="1086"/>
      <c r="CD400" s="1327"/>
      <c r="CE400" s="1328"/>
      <c r="CF400" s="1328"/>
      <c r="CG400" s="1328"/>
      <c r="CH400" s="1389"/>
      <c r="CI400" s="1369"/>
      <c r="CJ400" s="1319"/>
      <c r="CK400" s="1319"/>
      <c r="CL400" s="1319"/>
      <c r="CM400" s="1320"/>
      <c r="CN400" s="1369"/>
      <c r="CO400" s="1319"/>
      <c r="CP400" s="1319"/>
      <c r="CQ400" s="1319"/>
      <c r="CR400" s="1320"/>
      <c r="CS400" s="1369"/>
      <c r="CT400" s="1319"/>
      <c r="CU400" s="1319"/>
      <c r="CV400" s="1319"/>
      <c r="CW400" s="1320"/>
      <c r="CX400" s="1369"/>
      <c r="CY400" s="1319"/>
      <c r="CZ400" s="1319"/>
      <c r="DA400" s="1319"/>
      <c r="DB400" s="1320"/>
      <c r="DC400" s="1319"/>
      <c r="DD400" s="1319"/>
      <c r="DE400" s="1319"/>
      <c r="DF400" s="1319"/>
      <c r="DG400" s="1320"/>
      <c r="DH400" s="1369"/>
      <c r="DI400" s="1319"/>
      <c r="DJ400" s="1319"/>
      <c r="DK400" s="1319"/>
      <c r="DL400" s="1320"/>
      <c r="DM400" s="1743"/>
      <c r="DN400" s="1744"/>
      <c r="DO400" s="1744"/>
      <c r="DP400" s="1745"/>
      <c r="DQ400" s="1744"/>
      <c r="DR400" s="1744"/>
      <c r="DS400" s="1744"/>
      <c r="DT400" s="1745"/>
      <c r="DU400" s="1328"/>
      <c r="DV400" s="1664"/>
      <c r="DW400" s="1746"/>
    </row>
    <row r="401" spans="1:127" s="382" customFormat="1" ht="15.75" customHeight="1">
      <c r="A401" s="1023" t="s">
        <v>1171</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1263</v>
      </c>
      <c r="V401" s="1029" t="s">
        <v>3525</v>
      </c>
      <c r="W401" s="1029" t="s">
        <v>2217</v>
      </c>
      <c r="X401" s="1030" t="s">
        <v>3528</v>
      </c>
      <c r="Y401" s="1031" t="s">
        <v>705</v>
      </c>
      <c r="Z401" s="1032" t="s">
        <v>3529</v>
      </c>
      <c r="AA401" s="1033" t="s">
        <v>2260</v>
      </c>
      <c r="AB401" s="1034">
        <v>1</v>
      </c>
      <c r="AC401" s="1034" t="s">
        <v>2260</v>
      </c>
      <c r="AD401" s="1034" t="s">
        <v>2260</v>
      </c>
      <c r="AE401" s="1034" t="s">
        <v>2260</v>
      </c>
      <c r="AF401" s="1034" t="s">
        <v>2260</v>
      </c>
      <c r="AG401" s="1034" t="s">
        <v>2260</v>
      </c>
      <c r="AH401" s="1034" t="s">
        <v>2260</v>
      </c>
      <c r="AI401" s="1035">
        <f t="shared" si="6"/>
        <v>1</v>
      </c>
      <c r="AJ401" s="1036" t="s">
        <v>1852</v>
      </c>
      <c r="AK401" s="1036" t="s">
        <v>1826</v>
      </c>
      <c r="AL401" s="1036" t="s">
        <v>1827</v>
      </c>
      <c r="AM401" s="1037" t="s">
        <v>705</v>
      </c>
      <c r="AN401" s="1031" t="s">
        <v>321</v>
      </c>
      <c r="AO401" s="1031" t="s">
        <v>4416</v>
      </c>
      <c r="AP401" s="1275">
        <v>1</v>
      </c>
      <c r="AQ401" s="1049" t="s">
        <v>1828</v>
      </c>
      <c r="AR401" s="1040" t="s">
        <v>705</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210</v>
      </c>
      <c r="CE401" s="1054" t="s">
        <v>210</v>
      </c>
      <c r="CF401" s="1054" t="s">
        <v>210</v>
      </c>
      <c r="CG401" s="1054" t="s">
        <v>210</v>
      </c>
      <c r="CH401" s="1055" t="s">
        <v>210</v>
      </c>
      <c r="CI401" s="1058">
        <v>-59.4</v>
      </c>
      <c r="CJ401" s="1056">
        <v>-59.4</v>
      </c>
      <c r="CK401" s="1056">
        <v>-59.4</v>
      </c>
      <c r="CL401" s="1056">
        <v>-59.4</v>
      </c>
      <c r="CM401" s="1057">
        <v>-59.4</v>
      </c>
      <c r="CN401" s="1058">
        <v>-30.6</v>
      </c>
      <c r="CO401" s="1056">
        <v>-30.6</v>
      </c>
      <c r="CP401" s="1056">
        <v>-30.6</v>
      </c>
      <c r="CQ401" s="1056">
        <v>-30.6</v>
      </c>
      <c r="CR401" s="1057">
        <v>-30.6</v>
      </c>
      <c r="CS401" s="1048" t="s">
        <v>2260</v>
      </c>
      <c r="CT401" s="1049" t="s">
        <v>2260</v>
      </c>
      <c r="CU401" s="1049" t="s">
        <v>2260</v>
      </c>
      <c r="CV401" s="1049" t="s">
        <v>2260</v>
      </c>
      <c r="CW401" s="1052" t="s">
        <v>2260</v>
      </c>
      <c r="CX401" s="1869">
        <v>3</v>
      </c>
      <c r="CY401" s="1870">
        <v>6</v>
      </c>
      <c r="CZ401" s="1870">
        <v>9.1</v>
      </c>
      <c r="DA401" s="1870">
        <v>12.3</v>
      </c>
      <c r="DB401" s="1871">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2260</v>
      </c>
      <c r="DO401" s="1061" t="s">
        <v>2260</v>
      </c>
      <c r="DP401" s="1062">
        <v>-1.2310000000000001</v>
      </c>
      <c r="DQ401" s="1061">
        <v>0.37</v>
      </c>
      <c r="DR401" s="1061" t="s">
        <v>2260</v>
      </c>
      <c r="DS401" s="1061" t="s">
        <v>2260</v>
      </c>
      <c r="DT401" s="1062">
        <v>0.74</v>
      </c>
      <c r="DU401" s="1054" t="s">
        <v>173</v>
      </c>
      <c r="DV401" s="1063">
        <v>1</v>
      </c>
      <c r="DW401" s="1064" t="s">
        <v>2260</v>
      </c>
    </row>
    <row r="402" spans="1:127" s="382" customFormat="1" ht="15.75" customHeight="1">
      <c r="A402" s="1023" t="s">
        <v>1171</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1255</v>
      </c>
      <c r="V402" s="1029" t="s">
        <v>3525</v>
      </c>
      <c r="W402" s="1029" t="s">
        <v>2231</v>
      </c>
      <c r="X402" s="1030" t="s">
        <v>3531</v>
      </c>
      <c r="Y402" s="1031" t="s">
        <v>1084</v>
      </c>
      <c r="Z402" s="1032" t="s">
        <v>3532</v>
      </c>
      <c r="AA402" s="1033" t="s">
        <v>2260</v>
      </c>
      <c r="AB402" s="1034">
        <v>1</v>
      </c>
      <c r="AC402" s="1034" t="s">
        <v>2260</v>
      </c>
      <c r="AD402" s="1034" t="s">
        <v>2260</v>
      </c>
      <c r="AE402" s="1034" t="s">
        <v>2260</v>
      </c>
      <c r="AF402" s="1034" t="s">
        <v>2260</v>
      </c>
      <c r="AG402" s="1034" t="s">
        <v>2260</v>
      </c>
      <c r="AH402" s="1034" t="s">
        <v>2260</v>
      </c>
      <c r="AI402" s="1035">
        <f t="shared" si="6"/>
        <v>1</v>
      </c>
      <c r="AJ402" s="1036" t="s">
        <v>1852</v>
      </c>
      <c r="AK402" s="1036" t="s">
        <v>1836</v>
      </c>
      <c r="AL402" s="1036" t="s">
        <v>1837</v>
      </c>
      <c r="AM402" s="1037" t="s">
        <v>2348</v>
      </c>
      <c r="AN402" s="1031" t="s">
        <v>2397</v>
      </c>
      <c r="AO402" s="1031" t="s">
        <v>4416</v>
      </c>
      <c r="AP402" s="1275">
        <v>1</v>
      </c>
      <c r="AQ402" s="802" t="s">
        <v>1828</v>
      </c>
      <c r="AR402" s="1040" t="s">
        <v>1084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210</v>
      </c>
      <c r="CE402" s="1054" t="s">
        <v>210</v>
      </c>
      <c r="CF402" s="1054" t="s">
        <v>210</v>
      </c>
      <c r="CG402" s="1054" t="s">
        <v>210</v>
      </c>
      <c r="CH402" s="1055" t="s">
        <v>210</v>
      </c>
      <c r="CI402" s="1058" t="s">
        <v>2260</v>
      </c>
      <c r="CJ402" s="1056" t="s">
        <v>2260</v>
      </c>
      <c r="CK402" s="1056" t="s">
        <v>2260</v>
      </c>
      <c r="CL402" s="1056" t="s">
        <v>2260</v>
      </c>
      <c r="CM402" s="1057" t="s">
        <v>2260</v>
      </c>
      <c r="CN402" s="1121">
        <v>-5</v>
      </c>
      <c r="CO402" s="1056">
        <v>-3.5</v>
      </c>
      <c r="CP402" s="1056">
        <v>-2.8</v>
      </c>
      <c r="CQ402" s="1056">
        <v>-1.3</v>
      </c>
      <c r="CR402" s="1057">
        <v>0.1</v>
      </c>
      <c r="CS402" s="1048" t="s">
        <v>2260</v>
      </c>
      <c r="CT402" s="1049" t="s">
        <v>2260</v>
      </c>
      <c r="CU402" s="1049" t="s">
        <v>2260</v>
      </c>
      <c r="CV402" s="1049" t="s">
        <v>2260</v>
      </c>
      <c r="CW402" s="1052" t="s">
        <v>2260</v>
      </c>
      <c r="CX402" s="1048" t="s">
        <v>2260</v>
      </c>
      <c r="CY402" s="1049" t="s">
        <v>2260</v>
      </c>
      <c r="CZ402" s="1049" t="s">
        <v>2260</v>
      </c>
      <c r="DA402" s="1049" t="s">
        <v>2260</v>
      </c>
      <c r="DB402" s="1052" t="s">
        <v>2260</v>
      </c>
      <c r="DC402" s="1059">
        <v>7.4</v>
      </c>
      <c r="DD402" s="1056">
        <v>8.6</v>
      </c>
      <c r="DE402" s="1056">
        <v>9.9</v>
      </c>
      <c r="DF402" s="1056">
        <v>11.3</v>
      </c>
      <c r="DG402" s="1057">
        <v>12.5</v>
      </c>
      <c r="DH402" s="1058" t="s">
        <v>2260</v>
      </c>
      <c r="DI402" s="1049" t="s">
        <v>2260</v>
      </c>
      <c r="DJ402" s="1049" t="s">
        <v>2260</v>
      </c>
      <c r="DK402" s="1049" t="s">
        <v>2260</v>
      </c>
      <c r="DL402" s="1052" t="s">
        <v>2260</v>
      </c>
      <c r="DM402" s="1060">
        <v>-0.27900000000000003</v>
      </c>
      <c r="DN402" s="1061" t="s">
        <v>2260</v>
      </c>
      <c r="DO402" s="1061" t="s">
        <v>2260</v>
      </c>
      <c r="DP402" s="1062" t="s">
        <v>2260</v>
      </c>
      <c r="DQ402" s="1061">
        <v>0.25600000000000001</v>
      </c>
      <c r="DR402" s="1061" t="s">
        <v>2260</v>
      </c>
      <c r="DS402" s="1061" t="s">
        <v>2260</v>
      </c>
      <c r="DT402" s="1062" t="s">
        <v>2260</v>
      </c>
      <c r="DU402" s="1054" t="s">
        <v>2260</v>
      </c>
      <c r="DV402" s="1063">
        <v>1</v>
      </c>
      <c r="DW402" s="1064" t="s">
        <v>2260</v>
      </c>
    </row>
    <row r="403" spans="1:127" s="382" customFormat="1" ht="15.75" customHeight="1">
      <c r="A403" s="1066" t="s">
        <v>1171</v>
      </c>
      <c r="B403" s="1026">
        <v>394</v>
      </c>
      <c r="C403" s="987"/>
      <c r="D403" s="987"/>
      <c r="E403" s="987"/>
      <c r="F403" s="987"/>
      <c r="G403" s="987"/>
      <c r="H403" s="987"/>
      <c r="I403" s="987"/>
      <c r="J403" s="987"/>
      <c r="K403" s="987"/>
      <c r="L403" s="987"/>
      <c r="M403" s="1026"/>
      <c r="N403" s="987"/>
      <c r="O403" s="987"/>
      <c r="P403" s="987"/>
      <c r="Q403" s="987"/>
      <c r="R403" s="987"/>
      <c r="S403" s="987"/>
      <c r="T403" s="988"/>
      <c r="U403" s="1067" t="s">
        <v>1164</v>
      </c>
      <c r="V403" s="1068" t="s">
        <v>3534</v>
      </c>
      <c r="W403" s="1068" t="s">
        <v>2217</v>
      </c>
      <c r="X403" s="1069" t="s">
        <v>3535</v>
      </c>
      <c r="Y403" s="1070" t="s">
        <v>784</v>
      </c>
      <c r="Z403" s="1071" t="s">
        <v>3536</v>
      </c>
      <c r="AA403" s="1072" t="s">
        <v>2260</v>
      </c>
      <c r="AB403" s="1073" t="s">
        <v>2260</v>
      </c>
      <c r="AC403" s="1073">
        <v>1</v>
      </c>
      <c r="AD403" s="1073" t="s">
        <v>2260</v>
      </c>
      <c r="AE403" s="1073" t="s">
        <v>2260</v>
      </c>
      <c r="AF403" s="1073" t="s">
        <v>2260</v>
      </c>
      <c r="AG403" s="1073" t="s">
        <v>2260</v>
      </c>
      <c r="AH403" s="1073" t="s">
        <v>2260</v>
      </c>
      <c r="AI403" s="1074">
        <f t="shared" si="6"/>
        <v>1</v>
      </c>
      <c r="AJ403" s="1075" t="s">
        <v>1852</v>
      </c>
      <c r="AK403" s="1075" t="s">
        <v>1826</v>
      </c>
      <c r="AL403" s="1075" t="s">
        <v>1827</v>
      </c>
      <c r="AM403" s="1076" t="s">
        <v>2351</v>
      </c>
      <c r="AN403" s="987" t="s">
        <v>2439</v>
      </c>
      <c r="AO403" s="987" t="s">
        <v>4197</v>
      </c>
      <c r="AP403" s="1276">
        <v>2</v>
      </c>
      <c r="AQ403" s="1045" t="s">
        <v>1838</v>
      </c>
      <c r="AR403" s="1078" t="s">
        <v>784</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210</v>
      </c>
      <c r="CE403" s="1088" t="s">
        <v>210</v>
      </c>
      <c r="CF403" s="1088" t="s">
        <v>210</v>
      </c>
      <c r="CG403" s="1088" t="s">
        <v>210</v>
      </c>
      <c r="CH403" s="1089" t="s">
        <v>210</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2260</v>
      </c>
      <c r="CT403" s="1045" t="s">
        <v>2260</v>
      </c>
      <c r="CU403" s="1045" t="s">
        <v>2260</v>
      </c>
      <c r="CV403" s="1045" t="s">
        <v>2260</v>
      </c>
      <c r="CW403" s="1086" t="s">
        <v>2260</v>
      </c>
      <c r="CX403" s="1044" t="s">
        <v>2260</v>
      </c>
      <c r="CY403" s="1045" t="s">
        <v>2260</v>
      </c>
      <c r="CZ403" s="1045" t="s">
        <v>2260</v>
      </c>
      <c r="DA403" s="1045" t="s">
        <v>2260</v>
      </c>
      <c r="DB403" s="1086" t="s">
        <v>2260</v>
      </c>
      <c r="DC403" s="1045">
        <v>0.93</v>
      </c>
      <c r="DD403" s="1045">
        <v>0.9</v>
      </c>
      <c r="DE403" s="1045">
        <v>0.87</v>
      </c>
      <c r="DF403" s="1045">
        <v>0.8</v>
      </c>
      <c r="DG403" s="1086">
        <v>0.74</v>
      </c>
      <c r="DH403" s="1044">
        <v>0</v>
      </c>
      <c r="DI403" s="1045">
        <v>0</v>
      </c>
      <c r="DJ403" s="1045">
        <v>0</v>
      </c>
      <c r="DK403" s="1045">
        <v>0</v>
      </c>
      <c r="DL403" s="1086">
        <v>0</v>
      </c>
      <c r="DM403" s="1090">
        <v>-9.5120000000000005</v>
      </c>
      <c r="DN403" s="1091" t="s">
        <v>2260</v>
      </c>
      <c r="DO403" s="1091" t="s">
        <v>2260</v>
      </c>
      <c r="DP403" s="1092">
        <v>-19.024000000000001</v>
      </c>
      <c r="DQ403" s="1091">
        <v>3.52</v>
      </c>
      <c r="DR403" s="1091" t="s">
        <v>2260</v>
      </c>
      <c r="DS403" s="1091" t="s">
        <v>2260</v>
      </c>
      <c r="DT403" s="1092">
        <v>7.04</v>
      </c>
      <c r="DU403" s="1088" t="s">
        <v>2260</v>
      </c>
      <c r="DV403" s="1093">
        <v>1</v>
      </c>
      <c r="DW403" s="1094" t="s">
        <v>2260</v>
      </c>
    </row>
    <row r="404" spans="1:127" s="382" customFormat="1" ht="15.75" customHeight="1">
      <c r="A404" s="1066" t="s">
        <v>1171</v>
      </c>
      <c r="B404" s="1026">
        <v>395</v>
      </c>
      <c r="C404" s="987"/>
      <c r="D404" s="987"/>
      <c r="E404" s="987"/>
      <c r="F404" s="987"/>
      <c r="G404" s="987"/>
      <c r="H404" s="987"/>
      <c r="I404" s="987"/>
      <c r="J404" s="987"/>
      <c r="K404" s="987"/>
      <c r="L404" s="987"/>
      <c r="M404" s="1026"/>
      <c r="N404" s="987"/>
      <c r="O404" s="987"/>
      <c r="P404" s="987"/>
      <c r="Q404" s="987"/>
      <c r="R404" s="987"/>
      <c r="S404" s="987"/>
      <c r="T404" s="988"/>
      <c r="U404" s="1067" t="s">
        <v>1500</v>
      </c>
      <c r="V404" s="1068" t="s">
        <v>3534</v>
      </c>
      <c r="W404" s="1068" t="s">
        <v>2217</v>
      </c>
      <c r="X404" s="1069" t="s">
        <v>3538</v>
      </c>
      <c r="Y404" s="1070" t="s">
        <v>3539</v>
      </c>
      <c r="Z404" s="1071" t="s">
        <v>3540</v>
      </c>
      <c r="AA404" s="1072" t="s">
        <v>2260</v>
      </c>
      <c r="AB404" s="1073" t="s">
        <v>2260</v>
      </c>
      <c r="AC404" s="1073">
        <v>1</v>
      </c>
      <c r="AD404" s="1073" t="s">
        <v>2260</v>
      </c>
      <c r="AE404" s="1073" t="s">
        <v>2260</v>
      </c>
      <c r="AF404" s="1073" t="s">
        <v>2260</v>
      </c>
      <c r="AG404" s="1073" t="s">
        <v>2260</v>
      </c>
      <c r="AH404" s="1073" t="s">
        <v>2260</v>
      </c>
      <c r="AI404" s="1074">
        <f t="shared" si="6"/>
        <v>1</v>
      </c>
      <c r="AJ404" s="1075" t="s">
        <v>1852</v>
      </c>
      <c r="AK404" s="1075" t="s">
        <v>1826</v>
      </c>
      <c r="AL404" s="1075" t="s">
        <v>1827</v>
      </c>
      <c r="AM404" s="1076" t="s">
        <v>2351</v>
      </c>
      <c r="AN404" s="987" t="s">
        <v>2439</v>
      </c>
      <c r="AO404" s="987" t="s">
        <v>4197</v>
      </c>
      <c r="AP404" s="1243">
        <v>0</v>
      </c>
      <c r="AQ404" s="1045" t="s">
        <v>1838</v>
      </c>
      <c r="AR404" s="1078"/>
      <c r="AS404" s="1079"/>
      <c r="AT404" s="1069"/>
      <c r="AU404" s="1069"/>
      <c r="AV404" s="1069"/>
      <c r="AW404" s="1080"/>
      <c r="AX404" s="1081"/>
      <c r="AY404" s="1044"/>
      <c r="AZ404" s="1045"/>
      <c r="BA404" s="1045"/>
      <c r="BB404" s="1045"/>
      <c r="BC404" s="1045"/>
      <c r="BD404" s="1045"/>
      <c r="BE404" s="1045"/>
      <c r="BF404" s="1045"/>
      <c r="BG404" s="1095"/>
      <c r="BH404" s="1095"/>
      <c r="BI404" s="1660"/>
      <c r="BJ404" s="1661"/>
      <c r="BK404" s="1661"/>
      <c r="BL404" s="1661"/>
      <c r="BM404" s="1661"/>
      <c r="BN404" s="1044"/>
      <c r="BO404" s="1045"/>
      <c r="BP404" s="1045"/>
      <c r="BQ404" s="1045"/>
      <c r="BR404" s="1045"/>
      <c r="BS404" s="1084"/>
      <c r="BT404" s="1045"/>
      <c r="BU404" s="1045"/>
      <c r="BV404" s="1045"/>
      <c r="BW404" s="1085"/>
      <c r="BX404" s="1084"/>
      <c r="BY404" s="1045"/>
      <c r="BZ404" s="1045"/>
      <c r="CA404" s="1045"/>
      <c r="CB404" s="1085"/>
      <c r="CC404" s="1086"/>
      <c r="CD404" s="1327"/>
      <c r="CE404" s="1328"/>
      <c r="CF404" s="1328"/>
      <c r="CG404" s="1328"/>
      <c r="CH404" s="1389"/>
      <c r="CI404" s="1369"/>
      <c r="CJ404" s="1319"/>
      <c r="CK404" s="1319"/>
      <c r="CL404" s="1319"/>
      <c r="CM404" s="1320"/>
      <c r="CN404" s="1369"/>
      <c r="CO404" s="1319"/>
      <c r="CP404" s="1319"/>
      <c r="CQ404" s="1319"/>
      <c r="CR404" s="1320"/>
      <c r="CS404" s="1369"/>
      <c r="CT404" s="1319"/>
      <c r="CU404" s="1319"/>
      <c r="CV404" s="1319"/>
      <c r="CW404" s="1320"/>
      <c r="CX404" s="1369"/>
      <c r="CY404" s="1319"/>
      <c r="CZ404" s="1319"/>
      <c r="DA404" s="1319"/>
      <c r="DB404" s="1320"/>
      <c r="DC404" s="1319"/>
      <c r="DD404" s="1319"/>
      <c r="DE404" s="1319"/>
      <c r="DF404" s="1319"/>
      <c r="DG404" s="1320"/>
      <c r="DH404" s="1369"/>
      <c r="DI404" s="1319"/>
      <c r="DJ404" s="1319"/>
      <c r="DK404" s="1319"/>
      <c r="DL404" s="1320"/>
      <c r="DM404" s="1743"/>
      <c r="DN404" s="1744"/>
      <c r="DO404" s="1744"/>
      <c r="DP404" s="1745"/>
      <c r="DQ404" s="1744"/>
      <c r="DR404" s="1744"/>
      <c r="DS404" s="1744"/>
      <c r="DT404" s="1745"/>
      <c r="DU404" s="1328"/>
      <c r="DV404" s="1664"/>
      <c r="DW404" s="1746"/>
    </row>
    <row r="405" spans="1:127" s="382" customFormat="1" ht="15.75" customHeight="1">
      <c r="A405" s="1066" t="s">
        <v>1171</v>
      </c>
      <c r="B405" s="1026">
        <v>396</v>
      </c>
      <c r="C405" s="987"/>
      <c r="D405" s="987"/>
      <c r="E405" s="987"/>
      <c r="F405" s="987"/>
      <c r="G405" s="987"/>
      <c r="H405" s="987"/>
      <c r="I405" s="987"/>
      <c r="J405" s="987"/>
      <c r="K405" s="987"/>
      <c r="L405" s="987"/>
      <c r="M405" s="1026"/>
      <c r="N405" s="987"/>
      <c r="O405" s="987"/>
      <c r="P405" s="987"/>
      <c r="Q405" s="987"/>
      <c r="R405" s="987"/>
      <c r="S405" s="987"/>
      <c r="T405" s="988"/>
      <c r="U405" s="1067" t="s">
        <v>1166</v>
      </c>
      <c r="V405" s="1068" t="s">
        <v>3534</v>
      </c>
      <c r="W405" s="1068" t="s">
        <v>2217</v>
      </c>
      <c r="X405" s="1069" t="s">
        <v>3541</v>
      </c>
      <c r="Y405" s="1070" t="s">
        <v>795</v>
      </c>
      <c r="Z405" s="1071" t="s">
        <v>3542</v>
      </c>
      <c r="AA405" s="1072" t="s">
        <v>2260</v>
      </c>
      <c r="AB405" s="1073" t="s">
        <v>2260</v>
      </c>
      <c r="AC405" s="1073">
        <v>1</v>
      </c>
      <c r="AD405" s="1073" t="s">
        <v>2260</v>
      </c>
      <c r="AE405" s="1073" t="s">
        <v>2260</v>
      </c>
      <c r="AF405" s="1073" t="s">
        <v>2260</v>
      </c>
      <c r="AG405" s="1073" t="s">
        <v>2260</v>
      </c>
      <c r="AH405" s="1073" t="s">
        <v>2260</v>
      </c>
      <c r="AI405" s="1074">
        <f t="shared" si="6"/>
        <v>1</v>
      </c>
      <c r="AJ405" s="1075" t="s">
        <v>1852</v>
      </c>
      <c r="AK405" s="1075" t="s">
        <v>1826</v>
      </c>
      <c r="AL405" s="1075" t="s">
        <v>1827</v>
      </c>
      <c r="AM405" s="1076" t="s">
        <v>2482</v>
      </c>
      <c r="AN405" s="987" t="s">
        <v>2439</v>
      </c>
      <c r="AO405" s="987" t="s">
        <v>4432</v>
      </c>
      <c r="AP405" s="1276">
        <v>2</v>
      </c>
      <c r="AQ405" s="1045" t="s">
        <v>1838</v>
      </c>
      <c r="AR405" s="1078" t="s">
        <v>795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210</v>
      </c>
      <c r="CE405" s="1088" t="s">
        <v>210</v>
      </c>
      <c r="CF405" s="1088" t="s">
        <v>210</v>
      </c>
      <c r="CG405" s="1088" t="s">
        <v>210</v>
      </c>
      <c r="CH405" s="1089" t="s">
        <v>210</v>
      </c>
      <c r="CI405" s="1044" t="s">
        <v>2260</v>
      </c>
      <c r="CJ405" s="1045" t="s">
        <v>2260</v>
      </c>
      <c r="CK405" s="1045" t="s">
        <v>2260</v>
      </c>
      <c r="CL405" s="1045" t="s">
        <v>2260</v>
      </c>
      <c r="CM405" s="1086" t="s">
        <v>2260</v>
      </c>
      <c r="CN405" s="1044" t="s">
        <v>2260</v>
      </c>
      <c r="CO405" s="1045" t="s">
        <v>2260</v>
      </c>
      <c r="CP405" s="1045" t="s">
        <v>2260</v>
      </c>
      <c r="CQ405" s="1045" t="s">
        <v>2260</v>
      </c>
      <c r="CR405" s="1086" t="s">
        <v>2260</v>
      </c>
      <c r="CS405" s="1044" t="s">
        <v>2260</v>
      </c>
      <c r="CT405" s="1045" t="s">
        <v>2260</v>
      </c>
      <c r="CU405" s="1045" t="s">
        <v>2260</v>
      </c>
      <c r="CV405" s="1045" t="s">
        <v>2260</v>
      </c>
      <c r="CW405" s="1086" t="s">
        <v>2260</v>
      </c>
      <c r="CX405" s="1044" t="s">
        <v>2260</v>
      </c>
      <c r="CY405" s="1045" t="s">
        <v>2260</v>
      </c>
      <c r="CZ405" s="1045" t="s">
        <v>2260</v>
      </c>
      <c r="DA405" s="1045" t="s">
        <v>2260</v>
      </c>
      <c r="DB405" s="1086" t="s">
        <v>2260</v>
      </c>
      <c r="DC405" s="1045" t="s">
        <v>2260</v>
      </c>
      <c r="DD405" s="1045" t="s">
        <v>2260</v>
      </c>
      <c r="DE405" s="1045" t="s">
        <v>2260</v>
      </c>
      <c r="DF405" s="1045" t="s">
        <v>2260</v>
      </c>
      <c r="DG405" s="1086" t="s">
        <v>2260</v>
      </c>
      <c r="DH405" s="1044" t="s">
        <v>2260</v>
      </c>
      <c r="DI405" s="1045" t="s">
        <v>2260</v>
      </c>
      <c r="DJ405" s="1045" t="s">
        <v>2260</v>
      </c>
      <c r="DK405" s="1045" t="s">
        <v>2260</v>
      </c>
      <c r="DL405" s="1086" t="s">
        <v>2260</v>
      </c>
      <c r="DM405" s="1090">
        <v>-0.19500000000000001</v>
      </c>
      <c r="DN405" s="1091" t="s">
        <v>2260</v>
      </c>
      <c r="DO405" s="1091" t="s">
        <v>2260</v>
      </c>
      <c r="DP405" s="1092" t="s">
        <v>2260</v>
      </c>
      <c r="DQ405" s="1091">
        <v>0.04</v>
      </c>
      <c r="DR405" s="1091" t="s">
        <v>2260</v>
      </c>
      <c r="DS405" s="1091" t="s">
        <v>2260</v>
      </c>
      <c r="DT405" s="1092" t="s">
        <v>2260</v>
      </c>
      <c r="DU405" s="1088" t="s">
        <v>2260</v>
      </c>
      <c r="DV405" s="1093">
        <v>1</v>
      </c>
      <c r="DW405" s="1094" t="s">
        <v>2260</v>
      </c>
    </row>
    <row r="406" spans="1:127" s="382" customFormat="1" ht="15.75" customHeight="1">
      <c r="A406" s="1066" t="s">
        <v>1171</v>
      </c>
      <c r="B406" s="1026">
        <v>397</v>
      </c>
      <c r="C406" s="987"/>
      <c r="D406" s="987"/>
      <c r="E406" s="987"/>
      <c r="F406" s="987"/>
      <c r="G406" s="987"/>
      <c r="H406" s="987"/>
      <c r="I406" s="987"/>
      <c r="J406" s="987"/>
      <c r="K406" s="987"/>
      <c r="L406" s="987"/>
      <c r="M406" s="1026"/>
      <c r="N406" s="987"/>
      <c r="O406" s="987"/>
      <c r="P406" s="987"/>
      <c r="Q406" s="987"/>
      <c r="R406" s="987"/>
      <c r="S406" s="987"/>
      <c r="T406" s="988"/>
      <c r="U406" s="1067" t="s">
        <v>1511</v>
      </c>
      <c r="V406" s="1068" t="s">
        <v>3534</v>
      </c>
      <c r="W406" s="1068" t="s">
        <v>2217</v>
      </c>
      <c r="X406" s="1069" t="s">
        <v>3544</v>
      </c>
      <c r="Y406" s="1070" t="s">
        <v>2623</v>
      </c>
      <c r="Z406" s="1071" t="s">
        <v>3545</v>
      </c>
      <c r="AA406" s="1072" t="s">
        <v>2260</v>
      </c>
      <c r="AB406" s="1073" t="s">
        <v>2260</v>
      </c>
      <c r="AC406" s="1073">
        <v>1</v>
      </c>
      <c r="AD406" s="1073" t="s">
        <v>2260</v>
      </c>
      <c r="AE406" s="1073" t="s">
        <v>2260</v>
      </c>
      <c r="AF406" s="1073" t="s">
        <v>2260</v>
      </c>
      <c r="AG406" s="1073" t="s">
        <v>2260</v>
      </c>
      <c r="AH406" s="1073" t="s">
        <v>2260</v>
      </c>
      <c r="AI406" s="1074">
        <f t="shared" si="6"/>
        <v>1</v>
      </c>
      <c r="AJ406" s="1075" t="s">
        <v>1852</v>
      </c>
      <c r="AK406" s="1075" t="s">
        <v>1826</v>
      </c>
      <c r="AL406" s="1075" t="s">
        <v>1827</v>
      </c>
      <c r="AM406" s="1076" t="s">
        <v>2482</v>
      </c>
      <c r="AN406" s="987" t="s">
        <v>2439</v>
      </c>
      <c r="AO406" s="987" t="s">
        <v>4447</v>
      </c>
      <c r="AP406" s="1243">
        <v>0</v>
      </c>
      <c r="AQ406" s="1045" t="s">
        <v>1838</v>
      </c>
      <c r="AR406" s="1078"/>
      <c r="AS406" s="1079"/>
      <c r="AT406" s="1069"/>
      <c r="AU406" s="1069"/>
      <c r="AV406" s="1069"/>
      <c r="AW406" s="1080"/>
      <c r="AX406" s="1081"/>
      <c r="AY406" s="1044"/>
      <c r="AZ406" s="1045"/>
      <c r="BA406" s="1045"/>
      <c r="BB406" s="1045"/>
      <c r="BC406" s="1045"/>
      <c r="BD406" s="1045"/>
      <c r="BE406" s="1045"/>
      <c r="BF406" s="1045"/>
      <c r="BG406" s="1095"/>
      <c r="BH406" s="1095"/>
      <c r="BI406" s="1660"/>
      <c r="BJ406" s="1661"/>
      <c r="BK406" s="1661"/>
      <c r="BL406" s="1661"/>
      <c r="BM406" s="1661"/>
      <c r="BN406" s="1044"/>
      <c r="BO406" s="1045"/>
      <c r="BP406" s="1045"/>
      <c r="BQ406" s="1045"/>
      <c r="BR406" s="1045"/>
      <c r="BS406" s="1084"/>
      <c r="BT406" s="1045"/>
      <c r="BU406" s="1045"/>
      <c r="BV406" s="1045"/>
      <c r="BW406" s="1085"/>
      <c r="BX406" s="1084"/>
      <c r="BY406" s="1045"/>
      <c r="BZ406" s="1045"/>
      <c r="CA406" s="1045"/>
      <c r="CB406" s="1085"/>
      <c r="CC406" s="1086"/>
      <c r="CD406" s="1327"/>
      <c r="CE406" s="1328"/>
      <c r="CF406" s="1328"/>
      <c r="CG406" s="1328"/>
      <c r="CH406" s="1389"/>
      <c r="CI406" s="1369"/>
      <c r="CJ406" s="1319"/>
      <c r="CK406" s="1319"/>
      <c r="CL406" s="1319"/>
      <c r="CM406" s="1320"/>
      <c r="CN406" s="1369"/>
      <c r="CO406" s="1319"/>
      <c r="CP406" s="1319"/>
      <c r="CQ406" s="1319"/>
      <c r="CR406" s="1320"/>
      <c r="CS406" s="1369"/>
      <c r="CT406" s="1319"/>
      <c r="CU406" s="1319"/>
      <c r="CV406" s="1319"/>
      <c r="CW406" s="1320"/>
      <c r="CX406" s="1369"/>
      <c r="CY406" s="1319"/>
      <c r="CZ406" s="1319"/>
      <c r="DA406" s="1319"/>
      <c r="DB406" s="1320"/>
      <c r="DC406" s="1319"/>
      <c r="DD406" s="1319"/>
      <c r="DE406" s="1319"/>
      <c r="DF406" s="1319"/>
      <c r="DG406" s="1320"/>
      <c r="DH406" s="1369"/>
      <c r="DI406" s="1319"/>
      <c r="DJ406" s="1319"/>
      <c r="DK406" s="1319"/>
      <c r="DL406" s="1320"/>
      <c r="DM406" s="1743"/>
      <c r="DN406" s="1744"/>
      <c r="DO406" s="1744"/>
      <c r="DP406" s="1745"/>
      <c r="DQ406" s="1744"/>
      <c r="DR406" s="1744"/>
      <c r="DS406" s="1744"/>
      <c r="DT406" s="1745"/>
      <c r="DU406" s="1328"/>
      <c r="DV406" s="1664"/>
      <c r="DW406" s="1746"/>
    </row>
    <row r="407" spans="1:127" s="382" customFormat="1" ht="15.75" customHeight="1">
      <c r="A407" s="1066" t="s">
        <v>1171</v>
      </c>
      <c r="B407" s="1026">
        <v>398</v>
      </c>
      <c r="C407" s="987"/>
      <c r="D407" s="987"/>
      <c r="E407" s="987"/>
      <c r="F407" s="987"/>
      <c r="G407" s="987"/>
      <c r="H407" s="987"/>
      <c r="I407" s="987"/>
      <c r="J407" s="987"/>
      <c r="K407" s="987"/>
      <c r="L407" s="987"/>
      <c r="M407" s="1026"/>
      <c r="N407" s="987"/>
      <c r="O407" s="987"/>
      <c r="P407" s="987"/>
      <c r="Q407" s="987"/>
      <c r="R407" s="987"/>
      <c r="S407" s="987"/>
      <c r="T407" s="988"/>
      <c r="U407" s="1067" t="s">
        <v>1522</v>
      </c>
      <c r="V407" s="1068" t="s">
        <v>3534</v>
      </c>
      <c r="W407" s="1068" t="s">
        <v>2223</v>
      </c>
      <c r="X407" s="1069" t="s">
        <v>3546</v>
      </c>
      <c r="Y407" s="1070" t="s">
        <v>3547</v>
      </c>
      <c r="Z407" s="1071" t="s">
        <v>3548</v>
      </c>
      <c r="AA407" s="1072" t="s">
        <v>2260</v>
      </c>
      <c r="AB407" s="1073" t="s">
        <v>2260</v>
      </c>
      <c r="AC407" s="1073">
        <v>1</v>
      </c>
      <c r="AD407" s="1073" t="s">
        <v>2260</v>
      </c>
      <c r="AE407" s="1073" t="s">
        <v>2260</v>
      </c>
      <c r="AF407" s="1073" t="s">
        <v>2260</v>
      </c>
      <c r="AG407" s="1073" t="s">
        <v>2260</v>
      </c>
      <c r="AH407" s="1073" t="s">
        <v>2260</v>
      </c>
      <c r="AI407" s="1074">
        <f t="shared" si="6"/>
        <v>1</v>
      </c>
      <c r="AJ407" s="1075" t="s">
        <v>1852</v>
      </c>
      <c r="AK407" s="1075" t="s">
        <v>1826</v>
      </c>
      <c r="AL407" s="1075" t="s">
        <v>1827</v>
      </c>
      <c r="AM407" s="1076" t="s">
        <v>3549</v>
      </c>
      <c r="AN407" s="987" t="s">
        <v>4489</v>
      </c>
      <c r="AO407" s="987" t="s">
        <v>439</v>
      </c>
      <c r="AP407" s="1243">
        <v>0</v>
      </c>
      <c r="AQ407" s="1045" t="s">
        <v>1838</v>
      </c>
      <c r="AR407" s="1078" t="s">
        <v>2260</v>
      </c>
      <c r="AS407" s="1079"/>
      <c r="AT407" s="1069"/>
      <c r="AU407" s="1069"/>
      <c r="AV407" s="1069"/>
      <c r="AW407" s="1080"/>
      <c r="AX407" s="1081"/>
      <c r="AY407" s="1044"/>
      <c r="AZ407" s="1045"/>
      <c r="BA407" s="1045"/>
      <c r="BB407" s="1045"/>
      <c r="BC407" s="1045"/>
      <c r="BD407" s="1045"/>
      <c r="BE407" s="1045"/>
      <c r="BF407" s="1045"/>
      <c r="BG407" s="1045"/>
      <c r="BH407" s="1045"/>
      <c r="BI407" s="1369"/>
      <c r="BJ407" s="1319"/>
      <c r="BK407" s="1319"/>
      <c r="BL407" s="1319"/>
      <c r="BM407" s="1319"/>
      <c r="BN407" s="1044"/>
      <c r="BO407" s="1045"/>
      <c r="BP407" s="1045"/>
      <c r="BQ407" s="1045"/>
      <c r="BR407" s="1045"/>
      <c r="BS407" s="1084"/>
      <c r="BT407" s="1045"/>
      <c r="BU407" s="1045"/>
      <c r="BV407" s="1045"/>
      <c r="BW407" s="1085"/>
      <c r="BX407" s="1084"/>
      <c r="BY407" s="1045"/>
      <c r="BZ407" s="1045"/>
      <c r="CA407" s="1045"/>
      <c r="CB407" s="1085"/>
      <c r="CC407" s="1086"/>
      <c r="CD407" s="1327"/>
      <c r="CE407" s="1328"/>
      <c r="CF407" s="1328"/>
      <c r="CG407" s="1328"/>
      <c r="CH407" s="1389"/>
      <c r="CI407" s="1369"/>
      <c r="CJ407" s="1319"/>
      <c r="CK407" s="1319"/>
      <c r="CL407" s="1319"/>
      <c r="CM407" s="1320"/>
      <c r="CN407" s="1369"/>
      <c r="CO407" s="1319"/>
      <c r="CP407" s="1319"/>
      <c r="CQ407" s="1319"/>
      <c r="CR407" s="1320"/>
      <c r="CS407" s="1369"/>
      <c r="CT407" s="1319"/>
      <c r="CU407" s="1319"/>
      <c r="CV407" s="1319"/>
      <c r="CW407" s="1320"/>
      <c r="CX407" s="1369"/>
      <c r="CY407" s="1319"/>
      <c r="CZ407" s="1319"/>
      <c r="DA407" s="1319"/>
      <c r="DB407" s="1320"/>
      <c r="DC407" s="1319"/>
      <c r="DD407" s="1319"/>
      <c r="DE407" s="1319"/>
      <c r="DF407" s="1319"/>
      <c r="DG407" s="1320"/>
      <c r="DH407" s="1369"/>
      <c r="DI407" s="1319"/>
      <c r="DJ407" s="1319"/>
      <c r="DK407" s="1319"/>
      <c r="DL407" s="1320"/>
      <c r="DM407" s="1743"/>
      <c r="DN407" s="1744"/>
      <c r="DO407" s="1744"/>
      <c r="DP407" s="1745"/>
      <c r="DQ407" s="1744"/>
      <c r="DR407" s="1744"/>
      <c r="DS407" s="1744"/>
      <c r="DT407" s="1745"/>
      <c r="DU407" s="1328"/>
      <c r="DV407" s="1664"/>
      <c r="DW407" s="1746"/>
    </row>
    <row r="408" spans="1:127" s="382" customFormat="1" ht="15.75" customHeight="1">
      <c r="A408" s="1066" t="s">
        <v>1171</v>
      </c>
      <c r="B408" s="1026">
        <v>399</v>
      </c>
      <c r="C408" s="987"/>
      <c r="D408" s="987"/>
      <c r="E408" s="987"/>
      <c r="F408" s="987"/>
      <c r="G408" s="987"/>
      <c r="H408" s="987"/>
      <c r="I408" s="987"/>
      <c r="J408" s="987"/>
      <c r="K408" s="987"/>
      <c r="L408" s="987"/>
      <c r="M408" s="1026"/>
      <c r="N408" s="987"/>
      <c r="O408" s="987"/>
      <c r="P408" s="987"/>
      <c r="Q408" s="987"/>
      <c r="R408" s="987"/>
      <c r="S408" s="987"/>
      <c r="T408" s="988"/>
      <c r="U408" s="1067" t="s">
        <v>1167</v>
      </c>
      <c r="V408" s="1068" t="s">
        <v>3534</v>
      </c>
      <c r="W408" s="1068" t="s">
        <v>2223</v>
      </c>
      <c r="X408" s="1069" t="s">
        <v>3550</v>
      </c>
      <c r="Y408" s="1070" t="s">
        <v>1085</v>
      </c>
      <c r="Z408" s="1071" t="s">
        <v>3551</v>
      </c>
      <c r="AA408" s="1072" t="s">
        <v>2260</v>
      </c>
      <c r="AB408" s="1073" t="s">
        <v>2260</v>
      </c>
      <c r="AC408" s="1073">
        <v>1</v>
      </c>
      <c r="AD408" s="1073" t="s">
        <v>2260</v>
      </c>
      <c r="AE408" s="1073" t="s">
        <v>2260</v>
      </c>
      <c r="AF408" s="1073" t="s">
        <v>2260</v>
      </c>
      <c r="AG408" s="1073" t="s">
        <v>2260</v>
      </c>
      <c r="AH408" s="1073" t="s">
        <v>2260</v>
      </c>
      <c r="AI408" s="1074">
        <f t="shared" si="6"/>
        <v>1</v>
      </c>
      <c r="AJ408" s="1075" t="s">
        <v>1846</v>
      </c>
      <c r="AK408" s="1075" t="s">
        <v>1826</v>
      </c>
      <c r="AL408" s="1075" t="s">
        <v>1827</v>
      </c>
      <c r="AM408" s="1076" t="s">
        <v>3552</v>
      </c>
      <c r="AN408" s="987" t="s">
        <v>321</v>
      </c>
      <c r="AO408" s="987" t="s">
        <v>2649</v>
      </c>
      <c r="AP408" s="1276">
        <v>2</v>
      </c>
      <c r="AQ408" s="1045" t="s">
        <v>1828</v>
      </c>
      <c r="AR408" s="1078" t="s">
        <v>1085</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210</v>
      </c>
      <c r="CE408" s="1088" t="s">
        <v>210</v>
      </c>
      <c r="CF408" s="1088" t="s">
        <v>210</v>
      </c>
      <c r="CG408" s="1088" t="s">
        <v>210</v>
      </c>
      <c r="CH408" s="1089" t="s">
        <v>210</v>
      </c>
      <c r="CI408" s="1044" t="s">
        <v>2260</v>
      </c>
      <c r="CJ408" s="1045" t="s">
        <v>2260</v>
      </c>
      <c r="CK408" s="1045" t="s">
        <v>2260</v>
      </c>
      <c r="CL408" s="1045" t="s">
        <v>2260</v>
      </c>
      <c r="CM408" s="1086" t="s">
        <v>2260</v>
      </c>
      <c r="CN408" s="1044" t="s">
        <v>2260</v>
      </c>
      <c r="CO408" s="1045" t="s">
        <v>2260</v>
      </c>
      <c r="CP408" s="1045" t="s">
        <v>2260</v>
      </c>
      <c r="CQ408" s="1045" t="s">
        <v>2260</v>
      </c>
      <c r="CR408" s="1086" t="s">
        <v>2260</v>
      </c>
      <c r="CS408" s="1044">
        <v>99</v>
      </c>
      <c r="CT408" s="1045">
        <v>99</v>
      </c>
      <c r="CU408" s="1045">
        <v>99</v>
      </c>
      <c r="CV408" s="1045">
        <v>99</v>
      </c>
      <c r="CW408" s="1086">
        <v>99</v>
      </c>
      <c r="CX408" s="1044" t="s">
        <v>2260</v>
      </c>
      <c r="CY408" s="1045" t="s">
        <v>2260</v>
      </c>
      <c r="CZ408" s="1045" t="s">
        <v>2260</v>
      </c>
      <c r="DA408" s="1045" t="s">
        <v>2260</v>
      </c>
      <c r="DB408" s="1086" t="s">
        <v>2260</v>
      </c>
      <c r="DC408" s="1045" t="s">
        <v>2260</v>
      </c>
      <c r="DD408" s="1045" t="s">
        <v>2260</v>
      </c>
      <c r="DE408" s="1045" t="s">
        <v>2260</v>
      </c>
      <c r="DF408" s="1045" t="s">
        <v>2260</v>
      </c>
      <c r="DG408" s="1086" t="s">
        <v>2260</v>
      </c>
      <c r="DH408" s="1044" t="s">
        <v>2260</v>
      </c>
      <c r="DI408" s="1045" t="s">
        <v>2260</v>
      </c>
      <c r="DJ408" s="1045" t="s">
        <v>2260</v>
      </c>
      <c r="DK408" s="1045" t="s">
        <v>2260</v>
      </c>
      <c r="DL408" s="1086" t="s">
        <v>2260</v>
      </c>
      <c r="DM408" s="1090">
        <v>-0.36499999999999999</v>
      </c>
      <c r="DN408" s="1091" t="s">
        <v>2260</v>
      </c>
      <c r="DO408" s="1091" t="s">
        <v>2260</v>
      </c>
      <c r="DP408" s="1092" t="s">
        <v>2260</v>
      </c>
      <c r="DQ408" s="1091" t="s">
        <v>2260</v>
      </c>
      <c r="DR408" s="1091" t="s">
        <v>2260</v>
      </c>
      <c r="DS408" s="1091" t="s">
        <v>2260</v>
      </c>
      <c r="DT408" s="1092" t="s">
        <v>2260</v>
      </c>
      <c r="DU408" s="1088" t="s">
        <v>2260</v>
      </c>
      <c r="DV408" s="1093">
        <v>1</v>
      </c>
      <c r="DW408" s="1094" t="s">
        <v>2260</v>
      </c>
    </row>
    <row r="409" spans="1:127" s="382" customFormat="1" ht="15.75" customHeight="1">
      <c r="A409" s="1066" t="s">
        <v>1171</v>
      </c>
      <c r="B409" s="1026">
        <v>400</v>
      </c>
      <c r="C409" s="987"/>
      <c r="D409" s="987"/>
      <c r="E409" s="987"/>
      <c r="F409" s="987"/>
      <c r="G409" s="987"/>
      <c r="H409" s="987"/>
      <c r="I409" s="987"/>
      <c r="J409" s="987"/>
      <c r="K409" s="987"/>
      <c r="L409" s="987"/>
      <c r="M409" s="1026"/>
      <c r="N409" s="987"/>
      <c r="O409" s="987"/>
      <c r="P409" s="987"/>
      <c r="Q409" s="987"/>
      <c r="R409" s="987"/>
      <c r="S409" s="987"/>
      <c r="T409" s="988"/>
      <c r="U409" s="1067" t="s">
        <v>1532</v>
      </c>
      <c r="V409" s="1068" t="s">
        <v>3534</v>
      </c>
      <c r="W409" s="1068" t="s">
        <v>2223</v>
      </c>
      <c r="X409" s="1069" t="s">
        <v>3553</v>
      </c>
      <c r="Y409" s="1070" t="s">
        <v>3554</v>
      </c>
      <c r="Z409" s="1071" t="s">
        <v>3555</v>
      </c>
      <c r="AA409" s="1072" t="s">
        <v>2260</v>
      </c>
      <c r="AB409" s="1073" t="s">
        <v>2260</v>
      </c>
      <c r="AC409" s="1073">
        <v>1</v>
      </c>
      <c r="AD409" s="1073" t="s">
        <v>2260</v>
      </c>
      <c r="AE409" s="1073" t="s">
        <v>2260</v>
      </c>
      <c r="AF409" s="1073" t="s">
        <v>2260</v>
      </c>
      <c r="AG409" s="1073" t="s">
        <v>2260</v>
      </c>
      <c r="AH409" s="1073" t="s">
        <v>2260</v>
      </c>
      <c r="AI409" s="1074">
        <f t="shared" si="6"/>
        <v>1</v>
      </c>
      <c r="AJ409" s="1075" t="s">
        <v>1846</v>
      </c>
      <c r="AK409" s="1075" t="s">
        <v>1826</v>
      </c>
      <c r="AL409" s="1075" t="s">
        <v>1827</v>
      </c>
      <c r="AM409" s="1076" t="s">
        <v>3556</v>
      </c>
      <c r="AN409" s="987" t="s">
        <v>321</v>
      </c>
      <c r="AO409" s="987" t="s">
        <v>2016</v>
      </c>
      <c r="AP409" s="1243">
        <v>1</v>
      </c>
      <c r="AQ409" s="1045" t="s">
        <v>1828</v>
      </c>
      <c r="AR409" s="1078" t="s">
        <v>2260</v>
      </c>
      <c r="AS409" s="1079"/>
      <c r="AT409" s="1069"/>
      <c r="AU409" s="1069"/>
      <c r="AV409" s="1069"/>
      <c r="AW409" s="1080"/>
      <c r="AX409" s="1081"/>
      <c r="AY409" s="1044"/>
      <c r="AZ409" s="1045"/>
      <c r="BA409" s="1045"/>
      <c r="BB409" s="1045"/>
      <c r="BC409" s="1045"/>
      <c r="BD409" s="1045"/>
      <c r="BE409" s="1045"/>
      <c r="BF409" s="1045"/>
      <c r="BG409" s="1045"/>
      <c r="BH409" s="1045"/>
      <c r="BI409" s="1369"/>
      <c r="BJ409" s="1319"/>
      <c r="BK409" s="1319"/>
      <c r="BL409" s="1319"/>
      <c r="BM409" s="1319"/>
      <c r="BN409" s="1044"/>
      <c r="BO409" s="1045"/>
      <c r="BP409" s="1045"/>
      <c r="BQ409" s="1045"/>
      <c r="BR409" s="1045"/>
      <c r="BS409" s="1084"/>
      <c r="BT409" s="1045"/>
      <c r="BU409" s="1045"/>
      <c r="BV409" s="1045"/>
      <c r="BW409" s="1085"/>
      <c r="BX409" s="1084"/>
      <c r="BY409" s="1045"/>
      <c r="BZ409" s="1045"/>
      <c r="CA409" s="1045"/>
      <c r="CB409" s="1085"/>
      <c r="CC409" s="1086"/>
      <c r="CD409" s="1327"/>
      <c r="CE409" s="1328"/>
      <c r="CF409" s="1328"/>
      <c r="CG409" s="1328"/>
      <c r="CH409" s="1389"/>
      <c r="CI409" s="1369"/>
      <c r="CJ409" s="1319"/>
      <c r="CK409" s="1319"/>
      <c r="CL409" s="1319"/>
      <c r="CM409" s="1320"/>
      <c r="CN409" s="1369"/>
      <c r="CO409" s="1319"/>
      <c r="CP409" s="1319"/>
      <c r="CQ409" s="1319"/>
      <c r="CR409" s="1320"/>
      <c r="CS409" s="1369"/>
      <c r="CT409" s="1319"/>
      <c r="CU409" s="1319"/>
      <c r="CV409" s="1319"/>
      <c r="CW409" s="1320"/>
      <c r="CX409" s="1369"/>
      <c r="CY409" s="1319"/>
      <c r="CZ409" s="1319"/>
      <c r="DA409" s="1319"/>
      <c r="DB409" s="1320"/>
      <c r="DC409" s="1319"/>
      <c r="DD409" s="1319"/>
      <c r="DE409" s="1319"/>
      <c r="DF409" s="1319"/>
      <c r="DG409" s="1320"/>
      <c r="DH409" s="1369"/>
      <c r="DI409" s="1319"/>
      <c r="DJ409" s="1319"/>
      <c r="DK409" s="1319"/>
      <c r="DL409" s="1320"/>
      <c r="DM409" s="1743"/>
      <c r="DN409" s="1744"/>
      <c r="DO409" s="1744"/>
      <c r="DP409" s="1745"/>
      <c r="DQ409" s="1744"/>
      <c r="DR409" s="1744"/>
      <c r="DS409" s="1744"/>
      <c r="DT409" s="1745"/>
      <c r="DU409" s="1328"/>
      <c r="DV409" s="1664"/>
      <c r="DW409" s="1746"/>
    </row>
    <row r="410" spans="1:127" s="382" customFormat="1" ht="15.75" customHeight="1">
      <c r="A410" s="1066" t="s">
        <v>1171</v>
      </c>
      <c r="B410" s="1026">
        <v>401</v>
      </c>
      <c r="C410" s="987"/>
      <c r="D410" s="987"/>
      <c r="E410" s="987"/>
      <c r="F410" s="987"/>
      <c r="G410" s="987"/>
      <c r="H410" s="987"/>
      <c r="I410" s="987"/>
      <c r="J410" s="987"/>
      <c r="K410" s="987"/>
      <c r="L410" s="987"/>
      <c r="M410" s="1026"/>
      <c r="N410" s="987"/>
      <c r="O410" s="987"/>
      <c r="P410" s="987"/>
      <c r="Q410" s="987"/>
      <c r="R410" s="987"/>
      <c r="S410" s="987"/>
      <c r="T410" s="988"/>
      <c r="U410" s="1067" t="s">
        <v>1598</v>
      </c>
      <c r="V410" s="1068" t="s">
        <v>3534</v>
      </c>
      <c r="W410" s="1068" t="s">
        <v>2231</v>
      </c>
      <c r="X410" s="1069" t="s">
        <v>3557</v>
      </c>
      <c r="Y410" s="1070" t="s">
        <v>3558</v>
      </c>
      <c r="Z410" s="1071" t="s">
        <v>3559</v>
      </c>
      <c r="AA410" s="1072" t="s">
        <v>2260</v>
      </c>
      <c r="AB410" s="1073" t="s">
        <v>2260</v>
      </c>
      <c r="AC410" s="1073">
        <v>1</v>
      </c>
      <c r="AD410" s="1073" t="s">
        <v>2260</v>
      </c>
      <c r="AE410" s="1073" t="s">
        <v>2260</v>
      </c>
      <c r="AF410" s="1073" t="s">
        <v>2260</v>
      </c>
      <c r="AG410" s="1073" t="s">
        <v>2260</v>
      </c>
      <c r="AH410" s="1073" t="s">
        <v>2260</v>
      </c>
      <c r="AI410" s="1074">
        <f t="shared" si="6"/>
        <v>1</v>
      </c>
      <c r="AJ410" s="1075" t="s">
        <v>1825</v>
      </c>
      <c r="AK410" s="1075" t="s">
        <v>2260</v>
      </c>
      <c r="AL410" s="1075" t="s">
        <v>2260</v>
      </c>
      <c r="AM410" s="1076" t="s">
        <v>2387</v>
      </c>
      <c r="AN410" s="987" t="s">
        <v>321</v>
      </c>
      <c r="AO410" s="987" t="s">
        <v>2016</v>
      </c>
      <c r="AP410" s="1243">
        <v>1</v>
      </c>
      <c r="AQ410" s="1045" t="s">
        <v>1828</v>
      </c>
      <c r="AR410" s="1078" t="s">
        <v>2260</v>
      </c>
      <c r="AS410" s="1079"/>
      <c r="AT410" s="1069"/>
      <c r="AU410" s="1069"/>
      <c r="AV410" s="1069"/>
      <c r="AW410" s="1080"/>
      <c r="AX410" s="1081"/>
      <c r="AY410" s="1044"/>
      <c r="AZ410" s="1045"/>
      <c r="BA410" s="1045"/>
      <c r="BB410" s="1045"/>
      <c r="BC410" s="1045"/>
      <c r="BD410" s="1045"/>
      <c r="BE410" s="1045"/>
      <c r="BF410" s="1045"/>
      <c r="BG410" s="1045"/>
      <c r="BH410" s="1045"/>
      <c r="BI410" s="1369"/>
      <c r="BJ410" s="1319"/>
      <c r="BK410" s="1319"/>
      <c r="BL410" s="1319"/>
      <c r="BM410" s="1319"/>
      <c r="BN410" s="1044"/>
      <c r="BO410" s="1045"/>
      <c r="BP410" s="1045"/>
      <c r="BQ410" s="1045"/>
      <c r="BR410" s="1045"/>
      <c r="BS410" s="1084"/>
      <c r="BT410" s="1045"/>
      <c r="BU410" s="1045"/>
      <c r="BV410" s="1045"/>
      <c r="BW410" s="1085"/>
      <c r="BX410" s="1084"/>
      <c r="BY410" s="1045"/>
      <c r="BZ410" s="1045"/>
      <c r="CA410" s="1045"/>
      <c r="CB410" s="1085"/>
      <c r="CC410" s="1086"/>
      <c r="CD410" s="1327"/>
      <c r="CE410" s="1328"/>
      <c r="CF410" s="1328"/>
      <c r="CG410" s="1328"/>
      <c r="CH410" s="1389"/>
      <c r="CI410" s="1369"/>
      <c r="CJ410" s="1319"/>
      <c r="CK410" s="1319"/>
      <c r="CL410" s="1319"/>
      <c r="CM410" s="1320"/>
      <c r="CN410" s="1369"/>
      <c r="CO410" s="1319"/>
      <c r="CP410" s="1319"/>
      <c r="CQ410" s="1319"/>
      <c r="CR410" s="1320"/>
      <c r="CS410" s="1369"/>
      <c r="CT410" s="1319"/>
      <c r="CU410" s="1319"/>
      <c r="CV410" s="1319"/>
      <c r="CW410" s="1320"/>
      <c r="CX410" s="1369"/>
      <c r="CY410" s="1319"/>
      <c r="CZ410" s="1319"/>
      <c r="DA410" s="1319"/>
      <c r="DB410" s="1320"/>
      <c r="DC410" s="1319"/>
      <c r="DD410" s="1319"/>
      <c r="DE410" s="1319"/>
      <c r="DF410" s="1319"/>
      <c r="DG410" s="1320"/>
      <c r="DH410" s="1369"/>
      <c r="DI410" s="1319"/>
      <c r="DJ410" s="1319"/>
      <c r="DK410" s="1319"/>
      <c r="DL410" s="1320"/>
      <c r="DM410" s="1743"/>
      <c r="DN410" s="1744"/>
      <c r="DO410" s="1744"/>
      <c r="DP410" s="1745"/>
      <c r="DQ410" s="1744"/>
      <c r="DR410" s="1744"/>
      <c r="DS410" s="1744"/>
      <c r="DT410" s="1745"/>
      <c r="DU410" s="1328"/>
      <c r="DV410" s="1664"/>
      <c r="DW410" s="1746"/>
    </row>
    <row r="411" spans="1:127" s="382" customFormat="1" ht="15.75" customHeight="1">
      <c r="A411" s="1066" t="s">
        <v>1171</v>
      </c>
      <c r="B411" s="1026">
        <v>402</v>
      </c>
      <c r="C411" s="987"/>
      <c r="D411" s="987"/>
      <c r="E411" s="987"/>
      <c r="F411" s="987"/>
      <c r="G411" s="987"/>
      <c r="H411" s="987"/>
      <c r="I411" s="987"/>
      <c r="J411" s="987"/>
      <c r="K411" s="987"/>
      <c r="L411" s="987"/>
      <c r="M411" s="1026"/>
      <c r="N411" s="987"/>
      <c r="O411" s="987"/>
      <c r="P411" s="987"/>
      <c r="Q411" s="987"/>
      <c r="R411" s="987"/>
      <c r="S411" s="987"/>
      <c r="T411" s="988"/>
      <c r="U411" s="1067" t="s">
        <v>1542</v>
      </c>
      <c r="V411" s="1068" t="s">
        <v>3534</v>
      </c>
      <c r="W411" s="1068" t="s">
        <v>2223</v>
      </c>
      <c r="X411" s="1069" t="s">
        <v>3560</v>
      </c>
      <c r="Y411" s="1070" t="s">
        <v>3561</v>
      </c>
      <c r="Z411" s="1071" t="s">
        <v>3562</v>
      </c>
      <c r="AA411" s="1072" t="s">
        <v>2260</v>
      </c>
      <c r="AB411" s="1073" t="s">
        <v>2260</v>
      </c>
      <c r="AC411" s="1073" t="s">
        <v>2260</v>
      </c>
      <c r="AD411" s="1073">
        <v>1</v>
      </c>
      <c r="AE411" s="1073" t="s">
        <v>2260</v>
      </c>
      <c r="AF411" s="1073" t="s">
        <v>2260</v>
      </c>
      <c r="AG411" s="1073" t="s">
        <v>2260</v>
      </c>
      <c r="AH411" s="1073" t="s">
        <v>2260</v>
      </c>
      <c r="AI411" s="1074">
        <f t="shared" si="6"/>
        <v>1</v>
      </c>
      <c r="AJ411" s="1075" t="s">
        <v>1846</v>
      </c>
      <c r="AK411" s="1075" t="s">
        <v>1826</v>
      </c>
      <c r="AL411" s="1075" t="s">
        <v>1827</v>
      </c>
      <c r="AM411" s="1076" t="s">
        <v>815</v>
      </c>
      <c r="AN411" s="987" t="s">
        <v>321</v>
      </c>
      <c r="AO411" s="987" t="s">
        <v>2016</v>
      </c>
      <c r="AP411" s="1243">
        <v>2</v>
      </c>
      <c r="AQ411" s="1045" t="s">
        <v>1828</v>
      </c>
      <c r="AR411" s="1078" t="s">
        <v>2260</v>
      </c>
      <c r="AS411" s="1079"/>
      <c r="AT411" s="1069"/>
      <c r="AU411" s="1069"/>
      <c r="AV411" s="1069"/>
      <c r="AW411" s="1080"/>
      <c r="AX411" s="1081"/>
      <c r="AY411" s="1044"/>
      <c r="AZ411" s="1045"/>
      <c r="BA411" s="1045"/>
      <c r="BB411" s="1045"/>
      <c r="BC411" s="1045"/>
      <c r="BD411" s="1045"/>
      <c r="BE411" s="1045"/>
      <c r="BF411" s="1045"/>
      <c r="BG411" s="1045"/>
      <c r="BH411" s="1045"/>
      <c r="BI411" s="1369"/>
      <c r="BJ411" s="1319"/>
      <c r="BK411" s="1319"/>
      <c r="BL411" s="1319"/>
      <c r="BM411" s="1319"/>
      <c r="BN411" s="1044"/>
      <c r="BO411" s="1045"/>
      <c r="BP411" s="1045"/>
      <c r="BQ411" s="1045"/>
      <c r="BR411" s="1045"/>
      <c r="BS411" s="1084"/>
      <c r="BT411" s="1045"/>
      <c r="BU411" s="1045"/>
      <c r="BV411" s="1045"/>
      <c r="BW411" s="1085"/>
      <c r="BX411" s="1084"/>
      <c r="BY411" s="1045"/>
      <c r="BZ411" s="1045"/>
      <c r="CA411" s="1045"/>
      <c r="CB411" s="1085"/>
      <c r="CC411" s="1086"/>
      <c r="CD411" s="1327"/>
      <c r="CE411" s="1328"/>
      <c r="CF411" s="1328"/>
      <c r="CG411" s="1328"/>
      <c r="CH411" s="1389"/>
      <c r="CI411" s="1369"/>
      <c r="CJ411" s="1319"/>
      <c r="CK411" s="1319"/>
      <c r="CL411" s="1319"/>
      <c r="CM411" s="1320"/>
      <c r="CN411" s="1369"/>
      <c r="CO411" s="1319"/>
      <c r="CP411" s="1319"/>
      <c r="CQ411" s="1319"/>
      <c r="CR411" s="1320"/>
      <c r="CS411" s="1369"/>
      <c r="CT411" s="1319"/>
      <c r="CU411" s="1319"/>
      <c r="CV411" s="1319"/>
      <c r="CW411" s="1320"/>
      <c r="CX411" s="1369"/>
      <c r="CY411" s="1319"/>
      <c r="CZ411" s="1319"/>
      <c r="DA411" s="1319"/>
      <c r="DB411" s="1320"/>
      <c r="DC411" s="1319"/>
      <c r="DD411" s="1319"/>
      <c r="DE411" s="1319"/>
      <c r="DF411" s="1319"/>
      <c r="DG411" s="1320"/>
      <c r="DH411" s="1369"/>
      <c r="DI411" s="1319"/>
      <c r="DJ411" s="1319"/>
      <c r="DK411" s="1319"/>
      <c r="DL411" s="1320"/>
      <c r="DM411" s="1743"/>
      <c r="DN411" s="1744"/>
      <c r="DO411" s="1744"/>
      <c r="DP411" s="1745"/>
      <c r="DQ411" s="1744"/>
      <c r="DR411" s="1744"/>
      <c r="DS411" s="1744"/>
      <c r="DT411" s="1745"/>
      <c r="DU411" s="1328"/>
      <c r="DV411" s="1664"/>
      <c r="DW411" s="1746"/>
    </row>
    <row r="412" spans="1:127" s="382" customFormat="1" ht="15.75" customHeight="1">
      <c r="A412" s="1066" t="s">
        <v>1171</v>
      </c>
      <c r="B412" s="1026">
        <v>403</v>
      </c>
      <c r="C412" s="987"/>
      <c r="D412" s="987"/>
      <c r="E412" s="987"/>
      <c r="F412" s="987"/>
      <c r="G412" s="987"/>
      <c r="H412" s="987"/>
      <c r="I412" s="987"/>
      <c r="J412" s="987"/>
      <c r="K412" s="987"/>
      <c r="L412" s="987"/>
      <c r="M412" s="1026"/>
      <c r="N412" s="987"/>
      <c r="O412" s="987"/>
      <c r="P412" s="987"/>
      <c r="Q412" s="987"/>
      <c r="R412" s="987"/>
      <c r="S412" s="987"/>
      <c r="T412" s="988"/>
      <c r="U412" s="1067" t="s">
        <v>1249</v>
      </c>
      <c r="V412" s="1068" t="s">
        <v>2234</v>
      </c>
      <c r="W412" s="1068" t="s">
        <v>2231</v>
      </c>
      <c r="X412" s="1069" t="s">
        <v>3563</v>
      </c>
      <c r="Y412" s="1070" t="s">
        <v>567</v>
      </c>
      <c r="Z412" s="1071" t="s">
        <v>3564</v>
      </c>
      <c r="AA412" s="1072">
        <v>1</v>
      </c>
      <c r="AB412" s="1073" t="s">
        <v>2260</v>
      </c>
      <c r="AC412" s="1073" t="s">
        <v>2260</v>
      </c>
      <c r="AD412" s="1073" t="s">
        <v>2260</v>
      </c>
      <c r="AE412" s="1073" t="s">
        <v>2260</v>
      </c>
      <c r="AF412" s="1073" t="s">
        <v>2260</v>
      </c>
      <c r="AG412" s="1073" t="s">
        <v>2260</v>
      </c>
      <c r="AH412" s="1073" t="s">
        <v>2260</v>
      </c>
      <c r="AI412" s="1074">
        <f t="shared" si="6"/>
        <v>1</v>
      </c>
      <c r="AJ412" s="1075" t="s">
        <v>1825</v>
      </c>
      <c r="AK412" s="1075" t="s">
        <v>2260</v>
      </c>
      <c r="AL412" s="1075" t="s">
        <v>2260</v>
      </c>
      <c r="AM412" s="1076" t="s">
        <v>2234</v>
      </c>
      <c r="AN412" s="987" t="s">
        <v>321</v>
      </c>
      <c r="AO412" s="987" t="s">
        <v>4417</v>
      </c>
      <c r="AP412" s="1276">
        <v>1</v>
      </c>
      <c r="AQ412" s="1045" t="s">
        <v>1838</v>
      </c>
      <c r="AR412" s="1078" t="s">
        <v>567</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2260</v>
      </c>
      <c r="CE412" s="1088" t="s">
        <v>2260</v>
      </c>
      <c r="CF412" s="1088" t="s">
        <v>2260</v>
      </c>
      <c r="CG412" s="1088" t="s">
        <v>2260</v>
      </c>
      <c r="CH412" s="1089" t="s">
        <v>2260</v>
      </c>
      <c r="CI412" s="1044" t="s">
        <v>2260</v>
      </c>
      <c r="CJ412" s="1045" t="s">
        <v>2260</v>
      </c>
      <c r="CK412" s="1045" t="s">
        <v>2260</v>
      </c>
      <c r="CL412" s="1045" t="s">
        <v>2260</v>
      </c>
      <c r="CM412" s="1086" t="s">
        <v>2260</v>
      </c>
      <c r="CN412" s="1044" t="s">
        <v>2260</v>
      </c>
      <c r="CO412" s="1045" t="s">
        <v>2260</v>
      </c>
      <c r="CP412" s="1045" t="s">
        <v>2260</v>
      </c>
      <c r="CQ412" s="1045" t="s">
        <v>2260</v>
      </c>
      <c r="CR412" s="1086" t="s">
        <v>2260</v>
      </c>
      <c r="CS412" s="1044" t="s">
        <v>2260</v>
      </c>
      <c r="CT412" s="1045" t="s">
        <v>2260</v>
      </c>
      <c r="CU412" s="1045" t="s">
        <v>2260</v>
      </c>
      <c r="CV412" s="1045" t="s">
        <v>2260</v>
      </c>
      <c r="CW412" s="1086" t="s">
        <v>2260</v>
      </c>
      <c r="CX412" s="1044" t="s">
        <v>2260</v>
      </c>
      <c r="CY412" s="1045" t="s">
        <v>2260</v>
      </c>
      <c r="CZ412" s="1045" t="s">
        <v>2260</v>
      </c>
      <c r="DA412" s="1045" t="s">
        <v>2260</v>
      </c>
      <c r="DB412" s="1086" t="s">
        <v>2260</v>
      </c>
      <c r="DC412" s="1045" t="s">
        <v>2260</v>
      </c>
      <c r="DD412" s="1045" t="s">
        <v>2260</v>
      </c>
      <c r="DE412" s="1045" t="s">
        <v>2260</v>
      </c>
      <c r="DF412" s="1045" t="s">
        <v>2260</v>
      </c>
      <c r="DG412" s="1086" t="s">
        <v>2260</v>
      </c>
      <c r="DH412" s="1044" t="s">
        <v>2260</v>
      </c>
      <c r="DI412" s="1045" t="s">
        <v>2260</v>
      </c>
      <c r="DJ412" s="1045" t="s">
        <v>2260</v>
      </c>
      <c r="DK412" s="1045" t="s">
        <v>2260</v>
      </c>
      <c r="DL412" s="1086" t="s">
        <v>2260</v>
      </c>
      <c r="DM412" s="1090" t="s">
        <v>2260</v>
      </c>
      <c r="DN412" s="1091" t="s">
        <v>2260</v>
      </c>
      <c r="DO412" s="1091" t="s">
        <v>2260</v>
      </c>
      <c r="DP412" s="1092" t="s">
        <v>2260</v>
      </c>
      <c r="DQ412" s="1091" t="s">
        <v>2260</v>
      </c>
      <c r="DR412" s="1091" t="s">
        <v>2260</v>
      </c>
      <c r="DS412" s="1091" t="s">
        <v>2260</v>
      </c>
      <c r="DT412" s="1092" t="s">
        <v>2260</v>
      </c>
      <c r="DU412" s="1088" t="s">
        <v>2260</v>
      </c>
      <c r="DV412" s="1093">
        <v>1</v>
      </c>
      <c r="DW412" s="1094" t="s">
        <v>2260</v>
      </c>
    </row>
    <row r="413" spans="1:127" s="382" customFormat="1" ht="15.75" customHeight="1">
      <c r="A413" s="1066" t="s">
        <v>1171</v>
      </c>
      <c r="B413" s="1026">
        <v>404</v>
      </c>
      <c r="C413" s="987"/>
      <c r="D413" s="987"/>
      <c r="E413" s="987"/>
      <c r="F413" s="987"/>
      <c r="G413" s="987"/>
      <c r="H413" s="987"/>
      <c r="I413" s="987"/>
      <c r="J413" s="987"/>
      <c r="K413" s="987"/>
      <c r="L413" s="987"/>
      <c r="M413" s="1026"/>
      <c r="N413" s="987"/>
      <c r="O413" s="987"/>
      <c r="P413" s="987"/>
      <c r="Q413" s="987"/>
      <c r="R413" s="987"/>
      <c r="S413" s="987"/>
      <c r="T413" s="988"/>
      <c r="U413" s="1067" t="s">
        <v>1170</v>
      </c>
      <c r="V413" s="1068" t="s">
        <v>2234</v>
      </c>
      <c r="W413" s="1068" t="s">
        <v>2231</v>
      </c>
      <c r="X413" s="1069" t="s">
        <v>3566</v>
      </c>
      <c r="Y413" s="1070" t="s">
        <v>891</v>
      </c>
      <c r="Z413" s="1071" t="s">
        <v>3567</v>
      </c>
      <c r="AA413" s="1072" t="s">
        <v>2260</v>
      </c>
      <c r="AB413" s="1073" t="s">
        <v>2260</v>
      </c>
      <c r="AC413" s="1073">
        <v>1</v>
      </c>
      <c r="AD413" s="1073" t="s">
        <v>2260</v>
      </c>
      <c r="AE413" s="1073" t="s">
        <v>2260</v>
      </c>
      <c r="AF413" s="1073" t="s">
        <v>2260</v>
      </c>
      <c r="AG413" s="1073" t="s">
        <v>2260</v>
      </c>
      <c r="AH413" s="1073" t="s">
        <v>2260</v>
      </c>
      <c r="AI413" s="1074">
        <f t="shared" si="6"/>
        <v>1</v>
      </c>
      <c r="AJ413" s="1075" t="s">
        <v>1825</v>
      </c>
      <c r="AK413" s="1075" t="s">
        <v>2260</v>
      </c>
      <c r="AL413" s="1075" t="s">
        <v>2260</v>
      </c>
      <c r="AM413" s="1076" t="s">
        <v>2234</v>
      </c>
      <c r="AN413" s="987" t="s">
        <v>321</v>
      </c>
      <c r="AO413" s="987" t="s">
        <v>4417</v>
      </c>
      <c r="AP413" s="1276">
        <v>2</v>
      </c>
      <c r="AQ413" s="1045" t="s">
        <v>1838</v>
      </c>
      <c r="AR413" s="1078" t="s">
        <v>891</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2260</v>
      </c>
      <c r="CE413" s="1088" t="s">
        <v>2260</v>
      </c>
      <c r="CF413" s="1088" t="s">
        <v>2260</v>
      </c>
      <c r="CG413" s="1088" t="s">
        <v>2260</v>
      </c>
      <c r="CH413" s="1089" t="s">
        <v>2260</v>
      </c>
      <c r="CI413" s="1044" t="s">
        <v>2260</v>
      </c>
      <c r="CJ413" s="1045" t="s">
        <v>2260</v>
      </c>
      <c r="CK413" s="1045" t="s">
        <v>2260</v>
      </c>
      <c r="CL413" s="1045" t="s">
        <v>2260</v>
      </c>
      <c r="CM413" s="1086" t="s">
        <v>2260</v>
      </c>
      <c r="CN413" s="1044" t="s">
        <v>2260</v>
      </c>
      <c r="CO413" s="1045" t="s">
        <v>2260</v>
      </c>
      <c r="CP413" s="1045" t="s">
        <v>2260</v>
      </c>
      <c r="CQ413" s="1045" t="s">
        <v>2260</v>
      </c>
      <c r="CR413" s="1086" t="s">
        <v>2260</v>
      </c>
      <c r="CS413" s="1044" t="s">
        <v>2260</v>
      </c>
      <c r="CT413" s="1045" t="s">
        <v>2260</v>
      </c>
      <c r="CU413" s="1045" t="s">
        <v>2260</v>
      </c>
      <c r="CV413" s="1045" t="s">
        <v>2260</v>
      </c>
      <c r="CW413" s="1086" t="s">
        <v>2260</v>
      </c>
      <c r="CX413" s="1044" t="s">
        <v>2260</v>
      </c>
      <c r="CY413" s="1045" t="s">
        <v>2260</v>
      </c>
      <c r="CZ413" s="1045" t="s">
        <v>2260</v>
      </c>
      <c r="DA413" s="1045" t="s">
        <v>2260</v>
      </c>
      <c r="DB413" s="1086" t="s">
        <v>2260</v>
      </c>
      <c r="DC413" s="1045" t="s">
        <v>2260</v>
      </c>
      <c r="DD413" s="1045" t="s">
        <v>2260</v>
      </c>
      <c r="DE413" s="1045" t="s">
        <v>2260</v>
      </c>
      <c r="DF413" s="1045" t="s">
        <v>2260</v>
      </c>
      <c r="DG413" s="1086" t="s">
        <v>2260</v>
      </c>
      <c r="DH413" s="1044" t="s">
        <v>2260</v>
      </c>
      <c r="DI413" s="1045" t="s">
        <v>2260</v>
      </c>
      <c r="DJ413" s="1045" t="s">
        <v>2260</v>
      </c>
      <c r="DK413" s="1045" t="s">
        <v>2260</v>
      </c>
      <c r="DL413" s="1086" t="s">
        <v>2260</v>
      </c>
      <c r="DM413" s="1090" t="s">
        <v>2260</v>
      </c>
      <c r="DN413" s="1091" t="s">
        <v>2260</v>
      </c>
      <c r="DO413" s="1091" t="s">
        <v>2260</v>
      </c>
      <c r="DP413" s="1092" t="s">
        <v>2260</v>
      </c>
      <c r="DQ413" s="1091" t="s">
        <v>2260</v>
      </c>
      <c r="DR413" s="1091" t="s">
        <v>2260</v>
      </c>
      <c r="DS413" s="1091" t="s">
        <v>2260</v>
      </c>
      <c r="DT413" s="1092" t="s">
        <v>2260</v>
      </c>
      <c r="DU413" s="1088" t="s">
        <v>2260</v>
      </c>
      <c r="DV413" s="1093">
        <v>1</v>
      </c>
      <c r="DW413" s="1094" t="s">
        <v>2260</v>
      </c>
    </row>
    <row r="414" spans="1:127" s="382" customFormat="1" ht="15.75" customHeight="1">
      <c r="A414" s="1066" t="s">
        <v>1171</v>
      </c>
      <c r="B414" s="1026">
        <v>405</v>
      </c>
      <c r="C414" s="987"/>
      <c r="D414" s="987"/>
      <c r="E414" s="987"/>
      <c r="F414" s="987"/>
      <c r="G414" s="987"/>
      <c r="H414" s="987"/>
      <c r="I414" s="987"/>
      <c r="J414" s="987"/>
      <c r="K414" s="987"/>
      <c r="L414" s="987"/>
      <c r="M414" s="1026"/>
      <c r="N414" s="987"/>
      <c r="O414" s="987"/>
      <c r="P414" s="987"/>
      <c r="Q414" s="987"/>
      <c r="R414" s="987"/>
      <c r="S414" s="987"/>
      <c r="T414" s="988"/>
      <c r="U414" s="1067" t="s">
        <v>1551</v>
      </c>
      <c r="V414" s="1068" t="s">
        <v>2234</v>
      </c>
      <c r="W414" s="1068" t="s">
        <v>2231</v>
      </c>
      <c r="X414" s="1069" t="s">
        <v>3569</v>
      </c>
      <c r="Y414" s="1070" t="s">
        <v>3570</v>
      </c>
      <c r="Z414" s="1071" t="s">
        <v>3571</v>
      </c>
      <c r="AA414" s="1072" t="s">
        <v>2260</v>
      </c>
      <c r="AB414" s="1073" t="s">
        <v>2260</v>
      </c>
      <c r="AC414" s="1073">
        <v>1</v>
      </c>
      <c r="AD414" s="1073" t="s">
        <v>2260</v>
      </c>
      <c r="AE414" s="1073" t="s">
        <v>2260</v>
      </c>
      <c r="AF414" s="1073" t="s">
        <v>2260</v>
      </c>
      <c r="AG414" s="1073" t="s">
        <v>2260</v>
      </c>
      <c r="AH414" s="1073" t="s">
        <v>2260</v>
      </c>
      <c r="AI414" s="1074">
        <f t="shared" si="6"/>
        <v>1</v>
      </c>
      <c r="AJ414" s="1075" t="s">
        <v>1852</v>
      </c>
      <c r="AK414" s="1075" t="s">
        <v>1826</v>
      </c>
      <c r="AL414" s="1075" t="s">
        <v>1827</v>
      </c>
      <c r="AM414" s="1076" t="s">
        <v>2234</v>
      </c>
      <c r="AN414" s="987" t="s">
        <v>4489</v>
      </c>
      <c r="AO414" s="987" t="s">
        <v>439</v>
      </c>
      <c r="AP414" s="1243">
        <v>0</v>
      </c>
      <c r="AQ414" s="1045" t="s">
        <v>1828</v>
      </c>
      <c r="AR414" s="1078" t="s">
        <v>2260</v>
      </c>
      <c r="AS414" s="1079"/>
      <c r="AT414" s="1069"/>
      <c r="AU414" s="1069"/>
      <c r="AV414" s="1069"/>
      <c r="AW414" s="1080"/>
      <c r="AX414" s="1081"/>
      <c r="AY414" s="1044"/>
      <c r="AZ414" s="1045"/>
      <c r="BA414" s="1045"/>
      <c r="BB414" s="1045"/>
      <c r="BC414" s="1045"/>
      <c r="BD414" s="1045"/>
      <c r="BE414" s="1045"/>
      <c r="BF414" s="1045"/>
      <c r="BG414" s="1045"/>
      <c r="BH414" s="1045"/>
      <c r="BI414" s="1369"/>
      <c r="BJ414" s="1319"/>
      <c r="BK414" s="1319"/>
      <c r="BL414" s="1319"/>
      <c r="BM414" s="1319"/>
      <c r="BN414" s="1044"/>
      <c r="BO414" s="1045"/>
      <c r="BP414" s="1045"/>
      <c r="BQ414" s="1045"/>
      <c r="BR414" s="1045"/>
      <c r="BS414" s="1084"/>
      <c r="BT414" s="1045"/>
      <c r="BU414" s="1045"/>
      <c r="BV414" s="1045"/>
      <c r="BW414" s="1085"/>
      <c r="BX414" s="1084"/>
      <c r="BY414" s="1045"/>
      <c r="BZ414" s="1045"/>
      <c r="CA414" s="1045"/>
      <c r="CB414" s="1085"/>
      <c r="CC414" s="1086"/>
      <c r="CD414" s="1327"/>
      <c r="CE414" s="1328"/>
      <c r="CF414" s="1328"/>
      <c r="CG414" s="1328"/>
      <c r="CH414" s="1389"/>
      <c r="CI414" s="1369"/>
      <c r="CJ414" s="1319"/>
      <c r="CK414" s="1319"/>
      <c r="CL414" s="1319"/>
      <c r="CM414" s="1320"/>
      <c r="CN414" s="1369"/>
      <c r="CO414" s="1319"/>
      <c r="CP414" s="1319"/>
      <c r="CQ414" s="1319"/>
      <c r="CR414" s="1320"/>
      <c r="CS414" s="1369"/>
      <c r="CT414" s="1319"/>
      <c r="CU414" s="1319"/>
      <c r="CV414" s="1319"/>
      <c r="CW414" s="1320"/>
      <c r="CX414" s="1369"/>
      <c r="CY414" s="1319"/>
      <c r="CZ414" s="1319"/>
      <c r="DA414" s="1319"/>
      <c r="DB414" s="1320"/>
      <c r="DC414" s="1319"/>
      <c r="DD414" s="1319"/>
      <c r="DE414" s="1319"/>
      <c r="DF414" s="1319"/>
      <c r="DG414" s="1320"/>
      <c r="DH414" s="1369"/>
      <c r="DI414" s="1319"/>
      <c r="DJ414" s="1319"/>
      <c r="DK414" s="1319"/>
      <c r="DL414" s="1320"/>
      <c r="DM414" s="1743"/>
      <c r="DN414" s="1744"/>
      <c r="DO414" s="1744"/>
      <c r="DP414" s="1745"/>
      <c r="DQ414" s="1744"/>
      <c r="DR414" s="1744"/>
      <c r="DS414" s="1744"/>
      <c r="DT414" s="1745"/>
      <c r="DU414" s="1328"/>
      <c r="DV414" s="1664"/>
      <c r="DW414" s="1746"/>
    </row>
    <row r="415" spans="1:127" s="382" customFormat="1" ht="15.75" customHeight="1">
      <c r="A415" s="1066" t="s">
        <v>1171</v>
      </c>
      <c r="B415" s="1026">
        <v>406</v>
      </c>
      <c r="C415" s="987"/>
      <c r="D415" s="987"/>
      <c r="E415" s="987"/>
      <c r="F415" s="987"/>
      <c r="G415" s="987"/>
      <c r="H415" s="987"/>
      <c r="I415" s="987"/>
      <c r="J415" s="987"/>
      <c r="K415" s="987"/>
      <c r="L415" s="987"/>
      <c r="M415" s="1026"/>
      <c r="N415" s="987"/>
      <c r="O415" s="987"/>
      <c r="P415" s="987"/>
      <c r="Q415" s="987"/>
      <c r="R415" s="987"/>
      <c r="S415" s="987"/>
      <c r="T415" s="988"/>
      <c r="U415" s="1067" t="s">
        <v>1349</v>
      </c>
      <c r="V415" s="1068" t="s">
        <v>2234</v>
      </c>
      <c r="W415" s="1068" t="s">
        <v>2231</v>
      </c>
      <c r="X415" s="1069" t="s">
        <v>3572</v>
      </c>
      <c r="Y415" s="1070" t="s">
        <v>3573</v>
      </c>
      <c r="Z415" s="1071" t="s">
        <v>3574</v>
      </c>
      <c r="AA415" s="1072" t="s">
        <v>2260</v>
      </c>
      <c r="AB415" s="1073">
        <v>1</v>
      </c>
      <c r="AC415" s="1073" t="s">
        <v>2260</v>
      </c>
      <c r="AD415" s="1073" t="s">
        <v>2260</v>
      </c>
      <c r="AE415" s="1073" t="s">
        <v>2260</v>
      </c>
      <c r="AF415" s="1073" t="s">
        <v>2260</v>
      </c>
      <c r="AG415" s="1073" t="s">
        <v>2260</v>
      </c>
      <c r="AH415" s="1073" t="s">
        <v>2260</v>
      </c>
      <c r="AI415" s="1074">
        <f t="shared" si="6"/>
        <v>1</v>
      </c>
      <c r="AJ415" s="1075" t="s">
        <v>1852</v>
      </c>
      <c r="AK415" s="1075" t="s">
        <v>1826</v>
      </c>
      <c r="AL415" s="1075" t="s">
        <v>1827</v>
      </c>
      <c r="AM415" s="1076" t="s">
        <v>2234</v>
      </c>
      <c r="AN415" s="987" t="s">
        <v>4489</v>
      </c>
      <c r="AO415" s="987" t="s">
        <v>439</v>
      </c>
      <c r="AP415" s="1243">
        <v>0</v>
      </c>
      <c r="AQ415" s="1045" t="s">
        <v>1838</v>
      </c>
      <c r="AR415" s="1078" t="s">
        <v>2260</v>
      </c>
      <c r="AS415" s="1079"/>
      <c r="AT415" s="1069"/>
      <c r="AU415" s="1069"/>
      <c r="AV415" s="1069"/>
      <c r="AW415" s="1080"/>
      <c r="AX415" s="1081"/>
      <c r="AY415" s="1044"/>
      <c r="AZ415" s="1045"/>
      <c r="BA415" s="1045"/>
      <c r="BB415" s="1045"/>
      <c r="BC415" s="1045"/>
      <c r="BD415" s="1045"/>
      <c r="BE415" s="1045"/>
      <c r="BF415" s="1045"/>
      <c r="BG415" s="1045"/>
      <c r="BH415" s="1045"/>
      <c r="BI415" s="1369"/>
      <c r="BJ415" s="1319"/>
      <c r="BK415" s="1319"/>
      <c r="BL415" s="1319"/>
      <c r="BM415" s="1319"/>
      <c r="BN415" s="1044"/>
      <c r="BO415" s="1045"/>
      <c r="BP415" s="1045"/>
      <c r="BQ415" s="1045"/>
      <c r="BR415" s="1045"/>
      <c r="BS415" s="1084"/>
      <c r="BT415" s="1045"/>
      <c r="BU415" s="1045"/>
      <c r="BV415" s="1045"/>
      <c r="BW415" s="1085"/>
      <c r="BX415" s="1084"/>
      <c r="BY415" s="1045"/>
      <c r="BZ415" s="1045"/>
      <c r="CA415" s="1045"/>
      <c r="CB415" s="1085"/>
      <c r="CC415" s="1086"/>
      <c r="CD415" s="1327"/>
      <c r="CE415" s="1328"/>
      <c r="CF415" s="1328"/>
      <c r="CG415" s="1328"/>
      <c r="CH415" s="1389"/>
      <c r="CI415" s="1369"/>
      <c r="CJ415" s="1319"/>
      <c r="CK415" s="1319"/>
      <c r="CL415" s="1319"/>
      <c r="CM415" s="1320"/>
      <c r="CN415" s="1369"/>
      <c r="CO415" s="1319"/>
      <c r="CP415" s="1319"/>
      <c r="CQ415" s="1319"/>
      <c r="CR415" s="1320"/>
      <c r="CS415" s="1369"/>
      <c r="CT415" s="1319"/>
      <c r="CU415" s="1319"/>
      <c r="CV415" s="1319"/>
      <c r="CW415" s="1320"/>
      <c r="CX415" s="1369"/>
      <c r="CY415" s="1319"/>
      <c r="CZ415" s="1319"/>
      <c r="DA415" s="1319"/>
      <c r="DB415" s="1320"/>
      <c r="DC415" s="1319"/>
      <c r="DD415" s="1319"/>
      <c r="DE415" s="1319"/>
      <c r="DF415" s="1319"/>
      <c r="DG415" s="1320"/>
      <c r="DH415" s="1369"/>
      <c r="DI415" s="1319"/>
      <c r="DJ415" s="1319"/>
      <c r="DK415" s="1319"/>
      <c r="DL415" s="1320"/>
      <c r="DM415" s="1743"/>
      <c r="DN415" s="1744"/>
      <c r="DO415" s="1744"/>
      <c r="DP415" s="1745"/>
      <c r="DQ415" s="1744"/>
      <c r="DR415" s="1744"/>
      <c r="DS415" s="1744"/>
      <c r="DT415" s="1745"/>
      <c r="DU415" s="1328"/>
      <c r="DV415" s="1664"/>
      <c r="DW415" s="1746"/>
    </row>
    <row r="416" spans="1:127" s="382" customFormat="1" ht="15.75" customHeight="1">
      <c r="A416" s="1066" t="s">
        <v>1171</v>
      </c>
      <c r="B416" s="1026">
        <v>407</v>
      </c>
      <c r="C416" s="987"/>
      <c r="D416" s="987"/>
      <c r="E416" s="987"/>
      <c r="F416" s="987"/>
      <c r="G416" s="987"/>
      <c r="H416" s="987"/>
      <c r="I416" s="987"/>
      <c r="J416" s="987"/>
      <c r="K416" s="987"/>
      <c r="L416" s="987"/>
      <c r="M416" s="1026"/>
      <c r="N416" s="987"/>
      <c r="O416" s="987"/>
      <c r="P416" s="987"/>
      <c r="Q416" s="987"/>
      <c r="R416" s="987"/>
      <c r="S416" s="987"/>
      <c r="T416" s="988"/>
      <c r="U416" s="1067" t="s">
        <v>1787</v>
      </c>
      <c r="V416" s="1068" t="s">
        <v>3575</v>
      </c>
      <c r="W416" s="1068" t="s">
        <v>2231</v>
      </c>
      <c r="X416" s="1069" t="s">
        <v>3576</v>
      </c>
      <c r="Y416" s="1070" t="s">
        <v>2251</v>
      </c>
      <c r="Z416" s="1071" t="s">
        <v>3577</v>
      </c>
      <c r="AA416" s="1072" t="s">
        <v>2260</v>
      </c>
      <c r="AB416" s="1073" t="s">
        <v>2260</v>
      </c>
      <c r="AC416" s="1073" t="s">
        <v>2260</v>
      </c>
      <c r="AD416" s="1073" t="s">
        <v>2260</v>
      </c>
      <c r="AE416" s="1073">
        <v>1</v>
      </c>
      <c r="AF416" s="1073" t="s">
        <v>2260</v>
      </c>
      <c r="AG416" s="1073" t="s">
        <v>2260</v>
      </c>
      <c r="AH416" s="1073" t="s">
        <v>2260</v>
      </c>
      <c r="AI416" s="1074">
        <f t="shared" si="6"/>
        <v>1</v>
      </c>
      <c r="AJ416" s="1075" t="s">
        <v>1852</v>
      </c>
      <c r="AK416" s="1075" t="s">
        <v>1826</v>
      </c>
      <c r="AL416" s="1075" t="s">
        <v>1827</v>
      </c>
      <c r="AM416" s="1076" t="s">
        <v>1888</v>
      </c>
      <c r="AN416" s="987" t="s">
        <v>1897</v>
      </c>
      <c r="AO416" s="987" t="s">
        <v>3578</v>
      </c>
      <c r="AP416" s="1243">
        <v>2</v>
      </c>
      <c r="AQ416" s="1045" t="s">
        <v>1828</v>
      </c>
      <c r="AR416" s="1078" t="s">
        <v>2251</v>
      </c>
      <c r="AS416" s="1079"/>
      <c r="AT416" s="1069"/>
      <c r="AU416" s="1069"/>
      <c r="AV416" s="1069"/>
      <c r="AW416" s="1080"/>
      <c r="AX416" s="1081"/>
      <c r="AY416" s="1044"/>
      <c r="AZ416" s="1045"/>
      <c r="BA416" s="1045"/>
      <c r="BB416" s="1045"/>
      <c r="BC416" s="1045"/>
      <c r="BD416" s="1045"/>
      <c r="BE416" s="1045"/>
      <c r="BF416" s="1045"/>
      <c r="BG416" s="1045"/>
      <c r="BH416" s="1045"/>
      <c r="BI416" s="1044" t="s">
        <v>2260</v>
      </c>
      <c r="BJ416" s="1045" t="s">
        <v>2260</v>
      </c>
      <c r="BK416" s="1045" t="s">
        <v>2260</v>
      </c>
      <c r="BL416" s="1045" t="s">
        <v>2260</v>
      </c>
      <c r="BM416" s="1045" t="s">
        <v>2260</v>
      </c>
      <c r="BN416" s="1044"/>
      <c r="BO416" s="1045"/>
      <c r="BP416" s="1045"/>
      <c r="BQ416" s="1045"/>
      <c r="BR416" s="1045"/>
      <c r="BS416" s="1084"/>
      <c r="BT416" s="1045"/>
      <c r="BU416" s="1045"/>
      <c r="BV416" s="1045"/>
      <c r="BW416" s="1085"/>
      <c r="BX416" s="1084"/>
      <c r="BY416" s="1045"/>
      <c r="BZ416" s="1045"/>
      <c r="CA416" s="1045"/>
      <c r="CB416" s="1085"/>
      <c r="CC416" s="1086"/>
      <c r="CD416" s="1087" t="s">
        <v>210</v>
      </c>
      <c r="CE416" s="1088" t="s">
        <v>210</v>
      </c>
      <c r="CF416" s="1088" t="s">
        <v>210</v>
      </c>
      <c r="CG416" s="1088" t="s">
        <v>210</v>
      </c>
      <c r="CH416" s="1089" t="s">
        <v>210</v>
      </c>
      <c r="CI416" s="1044" t="s">
        <v>2260</v>
      </c>
      <c r="CJ416" s="1045" t="s">
        <v>2260</v>
      </c>
      <c r="CK416" s="1045" t="s">
        <v>2260</v>
      </c>
      <c r="CL416" s="1045" t="s">
        <v>2260</v>
      </c>
      <c r="CM416" s="1086" t="s">
        <v>2260</v>
      </c>
      <c r="CN416" s="1044" t="s">
        <v>2260</v>
      </c>
      <c r="CO416" s="1045" t="s">
        <v>2260</v>
      </c>
      <c r="CP416" s="1045" t="s">
        <v>2260</v>
      </c>
      <c r="CQ416" s="1045" t="s">
        <v>2260</v>
      </c>
      <c r="CR416" s="1086" t="s">
        <v>2260</v>
      </c>
      <c r="CS416" s="1044" t="s">
        <v>2260</v>
      </c>
      <c r="CT416" s="1045" t="s">
        <v>2260</v>
      </c>
      <c r="CU416" s="1045" t="s">
        <v>2260</v>
      </c>
      <c r="CV416" s="1045" t="s">
        <v>2260</v>
      </c>
      <c r="CW416" s="1086" t="s">
        <v>2260</v>
      </c>
      <c r="CX416" s="1044" t="s">
        <v>2260</v>
      </c>
      <c r="CY416" s="1045" t="s">
        <v>2260</v>
      </c>
      <c r="CZ416" s="1045" t="s">
        <v>2260</v>
      </c>
      <c r="DA416" s="1045" t="s">
        <v>2260</v>
      </c>
      <c r="DB416" s="1086" t="s">
        <v>2260</v>
      </c>
      <c r="DC416" s="1045" t="s">
        <v>2260</v>
      </c>
      <c r="DD416" s="1045" t="s">
        <v>2260</v>
      </c>
      <c r="DE416" s="1045" t="s">
        <v>2260</v>
      </c>
      <c r="DF416" s="1045" t="s">
        <v>2260</v>
      </c>
      <c r="DG416" s="1086" t="s">
        <v>2260</v>
      </c>
      <c r="DH416" s="1044" t="s">
        <v>2260</v>
      </c>
      <c r="DI416" s="1045" t="s">
        <v>2260</v>
      </c>
      <c r="DJ416" s="1045" t="s">
        <v>2260</v>
      </c>
      <c r="DK416" s="1045" t="s">
        <v>2260</v>
      </c>
      <c r="DL416" s="1086" t="s">
        <v>2260</v>
      </c>
      <c r="DM416" s="1090" t="s">
        <v>2260</v>
      </c>
      <c r="DN416" s="1091" t="s">
        <v>2260</v>
      </c>
      <c r="DO416" s="1091" t="s">
        <v>2260</v>
      </c>
      <c r="DP416" s="1092" t="s">
        <v>2260</v>
      </c>
      <c r="DQ416" s="1091" t="s">
        <v>2260</v>
      </c>
      <c r="DR416" s="1091" t="s">
        <v>2260</v>
      </c>
      <c r="DS416" s="1091" t="s">
        <v>2260</v>
      </c>
      <c r="DT416" s="1092" t="s">
        <v>2260</v>
      </c>
      <c r="DU416" s="1088" t="s">
        <v>2260</v>
      </c>
      <c r="DV416" s="1093">
        <v>1</v>
      </c>
      <c r="DW416" s="1094" t="s">
        <v>2260</v>
      </c>
    </row>
    <row r="417" spans="1:127" s="382" customFormat="1" ht="15.75" customHeight="1">
      <c r="A417" s="1066" t="s">
        <v>1171</v>
      </c>
      <c r="B417" s="1026">
        <v>408</v>
      </c>
      <c r="C417" s="987"/>
      <c r="D417" s="987"/>
      <c r="E417" s="987"/>
      <c r="F417" s="987"/>
      <c r="G417" s="987"/>
      <c r="H417" s="987"/>
      <c r="I417" s="987"/>
      <c r="J417" s="987"/>
      <c r="K417" s="987"/>
      <c r="L417" s="987"/>
      <c r="M417" s="1026"/>
      <c r="N417" s="987"/>
      <c r="O417" s="987"/>
      <c r="P417" s="987"/>
      <c r="Q417" s="987"/>
      <c r="R417" s="987"/>
      <c r="S417" s="987"/>
      <c r="T417" s="988"/>
      <c r="U417" s="1067" t="s">
        <v>1366</v>
      </c>
      <c r="V417" s="1068" t="s">
        <v>3575</v>
      </c>
      <c r="W417" s="1068" t="s">
        <v>2223</v>
      </c>
      <c r="X417" s="1069" t="s">
        <v>3579</v>
      </c>
      <c r="Y417" s="1070" t="s">
        <v>3580</v>
      </c>
      <c r="Z417" s="1071" t="s">
        <v>3581</v>
      </c>
      <c r="AA417" s="1072" t="s">
        <v>2260</v>
      </c>
      <c r="AB417" s="1073">
        <v>1</v>
      </c>
      <c r="AC417" s="1073" t="s">
        <v>2260</v>
      </c>
      <c r="AD417" s="1073" t="s">
        <v>2260</v>
      </c>
      <c r="AE417" s="1073" t="s">
        <v>2260</v>
      </c>
      <c r="AF417" s="1073" t="s">
        <v>2260</v>
      </c>
      <c r="AG417" s="1073" t="s">
        <v>2260</v>
      </c>
      <c r="AH417" s="1073" t="s">
        <v>2260</v>
      </c>
      <c r="AI417" s="1074">
        <f t="shared" si="6"/>
        <v>1</v>
      </c>
      <c r="AJ417" s="1075" t="s">
        <v>1852</v>
      </c>
      <c r="AK417" s="1075" t="s">
        <v>1826</v>
      </c>
      <c r="AL417" s="1075" t="s">
        <v>1827</v>
      </c>
      <c r="AM417" s="1076" t="s">
        <v>3582</v>
      </c>
      <c r="AN417" s="987" t="s">
        <v>321</v>
      </c>
      <c r="AO417" s="987" t="s">
        <v>2016</v>
      </c>
      <c r="AP417" s="1243">
        <v>1</v>
      </c>
      <c r="AQ417" s="1045" t="s">
        <v>1828</v>
      </c>
      <c r="AR417" s="1078" t="s">
        <v>2260</v>
      </c>
      <c r="AS417" s="1079"/>
      <c r="AT417" s="1069"/>
      <c r="AU417" s="1069"/>
      <c r="AV417" s="1069"/>
      <c r="AW417" s="1080"/>
      <c r="AX417" s="1081"/>
      <c r="AY417" s="1044"/>
      <c r="AZ417" s="1045"/>
      <c r="BA417" s="1045"/>
      <c r="BB417" s="1045"/>
      <c r="BC417" s="1045"/>
      <c r="BD417" s="1045"/>
      <c r="BE417" s="1045"/>
      <c r="BF417" s="1045"/>
      <c r="BG417" s="1045"/>
      <c r="BH417" s="1045"/>
      <c r="BI417" s="1369"/>
      <c r="BJ417" s="1319"/>
      <c r="BK417" s="1319"/>
      <c r="BL417" s="1319"/>
      <c r="BM417" s="1319"/>
      <c r="BN417" s="1044"/>
      <c r="BO417" s="1045"/>
      <c r="BP417" s="1045"/>
      <c r="BQ417" s="1045"/>
      <c r="BR417" s="1045"/>
      <c r="BS417" s="1084"/>
      <c r="BT417" s="1045"/>
      <c r="BU417" s="1045"/>
      <c r="BV417" s="1045"/>
      <c r="BW417" s="1085"/>
      <c r="BX417" s="1084"/>
      <c r="BY417" s="1045"/>
      <c r="BZ417" s="1045"/>
      <c r="CA417" s="1045"/>
      <c r="CB417" s="1085"/>
      <c r="CC417" s="1086"/>
      <c r="CD417" s="1327"/>
      <c r="CE417" s="1328"/>
      <c r="CF417" s="1328"/>
      <c r="CG417" s="1328"/>
      <c r="CH417" s="1389"/>
      <c r="CI417" s="1369"/>
      <c r="CJ417" s="1319"/>
      <c r="CK417" s="1319"/>
      <c r="CL417" s="1319"/>
      <c r="CM417" s="1320"/>
      <c r="CN417" s="1369"/>
      <c r="CO417" s="1319"/>
      <c r="CP417" s="1319"/>
      <c r="CQ417" s="1319"/>
      <c r="CR417" s="1320"/>
      <c r="CS417" s="1369"/>
      <c r="CT417" s="1319"/>
      <c r="CU417" s="1319"/>
      <c r="CV417" s="1319"/>
      <c r="CW417" s="1320"/>
      <c r="CX417" s="1369"/>
      <c r="CY417" s="1319"/>
      <c r="CZ417" s="1319"/>
      <c r="DA417" s="1319"/>
      <c r="DB417" s="1320"/>
      <c r="DC417" s="1319"/>
      <c r="DD417" s="1319"/>
      <c r="DE417" s="1319"/>
      <c r="DF417" s="1319"/>
      <c r="DG417" s="1320"/>
      <c r="DH417" s="1369"/>
      <c r="DI417" s="1319"/>
      <c r="DJ417" s="1319"/>
      <c r="DK417" s="1319"/>
      <c r="DL417" s="1320"/>
      <c r="DM417" s="1743"/>
      <c r="DN417" s="1744"/>
      <c r="DO417" s="1744"/>
      <c r="DP417" s="1745"/>
      <c r="DQ417" s="1744"/>
      <c r="DR417" s="1744"/>
      <c r="DS417" s="1744"/>
      <c r="DT417" s="1745"/>
      <c r="DU417" s="1328"/>
      <c r="DV417" s="1664"/>
      <c r="DW417" s="1746"/>
    </row>
    <row r="418" spans="1:127" s="382" customFormat="1" ht="15.75" customHeight="1">
      <c r="A418" s="1066" t="s">
        <v>1171</v>
      </c>
      <c r="B418" s="1026">
        <v>409</v>
      </c>
      <c r="C418" s="987"/>
      <c r="D418" s="987"/>
      <c r="E418" s="987"/>
      <c r="F418" s="987"/>
      <c r="G418" s="987"/>
      <c r="H418" s="987"/>
      <c r="I418" s="987"/>
      <c r="J418" s="987"/>
      <c r="K418" s="987"/>
      <c r="L418" s="987"/>
      <c r="M418" s="1026"/>
      <c r="N418" s="987"/>
      <c r="O418" s="987"/>
      <c r="P418" s="987"/>
      <c r="Q418" s="987"/>
      <c r="R418" s="987"/>
      <c r="S418" s="987"/>
      <c r="T418" s="988"/>
      <c r="U418" s="1067" t="s">
        <v>1560</v>
      </c>
      <c r="V418" s="1068" t="s">
        <v>3575</v>
      </c>
      <c r="W418" s="1068" t="s">
        <v>2223</v>
      </c>
      <c r="X418" s="1069" t="s">
        <v>3583</v>
      </c>
      <c r="Y418" s="1070" t="s">
        <v>3584</v>
      </c>
      <c r="Z418" s="1071" t="s">
        <v>3585</v>
      </c>
      <c r="AA418" s="1072" t="s">
        <v>2260</v>
      </c>
      <c r="AB418" s="1073" t="s">
        <v>2260</v>
      </c>
      <c r="AC418" s="1073">
        <v>1</v>
      </c>
      <c r="AD418" s="1073" t="s">
        <v>2260</v>
      </c>
      <c r="AE418" s="1073" t="s">
        <v>2260</v>
      </c>
      <c r="AF418" s="1073" t="s">
        <v>2260</v>
      </c>
      <c r="AG418" s="1073" t="s">
        <v>2260</v>
      </c>
      <c r="AH418" s="1073" t="s">
        <v>2260</v>
      </c>
      <c r="AI418" s="1074">
        <f t="shared" si="6"/>
        <v>1</v>
      </c>
      <c r="AJ418" s="1075" t="s">
        <v>1852</v>
      </c>
      <c r="AK418" s="1075" t="s">
        <v>1826</v>
      </c>
      <c r="AL418" s="1075" t="s">
        <v>1827</v>
      </c>
      <c r="AM418" s="1076" t="s">
        <v>3582</v>
      </c>
      <c r="AN418" s="987" t="s">
        <v>321</v>
      </c>
      <c r="AO418" s="987" t="s">
        <v>2016</v>
      </c>
      <c r="AP418" s="1243">
        <v>1</v>
      </c>
      <c r="AQ418" s="1045" t="s">
        <v>1828</v>
      </c>
      <c r="AR418" s="1078" t="s">
        <v>2260</v>
      </c>
      <c r="AS418" s="1079"/>
      <c r="AT418" s="1069"/>
      <c r="AU418" s="1069"/>
      <c r="AV418" s="1069"/>
      <c r="AW418" s="1080"/>
      <c r="AX418" s="1081"/>
      <c r="AY418" s="1044"/>
      <c r="AZ418" s="1045"/>
      <c r="BA418" s="1045"/>
      <c r="BB418" s="1045"/>
      <c r="BC418" s="1045"/>
      <c r="BD418" s="1045"/>
      <c r="BE418" s="1045"/>
      <c r="BF418" s="1045"/>
      <c r="BG418" s="1045"/>
      <c r="BH418" s="1045"/>
      <c r="BI418" s="1369"/>
      <c r="BJ418" s="1319"/>
      <c r="BK418" s="1319"/>
      <c r="BL418" s="1319"/>
      <c r="BM418" s="1319"/>
      <c r="BN418" s="1044"/>
      <c r="BO418" s="1045"/>
      <c r="BP418" s="1045"/>
      <c r="BQ418" s="1045"/>
      <c r="BR418" s="1045"/>
      <c r="BS418" s="1084"/>
      <c r="BT418" s="1045"/>
      <c r="BU418" s="1045"/>
      <c r="BV418" s="1045"/>
      <c r="BW418" s="1085"/>
      <c r="BX418" s="1084"/>
      <c r="BY418" s="1045"/>
      <c r="BZ418" s="1045"/>
      <c r="CA418" s="1045"/>
      <c r="CB418" s="1085"/>
      <c r="CC418" s="1086"/>
      <c r="CD418" s="1327"/>
      <c r="CE418" s="1328"/>
      <c r="CF418" s="1328"/>
      <c r="CG418" s="1328"/>
      <c r="CH418" s="1389"/>
      <c r="CI418" s="1369"/>
      <c r="CJ418" s="1319"/>
      <c r="CK418" s="1319"/>
      <c r="CL418" s="1319"/>
      <c r="CM418" s="1320"/>
      <c r="CN418" s="1369"/>
      <c r="CO418" s="1319"/>
      <c r="CP418" s="1319"/>
      <c r="CQ418" s="1319"/>
      <c r="CR418" s="1320"/>
      <c r="CS418" s="1369"/>
      <c r="CT418" s="1319"/>
      <c r="CU418" s="1319"/>
      <c r="CV418" s="1319"/>
      <c r="CW418" s="1320"/>
      <c r="CX418" s="1369"/>
      <c r="CY418" s="1319"/>
      <c r="CZ418" s="1319"/>
      <c r="DA418" s="1319"/>
      <c r="DB418" s="1320"/>
      <c r="DC418" s="1319"/>
      <c r="DD418" s="1319"/>
      <c r="DE418" s="1319"/>
      <c r="DF418" s="1319"/>
      <c r="DG418" s="1320"/>
      <c r="DH418" s="1369"/>
      <c r="DI418" s="1319"/>
      <c r="DJ418" s="1319"/>
      <c r="DK418" s="1319"/>
      <c r="DL418" s="1320"/>
      <c r="DM418" s="1743"/>
      <c r="DN418" s="1744"/>
      <c r="DO418" s="1744"/>
      <c r="DP418" s="1745"/>
      <c r="DQ418" s="1744"/>
      <c r="DR418" s="1744"/>
      <c r="DS418" s="1744"/>
      <c r="DT418" s="1745"/>
      <c r="DU418" s="1328"/>
      <c r="DV418" s="1664"/>
      <c r="DW418" s="1746"/>
    </row>
    <row r="419" spans="1:127" s="382" customFormat="1" ht="15.75" customHeight="1">
      <c r="A419" s="1066" t="s">
        <v>1171</v>
      </c>
      <c r="B419" s="1026">
        <v>410</v>
      </c>
      <c r="C419" s="987"/>
      <c r="D419" s="987"/>
      <c r="E419" s="987"/>
      <c r="F419" s="987"/>
      <c r="G419" s="987"/>
      <c r="H419" s="987"/>
      <c r="I419" s="987"/>
      <c r="J419" s="987"/>
      <c r="K419" s="987"/>
      <c r="L419" s="987"/>
      <c r="M419" s="1026"/>
      <c r="N419" s="987"/>
      <c r="O419" s="987"/>
      <c r="P419" s="987"/>
      <c r="Q419" s="987"/>
      <c r="R419" s="987"/>
      <c r="S419" s="987"/>
      <c r="T419" s="988"/>
      <c r="U419" s="1067" t="s">
        <v>1770</v>
      </c>
      <c r="V419" s="1068" t="s">
        <v>3575</v>
      </c>
      <c r="W419" s="1068" t="s">
        <v>2231</v>
      </c>
      <c r="X419" s="1069" t="s">
        <v>3586</v>
      </c>
      <c r="Y419" s="1070" t="s">
        <v>2254</v>
      </c>
      <c r="Z419" s="1071" t="s">
        <v>3587</v>
      </c>
      <c r="AA419" s="1072" t="s">
        <v>2260</v>
      </c>
      <c r="AB419" s="1073">
        <v>0.49</v>
      </c>
      <c r="AC419" s="1073">
        <v>0.51</v>
      </c>
      <c r="AD419" s="1073" t="s">
        <v>2260</v>
      </c>
      <c r="AE419" s="1073" t="s">
        <v>2260</v>
      </c>
      <c r="AF419" s="1073" t="s">
        <v>2260</v>
      </c>
      <c r="AG419" s="1073" t="s">
        <v>2260</v>
      </c>
      <c r="AH419" s="1073" t="s">
        <v>2260</v>
      </c>
      <c r="AI419" s="1074">
        <f t="shared" si="6"/>
        <v>1</v>
      </c>
      <c r="AJ419" s="1075" t="s">
        <v>1852</v>
      </c>
      <c r="AK419" s="1075" t="s">
        <v>1826</v>
      </c>
      <c r="AL419" s="1075" t="s">
        <v>1827</v>
      </c>
      <c r="AM419" s="1076" t="s">
        <v>1891</v>
      </c>
      <c r="AN419" s="987" t="s">
        <v>1897</v>
      </c>
      <c r="AO419" s="987" t="s">
        <v>3588</v>
      </c>
      <c r="AP419" s="1243">
        <v>2</v>
      </c>
      <c r="AQ419" s="1045" t="s">
        <v>1828</v>
      </c>
      <c r="AR419" s="1078" t="s">
        <v>2254</v>
      </c>
      <c r="AS419" s="1079"/>
      <c r="AT419" s="1069"/>
      <c r="AU419" s="1069"/>
      <c r="AV419" s="1069"/>
      <c r="AW419" s="1080"/>
      <c r="AX419" s="1081"/>
      <c r="AY419" s="1044"/>
      <c r="AZ419" s="1045"/>
      <c r="BA419" s="1045"/>
      <c r="BB419" s="1045"/>
      <c r="BC419" s="1045"/>
      <c r="BD419" s="1045"/>
      <c r="BE419" s="1045"/>
      <c r="BF419" s="1045"/>
      <c r="BG419" s="1045"/>
      <c r="BH419" s="1045"/>
      <c r="BI419" s="1044" t="s">
        <v>2260</v>
      </c>
      <c r="BJ419" s="1045" t="s">
        <v>2260</v>
      </c>
      <c r="BK419" s="1045" t="s">
        <v>2260</v>
      </c>
      <c r="BL419" s="1045" t="s">
        <v>2260</v>
      </c>
      <c r="BM419" s="1045" t="s">
        <v>2260</v>
      </c>
      <c r="BN419" s="1044"/>
      <c r="BO419" s="1045"/>
      <c r="BP419" s="1045"/>
      <c r="BQ419" s="1045"/>
      <c r="BR419" s="1045"/>
      <c r="BS419" s="1084"/>
      <c r="BT419" s="1045"/>
      <c r="BU419" s="1045"/>
      <c r="BV419" s="1045"/>
      <c r="BW419" s="1085"/>
      <c r="BX419" s="1084"/>
      <c r="BY419" s="1045"/>
      <c r="BZ419" s="1045"/>
      <c r="CA419" s="1045"/>
      <c r="CB419" s="1085"/>
      <c r="CC419" s="1086"/>
      <c r="CD419" s="1087" t="s">
        <v>210</v>
      </c>
      <c r="CE419" s="1088" t="s">
        <v>210</v>
      </c>
      <c r="CF419" s="1088" t="s">
        <v>210</v>
      </c>
      <c r="CG419" s="1088" t="s">
        <v>210</v>
      </c>
      <c r="CH419" s="1089" t="s">
        <v>210</v>
      </c>
      <c r="CI419" s="1044" t="s">
        <v>2260</v>
      </c>
      <c r="CJ419" s="1045" t="s">
        <v>2260</v>
      </c>
      <c r="CK419" s="1045" t="s">
        <v>2260</v>
      </c>
      <c r="CL419" s="1045" t="s">
        <v>2260</v>
      </c>
      <c r="CM419" s="1086" t="s">
        <v>2260</v>
      </c>
      <c r="CN419" s="1044" t="s">
        <v>2260</v>
      </c>
      <c r="CO419" s="1045" t="s">
        <v>2260</v>
      </c>
      <c r="CP419" s="1045" t="s">
        <v>2260</v>
      </c>
      <c r="CQ419" s="1045" t="s">
        <v>2260</v>
      </c>
      <c r="CR419" s="1086" t="s">
        <v>2260</v>
      </c>
      <c r="CS419" s="1044" t="s">
        <v>2260</v>
      </c>
      <c r="CT419" s="1045" t="s">
        <v>2260</v>
      </c>
      <c r="CU419" s="1045" t="s">
        <v>2260</v>
      </c>
      <c r="CV419" s="1045" t="s">
        <v>2260</v>
      </c>
      <c r="CW419" s="1086" t="s">
        <v>2260</v>
      </c>
      <c r="CX419" s="1044" t="s">
        <v>2260</v>
      </c>
      <c r="CY419" s="1045" t="s">
        <v>2260</v>
      </c>
      <c r="CZ419" s="1045" t="s">
        <v>2260</v>
      </c>
      <c r="DA419" s="1045" t="s">
        <v>2260</v>
      </c>
      <c r="DB419" s="1086" t="s">
        <v>2260</v>
      </c>
      <c r="DC419" s="1045" t="s">
        <v>2260</v>
      </c>
      <c r="DD419" s="1045" t="s">
        <v>2260</v>
      </c>
      <c r="DE419" s="1045" t="s">
        <v>2260</v>
      </c>
      <c r="DF419" s="1045" t="s">
        <v>2260</v>
      </c>
      <c r="DG419" s="1086" t="s">
        <v>2260</v>
      </c>
      <c r="DH419" s="1044" t="s">
        <v>2260</v>
      </c>
      <c r="DI419" s="1045" t="s">
        <v>2260</v>
      </c>
      <c r="DJ419" s="1045" t="s">
        <v>2260</v>
      </c>
      <c r="DK419" s="1045" t="s">
        <v>2260</v>
      </c>
      <c r="DL419" s="1086" t="s">
        <v>2260</v>
      </c>
      <c r="DM419" s="1090" t="s">
        <v>2260</v>
      </c>
      <c r="DN419" s="1091" t="s">
        <v>2260</v>
      </c>
      <c r="DO419" s="1091" t="s">
        <v>2260</v>
      </c>
      <c r="DP419" s="1092" t="s">
        <v>2260</v>
      </c>
      <c r="DQ419" s="1091" t="s">
        <v>2260</v>
      </c>
      <c r="DR419" s="1091" t="s">
        <v>2260</v>
      </c>
      <c r="DS419" s="1091" t="s">
        <v>2260</v>
      </c>
      <c r="DT419" s="1092" t="s">
        <v>2260</v>
      </c>
      <c r="DU419" s="1088" t="s">
        <v>2260</v>
      </c>
      <c r="DV419" s="1093">
        <v>1</v>
      </c>
      <c r="DW419" s="1094" t="s">
        <v>2260</v>
      </c>
    </row>
    <row r="420" spans="1:127" s="382" customFormat="1" ht="15.75" customHeight="1">
      <c r="A420" s="1066" t="s">
        <v>1171</v>
      </c>
      <c r="B420" s="1026">
        <v>411</v>
      </c>
      <c r="C420" s="987"/>
      <c r="D420" s="987"/>
      <c r="E420" s="987"/>
      <c r="F420" s="987"/>
      <c r="G420" s="987"/>
      <c r="H420" s="987"/>
      <c r="I420" s="987"/>
      <c r="J420" s="987"/>
      <c r="K420" s="987"/>
      <c r="L420" s="987"/>
      <c r="M420" s="1026"/>
      <c r="N420" s="987"/>
      <c r="O420" s="987"/>
      <c r="P420" s="987"/>
      <c r="Q420" s="987"/>
      <c r="R420" s="987"/>
      <c r="S420" s="987"/>
      <c r="T420" s="988"/>
      <c r="U420" s="1067" t="s">
        <v>1615</v>
      </c>
      <c r="V420" s="1068" t="s">
        <v>3575</v>
      </c>
      <c r="W420" s="1068" t="s">
        <v>2223</v>
      </c>
      <c r="X420" s="1069" t="s">
        <v>3589</v>
      </c>
      <c r="Y420" s="1070" t="s">
        <v>3590</v>
      </c>
      <c r="Z420" s="1071" t="s">
        <v>3591</v>
      </c>
      <c r="AA420" s="1072" t="s">
        <v>2260</v>
      </c>
      <c r="AB420" s="1073" t="s">
        <v>2260</v>
      </c>
      <c r="AC420" s="1073" t="s">
        <v>2260</v>
      </c>
      <c r="AD420" s="1073" t="s">
        <v>2260</v>
      </c>
      <c r="AE420" s="1073">
        <v>1</v>
      </c>
      <c r="AF420" s="1073" t="s">
        <v>2260</v>
      </c>
      <c r="AG420" s="1073" t="s">
        <v>2260</v>
      </c>
      <c r="AH420" s="1073" t="s">
        <v>2260</v>
      </c>
      <c r="AI420" s="1074">
        <f t="shared" si="6"/>
        <v>1</v>
      </c>
      <c r="AJ420" s="1075" t="s">
        <v>1825</v>
      </c>
      <c r="AK420" s="1075" t="s">
        <v>2260</v>
      </c>
      <c r="AL420" s="1075" t="s">
        <v>2260</v>
      </c>
      <c r="AM420" s="1076" t="s">
        <v>2396</v>
      </c>
      <c r="AN420" s="987" t="s">
        <v>321</v>
      </c>
      <c r="AO420" s="987" t="s">
        <v>2016</v>
      </c>
      <c r="AP420" s="1276">
        <v>0</v>
      </c>
      <c r="AQ420" s="1045" t="s">
        <v>1828</v>
      </c>
      <c r="AR420" s="1078" t="s">
        <v>2260</v>
      </c>
      <c r="AS420" s="1079"/>
      <c r="AT420" s="1069"/>
      <c r="AU420" s="1069"/>
      <c r="AV420" s="1069"/>
      <c r="AW420" s="1080"/>
      <c r="AX420" s="1081"/>
      <c r="AY420" s="1044"/>
      <c r="AZ420" s="1045"/>
      <c r="BA420" s="1045"/>
      <c r="BB420" s="1045"/>
      <c r="BC420" s="1045"/>
      <c r="BD420" s="1045"/>
      <c r="BE420" s="1045"/>
      <c r="BF420" s="1045"/>
      <c r="BG420" s="1045"/>
      <c r="BH420" s="1045"/>
      <c r="BI420" s="1369"/>
      <c r="BJ420" s="1319"/>
      <c r="BK420" s="1319"/>
      <c r="BL420" s="1319"/>
      <c r="BM420" s="1319"/>
      <c r="BN420" s="1044"/>
      <c r="BO420" s="1045"/>
      <c r="BP420" s="1045"/>
      <c r="BQ420" s="1045"/>
      <c r="BR420" s="1045"/>
      <c r="BS420" s="1084"/>
      <c r="BT420" s="1045"/>
      <c r="BU420" s="1045"/>
      <c r="BV420" s="1045"/>
      <c r="BW420" s="1085"/>
      <c r="BX420" s="1084"/>
      <c r="BY420" s="1045"/>
      <c r="BZ420" s="1045"/>
      <c r="CA420" s="1045"/>
      <c r="CB420" s="1085"/>
      <c r="CC420" s="1086"/>
      <c r="CD420" s="1327"/>
      <c r="CE420" s="1328"/>
      <c r="CF420" s="1328"/>
      <c r="CG420" s="1328"/>
      <c r="CH420" s="1389"/>
      <c r="CI420" s="1369"/>
      <c r="CJ420" s="1319"/>
      <c r="CK420" s="1319"/>
      <c r="CL420" s="1319"/>
      <c r="CM420" s="1320"/>
      <c r="CN420" s="1369"/>
      <c r="CO420" s="1319"/>
      <c r="CP420" s="1319"/>
      <c r="CQ420" s="1319"/>
      <c r="CR420" s="1320"/>
      <c r="CS420" s="1369"/>
      <c r="CT420" s="1319"/>
      <c r="CU420" s="1319"/>
      <c r="CV420" s="1319"/>
      <c r="CW420" s="1320"/>
      <c r="CX420" s="1369"/>
      <c r="CY420" s="1319"/>
      <c r="CZ420" s="1319"/>
      <c r="DA420" s="1319"/>
      <c r="DB420" s="1320"/>
      <c r="DC420" s="1319"/>
      <c r="DD420" s="1319"/>
      <c r="DE420" s="1319"/>
      <c r="DF420" s="1319"/>
      <c r="DG420" s="1320"/>
      <c r="DH420" s="1369"/>
      <c r="DI420" s="1319"/>
      <c r="DJ420" s="1319"/>
      <c r="DK420" s="1319"/>
      <c r="DL420" s="1320"/>
      <c r="DM420" s="1743"/>
      <c r="DN420" s="1744"/>
      <c r="DO420" s="1744"/>
      <c r="DP420" s="1745"/>
      <c r="DQ420" s="1744"/>
      <c r="DR420" s="1744"/>
      <c r="DS420" s="1744"/>
      <c r="DT420" s="1745"/>
      <c r="DU420" s="1328"/>
      <c r="DV420" s="1664"/>
      <c r="DW420" s="1746"/>
    </row>
    <row r="421" spans="1:127" s="382" customFormat="1" ht="15.75" customHeight="1">
      <c r="A421" s="1066" t="s">
        <v>1171</v>
      </c>
      <c r="B421" s="1026">
        <v>412</v>
      </c>
      <c r="C421" s="987"/>
      <c r="D421" s="987"/>
      <c r="E421" s="987"/>
      <c r="F421" s="987"/>
      <c r="G421" s="987"/>
      <c r="H421" s="987"/>
      <c r="I421" s="987"/>
      <c r="J421" s="987"/>
      <c r="K421" s="987"/>
      <c r="L421" s="987"/>
      <c r="M421" s="1026"/>
      <c r="N421" s="987"/>
      <c r="O421" s="987"/>
      <c r="P421" s="987"/>
      <c r="Q421" s="987"/>
      <c r="R421" s="987"/>
      <c r="S421" s="987"/>
      <c r="T421" s="988"/>
      <c r="U421" s="1067" t="s">
        <v>1250</v>
      </c>
      <c r="V421" s="1068" t="s">
        <v>3575</v>
      </c>
      <c r="W421" s="1068" t="s">
        <v>2231</v>
      </c>
      <c r="X421" s="1069" t="s">
        <v>3592</v>
      </c>
      <c r="Y421" s="1070" t="s">
        <v>755</v>
      </c>
      <c r="Z421" s="1071" t="s">
        <v>3593</v>
      </c>
      <c r="AA421" s="1072" t="s">
        <v>2260</v>
      </c>
      <c r="AB421" s="1073" t="s">
        <v>2260</v>
      </c>
      <c r="AC421" s="1073" t="s">
        <v>2260</v>
      </c>
      <c r="AD421" s="1073" t="s">
        <v>2260</v>
      </c>
      <c r="AE421" s="1073">
        <v>1</v>
      </c>
      <c r="AF421" s="1073" t="s">
        <v>2260</v>
      </c>
      <c r="AG421" s="1073" t="s">
        <v>2260</v>
      </c>
      <c r="AH421" s="1073" t="s">
        <v>2260</v>
      </c>
      <c r="AI421" s="1074">
        <f t="shared" si="6"/>
        <v>1</v>
      </c>
      <c r="AJ421" s="1075" t="s">
        <v>1825</v>
      </c>
      <c r="AK421" s="1075" t="s">
        <v>2260</v>
      </c>
      <c r="AL421" s="1075" t="s">
        <v>2260</v>
      </c>
      <c r="AM421" s="1076" t="s">
        <v>2396</v>
      </c>
      <c r="AN421" s="987" t="s">
        <v>321</v>
      </c>
      <c r="AO421" s="987" t="s">
        <v>4424</v>
      </c>
      <c r="AP421" s="2043">
        <v>1</v>
      </c>
      <c r="AQ421" s="1045" t="s">
        <v>1828</v>
      </c>
      <c r="AR421" s="1078" t="s">
        <v>755</v>
      </c>
      <c r="AS421" s="1079"/>
      <c r="AT421" s="1069"/>
      <c r="AU421" s="1069"/>
      <c r="AV421" s="1069"/>
      <c r="AW421" s="1080"/>
      <c r="AX421" s="1081"/>
      <c r="AY421" s="1044"/>
      <c r="AZ421" s="1045"/>
      <c r="BA421" s="1045"/>
      <c r="BB421" s="1045"/>
      <c r="BC421" s="1045"/>
      <c r="BD421" s="1045"/>
      <c r="BE421" s="1045"/>
      <c r="BF421" s="1045"/>
      <c r="BG421" s="1045"/>
      <c r="BH421" s="1045"/>
      <c r="BI421" s="1044" t="s">
        <v>4490</v>
      </c>
      <c r="BJ421" s="1045" t="s">
        <v>4479</v>
      </c>
      <c r="BK421" s="1045" t="s">
        <v>4491</v>
      </c>
      <c r="BL421" s="1045" t="s">
        <v>4470</v>
      </c>
      <c r="BM421" s="1045" t="s">
        <v>4446</v>
      </c>
      <c r="BN421" s="1044"/>
      <c r="BO421" s="1045"/>
      <c r="BP421" s="1045"/>
      <c r="BQ421" s="1045"/>
      <c r="BR421" s="1045"/>
      <c r="BS421" s="1084"/>
      <c r="BT421" s="1045"/>
      <c r="BU421" s="1045"/>
      <c r="BV421" s="1045"/>
      <c r="BW421" s="1085"/>
      <c r="BX421" s="1084"/>
      <c r="BY421" s="1045"/>
      <c r="BZ421" s="1045"/>
      <c r="CA421" s="1045"/>
      <c r="CB421" s="1085"/>
      <c r="CC421" s="1086"/>
      <c r="CD421" s="1087" t="s">
        <v>2260</v>
      </c>
      <c r="CE421" s="1088" t="s">
        <v>2260</v>
      </c>
      <c r="CF421" s="1088" t="s">
        <v>2260</v>
      </c>
      <c r="CG421" s="1088" t="s">
        <v>2260</v>
      </c>
      <c r="CH421" s="1089" t="s">
        <v>2260</v>
      </c>
      <c r="CI421" s="1044" t="s">
        <v>2260</v>
      </c>
      <c r="CJ421" s="1045" t="s">
        <v>2260</v>
      </c>
      <c r="CK421" s="1045" t="s">
        <v>2260</v>
      </c>
      <c r="CL421" s="1045" t="s">
        <v>2260</v>
      </c>
      <c r="CM421" s="1086" t="s">
        <v>2260</v>
      </c>
      <c r="CN421" s="1044" t="s">
        <v>2260</v>
      </c>
      <c r="CO421" s="1045" t="s">
        <v>2260</v>
      </c>
      <c r="CP421" s="1045" t="s">
        <v>2260</v>
      </c>
      <c r="CQ421" s="1045" t="s">
        <v>2260</v>
      </c>
      <c r="CR421" s="1086" t="s">
        <v>2260</v>
      </c>
      <c r="CS421" s="1044" t="s">
        <v>2260</v>
      </c>
      <c r="CT421" s="1045" t="s">
        <v>2260</v>
      </c>
      <c r="CU421" s="1045" t="s">
        <v>2260</v>
      </c>
      <c r="CV421" s="1045" t="s">
        <v>2260</v>
      </c>
      <c r="CW421" s="1086" t="s">
        <v>2260</v>
      </c>
      <c r="CX421" s="1044" t="s">
        <v>2260</v>
      </c>
      <c r="CY421" s="1045" t="s">
        <v>2260</v>
      </c>
      <c r="CZ421" s="1045" t="s">
        <v>2260</v>
      </c>
      <c r="DA421" s="1045" t="s">
        <v>2260</v>
      </c>
      <c r="DB421" s="1086" t="s">
        <v>2260</v>
      </c>
      <c r="DC421" s="1045" t="s">
        <v>2260</v>
      </c>
      <c r="DD421" s="1045" t="s">
        <v>2260</v>
      </c>
      <c r="DE421" s="1045" t="s">
        <v>2260</v>
      </c>
      <c r="DF421" s="1045" t="s">
        <v>2260</v>
      </c>
      <c r="DG421" s="1086" t="s">
        <v>2260</v>
      </c>
      <c r="DH421" s="1044" t="s">
        <v>2260</v>
      </c>
      <c r="DI421" s="1045" t="s">
        <v>2260</v>
      </c>
      <c r="DJ421" s="1045" t="s">
        <v>2260</v>
      </c>
      <c r="DK421" s="1045" t="s">
        <v>2260</v>
      </c>
      <c r="DL421" s="1086" t="s">
        <v>2260</v>
      </c>
      <c r="DM421" s="1090" t="s">
        <v>2260</v>
      </c>
      <c r="DN421" s="1091" t="s">
        <v>2260</v>
      </c>
      <c r="DO421" s="1091" t="s">
        <v>2260</v>
      </c>
      <c r="DP421" s="1092" t="s">
        <v>2260</v>
      </c>
      <c r="DQ421" s="1091" t="s">
        <v>2260</v>
      </c>
      <c r="DR421" s="1091" t="s">
        <v>2260</v>
      </c>
      <c r="DS421" s="1091" t="s">
        <v>2260</v>
      </c>
      <c r="DT421" s="1092" t="s">
        <v>2260</v>
      </c>
      <c r="DU421" s="1088" t="s">
        <v>2260</v>
      </c>
      <c r="DV421" s="1093">
        <v>1</v>
      </c>
      <c r="DW421" s="1094" t="s">
        <v>2260</v>
      </c>
    </row>
    <row r="422" spans="1:127" s="382" customFormat="1" ht="15.75" customHeight="1">
      <c r="A422" s="1066" t="s">
        <v>1171</v>
      </c>
      <c r="B422" s="1026">
        <v>413</v>
      </c>
      <c r="C422" s="987"/>
      <c r="D422" s="987"/>
      <c r="E422" s="987"/>
      <c r="F422" s="987"/>
      <c r="G422" s="987"/>
      <c r="H422" s="987"/>
      <c r="I422" s="987"/>
      <c r="J422" s="987"/>
      <c r="K422" s="987"/>
      <c r="L422" s="987"/>
      <c r="M422" s="1026"/>
      <c r="N422" s="987"/>
      <c r="O422" s="987"/>
      <c r="P422" s="987"/>
      <c r="Q422" s="987"/>
      <c r="R422" s="987"/>
      <c r="S422" s="987"/>
      <c r="T422" s="988"/>
      <c r="U422" s="1067" t="s">
        <v>1632</v>
      </c>
      <c r="V422" s="1068" t="s">
        <v>3575</v>
      </c>
      <c r="W422" s="1068" t="s">
        <v>2231</v>
      </c>
      <c r="X422" s="1069" t="s">
        <v>3594</v>
      </c>
      <c r="Y422" s="1070" t="s">
        <v>3595</v>
      </c>
      <c r="Z422" s="1071" t="s">
        <v>3596</v>
      </c>
      <c r="AA422" s="1072" t="s">
        <v>2260</v>
      </c>
      <c r="AB422" s="1073" t="s">
        <v>2260</v>
      </c>
      <c r="AC422" s="1073" t="s">
        <v>2260</v>
      </c>
      <c r="AD422" s="1073" t="s">
        <v>2260</v>
      </c>
      <c r="AE422" s="1073">
        <v>1</v>
      </c>
      <c r="AF422" s="1073" t="s">
        <v>2260</v>
      </c>
      <c r="AG422" s="1073" t="s">
        <v>2260</v>
      </c>
      <c r="AH422" s="1073" t="s">
        <v>2260</v>
      </c>
      <c r="AI422" s="1074">
        <f t="shared" si="6"/>
        <v>1</v>
      </c>
      <c r="AJ422" s="1075" t="s">
        <v>1825</v>
      </c>
      <c r="AK422" s="1075" t="s">
        <v>2260</v>
      </c>
      <c r="AL422" s="1075" t="s">
        <v>2260</v>
      </c>
      <c r="AM422" s="1076" t="s">
        <v>2396</v>
      </c>
      <c r="AN422" s="987" t="s">
        <v>1897</v>
      </c>
      <c r="AO422" s="987" t="s">
        <v>2248</v>
      </c>
      <c r="AP422" s="1243">
        <v>0</v>
      </c>
      <c r="AQ422" s="1045" t="s">
        <v>1897</v>
      </c>
      <c r="AR422" s="1078" t="s">
        <v>2260</v>
      </c>
      <c r="AS422" s="1079"/>
      <c r="AT422" s="1069"/>
      <c r="AU422" s="1069"/>
      <c r="AV422" s="1069"/>
      <c r="AW422" s="1080"/>
      <c r="AX422" s="1081"/>
      <c r="AY422" s="1044"/>
      <c r="AZ422" s="1045"/>
      <c r="BA422" s="1045"/>
      <c r="BB422" s="1045"/>
      <c r="BC422" s="1045"/>
      <c r="BD422" s="1045"/>
      <c r="BE422" s="1045"/>
      <c r="BF422" s="1045"/>
      <c r="BG422" s="1045"/>
      <c r="BH422" s="1045"/>
      <c r="BI422" s="1369"/>
      <c r="BJ422" s="1319"/>
      <c r="BK422" s="1319"/>
      <c r="BL422" s="1319"/>
      <c r="BM422" s="1319"/>
      <c r="BN422" s="1044"/>
      <c r="BO422" s="1045"/>
      <c r="BP422" s="1045"/>
      <c r="BQ422" s="1045"/>
      <c r="BR422" s="1045"/>
      <c r="BS422" s="1084"/>
      <c r="BT422" s="1045"/>
      <c r="BU422" s="1045"/>
      <c r="BV422" s="1045"/>
      <c r="BW422" s="1085"/>
      <c r="BX422" s="1084"/>
      <c r="BY422" s="1045"/>
      <c r="BZ422" s="1045"/>
      <c r="CA422" s="1045"/>
      <c r="CB422" s="1085"/>
      <c r="CC422" s="1086"/>
      <c r="CD422" s="1327"/>
      <c r="CE422" s="1328"/>
      <c r="CF422" s="1328"/>
      <c r="CG422" s="1328"/>
      <c r="CH422" s="1389"/>
      <c r="CI422" s="1369"/>
      <c r="CJ422" s="1319"/>
      <c r="CK422" s="1319"/>
      <c r="CL422" s="1319"/>
      <c r="CM422" s="1320"/>
      <c r="CN422" s="1369"/>
      <c r="CO422" s="1319"/>
      <c r="CP422" s="1319"/>
      <c r="CQ422" s="1319"/>
      <c r="CR422" s="1320"/>
      <c r="CS422" s="1369"/>
      <c r="CT422" s="1319"/>
      <c r="CU422" s="1319"/>
      <c r="CV422" s="1319"/>
      <c r="CW422" s="1320"/>
      <c r="CX422" s="1369"/>
      <c r="CY422" s="1319"/>
      <c r="CZ422" s="1319"/>
      <c r="DA422" s="1319"/>
      <c r="DB422" s="1320"/>
      <c r="DC422" s="1319"/>
      <c r="DD422" s="1319"/>
      <c r="DE422" s="1319"/>
      <c r="DF422" s="1319"/>
      <c r="DG422" s="1320"/>
      <c r="DH422" s="1369"/>
      <c r="DI422" s="1319"/>
      <c r="DJ422" s="1319"/>
      <c r="DK422" s="1319"/>
      <c r="DL422" s="1320"/>
      <c r="DM422" s="1743"/>
      <c r="DN422" s="1744"/>
      <c r="DO422" s="1744"/>
      <c r="DP422" s="1745"/>
      <c r="DQ422" s="1744"/>
      <c r="DR422" s="1744"/>
      <c r="DS422" s="1744"/>
      <c r="DT422" s="1745"/>
      <c r="DU422" s="1328"/>
      <c r="DV422" s="1664"/>
      <c r="DW422" s="1746"/>
    </row>
    <row r="423" spans="1:127" s="382" customFormat="1" ht="15.75" customHeight="1">
      <c r="A423" s="1066" t="s">
        <v>1171</v>
      </c>
      <c r="B423" s="1026">
        <v>414</v>
      </c>
      <c r="C423" s="987"/>
      <c r="D423" s="987"/>
      <c r="E423" s="987"/>
      <c r="F423" s="987"/>
      <c r="G423" s="987"/>
      <c r="H423" s="987"/>
      <c r="I423" s="987"/>
      <c r="J423" s="987"/>
      <c r="K423" s="987"/>
      <c r="L423" s="987"/>
      <c r="M423" s="1026"/>
      <c r="N423" s="987"/>
      <c r="O423" s="987"/>
      <c r="P423" s="987"/>
      <c r="Q423" s="987"/>
      <c r="R423" s="987"/>
      <c r="S423" s="987"/>
      <c r="T423" s="988"/>
      <c r="U423" s="1067" t="s">
        <v>1648</v>
      </c>
      <c r="V423" s="1068" t="s">
        <v>3575</v>
      </c>
      <c r="W423" s="1068" t="s">
        <v>2231</v>
      </c>
      <c r="X423" s="1069" t="s">
        <v>3599</v>
      </c>
      <c r="Y423" s="1070" t="s">
        <v>3600</v>
      </c>
      <c r="Z423" s="1071" t="s">
        <v>3601</v>
      </c>
      <c r="AA423" s="1072" t="s">
        <v>2260</v>
      </c>
      <c r="AB423" s="1073" t="s">
        <v>2260</v>
      </c>
      <c r="AC423" s="1073" t="s">
        <v>2260</v>
      </c>
      <c r="AD423" s="1073" t="s">
        <v>2260</v>
      </c>
      <c r="AE423" s="1073">
        <v>1</v>
      </c>
      <c r="AF423" s="1073" t="s">
        <v>2260</v>
      </c>
      <c r="AG423" s="1073" t="s">
        <v>2260</v>
      </c>
      <c r="AH423" s="1073" t="s">
        <v>2260</v>
      </c>
      <c r="AI423" s="1074">
        <f t="shared" si="6"/>
        <v>1</v>
      </c>
      <c r="AJ423" s="1075" t="s">
        <v>1825</v>
      </c>
      <c r="AK423" s="1075" t="s">
        <v>2260</v>
      </c>
      <c r="AL423" s="1075" t="s">
        <v>2260</v>
      </c>
      <c r="AM423" s="1076" t="s">
        <v>2396</v>
      </c>
      <c r="AN423" s="987" t="s">
        <v>321</v>
      </c>
      <c r="AO423" s="987" t="s">
        <v>2016</v>
      </c>
      <c r="AP423" s="1243">
        <v>0</v>
      </c>
      <c r="AQ423" s="1045" t="s">
        <v>1828</v>
      </c>
      <c r="AR423" s="1078" t="s">
        <v>2260</v>
      </c>
      <c r="AS423" s="1079"/>
      <c r="AT423" s="1069"/>
      <c r="AU423" s="1069"/>
      <c r="AV423" s="1069"/>
      <c r="AW423" s="1080"/>
      <c r="AX423" s="1081"/>
      <c r="AY423" s="1044"/>
      <c r="AZ423" s="1045"/>
      <c r="BA423" s="1045"/>
      <c r="BB423" s="1045"/>
      <c r="BC423" s="1045"/>
      <c r="BD423" s="1045"/>
      <c r="BE423" s="1045"/>
      <c r="BF423" s="1045"/>
      <c r="BG423" s="1045"/>
      <c r="BH423" s="1045"/>
      <c r="BI423" s="1369"/>
      <c r="BJ423" s="1319"/>
      <c r="BK423" s="1319"/>
      <c r="BL423" s="1319"/>
      <c r="BM423" s="1319"/>
      <c r="BN423" s="1044"/>
      <c r="BO423" s="1045"/>
      <c r="BP423" s="1045"/>
      <c r="BQ423" s="1045"/>
      <c r="BR423" s="1045"/>
      <c r="BS423" s="1084"/>
      <c r="BT423" s="1045"/>
      <c r="BU423" s="1045"/>
      <c r="BV423" s="1045"/>
      <c r="BW423" s="1085"/>
      <c r="BX423" s="1084"/>
      <c r="BY423" s="1045"/>
      <c r="BZ423" s="1045"/>
      <c r="CA423" s="1045"/>
      <c r="CB423" s="1085"/>
      <c r="CC423" s="1086"/>
      <c r="CD423" s="1327"/>
      <c r="CE423" s="1328"/>
      <c r="CF423" s="1328"/>
      <c r="CG423" s="1328"/>
      <c r="CH423" s="1389"/>
      <c r="CI423" s="1369"/>
      <c r="CJ423" s="1319"/>
      <c r="CK423" s="1319"/>
      <c r="CL423" s="1319"/>
      <c r="CM423" s="1320"/>
      <c r="CN423" s="1369"/>
      <c r="CO423" s="1319"/>
      <c r="CP423" s="1319"/>
      <c r="CQ423" s="1319"/>
      <c r="CR423" s="1320"/>
      <c r="CS423" s="1369"/>
      <c r="CT423" s="1319"/>
      <c r="CU423" s="1319"/>
      <c r="CV423" s="1319"/>
      <c r="CW423" s="1320"/>
      <c r="CX423" s="1369"/>
      <c r="CY423" s="1319"/>
      <c r="CZ423" s="1319"/>
      <c r="DA423" s="1319"/>
      <c r="DB423" s="1320"/>
      <c r="DC423" s="1319"/>
      <c r="DD423" s="1319"/>
      <c r="DE423" s="1319"/>
      <c r="DF423" s="1319"/>
      <c r="DG423" s="1320"/>
      <c r="DH423" s="1369"/>
      <c r="DI423" s="1319"/>
      <c r="DJ423" s="1319"/>
      <c r="DK423" s="1319"/>
      <c r="DL423" s="1320"/>
      <c r="DM423" s="1743"/>
      <c r="DN423" s="1744"/>
      <c r="DO423" s="1744"/>
      <c r="DP423" s="1745"/>
      <c r="DQ423" s="1744"/>
      <c r="DR423" s="1744"/>
      <c r="DS423" s="1744"/>
      <c r="DT423" s="1745"/>
      <c r="DU423" s="1328"/>
      <c r="DV423" s="1664"/>
      <c r="DW423" s="1746"/>
    </row>
    <row r="424" spans="1:127" s="382" customFormat="1" ht="15.75" customHeight="1">
      <c r="A424" s="1066" t="s">
        <v>1171</v>
      </c>
      <c r="B424" s="1026">
        <v>415</v>
      </c>
      <c r="C424" s="987"/>
      <c r="D424" s="987"/>
      <c r="E424" s="987"/>
      <c r="F424" s="987"/>
      <c r="G424" s="987"/>
      <c r="H424" s="987"/>
      <c r="I424" s="987"/>
      <c r="J424" s="987"/>
      <c r="K424" s="987"/>
      <c r="L424" s="987"/>
      <c r="M424" s="1026"/>
      <c r="N424" s="987"/>
      <c r="O424" s="987"/>
      <c r="P424" s="987"/>
      <c r="Q424" s="987"/>
      <c r="R424" s="987"/>
      <c r="S424" s="987"/>
      <c r="T424" s="988"/>
      <c r="U424" s="1067" t="s">
        <v>1179</v>
      </c>
      <c r="V424" s="1068" t="s">
        <v>3602</v>
      </c>
      <c r="W424" s="1068" t="s">
        <v>2217</v>
      </c>
      <c r="X424" s="1069" t="s">
        <v>3603</v>
      </c>
      <c r="Y424" s="1070" t="s">
        <v>788</v>
      </c>
      <c r="Z424" s="1071" t="s">
        <v>3604</v>
      </c>
      <c r="AA424" s="1072" t="s">
        <v>2260</v>
      </c>
      <c r="AB424" s="1073" t="s">
        <v>2260</v>
      </c>
      <c r="AC424" s="1073">
        <v>1</v>
      </c>
      <c r="AD424" s="1073" t="s">
        <v>2260</v>
      </c>
      <c r="AE424" s="1073" t="s">
        <v>2260</v>
      </c>
      <c r="AF424" s="1073" t="s">
        <v>2260</v>
      </c>
      <c r="AG424" s="1073" t="s">
        <v>2260</v>
      </c>
      <c r="AH424" s="1073" t="s">
        <v>2260</v>
      </c>
      <c r="AI424" s="1074">
        <f t="shared" si="6"/>
        <v>1</v>
      </c>
      <c r="AJ424" s="1075" t="s">
        <v>1846</v>
      </c>
      <c r="AK424" s="1075" t="s">
        <v>1826</v>
      </c>
      <c r="AL424" s="1075" t="s">
        <v>1827</v>
      </c>
      <c r="AM424" s="1076" t="s">
        <v>788</v>
      </c>
      <c r="AN424" s="987" t="s">
        <v>2439</v>
      </c>
      <c r="AO424" s="987" t="s">
        <v>4431</v>
      </c>
      <c r="AP424" s="1276">
        <v>2</v>
      </c>
      <c r="AQ424" s="1045" t="s">
        <v>1838</v>
      </c>
      <c r="AR424" s="1078" t="s">
        <v>788</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210</v>
      </c>
      <c r="CE424" s="1088" t="s">
        <v>210</v>
      </c>
      <c r="CF424" s="1088" t="s">
        <v>210</v>
      </c>
      <c r="CG424" s="1088" t="s">
        <v>210</v>
      </c>
      <c r="CH424" s="1089" t="s">
        <v>210</v>
      </c>
      <c r="CI424" s="1044" t="s">
        <v>2260</v>
      </c>
      <c r="CJ424" s="1045" t="s">
        <v>2260</v>
      </c>
      <c r="CK424" s="1045" t="s">
        <v>2260</v>
      </c>
      <c r="CL424" s="1045" t="s">
        <v>2260</v>
      </c>
      <c r="CM424" s="1086" t="s">
        <v>2260</v>
      </c>
      <c r="CN424" s="1044" t="s">
        <v>2260</v>
      </c>
      <c r="CO424" s="1045" t="s">
        <v>2260</v>
      </c>
      <c r="CP424" s="1045" t="s">
        <v>2260</v>
      </c>
      <c r="CQ424" s="1045" t="s">
        <v>2260</v>
      </c>
      <c r="CR424" s="1086" t="s">
        <v>2260</v>
      </c>
      <c r="CS424" s="1044" t="s">
        <v>2260</v>
      </c>
      <c r="CT424" s="1045" t="s">
        <v>2260</v>
      </c>
      <c r="CU424" s="1045" t="s">
        <v>2260</v>
      </c>
      <c r="CV424" s="1045" t="s">
        <v>2260</v>
      </c>
      <c r="CW424" s="1086" t="s">
        <v>2260</v>
      </c>
      <c r="CX424" s="1044" t="s">
        <v>2260</v>
      </c>
      <c r="CY424" s="1045" t="s">
        <v>2260</v>
      </c>
      <c r="CZ424" s="1045" t="s">
        <v>2260</v>
      </c>
      <c r="DA424" s="1045" t="s">
        <v>2260</v>
      </c>
      <c r="DB424" s="1086" t="s">
        <v>2260</v>
      </c>
      <c r="DC424" s="1045" t="s">
        <v>2260</v>
      </c>
      <c r="DD424" s="1045" t="s">
        <v>2260</v>
      </c>
      <c r="DE424" s="1045" t="s">
        <v>2260</v>
      </c>
      <c r="DF424" s="1045" t="s">
        <v>2260</v>
      </c>
      <c r="DG424" s="1086" t="s">
        <v>2260</v>
      </c>
      <c r="DH424" s="1044" t="s">
        <v>2260</v>
      </c>
      <c r="DI424" s="1045" t="s">
        <v>2260</v>
      </c>
      <c r="DJ424" s="1045" t="s">
        <v>2260</v>
      </c>
      <c r="DK424" s="1045" t="s">
        <v>2260</v>
      </c>
      <c r="DL424" s="1086" t="s">
        <v>2260</v>
      </c>
      <c r="DM424" s="1090">
        <v>-0.115</v>
      </c>
      <c r="DN424" s="1091" t="s">
        <v>2260</v>
      </c>
      <c r="DO424" s="1091" t="s">
        <v>2260</v>
      </c>
      <c r="DP424" s="1092" t="s">
        <v>2260</v>
      </c>
      <c r="DQ424" s="1091" t="s">
        <v>2260</v>
      </c>
      <c r="DR424" s="1091" t="s">
        <v>2260</v>
      </c>
      <c r="DS424" s="1091" t="s">
        <v>2260</v>
      </c>
      <c r="DT424" s="1092" t="s">
        <v>2260</v>
      </c>
      <c r="DU424" s="1088" t="s">
        <v>2260</v>
      </c>
      <c r="DV424" s="1093">
        <v>1</v>
      </c>
      <c r="DW424" s="1094" t="s">
        <v>2260</v>
      </c>
    </row>
    <row r="425" spans="1:127" s="382" customFormat="1" ht="15.75" customHeight="1">
      <c r="A425" s="1066" t="s">
        <v>1171</v>
      </c>
      <c r="B425" s="1026">
        <v>416</v>
      </c>
      <c r="C425" s="987"/>
      <c r="D425" s="987"/>
      <c r="E425" s="987"/>
      <c r="F425" s="987"/>
      <c r="G425" s="987"/>
      <c r="H425" s="987"/>
      <c r="I425" s="987"/>
      <c r="J425" s="987"/>
      <c r="K425" s="987"/>
      <c r="L425" s="987"/>
      <c r="M425" s="1026"/>
      <c r="N425" s="987"/>
      <c r="O425" s="987"/>
      <c r="P425" s="987"/>
      <c r="Q425" s="987"/>
      <c r="R425" s="987"/>
      <c r="S425" s="987"/>
      <c r="T425" s="988"/>
      <c r="U425" s="1067" t="s">
        <v>1383</v>
      </c>
      <c r="V425" s="1068" t="s">
        <v>3602</v>
      </c>
      <c r="W425" s="1068" t="s">
        <v>2217</v>
      </c>
      <c r="X425" s="1069" t="s">
        <v>3606</v>
      </c>
      <c r="Y425" s="1070" t="s">
        <v>3607</v>
      </c>
      <c r="Z425" s="1071" t="s">
        <v>3608</v>
      </c>
      <c r="AA425" s="1072" t="s">
        <v>2260</v>
      </c>
      <c r="AB425" s="1073">
        <v>1</v>
      </c>
      <c r="AC425" s="1073" t="s">
        <v>2260</v>
      </c>
      <c r="AD425" s="1073" t="s">
        <v>2260</v>
      </c>
      <c r="AE425" s="1073" t="s">
        <v>2260</v>
      </c>
      <c r="AF425" s="1073" t="s">
        <v>2260</v>
      </c>
      <c r="AG425" s="1073" t="s">
        <v>2260</v>
      </c>
      <c r="AH425" s="1073" t="s">
        <v>2260</v>
      </c>
      <c r="AI425" s="1074">
        <f t="shared" si="6"/>
        <v>1</v>
      </c>
      <c r="AJ425" s="1075" t="s">
        <v>1846</v>
      </c>
      <c r="AK425" s="1075" t="s">
        <v>1826</v>
      </c>
      <c r="AL425" s="1075" t="s">
        <v>1827</v>
      </c>
      <c r="AM425" s="1076" t="s">
        <v>788</v>
      </c>
      <c r="AN425" s="987" t="s">
        <v>4489</v>
      </c>
      <c r="AO425" s="987" t="s">
        <v>439</v>
      </c>
      <c r="AP425" s="1243">
        <v>0</v>
      </c>
      <c r="AQ425" s="1045" t="s">
        <v>1838</v>
      </c>
      <c r="AR425" s="1078" t="s">
        <v>2260</v>
      </c>
      <c r="AS425" s="1079"/>
      <c r="AT425" s="1069"/>
      <c r="AU425" s="1069"/>
      <c r="AV425" s="1069"/>
      <c r="AW425" s="1080"/>
      <c r="AX425" s="1081"/>
      <c r="AY425" s="1044"/>
      <c r="AZ425" s="1045"/>
      <c r="BA425" s="1045"/>
      <c r="BB425" s="1045"/>
      <c r="BC425" s="1045"/>
      <c r="BD425" s="1045"/>
      <c r="BE425" s="1045"/>
      <c r="BF425" s="1045"/>
      <c r="BG425" s="1045"/>
      <c r="BH425" s="1045"/>
      <c r="BI425" s="1369"/>
      <c r="BJ425" s="1319"/>
      <c r="BK425" s="1319"/>
      <c r="BL425" s="1319"/>
      <c r="BM425" s="1319"/>
      <c r="BN425" s="1044"/>
      <c r="BO425" s="1045"/>
      <c r="BP425" s="1045"/>
      <c r="BQ425" s="1045"/>
      <c r="BR425" s="1045"/>
      <c r="BS425" s="1084"/>
      <c r="BT425" s="1045"/>
      <c r="BU425" s="1045"/>
      <c r="BV425" s="1045"/>
      <c r="BW425" s="1085"/>
      <c r="BX425" s="1084"/>
      <c r="BY425" s="1045"/>
      <c r="BZ425" s="1045"/>
      <c r="CA425" s="1045"/>
      <c r="CB425" s="1085"/>
      <c r="CC425" s="1086"/>
      <c r="CD425" s="1327"/>
      <c r="CE425" s="1328"/>
      <c r="CF425" s="1328"/>
      <c r="CG425" s="1328"/>
      <c r="CH425" s="1389"/>
      <c r="CI425" s="1369"/>
      <c r="CJ425" s="1319"/>
      <c r="CK425" s="1319"/>
      <c r="CL425" s="1319"/>
      <c r="CM425" s="1320"/>
      <c r="CN425" s="1369"/>
      <c r="CO425" s="1319"/>
      <c r="CP425" s="1319"/>
      <c r="CQ425" s="1319"/>
      <c r="CR425" s="1320"/>
      <c r="CS425" s="1369"/>
      <c r="CT425" s="1319"/>
      <c r="CU425" s="1319"/>
      <c r="CV425" s="1319"/>
      <c r="CW425" s="1320"/>
      <c r="CX425" s="1369"/>
      <c r="CY425" s="1319"/>
      <c r="CZ425" s="1319"/>
      <c r="DA425" s="1319"/>
      <c r="DB425" s="1320"/>
      <c r="DC425" s="1319"/>
      <c r="DD425" s="1319"/>
      <c r="DE425" s="1319"/>
      <c r="DF425" s="1319"/>
      <c r="DG425" s="1320"/>
      <c r="DH425" s="1369"/>
      <c r="DI425" s="1319"/>
      <c r="DJ425" s="1319"/>
      <c r="DK425" s="1319"/>
      <c r="DL425" s="1320"/>
      <c r="DM425" s="1743"/>
      <c r="DN425" s="1744"/>
      <c r="DO425" s="1744"/>
      <c r="DP425" s="1745"/>
      <c r="DQ425" s="1744"/>
      <c r="DR425" s="1744"/>
      <c r="DS425" s="1744"/>
      <c r="DT425" s="1745"/>
      <c r="DU425" s="1328"/>
      <c r="DV425" s="1664"/>
      <c r="DW425" s="1746"/>
    </row>
    <row r="426" spans="1:127" s="382" customFormat="1" ht="15.75" customHeight="1">
      <c r="A426" s="1066" t="s">
        <v>1171</v>
      </c>
      <c r="B426" s="1026">
        <v>417</v>
      </c>
      <c r="C426" s="987"/>
      <c r="D426" s="987"/>
      <c r="E426" s="987"/>
      <c r="F426" s="987"/>
      <c r="G426" s="987"/>
      <c r="H426" s="987"/>
      <c r="I426" s="987"/>
      <c r="J426" s="987"/>
      <c r="K426" s="987"/>
      <c r="L426" s="987"/>
      <c r="M426" s="1026"/>
      <c r="N426" s="987"/>
      <c r="O426" s="987"/>
      <c r="P426" s="987"/>
      <c r="Q426" s="987"/>
      <c r="R426" s="987"/>
      <c r="S426" s="987"/>
      <c r="T426" s="988"/>
      <c r="U426" s="1067" t="s">
        <v>1664</v>
      </c>
      <c r="V426" s="1068" t="s">
        <v>3602</v>
      </c>
      <c r="W426" s="1068" t="s">
        <v>2231</v>
      </c>
      <c r="X426" s="1069" t="s">
        <v>3609</v>
      </c>
      <c r="Y426" s="1070" t="s">
        <v>3610</v>
      </c>
      <c r="Z426" s="1071" t="s">
        <v>3611</v>
      </c>
      <c r="AA426" s="1072" t="s">
        <v>2260</v>
      </c>
      <c r="AB426" s="1073" t="s">
        <v>2260</v>
      </c>
      <c r="AC426" s="1073">
        <v>1</v>
      </c>
      <c r="AD426" s="1073" t="s">
        <v>2260</v>
      </c>
      <c r="AE426" s="1073" t="s">
        <v>2260</v>
      </c>
      <c r="AF426" s="1073" t="s">
        <v>2260</v>
      </c>
      <c r="AG426" s="1073" t="s">
        <v>2260</v>
      </c>
      <c r="AH426" s="1073" t="s">
        <v>2260</v>
      </c>
      <c r="AI426" s="1074">
        <f t="shared" si="6"/>
        <v>1</v>
      </c>
      <c r="AJ426" s="1075" t="s">
        <v>1825</v>
      </c>
      <c r="AK426" s="1075" t="s">
        <v>2260</v>
      </c>
      <c r="AL426" s="1075" t="s">
        <v>2260</v>
      </c>
      <c r="AM426" s="1076" t="s">
        <v>2523</v>
      </c>
      <c r="AN426" s="987" t="s">
        <v>4489</v>
      </c>
      <c r="AO426" s="987" t="s">
        <v>439</v>
      </c>
      <c r="AP426" s="1243">
        <v>0</v>
      </c>
      <c r="AQ426" s="1045" t="s">
        <v>1838</v>
      </c>
      <c r="AR426" s="1078" t="s">
        <v>2260</v>
      </c>
      <c r="AS426" s="1079"/>
      <c r="AT426" s="1069"/>
      <c r="AU426" s="1069"/>
      <c r="AV426" s="1069"/>
      <c r="AW426" s="1080"/>
      <c r="AX426" s="1081"/>
      <c r="AY426" s="1044"/>
      <c r="AZ426" s="1045"/>
      <c r="BA426" s="1045"/>
      <c r="BB426" s="1045"/>
      <c r="BC426" s="1045"/>
      <c r="BD426" s="1045"/>
      <c r="BE426" s="1045"/>
      <c r="BF426" s="1045"/>
      <c r="BG426" s="1045"/>
      <c r="BH426" s="1045"/>
      <c r="BI426" s="1369"/>
      <c r="BJ426" s="1319"/>
      <c r="BK426" s="1319"/>
      <c r="BL426" s="1319"/>
      <c r="BM426" s="1319"/>
      <c r="BN426" s="1044"/>
      <c r="BO426" s="1045"/>
      <c r="BP426" s="1045"/>
      <c r="BQ426" s="1045"/>
      <c r="BR426" s="1045"/>
      <c r="BS426" s="1084"/>
      <c r="BT426" s="1045"/>
      <c r="BU426" s="1045"/>
      <c r="BV426" s="1045"/>
      <c r="BW426" s="1085"/>
      <c r="BX426" s="1084"/>
      <c r="BY426" s="1045"/>
      <c r="BZ426" s="1045"/>
      <c r="CA426" s="1045"/>
      <c r="CB426" s="1085"/>
      <c r="CC426" s="1086"/>
      <c r="CD426" s="1327"/>
      <c r="CE426" s="1328"/>
      <c r="CF426" s="1328"/>
      <c r="CG426" s="1328"/>
      <c r="CH426" s="1389"/>
      <c r="CI426" s="1369"/>
      <c r="CJ426" s="1319"/>
      <c r="CK426" s="1319"/>
      <c r="CL426" s="1319"/>
      <c r="CM426" s="1320"/>
      <c r="CN426" s="1369"/>
      <c r="CO426" s="1319"/>
      <c r="CP426" s="1319"/>
      <c r="CQ426" s="1319"/>
      <c r="CR426" s="1320"/>
      <c r="CS426" s="1369"/>
      <c r="CT426" s="1319"/>
      <c r="CU426" s="1319"/>
      <c r="CV426" s="1319"/>
      <c r="CW426" s="1320"/>
      <c r="CX426" s="1369"/>
      <c r="CY426" s="1319"/>
      <c r="CZ426" s="1319"/>
      <c r="DA426" s="1319"/>
      <c r="DB426" s="1320"/>
      <c r="DC426" s="1319"/>
      <c r="DD426" s="1319"/>
      <c r="DE426" s="1319"/>
      <c r="DF426" s="1319"/>
      <c r="DG426" s="1320"/>
      <c r="DH426" s="1369"/>
      <c r="DI426" s="1319"/>
      <c r="DJ426" s="1319"/>
      <c r="DK426" s="1319"/>
      <c r="DL426" s="1320"/>
      <c r="DM426" s="1743"/>
      <c r="DN426" s="1744"/>
      <c r="DO426" s="1744"/>
      <c r="DP426" s="1745"/>
      <c r="DQ426" s="1744"/>
      <c r="DR426" s="1744"/>
      <c r="DS426" s="1744"/>
      <c r="DT426" s="1745"/>
      <c r="DU426" s="1328"/>
      <c r="DV426" s="1664"/>
      <c r="DW426" s="1746"/>
    </row>
    <row r="427" spans="1:127" s="382" customFormat="1" ht="15.75" customHeight="1">
      <c r="A427" s="1066" t="s">
        <v>1171</v>
      </c>
      <c r="B427" s="1026">
        <v>418</v>
      </c>
      <c r="C427" s="987"/>
      <c r="D427" s="987"/>
      <c r="E427" s="987"/>
      <c r="F427" s="987"/>
      <c r="G427" s="987"/>
      <c r="H427" s="987"/>
      <c r="I427" s="987"/>
      <c r="J427" s="987"/>
      <c r="K427" s="987"/>
      <c r="L427" s="987"/>
      <c r="M427" s="1026"/>
      <c r="N427" s="987"/>
      <c r="O427" s="987"/>
      <c r="P427" s="987"/>
      <c r="Q427" s="987"/>
      <c r="R427" s="987"/>
      <c r="S427" s="987"/>
      <c r="T427" s="988"/>
      <c r="U427" s="1067" t="s">
        <v>1678</v>
      </c>
      <c r="V427" s="1068" t="s">
        <v>3602</v>
      </c>
      <c r="W427" s="1068" t="s">
        <v>2231</v>
      </c>
      <c r="X427" s="1069" t="s">
        <v>3612</v>
      </c>
      <c r="Y427" s="1070" t="s">
        <v>3613</v>
      </c>
      <c r="Z427" s="1071" t="s">
        <v>3614</v>
      </c>
      <c r="AA427" s="1072">
        <v>0.65</v>
      </c>
      <c r="AB427" s="1073">
        <v>0.35</v>
      </c>
      <c r="AC427" s="1073" t="s">
        <v>2260</v>
      </c>
      <c r="AD427" s="1073" t="s">
        <v>2260</v>
      </c>
      <c r="AE427" s="1073" t="s">
        <v>2260</v>
      </c>
      <c r="AF427" s="1073" t="s">
        <v>2260</v>
      </c>
      <c r="AG427" s="1073" t="s">
        <v>2260</v>
      </c>
      <c r="AH427" s="1073" t="s">
        <v>2260</v>
      </c>
      <c r="AI427" s="1074">
        <f t="shared" si="6"/>
        <v>1</v>
      </c>
      <c r="AJ427" s="1075" t="s">
        <v>1825</v>
      </c>
      <c r="AK427" s="1075" t="s">
        <v>2260</v>
      </c>
      <c r="AL427" s="1075" t="s">
        <v>2260</v>
      </c>
      <c r="AM427" s="1076" t="s">
        <v>2523</v>
      </c>
      <c r="AN427" s="987" t="s">
        <v>4489</v>
      </c>
      <c r="AO427" s="987" t="s">
        <v>439</v>
      </c>
      <c r="AP427" s="1243">
        <v>0</v>
      </c>
      <c r="AQ427" s="1045" t="s">
        <v>1828</v>
      </c>
      <c r="AR427" s="1078" t="s">
        <v>2260</v>
      </c>
      <c r="AS427" s="1079"/>
      <c r="AT427" s="1069"/>
      <c r="AU427" s="1069"/>
      <c r="AV427" s="1069"/>
      <c r="AW427" s="1080"/>
      <c r="AX427" s="1081"/>
      <c r="AY427" s="1044"/>
      <c r="AZ427" s="1045"/>
      <c r="BA427" s="1045"/>
      <c r="BB427" s="1045"/>
      <c r="BC427" s="1045"/>
      <c r="BD427" s="1045"/>
      <c r="BE427" s="1045"/>
      <c r="BF427" s="1045"/>
      <c r="BG427" s="1045"/>
      <c r="BH427" s="1045"/>
      <c r="BI427" s="1369"/>
      <c r="BJ427" s="1319"/>
      <c r="BK427" s="1319"/>
      <c r="BL427" s="1319"/>
      <c r="BM427" s="1319"/>
      <c r="BN427" s="1044"/>
      <c r="BO427" s="1045"/>
      <c r="BP427" s="1045"/>
      <c r="BQ427" s="1045"/>
      <c r="BR427" s="1045"/>
      <c r="BS427" s="1084"/>
      <c r="BT427" s="1045"/>
      <c r="BU427" s="1045"/>
      <c r="BV427" s="1045"/>
      <c r="BW427" s="1085"/>
      <c r="BX427" s="1084"/>
      <c r="BY427" s="1045"/>
      <c r="BZ427" s="1045"/>
      <c r="CA427" s="1045"/>
      <c r="CB427" s="1085"/>
      <c r="CC427" s="1086"/>
      <c r="CD427" s="1327"/>
      <c r="CE427" s="1328"/>
      <c r="CF427" s="1328"/>
      <c r="CG427" s="1328"/>
      <c r="CH427" s="1389"/>
      <c r="CI427" s="1369"/>
      <c r="CJ427" s="1319"/>
      <c r="CK427" s="1319"/>
      <c r="CL427" s="1319"/>
      <c r="CM427" s="1320"/>
      <c r="CN427" s="1369"/>
      <c r="CO427" s="1319"/>
      <c r="CP427" s="1319"/>
      <c r="CQ427" s="1319"/>
      <c r="CR427" s="1320"/>
      <c r="CS427" s="1369"/>
      <c r="CT427" s="1319"/>
      <c r="CU427" s="1319"/>
      <c r="CV427" s="1319"/>
      <c r="CW427" s="1320"/>
      <c r="CX427" s="1369"/>
      <c r="CY427" s="1319"/>
      <c r="CZ427" s="1319"/>
      <c r="DA427" s="1319"/>
      <c r="DB427" s="1320"/>
      <c r="DC427" s="1319"/>
      <c r="DD427" s="1319"/>
      <c r="DE427" s="1319"/>
      <c r="DF427" s="1319"/>
      <c r="DG427" s="1320"/>
      <c r="DH427" s="1369"/>
      <c r="DI427" s="1319"/>
      <c r="DJ427" s="1319"/>
      <c r="DK427" s="1319"/>
      <c r="DL427" s="1320"/>
      <c r="DM427" s="1743"/>
      <c r="DN427" s="1744"/>
      <c r="DO427" s="1744"/>
      <c r="DP427" s="1745"/>
      <c r="DQ427" s="1744"/>
      <c r="DR427" s="1744"/>
      <c r="DS427" s="1744"/>
      <c r="DT427" s="1745"/>
      <c r="DU427" s="1328"/>
      <c r="DV427" s="1664"/>
      <c r="DW427" s="1746"/>
    </row>
    <row r="428" spans="1:127" s="382" customFormat="1" ht="15.75" customHeight="1">
      <c r="A428" s="1066" t="s">
        <v>1171</v>
      </c>
      <c r="B428" s="1026">
        <v>419</v>
      </c>
      <c r="C428" s="987"/>
      <c r="D428" s="987"/>
      <c r="E428" s="987"/>
      <c r="F428" s="987"/>
      <c r="G428" s="987"/>
      <c r="H428" s="987"/>
      <c r="I428" s="987"/>
      <c r="J428" s="987"/>
      <c r="K428" s="987"/>
      <c r="L428" s="987"/>
      <c r="M428" s="1026"/>
      <c r="N428" s="987"/>
      <c r="O428" s="987"/>
      <c r="P428" s="987"/>
      <c r="Q428" s="987"/>
      <c r="R428" s="987"/>
      <c r="S428" s="987"/>
      <c r="T428" s="988"/>
      <c r="U428" s="1067" t="s">
        <v>1400</v>
      </c>
      <c r="V428" s="1068" t="s">
        <v>3602</v>
      </c>
      <c r="W428" s="1068" t="s">
        <v>2231</v>
      </c>
      <c r="X428" s="1069" t="s">
        <v>3615</v>
      </c>
      <c r="Y428" s="1070" t="s">
        <v>2083</v>
      </c>
      <c r="Z428" s="1071" t="s">
        <v>3616</v>
      </c>
      <c r="AA428" s="1072">
        <v>0.45</v>
      </c>
      <c r="AB428" s="1073">
        <v>0.55000000000000004</v>
      </c>
      <c r="AC428" s="1073" t="s">
        <v>2260</v>
      </c>
      <c r="AD428" s="1073" t="s">
        <v>2260</v>
      </c>
      <c r="AE428" s="1073" t="s">
        <v>2260</v>
      </c>
      <c r="AF428" s="1073" t="s">
        <v>2260</v>
      </c>
      <c r="AG428" s="1073" t="s">
        <v>2260</v>
      </c>
      <c r="AH428" s="1073" t="s">
        <v>2260</v>
      </c>
      <c r="AI428" s="1074">
        <f t="shared" si="6"/>
        <v>1</v>
      </c>
      <c r="AJ428" s="1075" t="s">
        <v>1852</v>
      </c>
      <c r="AK428" s="1075" t="s">
        <v>1836</v>
      </c>
      <c r="AL428" s="1075" t="s">
        <v>1837</v>
      </c>
      <c r="AM428" s="1076" t="s">
        <v>2280</v>
      </c>
      <c r="AN428" s="987" t="s">
        <v>1883</v>
      </c>
      <c r="AO428" s="987" t="s">
        <v>3353</v>
      </c>
      <c r="AP428" s="1243">
        <v>0</v>
      </c>
      <c r="AQ428" s="1045" t="s">
        <v>1828</v>
      </c>
      <c r="AR428" s="1078" t="s">
        <v>2260</v>
      </c>
      <c r="AS428" s="1079"/>
      <c r="AT428" s="1069"/>
      <c r="AU428" s="1069"/>
      <c r="AV428" s="1069"/>
      <c r="AW428" s="1080"/>
      <c r="AX428" s="1081"/>
      <c r="AY428" s="1044"/>
      <c r="AZ428" s="1045"/>
      <c r="BA428" s="1045"/>
      <c r="BB428" s="1045"/>
      <c r="BC428" s="1045"/>
      <c r="BD428" s="1045"/>
      <c r="BE428" s="1045"/>
      <c r="BF428" s="1045"/>
      <c r="BG428" s="1045"/>
      <c r="BH428" s="1045"/>
      <c r="BI428" s="1369"/>
      <c r="BJ428" s="1319"/>
      <c r="BK428" s="1319"/>
      <c r="BL428" s="1319"/>
      <c r="BM428" s="1319"/>
      <c r="BN428" s="1044"/>
      <c r="BO428" s="1045"/>
      <c r="BP428" s="1045"/>
      <c r="BQ428" s="1045"/>
      <c r="BR428" s="1045"/>
      <c r="BS428" s="1084"/>
      <c r="BT428" s="1045"/>
      <c r="BU428" s="1045"/>
      <c r="BV428" s="1045"/>
      <c r="BW428" s="1085"/>
      <c r="BX428" s="1084"/>
      <c r="BY428" s="1045"/>
      <c r="BZ428" s="1045"/>
      <c r="CA428" s="1045"/>
      <c r="CB428" s="1085"/>
      <c r="CC428" s="1086"/>
      <c r="CD428" s="1327"/>
      <c r="CE428" s="1328"/>
      <c r="CF428" s="1328"/>
      <c r="CG428" s="1328"/>
      <c r="CH428" s="1389"/>
      <c r="CI428" s="1369"/>
      <c r="CJ428" s="1319"/>
      <c r="CK428" s="1319"/>
      <c r="CL428" s="1319"/>
      <c r="CM428" s="1320"/>
      <c r="CN428" s="1369"/>
      <c r="CO428" s="1319"/>
      <c r="CP428" s="1319"/>
      <c r="CQ428" s="1319"/>
      <c r="CR428" s="1320"/>
      <c r="CS428" s="1369"/>
      <c r="CT428" s="1319"/>
      <c r="CU428" s="1319"/>
      <c r="CV428" s="1319"/>
      <c r="CW428" s="1320"/>
      <c r="CX428" s="1369"/>
      <c r="CY428" s="1319"/>
      <c r="CZ428" s="1319"/>
      <c r="DA428" s="1319"/>
      <c r="DB428" s="1320"/>
      <c r="DC428" s="1319"/>
      <c r="DD428" s="1319"/>
      <c r="DE428" s="1319"/>
      <c r="DF428" s="1319"/>
      <c r="DG428" s="1320"/>
      <c r="DH428" s="1369"/>
      <c r="DI428" s="1319"/>
      <c r="DJ428" s="1319"/>
      <c r="DK428" s="1319"/>
      <c r="DL428" s="1320"/>
      <c r="DM428" s="1743"/>
      <c r="DN428" s="1744"/>
      <c r="DO428" s="1744"/>
      <c r="DP428" s="1745"/>
      <c r="DQ428" s="1744"/>
      <c r="DR428" s="1744"/>
      <c r="DS428" s="1744"/>
      <c r="DT428" s="1745"/>
      <c r="DU428" s="1328"/>
      <c r="DV428" s="1664"/>
      <c r="DW428" s="1746"/>
    </row>
    <row r="429" spans="1:127" s="382" customFormat="1" ht="15.75" customHeight="1">
      <c r="A429" s="1066" t="s">
        <v>1171</v>
      </c>
      <c r="B429" s="1026">
        <v>420</v>
      </c>
      <c r="C429" s="987"/>
      <c r="D429" s="987"/>
      <c r="E429" s="987"/>
      <c r="F429" s="987"/>
      <c r="G429" s="987"/>
      <c r="H429" s="987"/>
      <c r="I429" s="987"/>
      <c r="J429" s="987"/>
      <c r="K429" s="987"/>
      <c r="L429" s="987"/>
      <c r="M429" s="1026"/>
      <c r="N429" s="987"/>
      <c r="O429" s="987"/>
      <c r="P429" s="987"/>
      <c r="Q429" s="987"/>
      <c r="R429" s="987"/>
      <c r="S429" s="987"/>
      <c r="T429" s="988"/>
      <c r="U429" s="1067" t="s">
        <v>1568</v>
      </c>
      <c r="V429" s="1068" t="s">
        <v>3602</v>
      </c>
      <c r="W429" s="1068" t="s">
        <v>2231</v>
      </c>
      <c r="X429" s="1069" t="s">
        <v>3617</v>
      </c>
      <c r="Y429" s="1070" t="s">
        <v>3618</v>
      </c>
      <c r="Z429" s="1071" t="s">
        <v>3619</v>
      </c>
      <c r="AA429" s="1072">
        <v>0.15</v>
      </c>
      <c r="AB429" s="1073" t="s">
        <v>2260</v>
      </c>
      <c r="AC429" s="1073">
        <v>0.85</v>
      </c>
      <c r="AD429" s="1073" t="s">
        <v>2260</v>
      </c>
      <c r="AE429" s="1073" t="s">
        <v>2260</v>
      </c>
      <c r="AF429" s="1073" t="s">
        <v>2260</v>
      </c>
      <c r="AG429" s="1073" t="s">
        <v>2260</v>
      </c>
      <c r="AH429" s="1073" t="s">
        <v>2260</v>
      </c>
      <c r="AI429" s="1074">
        <f t="shared" si="6"/>
        <v>1</v>
      </c>
      <c r="AJ429" s="1075" t="s">
        <v>1846</v>
      </c>
      <c r="AK429" s="1075" t="s">
        <v>1826</v>
      </c>
      <c r="AL429" s="1075" t="s">
        <v>1827</v>
      </c>
      <c r="AM429" s="1076" t="s">
        <v>2387</v>
      </c>
      <c r="AN429" s="987" t="s">
        <v>4489</v>
      </c>
      <c r="AO429" s="987" t="s">
        <v>439</v>
      </c>
      <c r="AP429" s="1243">
        <v>0</v>
      </c>
      <c r="AQ429" s="1045" t="s">
        <v>1828</v>
      </c>
      <c r="AR429" s="1078" t="s">
        <v>2260</v>
      </c>
      <c r="AS429" s="1079"/>
      <c r="AT429" s="1069"/>
      <c r="AU429" s="1069"/>
      <c r="AV429" s="1069"/>
      <c r="AW429" s="1080"/>
      <c r="AX429" s="1081"/>
      <c r="AY429" s="1044"/>
      <c r="AZ429" s="1045"/>
      <c r="BA429" s="1045"/>
      <c r="BB429" s="1045"/>
      <c r="BC429" s="1045"/>
      <c r="BD429" s="1045"/>
      <c r="BE429" s="1045"/>
      <c r="BF429" s="1045"/>
      <c r="BG429" s="1045"/>
      <c r="BH429" s="1045"/>
      <c r="BI429" s="1369"/>
      <c r="BJ429" s="1319"/>
      <c r="BK429" s="1319"/>
      <c r="BL429" s="1319"/>
      <c r="BM429" s="1319"/>
      <c r="BN429" s="1044"/>
      <c r="BO429" s="1045"/>
      <c r="BP429" s="1045"/>
      <c r="BQ429" s="1045"/>
      <c r="BR429" s="1045"/>
      <c r="BS429" s="1084"/>
      <c r="BT429" s="1045"/>
      <c r="BU429" s="1045"/>
      <c r="BV429" s="1045"/>
      <c r="BW429" s="1085"/>
      <c r="BX429" s="1084"/>
      <c r="BY429" s="1045"/>
      <c r="BZ429" s="1045"/>
      <c r="CA429" s="1045"/>
      <c r="CB429" s="1085"/>
      <c r="CC429" s="1086"/>
      <c r="CD429" s="1327"/>
      <c r="CE429" s="1328"/>
      <c r="CF429" s="1328"/>
      <c r="CG429" s="1328"/>
      <c r="CH429" s="1389"/>
      <c r="CI429" s="1369"/>
      <c r="CJ429" s="1319"/>
      <c r="CK429" s="1319"/>
      <c r="CL429" s="1319"/>
      <c r="CM429" s="1320"/>
      <c r="CN429" s="1369"/>
      <c r="CO429" s="1319"/>
      <c r="CP429" s="1319"/>
      <c r="CQ429" s="1319"/>
      <c r="CR429" s="1320"/>
      <c r="CS429" s="1369"/>
      <c r="CT429" s="1319"/>
      <c r="CU429" s="1319"/>
      <c r="CV429" s="1319"/>
      <c r="CW429" s="1320"/>
      <c r="CX429" s="1369"/>
      <c r="CY429" s="1319"/>
      <c r="CZ429" s="1319"/>
      <c r="DA429" s="1319"/>
      <c r="DB429" s="1320"/>
      <c r="DC429" s="1319"/>
      <c r="DD429" s="1319"/>
      <c r="DE429" s="1319"/>
      <c r="DF429" s="1319"/>
      <c r="DG429" s="1320"/>
      <c r="DH429" s="1369"/>
      <c r="DI429" s="1319"/>
      <c r="DJ429" s="1319"/>
      <c r="DK429" s="1319"/>
      <c r="DL429" s="1320"/>
      <c r="DM429" s="1743"/>
      <c r="DN429" s="1744"/>
      <c r="DO429" s="1744"/>
      <c r="DP429" s="1745"/>
      <c r="DQ429" s="1744"/>
      <c r="DR429" s="1744"/>
      <c r="DS429" s="1744"/>
      <c r="DT429" s="1745"/>
      <c r="DU429" s="1328"/>
      <c r="DV429" s="1664"/>
      <c r="DW429" s="1746"/>
    </row>
    <row r="430" spans="1:127" s="382" customFormat="1" ht="15.75" customHeight="1">
      <c r="A430" s="1066" t="s">
        <v>1171</v>
      </c>
      <c r="B430" s="1026">
        <v>421</v>
      </c>
      <c r="C430" s="987"/>
      <c r="D430" s="987"/>
      <c r="E430" s="987"/>
      <c r="F430" s="987"/>
      <c r="G430" s="987"/>
      <c r="H430" s="987"/>
      <c r="I430" s="987"/>
      <c r="J430" s="987"/>
      <c r="K430" s="987"/>
      <c r="L430" s="987"/>
      <c r="M430" s="1026"/>
      <c r="N430" s="987"/>
      <c r="O430" s="987"/>
      <c r="P430" s="987"/>
      <c r="Q430" s="987"/>
      <c r="R430" s="987"/>
      <c r="S430" s="987"/>
      <c r="T430" s="988"/>
      <c r="U430" s="1067" t="s">
        <v>1576</v>
      </c>
      <c r="V430" s="1068" t="s">
        <v>3620</v>
      </c>
      <c r="W430" s="1068" t="s">
        <v>2223</v>
      </c>
      <c r="X430" s="1069" t="s">
        <v>3621</v>
      </c>
      <c r="Y430" s="1070" t="s">
        <v>2085</v>
      </c>
      <c r="Z430" s="1071" t="s">
        <v>3622</v>
      </c>
      <c r="AA430" s="1072" t="s">
        <v>2260</v>
      </c>
      <c r="AB430" s="1073" t="s">
        <v>2260</v>
      </c>
      <c r="AC430" s="1073">
        <v>1</v>
      </c>
      <c r="AD430" s="1073" t="s">
        <v>2260</v>
      </c>
      <c r="AE430" s="1073" t="s">
        <v>2260</v>
      </c>
      <c r="AF430" s="1073" t="s">
        <v>2260</v>
      </c>
      <c r="AG430" s="1073" t="s">
        <v>2260</v>
      </c>
      <c r="AH430" s="1073" t="s">
        <v>2260</v>
      </c>
      <c r="AI430" s="1074">
        <f t="shared" si="6"/>
        <v>1</v>
      </c>
      <c r="AJ430" s="1075" t="s">
        <v>1852</v>
      </c>
      <c r="AK430" s="1075" t="s">
        <v>1836</v>
      </c>
      <c r="AL430" s="1075" t="s">
        <v>1837</v>
      </c>
      <c r="AM430" s="1076" t="s">
        <v>2387</v>
      </c>
      <c r="AN430" s="987" t="s">
        <v>4489</v>
      </c>
      <c r="AO430" s="987" t="s">
        <v>439</v>
      </c>
      <c r="AP430" s="1243">
        <v>0</v>
      </c>
      <c r="AQ430" s="1045" t="s">
        <v>1828</v>
      </c>
      <c r="AR430" s="1078" t="s">
        <v>2260</v>
      </c>
      <c r="AS430" s="1079"/>
      <c r="AT430" s="1069"/>
      <c r="AU430" s="1069"/>
      <c r="AV430" s="1069"/>
      <c r="AW430" s="1080"/>
      <c r="AX430" s="1081"/>
      <c r="AY430" s="1044"/>
      <c r="AZ430" s="1045"/>
      <c r="BA430" s="1045"/>
      <c r="BB430" s="1045"/>
      <c r="BC430" s="1045"/>
      <c r="BD430" s="1045"/>
      <c r="BE430" s="1045"/>
      <c r="BF430" s="1045"/>
      <c r="BG430" s="1045"/>
      <c r="BH430" s="1045"/>
      <c r="BI430" s="1369"/>
      <c r="BJ430" s="1319"/>
      <c r="BK430" s="1319"/>
      <c r="BL430" s="1319"/>
      <c r="BM430" s="1319"/>
      <c r="BN430" s="1044"/>
      <c r="BO430" s="1045"/>
      <c r="BP430" s="1045"/>
      <c r="BQ430" s="1045"/>
      <c r="BR430" s="1045"/>
      <c r="BS430" s="1084"/>
      <c r="BT430" s="1045"/>
      <c r="BU430" s="1045"/>
      <c r="BV430" s="1045"/>
      <c r="BW430" s="1085"/>
      <c r="BX430" s="1084"/>
      <c r="BY430" s="1045"/>
      <c r="BZ430" s="1045"/>
      <c r="CA430" s="1045"/>
      <c r="CB430" s="1085"/>
      <c r="CC430" s="1086"/>
      <c r="CD430" s="1327"/>
      <c r="CE430" s="1328"/>
      <c r="CF430" s="1328"/>
      <c r="CG430" s="1328"/>
      <c r="CH430" s="1389"/>
      <c r="CI430" s="1369"/>
      <c r="CJ430" s="1319"/>
      <c r="CK430" s="1319"/>
      <c r="CL430" s="1319"/>
      <c r="CM430" s="1320"/>
      <c r="CN430" s="1369"/>
      <c r="CO430" s="1319"/>
      <c r="CP430" s="1319"/>
      <c r="CQ430" s="1319"/>
      <c r="CR430" s="1320"/>
      <c r="CS430" s="1369"/>
      <c r="CT430" s="1319"/>
      <c r="CU430" s="1319"/>
      <c r="CV430" s="1319"/>
      <c r="CW430" s="1320"/>
      <c r="CX430" s="1369"/>
      <c r="CY430" s="1319"/>
      <c r="CZ430" s="1319"/>
      <c r="DA430" s="1319"/>
      <c r="DB430" s="1320"/>
      <c r="DC430" s="1319"/>
      <c r="DD430" s="1319"/>
      <c r="DE430" s="1319"/>
      <c r="DF430" s="1319"/>
      <c r="DG430" s="1320"/>
      <c r="DH430" s="1369"/>
      <c r="DI430" s="1319"/>
      <c r="DJ430" s="1319"/>
      <c r="DK430" s="1319"/>
      <c r="DL430" s="1320"/>
      <c r="DM430" s="1743"/>
      <c r="DN430" s="1744"/>
      <c r="DO430" s="1744"/>
      <c r="DP430" s="1745"/>
      <c r="DQ430" s="1744"/>
      <c r="DR430" s="1744"/>
      <c r="DS430" s="1744"/>
      <c r="DT430" s="1745"/>
      <c r="DU430" s="1328"/>
      <c r="DV430" s="1664"/>
      <c r="DW430" s="1746"/>
    </row>
    <row r="431" spans="1:127" s="382" customFormat="1" ht="15.75" customHeight="1">
      <c r="A431" s="1066" t="s">
        <v>1171</v>
      </c>
      <c r="B431" s="1026">
        <v>422</v>
      </c>
      <c r="C431" s="987"/>
      <c r="D431" s="987"/>
      <c r="E431" s="987"/>
      <c r="F431" s="987"/>
      <c r="G431" s="987"/>
      <c r="H431" s="987"/>
      <c r="I431" s="987"/>
      <c r="J431" s="987"/>
      <c r="K431" s="987"/>
      <c r="L431" s="987"/>
      <c r="M431" s="1026"/>
      <c r="N431" s="987"/>
      <c r="O431" s="987"/>
      <c r="P431" s="987"/>
      <c r="Q431" s="987"/>
      <c r="R431" s="987"/>
      <c r="S431" s="987"/>
      <c r="T431" s="988"/>
      <c r="U431" s="1067" t="s">
        <v>1417</v>
      </c>
      <c r="V431" s="1068" t="s">
        <v>3620</v>
      </c>
      <c r="W431" s="1068" t="s">
        <v>2231</v>
      </c>
      <c r="X431" s="1069" t="s">
        <v>3623</v>
      </c>
      <c r="Y431" s="1070" t="s">
        <v>2988</v>
      </c>
      <c r="Z431" s="1071" t="s">
        <v>3624</v>
      </c>
      <c r="AA431" s="1072">
        <v>1</v>
      </c>
      <c r="AB431" s="1073" t="s">
        <v>2260</v>
      </c>
      <c r="AC431" s="1073" t="s">
        <v>2260</v>
      </c>
      <c r="AD431" s="1073" t="s">
        <v>2260</v>
      </c>
      <c r="AE431" s="1073" t="s">
        <v>2260</v>
      </c>
      <c r="AF431" s="1073" t="s">
        <v>2260</v>
      </c>
      <c r="AG431" s="1073" t="s">
        <v>2260</v>
      </c>
      <c r="AH431" s="1073" t="s">
        <v>2260</v>
      </c>
      <c r="AI431" s="1074">
        <f t="shared" si="6"/>
        <v>1</v>
      </c>
      <c r="AJ431" s="1075" t="s">
        <v>1852</v>
      </c>
      <c r="AK431" s="1075" t="s">
        <v>1826</v>
      </c>
      <c r="AL431" s="1075" t="s">
        <v>1827</v>
      </c>
      <c r="AM431" s="1076" t="s">
        <v>2290</v>
      </c>
      <c r="AN431" s="987" t="s">
        <v>4489</v>
      </c>
      <c r="AO431" s="987" t="s">
        <v>3625</v>
      </c>
      <c r="AP431" s="1243">
        <v>0</v>
      </c>
      <c r="AQ431" s="1045" t="s">
        <v>1828</v>
      </c>
      <c r="AR431" s="1078" t="s">
        <v>2260</v>
      </c>
      <c r="AS431" s="1079"/>
      <c r="AT431" s="1069"/>
      <c r="AU431" s="1069"/>
      <c r="AV431" s="1069"/>
      <c r="AW431" s="1080"/>
      <c r="AX431" s="1081"/>
      <c r="AY431" s="1044"/>
      <c r="AZ431" s="1045"/>
      <c r="BA431" s="1045"/>
      <c r="BB431" s="1045"/>
      <c r="BC431" s="1045"/>
      <c r="BD431" s="1045"/>
      <c r="BE431" s="1045"/>
      <c r="BF431" s="1045"/>
      <c r="BG431" s="1045"/>
      <c r="BH431" s="1045"/>
      <c r="BI431" s="1369"/>
      <c r="BJ431" s="1319"/>
      <c r="BK431" s="1319"/>
      <c r="BL431" s="1319"/>
      <c r="BM431" s="1319"/>
      <c r="BN431" s="1044"/>
      <c r="BO431" s="1045"/>
      <c r="BP431" s="1045"/>
      <c r="BQ431" s="1045"/>
      <c r="BR431" s="1045"/>
      <c r="BS431" s="1084"/>
      <c r="BT431" s="1045"/>
      <c r="BU431" s="1045"/>
      <c r="BV431" s="1045"/>
      <c r="BW431" s="1085"/>
      <c r="BX431" s="1084"/>
      <c r="BY431" s="1045"/>
      <c r="BZ431" s="1045"/>
      <c r="CA431" s="1045"/>
      <c r="CB431" s="1085"/>
      <c r="CC431" s="1086"/>
      <c r="CD431" s="1327"/>
      <c r="CE431" s="1328"/>
      <c r="CF431" s="1328"/>
      <c r="CG431" s="1328"/>
      <c r="CH431" s="1389"/>
      <c r="CI431" s="1369"/>
      <c r="CJ431" s="1319"/>
      <c r="CK431" s="1319"/>
      <c r="CL431" s="1319"/>
      <c r="CM431" s="1320"/>
      <c r="CN431" s="1369"/>
      <c r="CO431" s="1319"/>
      <c r="CP431" s="1319"/>
      <c r="CQ431" s="1319"/>
      <c r="CR431" s="1320"/>
      <c r="CS431" s="1369"/>
      <c r="CT431" s="1319"/>
      <c r="CU431" s="1319"/>
      <c r="CV431" s="1319"/>
      <c r="CW431" s="1320"/>
      <c r="CX431" s="1369"/>
      <c r="CY431" s="1319"/>
      <c r="CZ431" s="1319"/>
      <c r="DA431" s="1319"/>
      <c r="DB431" s="1320"/>
      <c r="DC431" s="1319"/>
      <c r="DD431" s="1319"/>
      <c r="DE431" s="1319"/>
      <c r="DF431" s="1319"/>
      <c r="DG431" s="1320"/>
      <c r="DH431" s="1369"/>
      <c r="DI431" s="1319"/>
      <c r="DJ431" s="1319"/>
      <c r="DK431" s="1319"/>
      <c r="DL431" s="1320"/>
      <c r="DM431" s="1743"/>
      <c r="DN431" s="1744"/>
      <c r="DO431" s="1744"/>
      <c r="DP431" s="1745"/>
      <c r="DQ431" s="1744"/>
      <c r="DR431" s="1744"/>
      <c r="DS431" s="1744"/>
      <c r="DT431" s="1745"/>
      <c r="DU431" s="1328"/>
      <c r="DV431" s="1664"/>
      <c r="DW431" s="1746"/>
    </row>
    <row r="432" spans="1:127" s="382" customFormat="1" ht="15.75" customHeight="1">
      <c r="A432" s="1066" t="s">
        <v>1171</v>
      </c>
      <c r="B432" s="1026">
        <v>423</v>
      </c>
      <c r="C432" s="987"/>
      <c r="D432" s="987"/>
      <c r="E432" s="987"/>
      <c r="F432" s="987"/>
      <c r="G432" s="987"/>
      <c r="H432" s="987"/>
      <c r="I432" s="987"/>
      <c r="J432" s="987"/>
      <c r="K432" s="987"/>
      <c r="L432" s="987"/>
      <c r="M432" s="1026"/>
      <c r="N432" s="987"/>
      <c r="O432" s="987"/>
      <c r="P432" s="987"/>
      <c r="Q432" s="987"/>
      <c r="R432" s="987"/>
      <c r="S432" s="987"/>
      <c r="T432" s="988"/>
      <c r="U432" s="1067" t="s">
        <v>1690</v>
      </c>
      <c r="V432" s="1068" t="s">
        <v>3626</v>
      </c>
      <c r="W432" s="1068" t="s">
        <v>2231</v>
      </c>
      <c r="X432" s="1069" t="s">
        <v>3627</v>
      </c>
      <c r="Y432" s="1070" t="s">
        <v>4492</v>
      </c>
      <c r="Z432" s="1071" t="s">
        <v>3629</v>
      </c>
      <c r="AA432" s="1072" t="s">
        <v>2260</v>
      </c>
      <c r="AB432" s="1073" t="s">
        <v>2260</v>
      </c>
      <c r="AC432" s="1073" t="s">
        <v>2260</v>
      </c>
      <c r="AD432" s="1073" t="s">
        <v>2260</v>
      </c>
      <c r="AE432" s="1073">
        <v>1</v>
      </c>
      <c r="AF432" s="1073" t="s">
        <v>2260</v>
      </c>
      <c r="AG432" s="1073" t="s">
        <v>2260</v>
      </c>
      <c r="AH432" s="1073" t="s">
        <v>2260</v>
      </c>
      <c r="AI432" s="1074">
        <f t="shared" si="6"/>
        <v>1</v>
      </c>
      <c r="AJ432" s="1075" t="s">
        <v>1825</v>
      </c>
      <c r="AK432" s="1075" t="s">
        <v>2260</v>
      </c>
      <c r="AL432" s="1075" t="s">
        <v>2260</v>
      </c>
      <c r="AM432" s="1076" t="s">
        <v>2275</v>
      </c>
      <c r="AN432" s="987" t="s">
        <v>4489</v>
      </c>
      <c r="AO432" s="987" t="s">
        <v>439</v>
      </c>
      <c r="AP432" s="1276">
        <v>0</v>
      </c>
      <c r="AQ432" s="1045" t="s">
        <v>1828</v>
      </c>
      <c r="AR432" s="1078" t="s">
        <v>2260</v>
      </c>
      <c r="AS432" s="1079"/>
      <c r="AT432" s="1069"/>
      <c r="AU432" s="1069"/>
      <c r="AV432" s="1069"/>
      <c r="AW432" s="1080"/>
      <c r="AX432" s="1081"/>
      <c r="AY432" s="1044"/>
      <c r="AZ432" s="1045"/>
      <c r="BA432" s="1045"/>
      <c r="BB432" s="1045"/>
      <c r="BC432" s="1045"/>
      <c r="BD432" s="1045"/>
      <c r="BE432" s="1045"/>
      <c r="BF432" s="1045"/>
      <c r="BG432" s="1045"/>
      <c r="BH432" s="1045"/>
      <c r="BI432" s="1369"/>
      <c r="BJ432" s="1319"/>
      <c r="BK432" s="1319"/>
      <c r="BL432" s="1319"/>
      <c r="BM432" s="1319"/>
      <c r="BN432" s="1044"/>
      <c r="BO432" s="1045"/>
      <c r="BP432" s="1045"/>
      <c r="BQ432" s="1045"/>
      <c r="BR432" s="1045"/>
      <c r="BS432" s="1084"/>
      <c r="BT432" s="1045"/>
      <c r="BU432" s="1045"/>
      <c r="BV432" s="1045"/>
      <c r="BW432" s="1085"/>
      <c r="BX432" s="1084"/>
      <c r="BY432" s="1045"/>
      <c r="BZ432" s="1045"/>
      <c r="CA432" s="1045"/>
      <c r="CB432" s="1085"/>
      <c r="CC432" s="1086"/>
      <c r="CD432" s="1327"/>
      <c r="CE432" s="1328"/>
      <c r="CF432" s="1328"/>
      <c r="CG432" s="1328"/>
      <c r="CH432" s="1389"/>
      <c r="CI432" s="1369"/>
      <c r="CJ432" s="1319"/>
      <c r="CK432" s="1319"/>
      <c r="CL432" s="1319"/>
      <c r="CM432" s="1320"/>
      <c r="CN432" s="1369"/>
      <c r="CO432" s="1319"/>
      <c r="CP432" s="1319"/>
      <c r="CQ432" s="1319"/>
      <c r="CR432" s="1320"/>
      <c r="CS432" s="1369"/>
      <c r="CT432" s="1319"/>
      <c r="CU432" s="1319"/>
      <c r="CV432" s="1319"/>
      <c r="CW432" s="1320"/>
      <c r="CX432" s="1369"/>
      <c r="CY432" s="1319"/>
      <c r="CZ432" s="1319"/>
      <c r="DA432" s="1319"/>
      <c r="DB432" s="1320"/>
      <c r="DC432" s="1319"/>
      <c r="DD432" s="1319"/>
      <c r="DE432" s="1319"/>
      <c r="DF432" s="1319"/>
      <c r="DG432" s="1320"/>
      <c r="DH432" s="1369"/>
      <c r="DI432" s="1319"/>
      <c r="DJ432" s="1319"/>
      <c r="DK432" s="1319"/>
      <c r="DL432" s="1320"/>
      <c r="DM432" s="1743"/>
      <c r="DN432" s="1744"/>
      <c r="DO432" s="1744"/>
      <c r="DP432" s="1745"/>
      <c r="DQ432" s="1744"/>
      <c r="DR432" s="1744"/>
      <c r="DS432" s="1744"/>
      <c r="DT432" s="1745"/>
      <c r="DU432" s="1328"/>
      <c r="DV432" s="1664"/>
      <c r="DW432" s="1746"/>
    </row>
    <row r="433" spans="1:127" s="382" customFormat="1" ht="15.75" customHeight="1">
      <c r="A433" s="1066" t="s">
        <v>1171</v>
      </c>
      <c r="B433" s="1026">
        <v>424</v>
      </c>
      <c r="C433" s="987"/>
      <c r="D433" s="987"/>
      <c r="E433" s="987"/>
      <c r="F433" s="987"/>
      <c r="G433" s="987"/>
      <c r="H433" s="987"/>
      <c r="I433" s="987"/>
      <c r="J433" s="987"/>
      <c r="K433" s="987"/>
      <c r="L433" s="987"/>
      <c r="M433" s="1026"/>
      <c r="N433" s="987"/>
      <c r="O433" s="987"/>
      <c r="P433" s="987"/>
      <c r="Q433" s="987"/>
      <c r="R433" s="987"/>
      <c r="S433" s="987"/>
      <c r="T433" s="988"/>
      <c r="U433" s="1067" t="s">
        <v>1701</v>
      </c>
      <c r="V433" s="1068" t="s">
        <v>3626</v>
      </c>
      <c r="W433" s="1068" t="s">
        <v>2217</v>
      </c>
      <c r="X433" s="1069" t="s">
        <v>3630</v>
      </c>
      <c r="Y433" s="1070" t="s">
        <v>3631</v>
      </c>
      <c r="Z433" s="1071" t="s">
        <v>3632</v>
      </c>
      <c r="AA433" s="1072" t="s">
        <v>2260</v>
      </c>
      <c r="AB433" s="1073" t="s">
        <v>2260</v>
      </c>
      <c r="AC433" s="1073" t="s">
        <v>2260</v>
      </c>
      <c r="AD433" s="1073" t="s">
        <v>2260</v>
      </c>
      <c r="AE433" s="1073">
        <v>1</v>
      </c>
      <c r="AF433" s="1073" t="s">
        <v>2260</v>
      </c>
      <c r="AG433" s="1073" t="s">
        <v>2260</v>
      </c>
      <c r="AH433" s="1073" t="s">
        <v>2260</v>
      </c>
      <c r="AI433" s="1074">
        <f t="shared" si="6"/>
        <v>1</v>
      </c>
      <c r="AJ433" s="1075" t="s">
        <v>1825</v>
      </c>
      <c r="AK433" s="1075" t="s">
        <v>2260</v>
      </c>
      <c r="AL433" s="1075" t="s">
        <v>2260</v>
      </c>
      <c r="AM433" s="1076" t="s">
        <v>2396</v>
      </c>
      <c r="AN433" s="987" t="s">
        <v>4489</v>
      </c>
      <c r="AO433" s="987" t="s">
        <v>439</v>
      </c>
      <c r="AP433" s="1243">
        <v>0</v>
      </c>
      <c r="AQ433" s="1045" t="s">
        <v>1828</v>
      </c>
      <c r="AR433" s="1078" t="s">
        <v>2260</v>
      </c>
      <c r="AS433" s="1079"/>
      <c r="AT433" s="1069"/>
      <c r="AU433" s="1069"/>
      <c r="AV433" s="1069"/>
      <c r="AW433" s="1080"/>
      <c r="AX433" s="1081"/>
      <c r="AY433" s="1044"/>
      <c r="AZ433" s="1045"/>
      <c r="BA433" s="1045"/>
      <c r="BB433" s="1045"/>
      <c r="BC433" s="1045"/>
      <c r="BD433" s="1045"/>
      <c r="BE433" s="1045"/>
      <c r="BF433" s="1045"/>
      <c r="BG433" s="1045"/>
      <c r="BH433" s="1045"/>
      <c r="BI433" s="1369"/>
      <c r="BJ433" s="1319"/>
      <c r="BK433" s="1319"/>
      <c r="BL433" s="1319"/>
      <c r="BM433" s="1319"/>
      <c r="BN433" s="1044"/>
      <c r="BO433" s="1045"/>
      <c r="BP433" s="1045"/>
      <c r="BQ433" s="1045"/>
      <c r="BR433" s="1045"/>
      <c r="BS433" s="1084"/>
      <c r="BT433" s="1045"/>
      <c r="BU433" s="1045"/>
      <c r="BV433" s="1045"/>
      <c r="BW433" s="1085"/>
      <c r="BX433" s="1084"/>
      <c r="BY433" s="1045"/>
      <c r="BZ433" s="1045"/>
      <c r="CA433" s="1045"/>
      <c r="CB433" s="1085"/>
      <c r="CC433" s="1086"/>
      <c r="CD433" s="1327"/>
      <c r="CE433" s="1328"/>
      <c r="CF433" s="1328"/>
      <c r="CG433" s="1328"/>
      <c r="CH433" s="1389"/>
      <c r="CI433" s="1369"/>
      <c r="CJ433" s="1319"/>
      <c r="CK433" s="1319"/>
      <c r="CL433" s="1319"/>
      <c r="CM433" s="1320"/>
      <c r="CN433" s="1369"/>
      <c r="CO433" s="1319"/>
      <c r="CP433" s="1319"/>
      <c r="CQ433" s="1319"/>
      <c r="CR433" s="1320"/>
      <c r="CS433" s="1369"/>
      <c r="CT433" s="1319"/>
      <c r="CU433" s="1319"/>
      <c r="CV433" s="1319"/>
      <c r="CW433" s="1320"/>
      <c r="CX433" s="1369"/>
      <c r="CY433" s="1319"/>
      <c r="CZ433" s="1319"/>
      <c r="DA433" s="1319"/>
      <c r="DB433" s="1320"/>
      <c r="DC433" s="1319"/>
      <c r="DD433" s="1319"/>
      <c r="DE433" s="1319"/>
      <c r="DF433" s="1319"/>
      <c r="DG433" s="1320"/>
      <c r="DH433" s="1369"/>
      <c r="DI433" s="1319"/>
      <c r="DJ433" s="1319"/>
      <c r="DK433" s="1319"/>
      <c r="DL433" s="1320"/>
      <c r="DM433" s="1743"/>
      <c r="DN433" s="1744"/>
      <c r="DO433" s="1744"/>
      <c r="DP433" s="1745"/>
      <c r="DQ433" s="1744"/>
      <c r="DR433" s="1744"/>
      <c r="DS433" s="1744"/>
      <c r="DT433" s="1745"/>
      <c r="DU433" s="1328"/>
      <c r="DV433" s="1664"/>
      <c r="DW433" s="1746"/>
    </row>
    <row r="434" spans="1:127" s="382" customFormat="1" ht="15.75" customHeight="1">
      <c r="A434" s="1066" t="s">
        <v>1171</v>
      </c>
      <c r="B434" s="1026">
        <v>425</v>
      </c>
      <c r="C434" s="987"/>
      <c r="D434" s="987"/>
      <c r="E434" s="987"/>
      <c r="F434" s="987"/>
      <c r="G434" s="987"/>
      <c r="H434" s="987"/>
      <c r="I434" s="987"/>
      <c r="J434" s="987"/>
      <c r="K434" s="987"/>
      <c r="L434" s="987"/>
      <c r="M434" s="1026"/>
      <c r="N434" s="987"/>
      <c r="O434" s="987"/>
      <c r="P434" s="987"/>
      <c r="Q434" s="987"/>
      <c r="R434" s="987"/>
      <c r="S434" s="987"/>
      <c r="T434" s="988"/>
      <c r="U434" s="1067" t="s">
        <v>1711</v>
      </c>
      <c r="V434" s="1068" t="s">
        <v>3626</v>
      </c>
      <c r="W434" s="1068" t="s">
        <v>2231</v>
      </c>
      <c r="X434" s="1069" t="s">
        <v>3633</v>
      </c>
      <c r="Y434" s="1070" t="s">
        <v>3634</v>
      </c>
      <c r="Z434" s="1071" t="s">
        <v>3635</v>
      </c>
      <c r="AA434" s="1072" t="s">
        <v>2260</v>
      </c>
      <c r="AB434" s="1073" t="s">
        <v>2260</v>
      </c>
      <c r="AC434" s="1073" t="s">
        <v>2260</v>
      </c>
      <c r="AD434" s="1073" t="s">
        <v>2260</v>
      </c>
      <c r="AE434" s="1073">
        <v>1</v>
      </c>
      <c r="AF434" s="1073" t="s">
        <v>2260</v>
      </c>
      <c r="AG434" s="1073" t="s">
        <v>2260</v>
      </c>
      <c r="AH434" s="1073" t="s">
        <v>2260</v>
      </c>
      <c r="AI434" s="1074">
        <f t="shared" si="6"/>
        <v>1</v>
      </c>
      <c r="AJ434" s="1075" t="s">
        <v>1825</v>
      </c>
      <c r="AK434" s="1075" t="s">
        <v>2260</v>
      </c>
      <c r="AL434" s="1075" t="s">
        <v>2260</v>
      </c>
      <c r="AM434" s="1076" t="s">
        <v>2396</v>
      </c>
      <c r="AN434" s="987" t="s">
        <v>321</v>
      </c>
      <c r="AO434" s="987" t="s">
        <v>2016</v>
      </c>
      <c r="AP434" s="1243">
        <v>2</v>
      </c>
      <c r="AQ434" s="1045" t="s">
        <v>1838</v>
      </c>
      <c r="AR434" s="1078" t="s">
        <v>2260</v>
      </c>
      <c r="AS434" s="1079"/>
      <c r="AT434" s="1069"/>
      <c r="AU434" s="1069"/>
      <c r="AV434" s="1069"/>
      <c r="AW434" s="1080"/>
      <c r="AX434" s="1081"/>
      <c r="AY434" s="1044"/>
      <c r="AZ434" s="1045"/>
      <c r="BA434" s="1045"/>
      <c r="BB434" s="1045"/>
      <c r="BC434" s="1045"/>
      <c r="BD434" s="1045"/>
      <c r="BE434" s="1045"/>
      <c r="BF434" s="1045"/>
      <c r="BG434" s="1045"/>
      <c r="BH434" s="1045"/>
      <c r="BI434" s="1369"/>
      <c r="BJ434" s="1319"/>
      <c r="BK434" s="1319"/>
      <c r="BL434" s="1319"/>
      <c r="BM434" s="1319"/>
      <c r="BN434" s="1044"/>
      <c r="BO434" s="1045"/>
      <c r="BP434" s="1045"/>
      <c r="BQ434" s="1045"/>
      <c r="BR434" s="1045"/>
      <c r="BS434" s="1084"/>
      <c r="BT434" s="1045"/>
      <c r="BU434" s="1045"/>
      <c r="BV434" s="1045"/>
      <c r="BW434" s="1085"/>
      <c r="BX434" s="1084"/>
      <c r="BY434" s="1045"/>
      <c r="BZ434" s="1045"/>
      <c r="CA434" s="1045"/>
      <c r="CB434" s="1085"/>
      <c r="CC434" s="1086"/>
      <c r="CD434" s="1327"/>
      <c r="CE434" s="1328"/>
      <c r="CF434" s="1328"/>
      <c r="CG434" s="1328"/>
      <c r="CH434" s="1389"/>
      <c r="CI434" s="1369"/>
      <c r="CJ434" s="1319"/>
      <c r="CK434" s="1319"/>
      <c r="CL434" s="1319"/>
      <c r="CM434" s="1320"/>
      <c r="CN434" s="1369"/>
      <c r="CO434" s="1319"/>
      <c r="CP434" s="1319"/>
      <c r="CQ434" s="1319"/>
      <c r="CR434" s="1320"/>
      <c r="CS434" s="1369"/>
      <c r="CT434" s="1319"/>
      <c r="CU434" s="1319"/>
      <c r="CV434" s="1319"/>
      <c r="CW434" s="1320"/>
      <c r="CX434" s="1369"/>
      <c r="CY434" s="1319"/>
      <c r="CZ434" s="1319"/>
      <c r="DA434" s="1319"/>
      <c r="DB434" s="1320"/>
      <c r="DC434" s="1319"/>
      <c r="DD434" s="1319"/>
      <c r="DE434" s="1319"/>
      <c r="DF434" s="1319"/>
      <c r="DG434" s="1320"/>
      <c r="DH434" s="1369"/>
      <c r="DI434" s="1319"/>
      <c r="DJ434" s="1319"/>
      <c r="DK434" s="1319"/>
      <c r="DL434" s="1320"/>
      <c r="DM434" s="1743"/>
      <c r="DN434" s="1744"/>
      <c r="DO434" s="1744"/>
      <c r="DP434" s="1745"/>
      <c r="DQ434" s="1744"/>
      <c r="DR434" s="1744"/>
      <c r="DS434" s="1744"/>
      <c r="DT434" s="1745"/>
      <c r="DU434" s="1328"/>
      <c r="DV434" s="1664"/>
      <c r="DW434" s="1746"/>
    </row>
    <row r="435" spans="1:127" s="382" customFormat="1" ht="15.75" customHeight="1">
      <c r="A435" s="1066" t="s">
        <v>1171</v>
      </c>
      <c r="B435" s="1026">
        <v>426</v>
      </c>
      <c r="C435" s="987"/>
      <c r="D435" s="987"/>
      <c r="E435" s="987"/>
      <c r="F435" s="987"/>
      <c r="G435" s="987"/>
      <c r="H435" s="987"/>
      <c r="I435" s="987"/>
      <c r="J435" s="987"/>
      <c r="K435" s="987"/>
      <c r="L435" s="987"/>
      <c r="M435" s="1026"/>
      <c r="N435" s="987"/>
      <c r="O435" s="987"/>
      <c r="P435" s="987"/>
      <c r="Q435" s="987"/>
      <c r="R435" s="987"/>
      <c r="S435" s="987"/>
      <c r="T435" s="988"/>
      <c r="U435" s="1067" t="s">
        <v>1719</v>
      </c>
      <c r="V435" s="1068" t="s">
        <v>3626</v>
      </c>
      <c r="W435" s="1068" t="s">
        <v>2231</v>
      </c>
      <c r="X435" s="1069" t="s">
        <v>3636</v>
      </c>
      <c r="Y435" s="1070" t="s">
        <v>3637</v>
      </c>
      <c r="Z435" s="1071" t="s">
        <v>3638</v>
      </c>
      <c r="AA435" s="1072" t="s">
        <v>2260</v>
      </c>
      <c r="AB435" s="1073" t="s">
        <v>2260</v>
      </c>
      <c r="AC435" s="1073" t="s">
        <v>2260</v>
      </c>
      <c r="AD435" s="1073" t="s">
        <v>2260</v>
      </c>
      <c r="AE435" s="1073">
        <v>1</v>
      </c>
      <c r="AF435" s="1073" t="s">
        <v>2260</v>
      </c>
      <c r="AG435" s="1073" t="s">
        <v>2260</v>
      </c>
      <c r="AH435" s="1073" t="s">
        <v>2260</v>
      </c>
      <c r="AI435" s="1074">
        <f t="shared" si="6"/>
        <v>1</v>
      </c>
      <c r="AJ435" s="1075" t="s">
        <v>1825</v>
      </c>
      <c r="AK435" s="1075" t="s">
        <v>2260</v>
      </c>
      <c r="AL435" s="1075" t="s">
        <v>2260</v>
      </c>
      <c r="AM435" s="1076" t="s">
        <v>2396</v>
      </c>
      <c r="AN435" s="987" t="s">
        <v>321</v>
      </c>
      <c r="AO435" s="987" t="s">
        <v>2016</v>
      </c>
      <c r="AP435" s="1243">
        <v>1</v>
      </c>
      <c r="AQ435" s="1045" t="s">
        <v>1828</v>
      </c>
      <c r="AR435" s="1078" t="s">
        <v>2260</v>
      </c>
      <c r="AS435" s="1079"/>
      <c r="AT435" s="1069"/>
      <c r="AU435" s="1069"/>
      <c r="AV435" s="1069"/>
      <c r="AW435" s="1080"/>
      <c r="AX435" s="1081"/>
      <c r="AY435" s="1044"/>
      <c r="AZ435" s="1045"/>
      <c r="BA435" s="1045"/>
      <c r="BB435" s="1045"/>
      <c r="BC435" s="1045"/>
      <c r="BD435" s="1045"/>
      <c r="BE435" s="1045"/>
      <c r="BF435" s="1045"/>
      <c r="BG435" s="1045"/>
      <c r="BH435" s="1045"/>
      <c r="BI435" s="1369"/>
      <c r="BJ435" s="1319"/>
      <c r="BK435" s="1319"/>
      <c r="BL435" s="1319"/>
      <c r="BM435" s="1319"/>
      <c r="BN435" s="1044"/>
      <c r="BO435" s="1045"/>
      <c r="BP435" s="1045"/>
      <c r="BQ435" s="1045"/>
      <c r="BR435" s="1045"/>
      <c r="BS435" s="1084"/>
      <c r="BT435" s="1045"/>
      <c r="BU435" s="1045"/>
      <c r="BV435" s="1045"/>
      <c r="BW435" s="1085"/>
      <c r="BX435" s="1084"/>
      <c r="BY435" s="1045"/>
      <c r="BZ435" s="1045"/>
      <c r="CA435" s="1045"/>
      <c r="CB435" s="1085"/>
      <c r="CC435" s="1086"/>
      <c r="CD435" s="1327"/>
      <c r="CE435" s="1328"/>
      <c r="CF435" s="1328"/>
      <c r="CG435" s="1328"/>
      <c r="CH435" s="1389"/>
      <c r="CI435" s="1369"/>
      <c r="CJ435" s="1319"/>
      <c r="CK435" s="1319"/>
      <c r="CL435" s="1319"/>
      <c r="CM435" s="1320"/>
      <c r="CN435" s="1369"/>
      <c r="CO435" s="1319"/>
      <c r="CP435" s="1319"/>
      <c r="CQ435" s="1319"/>
      <c r="CR435" s="1320"/>
      <c r="CS435" s="1369"/>
      <c r="CT435" s="1319"/>
      <c r="CU435" s="1319"/>
      <c r="CV435" s="1319"/>
      <c r="CW435" s="1320"/>
      <c r="CX435" s="1369"/>
      <c r="CY435" s="1319"/>
      <c r="CZ435" s="1319"/>
      <c r="DA435" s="1319"/>
      <c r="DB435" s="1320"/>
      <c r="DC435" s="1319"/>
      <c r="DD435" s="1319"/>
      <c r="DE435" s="1319"/>
      <c r="DF435" s="1319"/>
      <c r="DG435" s="1320"/>
      <c r="DH435" s="1369"/>
      <c r="DI435" s="1319"/>
      <c r="DJ435" s="1319"/>
      <c r="DK435" s="1319"/>
      <c r="DL435" s="1320"/>
      <c r="DM435" s="1743"/>
      <c r="DN435" s="1744"/>
      <c r="DO435" s="1744"/>
      <c r="DP435" s="1745"/>
      <c r="DQ435" s="1744"/>
      <c r="DR435" s="1744"/>
      <c r="DS435" s="1744"/>
      <c r="DT435" s="1745"/>
      <c r="DU435" s="1328"/>
      <c r="DV435" s="1664"/>
      <c r="DW435" s="1746"/>
    </row>
    <row r="436" spans="1:127" s="382" customFormat="1" ht="15.75" customHeight="1">
      <c r="A436" s="1066" t="s">
        <v>1171</v>
      </c>
      <c r="B436" s="1026">
        <v>427</v>
      </c>
      <c r="C436" s="987"/>
      <c r="D436" s="987"/>
      <c r="E436" s="987"/>
      <c r="F436" s="987"/>
      <c r="G436" s="987"/>
      <c r="H436" s="987"/>
      <c r="I436" s="987"/>
      <c r="J436" s="987"/>
      <c r="K436" s="987"/>
      <c r="L436" s="987"/>
      <c r="M436" s="1026"/>
      <c r="N436" s="987"/>
      <c r="O436" s="987"/>
      <c r="P436" s="987"/>
      <c r="Q436" s="987"/>
      <c r="R436" s="987"/>
      <c r="S436" s="987"/>
      <c r="T436" s="988"/>
      <c r="U436" s="1067" t="s">
        <v>1433</v>
      </c>
      <c r="V436" s="1068" t="s">
        <v>3510</v>
      </c>
      <c r="W436" s="1068" t="s">
        <v>2231</v>
      </c>
      <c r="X436" s="1069" t="s">
        <v>3639</v>
      </c>
      <c r="Y436" s="1070" t="s">
        <v>3640</v>
      </c>
      <c r="Z436" s="1071" t="s">
        <v>3641</v>
      </c>
      <c r="AA436" s="1072" t="s">
        <v>2260</v>
      </c>
      <c r="AB436" s="1073">
        <v>1</v>
      </c>
      <c r="AC436" s="1073" t="s">
        <v>2260</v>
      </c>
      <c r="AD436" s="1073" t="s">
        <v>2260</v>
      </c>
      <c r="AE436" s="1073" t="s">
        <v>2260</v>
      </c>
      <c r="AF436" s="1073" t="s">
        <v>2260</v>
      </c>
      <c r="AG436" s="1073" t="s">
        <v>2260</v>
      </c>
      <c r="AH436" s="1073" t="s">
        <v>2260</v>
      </c>
      <c r="AI436" s="1074">
        <f t="shared" si="6"/>
        <v>1</v>
      </c>
      <c r="AJ436" s="1075" t="s">
        <v>1846</v>
      </c>
      <c r="AK436" s="1075" t="s">
        <v>1826</v>
      </c>
      <c r="AL436" s="1075" t="s">
        <v>1837</v>
      </c>
      <c r="AM436" s="1076" t="s">
        <v>2247</v>
      </c>
      <c r="AN436" s="987" t="s">
        <v>1890</v>
      </c>
      <c r="AO436" s="987" t="s">
        <v>3641</v>
      </c>
      <c r="AP436" s="1243">
        <v>0</v>
      </c>
      <c r="AQ436" s="1045" t="s">
        <v>1890</v>
      </c>
      <c r="AR436" s="1078" t="s">
        <v>2260</v>
      </c>
      <c r="AS436" s="1079"/>
      <c r="AT436" s="1069"/>
      <c r="AU436" s="1069"/>
      <c r="AV436" s="1069"/>
      <c r="AW436" s="1080"/>
      <c r="AX436" s="1081"/>
      <c r="AY436" s="1044"/>
      <c r="AZ436" s="1045"/>
      <c r="BA436" s="1045"/>
      <c r="BB436" s="1045"/>
      <c r="BC436" s="1045"/>
      <c r="BD436" s="1045"/>
      <c r="BE436" s="1045"/>
      <c r="BF436" s="1045"/>
      <c r="BG436" s="1045"/>
      <c r="BH436" s="1045"/>
      <c r="BI436" s="1369"/>
      <c r="BJ436" s="1319"/>
      <c r="BK436" s="1319"/>
      <c r="BL436" s="1319"/>
      <c r="BM436" s="1319"/>
      <c r="BN436" s="1044"/>
      <c r="BO436" s="1045"/>
      <c r="BP436" s="1045"/>
      <c r="BQ436" s="1045"/>
      <c r="BR436" s="1045"/>
      <c r="BS436" s="1084"/>
      <c r="BT436" s="1045"/>
      <c r="BU436" s="1045"/>
      <c r="BV436" s="1045"/>
      <c r="BW436" s="1085"/>
      <c r="BX436" s="1084"/>
      <c r="BY436" s="1045"/>
      <c r="BZ436" s="1045"/>
      <c r="CA436" s="1045"/>
      <c r="CB436" s="1085"/>
      <c r="CC436" s="1086"/>
      <c r="CD436" s="1327"/>
      <c r="CE436" s="1328"/>
      <c r="CF436" s="1328"/>
      <c r="CG436" s="1328"/>
      <c r="CH436" s="1389"/>
      <c r="CI436" s="1369"/>
      <c r="CJ436" s="1319"/>
      <c r="CK436" s="1319"/>
      <c r="CL436" s="1319"/>
      <c r="CM436" s="1320"/>
      <c r="CN436" s="1369"/>
      <c r="CO436" s="1319"/>
      <c r="CP436" s="1319"/>
      <c r="CQ436" s="1319"/>
      <c r="CR436" s="1320"/>
      <c r="CS436" s="1369"/>
      <c r="CT436" s="1319"/>
      <c r="CU436" s="1319"/>
      <c r="CV436" s="1319"/>
      <c r="CW436" s="1320"/>
      <c r="CX436" s="1369"/>
      <c r="CY436" s="1319"/>
      <c r="CZ436" s="1319"/>
      <c r="DA436" s="1319"/>
      <c r="DB436" s="1320"/>
      <c r="DC436" s="1319"/>
      <c r="DD436" s="1319"/>
      <c r="DE436" s="1319"/>
      <c r="DF436" s="1319"/>
      <c r="DG436" s="1320"/>
      <c r="DH436" s="1369"/>
      <c r="DI436" s="1319"/>
      <c r="DJ436" s="1319"/>
      <c r="DK436" s="1319"/>
      <c r="DL436" s="1320"/>
      <c r="DM436" s="1743"/>
      <c r="DN436" s="1744"/>
      <c r="DO436" s="1744"/>
      <c r="DP436" s="1745"/>
      <c r="DQ436" s="1744"/>
      <c r="DR436" s="1744"/>
      <c r="DS436" s="1744"/>
      <c r="DT436" s="1745"/>
      <c r="DU436" s="1328"/>
      <c r="DV436" s="1664"/>
      <c r="DW436" s="1746"/>
    </row>
    <row r="437" spans="1:127" s="382" customFormat="1" ht="15.75" customHeight="1">
      <c r="A437" s="1066" t="s">
        <v>1171</v>
      </c>
      <c r="B437" s="1026">
        <v>428</v>
      </c>
      <c r="C437" s="987"/>
      <c r="D437" s="987"/>
      <c r="E437" s="987"/>
      <c r="F437" s="987"/>
      <c r="G437" s="987"/>
      <c r="H437" s="987"/>
      <c r="I437" s="987"/>
      <c r="J437" s="987"/>
      <c r="K437" s="987"/>
      <c r="L437" s="987"/>
      <c r="M437" s="1026"/>
      <c r="N437" s="987"/>
      <c r="O437" s="987"/>
      <c r="P437" s="987"/>
      <c r="Q437" s="987"/>
      <c r="R437" s="987"/>
      <c r="S437" s="987"/>
      <c r="T437" s="988"/>
      <c r="U437" s="1067" t="s">
        <v>1448</v>
      </c>
      <c r="V437" s="1068" t="s">
        <v>3510</v>
      </c>
      <c r="W437" s="1068" t="s">
        <v>2231</v>
      </c>
      <c r="X437" s="1069" t="s">
        <v>3642</v>
      </c>
      <c r="Y437" s="1070" t="s">
        <v>3643</v>
      </c>
      <c r="Z437" s="1071" t="s">
        <v>3644</v>
      </c>
      <c r="AA437" s="1072" t="s">
        <v>2260</v>
      </c>
      <c r="AB437" s="1073">
        <v>1</v>
      </c>
      <c r="AC437" s="1073" t="s">
        <v>2260</v>
      </c>
      <c r="AD437" s="1073" t="s">
        <v>2260</v>
      </c>
      <c r="AE437" s="1073" t="s">
        <v>2260</v>
      </c>
      <c r="AF437" s="1073" t="s">
        <v>2260</v>
      </c>
      <c r="AG437" s="1073" t="s">
        <v>2260</v>
      </c>
      <c r="AH437" s="1073" t="s">
        <v>2260</v>
      </c>
      <c r="AI437" s="1074">
        <f t="shared" si="6"/>
        <v>1</v>
      </c>
      <c r="AJ437" s="1075" t="s">
        <v>1846</v>
      </c>
      <c r="AK437" s="1075" t="s">
        <v>1826</v>
      </c>
      <c r="AL437" s="1075" t="s">
        <v>1837</v>
      </c>
      <c r="AM437" s="1076" t="s">
        <v>2247</v>
      </c>
      <c r="AN437" s="987" t="s">
        <v>1890</v>
      </c>
      <c r="AO437" s="987" t="s">
        <v>3644</v>
      </c>
      <c r="AP437" s="1243">
        <v>0</v>
      </c>
      <c r="AQ437" s="1045" t="s">
        <v>1890</v>
      </c>
      <c r="AR437" s="1078" t="s">
        <v>2260</v>
      </c>
      <c r="AS437" s="1079"/>
      <c r="AT437" s="1069"/>
      <c r="AU437" s="1069"/>
      <c r="AV437" s="1069"/>
      <c r="AW437" s="1080"/>
      <c r="AX437" s="1081"/>
      <c r="AY437" s="1044"/>
      <c r="AZ437" s="1045"/>
      <c r="BA437" s="1045"/>
      <c r="BB437" s="1045"/>
      <c r="BC437" s="1045"/>
      <c r="BD437" s="1045"/>
      <c r="BE437" s="1045"/>
      <c r="BF437" s="1045"/>
      <c r="BG437" s="1045"/>
      <c r="BH437" s="1045"/>
      <c r="BI437" s="1369"/>
      <c r="BJ437" s="1319"/>
      <c r="BK437" s="1319"/>
      <c r="BL437" s="1319"/>
      <c r="BM437" s="1319"/>
      <c r="BN437" s="1044"/>
      <c r="BO437" s="1045"/>
      <c r="BP437" s="1045"/>
      <c r="BQ437" s="1045"/>
      <c r="BR437" s="1045"/>
      <c r="BS437" s="1084"/>
      <c r="BT437" s="1045"/>
      <c r="BU437" s="1045"/>
      <c r="BV437" s="1045"/>
      <c r="BW437" s="1085"/>
      <c r="BX437" s="1084"/>
      <c r="BY437" s="1045"/>
      <c r="BZ437" s="1045"/>
      <c r="CA437" s="1045"/>
      <c r="CB437" s="1085"/>
      <c r="CC437" s="1086"/>
      <c r="CD437" s="1327"/>
      <c r="CE437" s="1328"/>
      <c r="CF437" s="1328"/>
      <c r="CG437" s="1328"/>
      <c r="CH437" s="1389"/>
      <c r="CI437" s="1369"/>
      <c r="CJ437" s="1319"/>
      <c r="CK437" s="1319"/>
      <c r="CL437" s="1319"/>
      <c r="CM437" s="1320"/>
      <c r="CN437" s="1369"/>
      <c r="CO437" s="1319"/>
      <c r="CP437" s="1319"/>
      <c r="CQ437" s="1319"/>
      <c r="CR437" s="1320"/>
      <c r="CS437" s="1369"/>
      <c r="CT437" s="1319"/>
      <c r="CU437" s="1319"/>
      <c r="CV437" s="1319"/>
      <c r="CW437" s="1320"/>
      <c r="CX437" s="1369"/>
      <c r="CY437" s="1319"/>
      <c r="CZ437" s="1319"/>
      <c r="DA437" s="1319"/>
      <c r="DB437" s="1320"/>
      <c r="DC437" s="1319"/>
      <c r="DD437" s="1319"/>
      <c r="DE437" s="1319"/>
      <c r="DF437" s="1319"/>
      <c r="DG437" s="1320"/>
      <c r="DH437" s="1369"/>
      <c r="DI437" s="1319"/>
      <c r="DJ437" s="1319"/>
      <c r="DK437" s="1319"/>
      <c r="DL437" s="1320"/>
      <c r="DM437" s="1743"/>
      <c r="DN437" s="1744"/>
      <c r="DO437" s="1744"/>
      <c r="DP437" s="1745"/>
      <c r="DQ437" s="1744"/>
      <c r="DR437" s="1744"/>
      <c r="DS437" s="1744"/>
      <c r="DT437" s="1745"/>
      <c r="DU437" s="1328"/>
      <c r="DV437" s="1664"/>
      <c r="DW437" s="1746"/>
    </row>
    <row r="438" spans="1:127" s="382" customFormat="1" ht="15.75" customHeight="1">
      <c r="A438" s="1066" t="s">
        <v>1171</v>
      </c>
      <c r="B438" s="1026">
        <v>429</v>
      </c>
      <c r="C438" s="987"/>
      <c r="D438" s="987"/>
      <c r="E438" s="987"/>
      <c r="F438" s="987"/>
      <c r="G438" s="987"/>
      <c r="H438" s="987"/>
      <c r="I438" s="987"/>
      <c r="J438" s="987"/>
      <c r="K438" s="987"/>
      <c r="L438" s="987"/>
      <c r="M438" s="1026"/>
      <c r="N438" s="987"/>
      <c r="O438" s="987"/>
      <c r="P438" s="987"/>
      <c r="Q438" s="987"/>
      <c r="R438" s="987"/>
      <c r="S438" s="987"/>
      <c r="T438" s="988"/>
      <c r="U438" s="1067" t="s">
        <v>1460</v>
      </c>
      <c r="V438" s="1068" t="s">
        <v>2234</v>
      </c>
      <c r="W438" s="1068" t="s">
        <v>2231</v>
      </c>
      <c r="X438" s="1069" t="s">
        <v>3645</v>
      </c>
      <c r="Y438" s="1070" t="s">
        <v>3646</v>
      </c>
      <c r="Z438" s="1071" t="s">
        <v>3647</v>
      </c>
      <c r="AA438" s="1072" t="s">
        <v>2260</v>
      </c>
      <c r="AB438" s="1073">
        <v>0.7</v>
      </c>
      <c r="AC438" s="1073">
        <v>0.3</v>
      </c>
      <c r="AD438" s="1073" t="s">
        <v>2260</v>
      </c>
      <c r="AE438" s="1073" t="s">
        <v>2260</v>
      </c>
      <c r="AF438" s="1073" t="s">
        <v>2260</v>
      </c>
      <c r="AG438" s="1073" t="s">
        <v>2260</v>
      </c>
      <c r="AH438" s="1073" t="s">
        <v>2260</v>
      </c>
      <c r="AI438" s="1074">
        <f t="shared" si="6"/>
        <v>1</v>
      </c>
      <c r="AJ438" s="1075" t="s">
        <v>1846</v>
      </c>
      <c r="AK438" s="1075" t="s">
        <v>1826</v>
      </c>
      <c r="AL438" s="1075" t="s">
        <v>1827</v>
      </c>
      <c r="AM438" s="1076" t="s">
        <v>2234</v>
      </c>
      <c r="AN438" s="987" t="s">
        <v>1890</v>
      </c>
      <c r="AO438" s="987" t="s">
        <v>3647</v>
      </c>
      <c r="AP438" s="1243">
        <v>0</v>
      </c>
      <c r="AQ438" s="1045" t="s">
        <v>1890</v>
      </c>
      <c r="AR438" s="1078" t="s">
        <v>2260</v>
      </c>
      <c r="AS438" s="1079"/>
      <c r="AT438" s="1069"/>
      <c r="AU438" s="1069"/>
      <c r="AV438" s="1069"/>
      <c r="AW438" s="1080"/>
      <c r="AX438" s="1081"/>
      <c r="AY438" s="1044"/>
      <c r="AZ438" s="1045"/>
      <c r="BA438" s="1045"/>
      <c r="BB438" s="1045"/>
      <c r="BC438" s="1045"/>
      <c r="BD438" s="1045"/>
      <c r="BE438" s="1045"/>
      <c r="BF438" s="1045"/>
      <c r="BG438" s="1045"/>
      <c r="BH438" s="1045"/>
      <c r="BI438" s="1369"/>
      <c r="BJ438" s="1319"/>
      <c r="BK438" s="1319"/>
      <c r="BL438" s="1319"/>
      <c r="BM438" s="1319"/>
      <c r="BN438" s="1044"/>
      <c r="BO438" s="1045"/>
      <c r="BP438" s="1045"/>
      <c r="BQ438" s="1045"/>
      <c r="BR438" s="1045"/>
      <c r="BS438" s="1084"/>
      <c r="BT438" s="1045"/>
      <c r="BU438" s="1045"/>
      <c r="BV438" s="1045"/>
      <c r="BW438" s="1085"/>
      <c r="BX438" s="1084"/>
      <c r="BY438" s="1045"/>
      <c r="BZ438" s="1045"/>
      <c r="CA438" s="1045"/>
      <c r="CB438" s="1085"/>
      <c r="CC438" s="1086"/>
      <c r="CD438" s="1327"/>
      <c r="CE438" s="1328"/>
      <c r="CF438" s="1328"/>
      <c r="CG438" s="1328"/>
      <c r="CH438" s="1389"/>
      <c r="CI438" s="1369"/>
      <c r="CJ438" s="1319"/>
      <c r="CK438" s="1319"/>
      <c r="CL438" s="1319"/>
      <c r="CM438" s="1320"/>
      <c r="CN438" s="1369"/>
      <c r="CO438" s="1319"/>
      <c r="CP438" s="1319"/>
      <c r="CQ438" s="1319"/>
      <c r="CR438" s="1320"/>
      <c r="CS438" s="1369"/>
      <c r="CT438" s="1319"/>
      <c r="CU438" s="1319"/>
      <c r="CV438" s="1319"/>
      <c r="CW438" s="1320"/>
      <c r="CX438" s="1369"/>
      <c r="CY438" s="1319"/>
      <c r="CZ438" s="1319"/>
      <c r="DA438" s="1319"/>
      <c r="DB438" s="1320"/>
      <c r="DC438" s="1319"/>
      <c r="DD438" s="1319"/>
      <c r="DE438" s="1319"/>
      <c r="DF438" s="1319"/>
      <c r="DG438" s="1320"/>
      <c r="DH438" s="1369"/>
      <c r="DI438" s="1319"/>
      <c r="DJ438" s="1319"/>
      <c r="DK438" s="1319"/>
      <c r="DL438" s="1320"/>
      <c r="DM438" s="1743"/>
      <c r="DN438" s="1744"/>
      <c r="DO438" s="1744"/>
      <c r="DP438" s="1745"/>
      <c r="DQ438" s="1744"/>
      <c r="DR438" s="1744"/>
      <c r="DS438" s="1744"/>
      <c r="DT438" s="1745"/>
      <c r="DU438" s="1328"/>
      <c r="DV438" s="1664"/>
      <c r="DW438" s="1746"/>
    </row>
    <row r="439" spans="1:127" s="382" customFormat="1" ht="15.75" customHeight="1">
      <c r="A439" s="1066" t="s">
        <v>1199</v>
      </c>
      <c r="B439" s="1026">
        <v>430</v>
      </c>
      <c r="C439" s="987"/>
      <c r="D439" s="987"/>
      <c r="E439" s="987"/>
      <c r="F439" s="987"/>
      <c r="G439" s="987"/>
      <c r="H439" s="987"/>
      <c r="I439" s="987"/>
      <c r="J439" s="987"/>
      <c r="K439" s="987"/>
      <c r="L439" s="987"/>
      <c r="M439" s="1026"/>
      <c r="N439" s="987"/>
      <c r="O439" s="987"/>
      <c r="P439" s="987"/>
      <c r="Q439" s="987"/>
      <c r="R439" s="987"/>
      <c r="S439" s="987"/>
      <c r="T439" s="988"/>
      <c r="U439" s="1067" t="s">
        <v>1771</v>
      </c>
      <c r="V439" s="1068" t="s">
        <v>3649</v>
      </c>
      <c r="W439" s="1068" t="s">
        <v>2231</v>
      </c>
      <c r="X439" s="1069" t="s">
        <v>3650</v>
      </c>
      <c r="Y439" s="1070" t="s">
        <v>2251</v>
      </c>
      <c r="Z439" s="1071" t="s">
        <v>3651</v>
      </c>
      <c r="AA439" s="1072" t="s">
        <v>2260</v>
      </c>
      <c r="AB439" s="1073" t="s">
        <v>2260</v>
      </c>
      <c r="AC439" s="1073" t="s">
        <v>2260</v>
      </c>
      <c r="AD439" s="1073" t="s">
        <v>2260</v>
      </c>
      <c r="AE439" s="1073">
        <v>1</v>
      </c>
      <c r="AF439" s="1073" t="s">
        <v>2260</v>
      </c>
      <c r="AG439" s="1073" t="s">
        <v>2260</v>
      </c>
      <c r="AH439" s="1073" t="s">
        <v>2260</v>
      </c>
      <c r="AI439" s="1074">
        <f t="shared" si="6"/>
        <v>1</v>
      </c>
      <c r="AJ439" s="1075" t="s">
        <v>1852</v>
      </c>
      <c r="AK439" s="1075" t="s">
        <v>1826</v>
      </c>
      <c r="AL439" s="1075" t="s">
        <v>1827</v>
      </c>
      <c r="AM439" s="1076" t="s">
        <v>1888</v>
      </c>
      <c r="AN439" s="987" t="s">
        <v>1897</v>
      </c>
      <c r="AO439" s="987" t="s">
        <v>2337</v>
      </c>
      <c r="AP439" s="1285">
        <v>2</v>
      </c>
      <c r="AQ439" s="1045" t="s">
        <v>1828</v>
      </c>
      <c r="AR439" s="1078" t="s">
        <v>2251</v>
      </c>
      <c r="AS439" s="1079"/>
      <c r="AT439" s="1069"/>
      <c r="AU439" s="1069"/>
      <c r="AV439" s="1069"/>
      <c r="AW439" s="1080"/>
      <c r="AX439" s="1081"/>
      <c r="AY439" s="1044"/>
      <c r="AZ439" s="1045"/>
      <c r="BA439" s="1045"/>
      <c r="BB439" s="1045"/>
      <c r="BC439" s="1045"/>
      <c r="BD439" s="1045"/>
      <c r="BE439" s="1045"/>
      <c r="BF439" s="1045"/>
      <c r="BG439" s="1045"/>
      <c r="BH439" s="1045"/>
      <c r="BI439" s="1044" t="s">
        <v>2260</v>
      </c>
      <c r="BJ439" s="1045" t="s">
        <v>2260</v>
      </c>
      <c r="BK439" s="1045" t="s">
        <v>2260</v>
      </c>
      <c r="BL439" s="1045" t="s">
        <v>2260</v>
      </c>
      <c r="BM439" s="1045" t="s">
        <v>2260</v>
      </c>
      <c r="BN439" s="1044"/>
      <c r="BO439" s="1045"/>
      <c r="BP439" s="1045"/>
      <c r="BQ439" s="1045"/>
      <c r="BR439" s="1045"/>
      <c r="BS439" s="1084"/>
      <c r="BT439" s="1045"/>
      <c r="BU439" s="1045"/>
      <c r="BV439" s="1045"/>
      <c r="BW439" s="1085"/>
      <c r="BX439" s="1084"/>
      <c r="BY439" s="1045"/>
      <c r="BZ439" s="1045"/>
      <c r="CA439" s="1045"/>
      <c r="CB439" s="1085"/>
      <c r="CC439" s="1086"/>
      <c r="CD439" s="1087" t="s">
        <v>210</v>
      </c>
      <c r="CE439" s="1088" t="s">
        <v>210</v>
      </c>
      <c r="CF439" s="1088" t="s">
        <v>210</v>
      </c>
      <c r="CG439" s="1088" t="s">
        <v>210</v>
      </c>
      <c r="CH439" s="1089" t="s">
        <v>210</v>
      </c>
      <c r="CI439" s="1044" t="s">
        <v>2260</v>
      </c>
      <c r="CJ439" s="1045" t="s">
        <v>2260</v>
      </c>
      <c r="CK439" s="1045" t="s">
        <v>2260</v>
      </c>
      <c r="CL439" s="1045" t="s">
        <v>2260</v>
      </c>
      <c r="CM439" s="1086" t="s">
        <v>2260</v>
      </c>
      <c r="CN439" s="1044" t="s">
        <v>2260</v>
      </c>
      <c r="CO439" s="1045" t="s">
        <v>2260</v>
      </c>
      <c r="CP439" s="1045" t="s">
        <v>2260</v>
      </c>
      <c r="CQ439" s="1045" t="s">
        <v>2260</v>
      </c>
      <c r="CR439" s="1086" t="s">
        <v>2260</v>
      </c>
      <c r="CS439" s="1044" t="s">
        <v>2260</v>
      </c>
      <c r="CT439" s="1045" t="s">
        <v>2260</v>
      </c>
      <c r="CU439" s="1045" t="s">
        <v>2260</v>
      </c>
      <c r="CV439" s="1045" t="s">
        <v>2260</v>
      </c>
      <c r="CW439" s="1086" t="s">
        <v>2260</v>
      </c>
      <c r="CX439" s="1044" t="s">
        <v>2260</v>
      </c>
      <c r="CY439" s="1045" t="s">
        <v>2260</v>
      </c>
      <c r="CZ439" s="1045" t="s">
        <v>2260</v>
      </c>
      <c r="DA439" s="1045" t="s">
        <v>2260</v>
      </c>
      <c r="DB439" s="1086" t="s">
        <v>2260</v>
      </c>
      <c r="DC439" s="1045" t="s">
        <v>2260</v>
      </c>
      <c r="DD439" s="1045" t="s">
        <v>2260</v>
      </c>
      <c r="DE439" s="1045" t="s">
        <v>2260</v>
      </c>
      <c r="DF439" s="1045" t="s">
        <v>2260</v>
      </c>
      <c r="DG439" s="1086" t="s">
        <v>2260</v>
      </c>
      <c r="DH439" s="1044" t="s">
        <v>2260</v>
      </c>
      <c r="DI439" s="1045" t="s">
        <v>2260</v>
      </c>
      <c r="DJ439" s="1045" t="s">
        <v>2260</v>
      </c>
      <c r="DK439" s="1045" t="s">
        <v>2260</v>
      </c>
      <c r="DL439" s="1086" t="s">
        <v>2260</v>
      </c>
      <c r="DM439" s="1090" t="s">
        <v>2260</v>
      </c>
      <c r="DN439" s="1091" t="s">
        <v>2260</v>
      </c>
      <c r="DO439" s="1091" t="s">
        <v>2260</v>
      </c>
      <c r="DP439" s="1092" t="s">
        <v>2260</v>
      </c>
      <c r="DQ439" s="1091" t="s">
        <v>2260</v>
      </c>
      <c r="DR439" s="1091" t="s">
        <v>2260</v>
      </c>
      <c r="DS439" s="1091" t="s">
        <v>2260</v>
      </c>
      <c r="DT439" s="1092" t="s">
        <v>2260</v>
      </c>
      <c r="DU439" s="1088" t="s">
        <v>173</v>
      </c>
      <c r="DV439" s="1093">
        <v>1</v>
      </c>
      <c r="DW439" s="1094" t="s">
        <v>2260</v>
      </c>
    </row>
    <row r="440" spans="1:127" s="382" customFormat="1" ht="15.75" customHeight="1">
      <c r="A440" s="1066" t="s">
        <v>1199</v>
      </c>
      <c r="B440" s="1026">
        <v>431</v>
      </c>
      <c r="C440" s="987"/>
      <c r="D440" s="987"/>
      <c r="E440" s="987"/>
      <c r="F440" s="987"/>
      <c r="G440" s="987"/>
      <c r="H440" s="987"/>
      <c r="I440" s="987"/>
      <c r="J440" s="987"/>
      <c r="K440" s="987"/>
      <c r="L440" s="987"/>
      <c r="M440" s="1026"/>
      <c r="N440" s="987"/>
      <c r="O440" s="987"/>
      <c r="P440" s="987"/>
      <c r="Q440" s="987"/>
      <c r="R440" s="987"/>
      <c r="S440" s="987"/>
      <c r="T440" s="988"/>
      <c r="U440" s="1067" t="s">
        <v>1599</v>
      </c>
      <c r="V440" s="1068" t="s">
        <v>3649</v>
      </c>
      <c r="W440" s="1068" t="s">
        <v>2231</v>
      </c>
      <c r="X440" s="1069" t="s">
        <v>3653</v>
      </c>
      <c r="Y440" s="1070" t="s">
        <v>2498</v>
      </c>
      <c r="Z440" s="1071" t="s">
        <v>2499</v>
      </c>
      <c r="AA440" s="1072" t="s">
        <v>2260</v>
      </c>
      <c r="AB440" s="1073" t="s">
        <v>2260</v>
      </c>
      <c r="AC440" s="1073" t="s">
        <v>2260</v>
      </c>
      <c r="AD440" s="1073" t="s">
        <v>2260</v>
      </c>
      <c r="AE440" s="1073" t="s">
        <v>2260</v>
      </c>
      <c r="AF440" s="1073" t="s">
        <v>2260</v>
      </c>
      <c r="AG440" s="1073" t="s">
        <v>2260</v>
      </c>
      <c r="AH440" s="1073" t="s">
        <v>2260</v>
      </c>
      <c r="AI440" s="1074">
        <f t="shared" si="6"/>
        <v>0</v>
      </c>
      <c r="AJ440" s="1075" t="s">
        <v>1825</v>
      </c>
      <c r="AK440" s="1075" t="s">
        <v>2260</v>
      </c>
      <c r="AL440" s="1075" t="s">
        <v>2260</v>
      </c>
      <c r="AM440" s="1076" t="s">
        <v>2260</v>
      </c>
      <c r="AN440" s="987" t="s">
        <v>321</v>
      </c>
      <c r="AO440" s="987" t="s">
        <v>2260</v>
      </c>
      <c r="AP440" s="1285">
        <v>0</v>
      </c>
      <c r="AQ440" s="1045" t="s">
        <v>1828</v>
      </c>
      <c r="AR440" s="1078" t="s">
        <v>2260</v>
      </c>
      <c r="AS440" s="1079"/>
      <c r="AT440" s="1069"/>
      <c r="AU440" s="1069"/>
      <c r="AV440" s="1069"/>
      <c r="AW440" s="1080"/>
      <c r="AX440" s="1081"/>
      <c r="AY440" s="1044"/>
      <c r="AZ440" s="1045"/>
      <c r="BA440" s="1045"/>
      <c r="BB440" s="1045"/>
      <c r="BC440" s="1045"/>
      <c r="BD440" s="1045"/>
      <c r="BE440" s="1045"/>
      <c r="BF440" s="1045"/>
      <c r="BG440" s="1045"/>
      <c r="BH440" s="1045"/>
      <c r="BI440" s="1369"/>
      <c r="BJ440" s="1319"/>
      <c r="BK440" s="1319"/>
      <c r="BL440" s="1319"/>
      <c r="BM440" s="1319"/>
      <c r="BN440" s="1044"/>
      <c r="BO440" s="1045"/>
      <c r="BP440" s="1045"/>
      <c r="BQ440" s="1045"/>
      <c r="BR440" s="1045"/>
      <c r="BS440" s="1084"/>
      <c r="BT440" s="1045"/>
      <c r="BU440" s="1045"/>
      <c r="BV440" s="1045"/>
      <c r="BW440" s="1085"/>
      <c r="BX440" s="1084"/>
      <c r="BY440" s="1045"/>
      <c r="BZ440" s="1045"/>
      <c r="CA440" s="1045"/>
      <c r="CB440" s="1085"/>
      <c r="CC440" s="1086"/>
      <c r="CD440" s="1327"/>
      <c r="CE440" s="1328"/>
      <c r="CF440" s="1328"/>
      <c r="CG440" s="1328"/>
      <c r="CH440" s="1389"/>
      <c r="CI440" s="1369"/>
      <c r="CJ440" s="1319"/>
      <c r="CK440" s="1319"/>
      <c r="CL440" s="1319"/>
      <c r="CM440" s="1320"/>
      <c r="CN440" s="1369"/>
      <c r="CO440" s="1319"/>
      <c r="CP440" s="1319"/>
      <c r="CQ440" s="1319"/>
      <c r="CR440" s="1320"/>
      <c r="CS440" s="1369"/>
      <c r="CT440" s="1319"/>
      <c r="CU440" s="1319"/>
      <c r="CV440" s="1319"/>
      <c r="CW440" s="1320"/>
      <c r="CX440" s="1369"/>
      <c r="CY440" s="1319"/>
      <c r="CZ440" s="1319"/>
      <c r="DA440" s="1319"/>
      <c r="DB440" s="1320"/>
      <c r="DC440" s="1319"/>
      <c r="DD440" s="1319"/>
      <c r="DE440" s="1319"/>
      <c r="DF440" s="1319"/>
      <c r="DG440" s="1320"/>
      <c r="DH440" s="1369"/>
      <c r="DI440" s="1319"/>
      <c r="DJ440" s="1319"/>
      <c r="DK440" s="1319"/>
      <c r="DL440" s="1320"/>
      <c r="DM440" s="1743"/>
      <c r="DN440" s="1744"/>
      <c r="DO440" s="1744"/>
      <c r="DP440" s="1745"/>
      <c r="DQ440" s="1744"/>
      <c r="DR440" s="1744"/>
      <c r="DS440" s="1744"/>
      <c r="DT440" s="1745"/>
      <c r="DU440" s="1328"/>
      <c r="DV440" s="1664"/>
      <c r="DW440" s="1746"/>
    </row>
    <row r="441" spans="1:127" s="382" customFormat="1" ht="15.75" customHeight="1">
      <c r="A441" s="1066" t="s">
        <v>1199</v>
      </c>
      <c r="B441" s="1026">
        <v>432</v>
      </c>
      <c r="C441" s="987"/>
      <c r="D441" s="987"/>
      <c r="E441" s="987"/>
      <c r="F441" s="987"/>
      <c r="G441" s="987"/>
      <c r="H441" s="987"/>
      <c r="I441" s="987"/>
      <c r="J441" s="987"/>
      <c r="K441" s="987"/>
      <c r="L441" s="987"/>
      <c r="M441" s="1026"/>
      <c r="N441" s="987"/>
      <c r="O441" s="987"/>
      <c r="P441" s="987"/>
      <c r="Q441" s="987"/>
      <c r="R441" s="987"/>
      <c r="S441" s="987"/>
      <c r="T441" s="988"/>
      <c r="U441" s="1067" t="s">
        <v>1788</v>
      </c>
      <c r="V441" s="1068" t="s">
        <v>3649</v>
      </c>
      <c r="W441" s="1068" t="s">
        <v>2231</v>
      </c>
      <c r="X441" s="1069" t="s">
        <v>3654</v>
      </c>
      <c r="Y441" s="1070" t="s">
        <v>2254</v>
      </c>
      <c r="Z441" s="1071" t="s">
        <v>3655</v>
      </c>
      <c r="AA441" s="1072" t="s">
        <v>2260</v>
      </c>
      <c r="AB441" s="1073">
        <v>0.56000000000000005</v>
      </c>
      <c r="AC441" s="1073">
        <v>0.44</v>
      </c>
      <c r="AD441" s="1073" t="s">
        <v>2260</v>
      </c>
      <c r="AE441" s="1073" t="s">
        <v>2260</v>
      </c>
      <c r="AF441" s="1073" t="s">
        <v>2260</v>
      </c>
      <c r="AG441" s="1073" t="s">
        <v>2260</v>
      </c>
      <c r="AH441" s="1073" t="s">
        <v>2260</v>
      </c>
      <c r="AI441" s="1074">
        <f t="shared" si="6"/>
        <v>1</v>
      </c>
      <c r="AJ441" s="1075" t="s">
        <v>1852</v>
      </c>
      <c r="AK441" s="1075" t="s">
        <v>1826</v>
      </c>
      <c r="AL441" s="1075" t="s">
        <v>1827</v>
      </c>
      <c r="AM441" s="1076" t="s">
        <v>1891</v>
      </c>
      <c r="AN441" s="987" t="s">
        <v>1897</v>
      </c>
      <c r="AO441" s="987" t="s">
        <v>470</v>
      </c>
      <c r="AP441" s="1285">
        <v>2</v>
      </c>
      <c r="AQ441" s="1045" t="s">
        <v>1828</v>
      </c>
      <c r="AR441" s="1078" t="s">
        <v>2254</v>
      </c>
      <c r="AS441" s="1079"/>
      <c r="AT441" s="1069"/>
      <c r="AU441" s="1069"/>
      <c r="AV441" s="1069"/>
      <c r="AW441" s="1080"/>
      <c r="AX441" s="1081"/>
      <c r="AY441" s="1044"/>
      <c r="AZ441" s="1045"/>
      <c r="BA441" s="1045"/>
      <c r="BB441" s="1045"/>
      <c r="BC441" s="1045"/>
      <c r="BD441" s="1045"/>
      <c r="BE441" s="1045"/>
      <c r="BF441" s="1045"/>
      <c r="BG441" s="1045"/>
      <c r="BH441" s="1045"/>
      <c r="BI441" s="1044" t="s">
        <v>2260</v>
      </c>
      <c r="BJ441" s="1045" t="s">
        <v>2260</v>
      </c>
      <c r="BK441" s="1045" t="s">
        <v>2260</v>
      </c>
      <c r="BL441" s="1045" t="s">
        <v>2260</v>
      </c>
      <c r="BM441" s="1045" t="s">
        <v>2260</v>
      </c>
      <c r="BN441" s="1044"/>
      <c r="BO441" s="1045"/>
      <c r="BP441" s="1045"/>
      <c r="BQ441" s="1045"/>
      <c r="BR441" s="1045"/>
      <c r="BS441" s="1084"/>
      <c r="BT441" s="1045"/>
      <c r="BU441" s="1045"/>
      <c r="BV441" s="1045"/>
      <c r="BW441" s="1085"/>
      <c r="BX441" s="1084"/>
      <c r="BY441" s="1045"/>
      <c r="BZ441" s="1045"/>
      <c r="CA441" s="1045"/>
      <c r="CB441" s="1085"/>
      <c r="CC441" s="1086"/>
      <c r="CD441" s="1087" t="s">
        <v>210</v>
      </c>
      <c r="CE441" s="1088" t="s">
        <v>210</v>
      </c>
      <c r="CF441" s="1088" t="s">
        <v>210</v>
      </c>
      <c r="CG441" s="1088" t="s">
        <v>210</v>
      </c>
      <c r="CH441" s="1089" t="s">
        <v>210</v>
      </c>
      <c r="CI441" s="1044" t="s">
        <v>2260</v>
      </c>
      <c r="CJ441" s="1045" t="s">
        <v>2260</v>
      </c>
      <c r="CK441" s="1045" t="s">
        <v>2260</v>
      </c>
      <c r="CL441" s="1045" t="s">
        <v>2260</v>
      </c>
      <c r="CM441" s="1086" t="s">
        <v>2260</v>
      </c>
      <c r="CN441" s="1044" t="s">
        <v>2260</v>
      </c>
      <c r="CO441" s="1045" t="s">
        <v>2260</v>
      </c>
      <c r="CP441" s="1045" t="s">
        <v>2260</v>
      </c>
      <c r="CQ441" s="1045" t="s">
        <v>2260</v>
      </c>
      <c r="CR441" s="1086" t="s">
        <v>2260</v>
      </c>
      <c r="CS441" s="1044" t="s">
        <v>2260</v>
      </c>
      <c r="CT441" s="1045" t="s">
        <v>2260</v>
      </c>
      <c r="CU441" s="1045" t="s">
        <v>2260</v>
      </c>
      <c r="CV441" s="1045" t="s">
        <v>2260</v>
      </c>
      <c r="CW441" s="1086" t="s">
        <v>2260</v>
      </c>
      <c r="CX441" s="1044" t="s">
        <v>2260</v>
      </c>
      <c r="CY441" s="1045" t="s">
        <v>2260</v>
      </c>
      <c r="CZ441" s="1045" t="s">
        <v>2260</v>
      </c>
      <c r="DA441" s="1045" t="s">
        <v>2260</v>
      </c>
      <c r="DB441" s="1086" t="s">
        <v>2260</v>
      </c>
      <c r="DC441" s="1045" t="s">
        <v>2260</v>
      </c>
      <c r="DD441" s="1045" t="s">
        <v>2260</v>
      </c>
      <c r="DE441" s="1045" t="s">
        <v>2260</v>
      </c>
      <c r="DF441" s="1045" t="s">
        <v>2260</v>
      </c>
      <c r="DG441" s="1086" t="s">
        <v>2260</v>
      </c>
      <c r="DH441" s="1044" t="s">
        <v>2260</v>
      </c>
      <c r="DI441" s="1045" t="s">
        <v>2260</v>
      </c>
      <c r="DJ441" s="1045" t="s">
        <v>2260</v>
      </c>
      <c r="DK441" s="1045" t="s">
        <v>2260</v>
      </c>
      <c r="DL441" s="1086" t="s">
        <v>2260</v>
      </c>
      <c r="DM441" s="1090" t="s">
        <v>2260</v>
      </c>
      <c r="DN441" s="1091" t="s">
        <v>2260</v>
      </c>
      <c r="DO441" s="1091" t="s">
        <v>2260</v>
      </c>
      <c r="DP441" s="1092" t="s">
        <v>2260</v>
      </c>
      <c r="DQ441" s="1091" t="s">
        <v>2260</v>
      </c>
      <c r="DR441" s="1091" t="s">
        <v>2260</v>
      </c>
      <c r="DS441" s="1091" t="s">
        <v>2260</v>
      </c>
      <c r="DT441" s="1092" t="s">
        <v>2260</v>
      </c>
      <c r="DU441" s="1088" t="s">
        <v>173</v>
      </c>
      <c r="DV441" s="1093">
        <v>1</v>
      </c>
      <c r="DW441" s="1094" t="s">
        <v>2260</v>
      </c>
    </row>
    <row r="442" spans="1:127" s="382" customFormat="1" ht="15.75" customHeight="1">
      <c r="A442" s="1066" t="s">
        <v>1199</v>
      </c>
      <c r="B442" s="1026">
        <v>433</v>
      </c>
      <c r="C442" s="987"/>
      <c r="D442" s="987"/>
      <c r="E442" s="987"/>
      <c r="F442" s="987"/>
      <c r="G442" s="987"/>
      <c r="H442" s="987"/>
      <c r="I442" s="987"/>
      <c r="J442" s="987"/>
      <c r="K442" s="987"/>
      <c r="L442" s="987"/>
      <c r="M442" s="1026"/>
      <c r="N442" s="987"/>
      <c r="O442" s="987"/>
      <c r="P442" s="987"/>
      <c r="Q442" s="987"/>
      <c r="R442" s="987"/>
      <c r="S442" s="987"/>
      <c r="T442" s="988"/>
      <c r="U442" s="1067" t="s">
        <v>1616</v>
      </c>
      <c r="V442" s="1068" t="s">
        <v>3649</v>
      </c>
      <c r="W442" s="1068" t="s">
        <v>2231</v>
      </c>
      <c r="X442" s="1069" t="s">
        <v>3657</v>
      </c>
      <c r="Y442" s="1070" t="s">
        <v>3658</v>
      </c>
      <c r="Z442" s="1071" t="s">
        <v>3659</v>
      </c>
      <c r="AA442" s="1072">
        <v>0.11</v>
      </c>
      <c r="AB442" s="1073">
        <v>0.89</v>
      </c>
      <c r="AC442" s="1073" t="s">
        <v>2260</v>
      </c>
      <c r="AD442" s="1073" t="s">
        <v>2260</v>
      </c>
      <c r="AE442" s="1073" t="s">
        <v>2260</v>
      </c>
      <c r="AF442" s="1073" t="s">
        <v>2260</v>
      </c>
      <c r="AG442" s="1073" t="s">
        <v>2260</v>
      </c>
      <c r="AH442" s="1073" t="s">
        <v>2260</v>
      </c>
      <c r="AI442" s="1074">
        <f t="shared" si="6"/>
        <v>1</v>
      </c>
      <c r="AJ442" s="1075" t="s">
        <v>1825</v>
      </c>
      <c r="AK442" s="1075" t="s">
        <v>2260</v>
      </c>
      <c r="AL442" s="1075" t="s">
        <v>2260</v>
      </c>
      <c r="AM442" s="1076" t="s">
        <v>2610</v>
      </c>
      <c r="AN442" s="987" t="s">
        <v>1857</v>
      </c>
      <c r="AO442" s="987" t="s">
        <v>3660</v>
      </c>
      <c r="AP442" s="1285">
        <v>0</v>
      </c>
      <c r="AQ442" s="1045" t="s">
        <v>1828</v>
      </c>
      <c r="AR442" s="1078" t="s">
        <v>2260</v>
      </c>
      <c r="AS442" s="1079"/>
      <c r="AT442" s="1069"/>
      <c r="AU442" s="1069"/>
      <c r="AV442" s="1069"/>
      <c r="AW442" s="1080"/>
      <c r="AX442" s="1081"/>
      <c r="AY442" s="1044"/>
      <c r="AZ442" s="1045"/>
      <c r="BA442" s="1045"/>
      <c r="BB442" s="1045"/>
      <c r="BC442" s="1045"/>
      <c r="BD442" s="1045"/>
      <c r="BE442" s="1045"/>
      <c r="BF442" s="1045"/>
      <c r="BG442" s="1045"/>
      <c r="BH442" s="1045"/>
      <c r="BI442" s="1369"/>
      <c r="BJ442" s="1319"/>
      <c r="BK442" s="1319"/>
      <c r="BL442" s="1319"/>
      <c r="BM442" s="1319"/>
      <c r="BN442" s="1044"/>
      <c r="BO442" s="1045"/>
      <c r="BP442" s="1045"/>
      <c r="BQ442" s="1045"/>
      <c r="BR442" s="1045"/>
      <c r="BS442" s="1084"/>
      <c r="BT442" s="1045"/>
      <c r="BU442" s="1045"/>
      <c r="BV442" s="1045"/>
      <c r="BW442" s="1085"/>
      <c r="BX442" s="1084"/>
      <c r="BY442" s="1045"/>
      <c r="BZ442" s="1045"/>
      <c r="CA442" s="1045"/>
      <c r="CB442" s="1085"/>
      <c r="CC442" s="1086"/>
      <c r="CD442" s="1327"/>
      <c r="CE442" s="1328"/>
      <c r="CF442" s="1328"/>
      <c r="CG442" s="1328"/>
      <c r="CH442" s="1389"/>
      <c r="CI442" s="1369"/>
      <c r="CJ442" s="1319"/>
      <c r="CK442" s="1319"/>
      <c r="CL442" s="1319"/>
      <c r="CM442" s="1320"/>
      <c r="CN442" s="1369"/>
      <c r="CO442" s="1319"/>
      <c r="CP442" s="1319"/>
      <c r="CQ442" s="1319"/>
      <c r="CR442" s="1320"/>
      <c r="CS442" s="1369"/>
      <c r="CT442" s="1319"/>
      <c r="CU442" s="1319"/>
      <c r="CV442" s="1319"/>
      <c r="CW442" s="1320"/>
      <c r="CX442" s="1369"/>
      <c r="CY442" s="1319"/>
      <c r="CZ442" s="1319"/>
      <c r="DA442" s="1319"/>
      <c r="DB442" s="1320"/>
      <c r="DC442" s="1319"/>
      <c r="DD442" s="1319"/>
      <c r="DE442" s="1319"/>
      <c r="DF442" s="1319"/>
      <c r="DG442" s="1320"/>
      <c r="DH442" s="1369"/>
      <c r="DI442" s="1319"/>
      <c r="DJ442" s="1319"/>
      <c r="DK442" s="1319"/>
      <c r="DL442" s="1320"/>
      <c r="DM442" s="1743"/>
      <c r="DN442" s="1744"/>
      <c r="DO442" s="1744"/>
      <c r="DP442" s="1745"/>
      <c r="DQ442" s="1744"/>
      <c r="DR442" s="1744"/>
      <c r="DS442" s="1744"/>
      <c r="DT442" s="1745"/>
      <c r="DU442" s="1328"/>
      <c r="DV442" s="1664"/>
      <c r="DW442" s="1746"/>
    </row>
    <row r="443" spans="1:127" s="382" customFormat="1" ht="15.75" customHeight="1">
      <c r="A443" s="1066" t="s">
        <v>1199</v>
      </c>
      <c r="B443" s="1026">
        <v>434</v>
      </c>
      <c r="C443" s="987"/>
      <c r="D443" s="987"/>
      <c r="E443" s="987"/>
      <c r="F443" s="987"/>
      <c r="G443" s="987"/>
      <c r="H443" s="987"/>
      <c r="I443" s="987"/>
      <c r="J443" s="987"/>
      <c r="K443" s="987"/>
      <c r="L443" s="987"/>
      <c r="M443" s="1026"/>
      <c r="N443" s="987"/>
      <c r="O443" s="987"/>
      <c r="P443" s="987"/>
      <c r="Q443" s="987"/>
      <c r="R443" s="987"/>
      <c r="S443" s="987"/>
      <c r="T443" s="988"/>
      <c r="U443" s="1067" t="s">
        <v>1256</v>
      </c>
      <c r="V443" s="1068" t="s">
        <v>3661</v>
      </c>
      <c r="W443" s="1068" t="s">
        <v>2217</v>
      </c>
      <c r="X443" s="1069" t="s">
        <v>3662</v>
      </c>
      <c r="Y443" s="1070" t="s">
        <v>203</v>
      </c>
      <c r="Z443" s="1071" t="s">
        <v>3663</v>
      </c>
      <c r="AA443" s="1072" t="s">
        <v>2260</v>
      </c>
      <c r="AB443" s="1073">
        <v>1</v>
      </c>
      <c r="AC443" s="1073" t="s">
        <v>2260</v>
      </c>
      <c r="AD443" s="1073" t="s">
        <v>2260</v>
      </c>
      <c r="AE443" s="1073" t="s">
        <v>2260</v>
      </c>
      <c r="AF443" s="1073" t="s">
        <v>2260</v>
      </c>
      <c r="AG443" s="1073" t="s">
        <v>2260</v>
      </c>
      <c r="AH443" s="1073" t="s">
        <v>2260</v>
      </c>
      <c r="AI443" s="1074">
        <f t="shared" si="6"/>
        <v>1</v>
      </c>
      <c r="AJ443" s="1075" t="s">
        <v>1852</v>
      </c>
      <c r="AK443" s="1075" t="s">
        <v>1826</v>
      </c>
      <c r="AL443" s="1075" t="s">
        <v>1827</v>
      </c>
      <c r="AM443" s="1076" t="s">
        <v>2363</v>
      </c>
      <c r="AN443" s="987" t="s">
        <v>2439</v>
      </c>
      <c r="AO443" s="987" t="s">
        <v>4419</v>
      </c>
      <c r="AP443" s="1276">
        <v>1</v>
      </c>
      <c r="AQ443" s="1045" t="s">
        <v>1838</v>
      </c>
      <c r="AR443" s="1078" t="s">
        <v>203</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79">
        <v>254.7</v>
      </c>
      <c r="BM443" s="1979">
        <v>249.3</v>
      </c>
      <c r="BN443" s="1044"/>
      <c r="BO443" s="1045"/>
      <c r="BP443" s="1045"/>
      <c r="BQ443" s="1045"/>
      <c r="BR443" s="1045"/>
      <c r="BS443" s="1084"/>
      <c r="BT443" s="1045"/>
      <c r="BU443" s="1045"/>
      <c r="BV443" s="1045"/>
      <c r="BW443" s="1085"/>
      <c r="BX443" s="1084"/>
      <c r="BY443" s="1045"/>
      <c r="BZ443" s="1045"/>
      <c r="CA443" s="1045"/>
      <c r="CB443" s="1085"/>
      <c r="CC443" s="1086"/>
      <c r="CD443" s="1087" t="s">
        <v>210</v>
      </c>
      <c r="CE443" s="1088" t="s">
        <v>210</v>
      </c>
      <c r="CF443" s="1088" t="s">
        <v>210</v>
      </c>
      <c r="CG443" s="1088" t="s">
        <v>210</v>
      </c>
      <c r="CH443" s="1089" t="s">
        <v>210</v>
      </c>
      <c r="CI443" s="1044" t="s">
        <v>2260</v>
      </c>
      <c r="CJ443" s="1045" t="s">
        <v>2260</v>
      </c>
      <c r="CK443" s="1045" t="s">
        <v>2260</v>
      </c>
      <c r="CL443" s="1045" t="s">
        <v>2260</v>
      </c>
      <c r="CM443" s="1086" t="s">
        <v>2260</v>
      </c>
      <c r="CN443" s="1044">
        <v>372.3</v>
      </c>
      <c r="CO443" s="1045">
        <v>372.3</v>
      </c>
      <c r="CP443" s="1045">
        <v>372.3</v>
      </c>
      <c r="CQ443" s="1045">
        <v>372.3</v>
      </c>
      <c r="CR443" s="1086">
        <v>372.3</v>
      </c>
      <c r="CS443" s="1044" t="s">
        <v>2260</v>
      </c>
      <c r="CT443" s="1045" t="s">
        <v>2260</v>
      </c>
      <c r="CU443" s="1045" t="s">
        <v>2260</v>
      </c>
      <c r="CV443" s="1045" t="s">
        <v>2260</v>
      </c>
      <c r="CW443" s="1086" t="s">
        <v>2260</v>
      </c>
      <c r="CX443" s="1044" t="s">
        <v>2260</v>
      </c>
      <c r="CY443" s="1045" t="s">
        <v>2260</v>
      </c>
      <c r="CZ443" s="1045" t="s">
        <v>2260</v>
      </c>
      <c r="DA443" s="1045" t="s">
        <v>2260</v>
      </c>
      <c r="DB443" s="1086" t="s">
        <v>2260</v>
      </c>
      <c r="DC443" s="1045">
        <v>212.9</v>
      </c>
      <c r="DD443" s="1045">
        <v>209.2</v>
      </c>
      <c r="DE443" s="1045">
        <v>205.5</v>
      </c>
      <c r="DF443" s="1045">
        <v>201.8</v>
      </c>
      <c r="DG443" s="1086">
        <v>198.1</v>
      </c>
      <c r="DH443" s="1044" t="s">
        <v>2260</v>
      </c>
      <c r="DI443" s="1045" t="s">
        <v>2260</v>
      </c>
      <c r="DJ443" s="1045" t="s">
        <v>2260</v>
      </c>
      <c r="DK443" s="1045" t="s">
        <v>2260</v>
      </c>
      <c r="DL443" s="1086" t="s">
        <v>2260</v>
      </c>
      <c r="DM443" s="1090">
        <v>-0.28599999999999998</v>
      </c>
      <c r="DN443" s="1091" t="s">
        <v>2260</v>
      </c>
      <c r="DO443" s="1091" t="s">
        <v>2260</v>
      </c>
      <c r="DP443" s="1092" t="s">
        <v>2260</v>
      </c>
      <c r="DQ443" s="1091">
        <v>0.224</v>
      </c>
      <c r="DR443" s="1091" t="s">
        <v>2260</v>
      </c>
      <c r="DS443" s="1091" t="s">
        <v>2260</v>
      </c>
      <c r="DT443" s="1092" t="s">
        <v>2260</v>
      </c>
      <c r="DU443" s="1088" t="s">
        <v>2260</v>
      </c>
      <c r="DV443" s="1093">
        <v>1</v>
      </c>
      <c r="DW443" s="1094" t="s">
        <v>2260</v>
      </c>
    </row>
    <row r="444" spans="1:127" s="382" customFormat="1" ht="15.75" customHeight="1">
      <c r="A444" s="1066" t="s">
        <v>1199</v>
      </c>
      <c r="B444" s="1026">
        <v>435</v>
      </c>
      <c r="C444" s="987"/>
      <c r="D444" s="987"/>
      <c r="E444" s="987"/>
      <c r="F444" s="987"/>
      <c r="G444" s="987"/>
      <c r="H444" s="987"/>
      <c r="I444" s="987"/>
      <c r="J444" s="987"/>
      <c r="K444" s="987"/>
      <c r="L444" s="987"/>
      <c r="M444" s="1026"/>
      <c r="N444" s="987"/>
      <c r="O444" s="987"/>
      <c r="P444" s="987"/>
      <c r="Q444" s="987"/>
      <c r="R444" s="987"/>
      <c r="S444" s="987"/>
      <c r="T444" s="988"/>
      <c r="U444" s="1067" t="s">
        <v>1257</v>
      </c>
      <c r="V444" s="1068" t="s">
        <v>3661</v>
      </c>
      <c r="W444" s="1068" t="s">
        <v>2231</v>
      </c>
      <c r="X444" s="1069" t="s">
        <v>3665</v>
      </c>
      <c r="Y444" s="1070" t="s">
        <v>209</v>
      </c>
      <c r="Z444" s="1071" t="s">
        <v>3666</v>
      </c>
      <c r="AA444" s="1072">
        <v>0.11</v>
      </c>
      <c r="AB444" s="1073">
        <v>0.89</v>
      </c>
      <c r="AC444" s="1073" t="s">
        <v>2260</v>
      </c>
      <c r="AD444" s="1073" t="s">
        <v>2260</v>
      </c>
      <c r="AE444" s="1073" t="s">
        <v>2260</v>
      </c>
      <c r="AF444" s="1073" t="s">
        <v>2260</v>
      </c>
      <c r="AG444" s="1073" t="s">
        <v>2260</v>
      </c>
      <c r="AH444" s="1073" t="s">
        <v>2260</v>
      </c>
      <c r="AI444" s="1074">
        <f t="shared" si="6"/>
        <v>1</v>
      </c>
      <c r="AJ444" s="1075" t="s">
        <v>1846</v>
      </c>
      <c r="AK444" s="1075" t="s">
        <v>1826</v>
      </c>
      <c r="AL444" s="1075" t="s">
        <v>1827</v>
      </c>
      <c r="AM444" s="1076" t="s">
        <v>2238</v>
      </c>
      <c r="AN444" s="987" t="s">
        <v>321</v>
      </c>
      <c r="AO444" s="987" t="s">
        <v>4418</v>
      </c>
      <c r="AP444" s="1276">
        <v>2</v>
      </c>
      <c r="AQ444" s="1045" t="s">
        <v>1838</v>
      </c>
      <c r="AR444" s="1078" t="s">
        <v>209</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210</v>
      </c>
      <c r="CE444" s="1088" t="s">
        <v>210</v>
      </c>
      <c r="CF444" s="1088" t="s">
        <v>210</v>
      </c>
      <c r="CG444" s="1088" t="s">
        <v>210</v>
      </c>
      <c r="CH444" s="1089" t="s">
        <v>210</v>
      </c>
      <c r="CI444" s="1044" t="s">
        <v>2260</v>
      </c>
      <c r="CJ444" s="1045" t="s">
        <v>2260</v>
      </c>
      <c r="CK444" s="1045" t="s">
        <v>2260</v>
      </c>
      <c r="CL444" s="1045" t="s">
        <v>2260</v>
      </c>
      <c r="CM444" s="1086" t="s">
        <v>2260</v>
      </c>
      <c r="CN444" s="1044">
        <v>24</v>
      </c>
      <c r="CO444" s="1045">
        <v>24</v>
      </c>
      <c r="CP444" s="1045">
        <v>24</v>
      </c>
      <c r="CQ444" s="1045">
        <v>24</v>
      </c>
      <c r="CR444" s="1086">
        <v>24</v>
      </c>
      <c r="CS444" s="1044" t="s">
        <v>2260</v>
      </c>
      <c r="CT444" s="1045" t="s">
        <v>2260</v>
      </c>
      <c r="CU444" s="1045" t="s">
        <v>2260</v>
      </c>
      <c r="CV444" s="1045" t="s">
        <v>2260</v>
      </c>
      <c r="CW444" s="1086" t="s">
        <v>2260</v>
      </c>
      <c r="CX444" s="1044" t="s">
        <v>2260</v>
      </c>
      <c r="CY444" s="1045" t="s">
        <v>2260</v>
      </c>
      <c r="CZ444" s="1045" t="s">
        <v>2260</v>
      </c>
      <c r="DA444" s="1045" t="s">
        <v>2260</v>
      </c>
      <c r="DB444" s="1086" t="s">
        <v>2260</v>
      </c>
      <c r="DC444" s="1045" t="s">
        <v>2260</v>
      </c>
      <c r="DD444" s="1045" t="s">
        <v>2260</v>
      </c>
      <c r="DE444" s="1045" t="s">
        <v>2260</v>
      </c>
      <c r="DF444" s="1045" t="s">
        <v>2260</v>
      </c>
      <c r="DG444" s="1086" t="s">
        <v>2260</v>
      </c>
      <c r="DH444" s="1044" t="s">
        <v>2260</v>
      </c>
      <c r="DI444" s="1045" t="s">
        <v>2260</v>
      </c>
      <c r="DJ444" s="1045" t="s">
        <v>2260</v>
      </c>
      <c r="DK444" s="1045" t="s">
        <v>2260</v>
      </c>
      <c r="DL444" s="1086" t="s">
        <v>2260</v>
      </c>
      <c r="DM444" s="1090">
        <v>-3.08</v>
      </c>
      <c r="DN444" s="1091">
        <v>-2.7189999999999999</v>
      </c>
      <c r="DO444" s="1091" t="s">
        <v>2260</v>
      </c>
      <c r="DP444" s="1092" t="s">
        <v>2260</v>
      </c>
      <c r="DQ444" s="1091">
        <v>0</v>
      </c>
      <c r="DR444" s="1091" t="s">
        <v>2260</v>
      </c>
      <c r="DS444" s="1091" t="s">
        <v>2260</v>
      </c>
      <c r="DT444" s="1092" t="s">
        <v>2260</v>
      </c>
      <c r="DU444" s="1088" t="s">
        <v>2260</v>
      </c>
      <c r="DV444" s="1093">
        <v>1</v>
      </c>
      <c r="DW444" s="1094" t="s">
        <v>2260</v>
      </c>
    </row>
    <row r="445" spans="1:127" s="382" customFormat="1" ht="15.75" customHeight="1">
      <c r="A445" s="1066" t="s">
        <v>1199</v>
      </c>
      <c r="B445" s="1026">
        <v>436</v>
      </c>
      <c r="C445" s="987"/>
      <c r="D445" s="987"/>
      <c r="E445" s="987"/>
      <c r="F445" s="987"/>
      <c r="G445" s="987"/>
      <c r="H445" s="987"/>
      <c r="I445" s="987"/>
      <c r="J445" s="987"/>
      <c r="K445" s="987"/>
      <c r="L445" s="987"/>
      <c r="M445" s="1026"/>
      <c r="N445" s="987"/>
      <c r="O445" s="987"/>
      <c r="P445" s="987"/>
      <c r="Q445" s="987"/>
      <c r="R445" s="987"/>
      <c r="S445" s="987"/>
      <c r="T445" s="988"/>
      <c r="U445" s="1067" t="s">
        <v>1253</v>
      </c>
      <c r="V445" s="1068" t="s">
        <v>3661</v>
      </c>
      <c r="W445" s="1068" t="s">
        <v>2217</v>
      </c>
      <c r="X445" s="1069" t="s">
        <v>3667</v>
      </c>
      <c r="Y445" s="1070" t="s">
        <v>179</v>
      </c>
      <c r="Z445" s="1071" t="s">
        <v>3668</v>
      </c>
      <c r="AA445" s="1072" t="s">
        <v>2260</v>
      </c>
      <c r="AB445" s="1073">
        <v>1</v>
      </c>
      <c r="AC445" s="1073" t="s">
        <v>2260</v>
      </c>
      <c r="AD445" s="1073" t="s">
        <v>2260</v>
      </c>
      <c r="AE445" s="1073" t="s">
        <v>2260</v>
      </c>
      <c r="AF445" s="1073" t="s">
        <v>2260</v>
      </c>
      <c r="AG445" s="1073" t="s">
        <v>2260</v>
      </c>
      <c r="AH445" s="1073" t="s">
        <v>2260</v>
      </c>
      <c r="AI445" s="1074">
        <f t="shared" si="6"/>
        <v>1</v>
      </c>
      <c r="AJ445" s="1075" t="s">
        <v>1852</v>
      </c>
      <c r="AK445" s="1075" t="s">
        <v>1826</v>
      </c>
      <c r="AL445" s="1075" t="s">
        <v>1827</v>
      </c>
      <c r="AM445" s="1076" t="s">
        <v>2220</v>
      </c>
      <c r="AN445" s="987" t="s">
        <v>4414</v>
      </c>
      <c r="AO445" s="987" t="s">
        <v>4415</v>
      </c>
      <c r="AP445" s="1276">
        <v>0</v>
      </c>
      <c r="AQ445" s="1045" t="s">
        <v>1838</v>
      </c>
      <c r="AR445" s="1078" t="s">
        <v>179</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210</v>
      </c>
      <c r="CE445" s="1088" t="s">
        <v>210</v>
      </c>
      <c r="CF445" s="1088" t="s">
        <v>210</v>
      </c>
      <c r="CG445" s="1088" t="s">
        <v>210</v>
      </c>
      <c r="CH445" s="1089" t="s">
        <v>210</v>
      </c>
      <c r="CI445" s="1044" t="s">
        <v>2260</v>
      </c>
      <c r="CJ445" s="1045" t="s">
        <v>2260</v>
      </c>
      <c r="CK445" s="1045" t="s">
        <v>2260</v>
      </c>
      <c r="CL445" s="1045" t="s">
        <v>2260</v>
      </c>
      <c r="CM445" s="1086" t="s">
        <v>2260</v>
      </c>
      <c r="CN445" s="1118">
        <v>1.5798611111111114E-2</v>
      </c>
      <c r="CO445" s="1119">
        <v>1.5798611111111114E-2</v>
      </c>
      <c r="CP445" s="1119">
        <v>1.5798611111111114E-2</v>
      </c>
      <c r="CQ445" s="1119">
        <v>1.5798611111111114E-2</v>
      </c>
      <c r="CR445" s="1122">
        <v>1.5798611111111114E-2</v>
      </c>
      <c r="CS445" s="1044" t="s">
        <v>2260</v>
      </c>
      <c r="CT445" s="1045" t="s">
        <v>2260</v>
      </c>
      <c r="CU445" s="1045" t="s">
        <v>2260</v>
      </c>
      <c r="CV445" s="1045" t="s">
        <v>2260</v>
      </c>
      <c r="CW445" s="1086" t="s">
        <v>2260</v>
      </c>
      <c r="CX445" s="1044" t="s">
        <v>2260</v>
      </c>
      <c r="CY445" s="1045" t="s">
        <v>2260</v>
      </c>
      <c r="CZ445" s="1045" t="s">
        <v>2260</v>
      </c>
      <c r="DA445" s="1045" t="s">
        <v>2260</v>
      </c>
      <c r="DB445" s="1086" t="s">
        <v>2260</v>
      </c>
      <c r="DC445" s="1119">
        <v>2.6736111111111118E-3</v>
      </c>
      <c r="DD445" s="1119">
        <v>2.4768518518518525E-3</v>
      </c>
      <c r="DE445" s="1119">
        <v>2.2685185185185195E-3</v>
      </c>
      <c r="DF445" s="1119">
        <v>2.0717592592592593E-3</v>
      </c>
      <c r="DG445" s="1122">
        <v>1.8634259259259255E-3</v>
      </c>
      <c r="DH445" s="1044" t="s">
        <v>2260</v>
      </c>
      <c r="DI445" s="1045" t="s">
        <v>2260</v>
      </c>
      <c r="DJ445" s="1045" t="s">
        <v>2260</v>
      </c>
      <c r="DK445" s="1045" t="s">
        <v>2260</v>
      </c>
      <c r="DL445" s="1086" t="s">
        <v>2260</v>
      </c>
      <c r="DM445" s="1090">
        <v>-1.415</v>
      </c>
      <c r="DN445" s="1091" t="s">
        <v>2260</v>
      </c>
      <c r="DO445" s="1091" t="s">
        <v>2260</v>
      </c>
      <c r="DP445" s="1092" t="s">
        <v>2260</v>
      </c>
      <c r="DQ445" s="1091">
        <v>1.415</v>
      </c>
      <c r="DR445" s="1091" t="s">
        <v>2260</v>
      </c>
      <c r="DS445" s="1091" t="s">
        <v>2260</v>
      </c>
      <c r="DT445" s="1092" t="s">
        <v>2260</v>
      </c>
      <c r="DU445" s="1088" t="s">
        <v>2260</v>
      </c>
      <c r="DV445" s="1093">
        <v>1</v>
      </c>
      <c r="DW445" s="1094" t="s">
        <v>2260</v>
      </c>
    </row>
    <row r="446" spans="1:127" s="382" customFormat="1" ht="15.75" customHeight="1">
      <c r="A446" s="1023" t="s">
        <v>1199</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1272</v>
      </c>
      <c r="V446" s="1029" t="s">
        <v>3661</v>
      </c>
      <c r="W446" s="1029" t="s">
        <v>2217</v>
      </c>
      <c r="X446" s="1030" t="s">
        <v>3670</v>
      </c>
      <c r="Y446" s="1031" t="s">
        <v>705</v>
      </c>
      <c r="Z446" s="1032" t="s">
        <v>3671</v>
      </c>
      <c r="AA446" s="1033" t="s">
        <v>2260</v>
      </c>
      <c r="AB446" s="1034">
        <v>1</v>
      </c>
      <c r="AC446" s="1034" t="s">
        <v>2260</v>
      </c>
      <c r="AD446" s="1034" t="s">
        <v>2260</v>
      </c>
      <c r="AE446" s="1034" t="s">
        <v>2260</v>
      </c>
      <c r="AF446" s="1034" t="s">
        <v>2260</v>
      </c>
      <c r="AG446" s="1034" t="s">
        <v>2260</v>
      </c>
      <c r="AH446" s="1034" t="s">
        <v>2260</v>
      </c>
      <c r="AI446" s="1035">
        <f t="shared" si="6"/>
        <v>1</v>
      </c>
      <c r="AJ446" s="1036" t="s">
        <v>1852</v>
      </c>
      <c r="AK446" s="1036" t="s">
        <v>1826</v>
      </c>
      <c r="AL446" s="1036" t="s">
        <v>1827</v>
      </c>
      <c r="AM446" s="1037" t="s">
        <v>705</v>
      </c>
      <c r="AN446" s="1031" t="s">
        <v>321</v>
      </c>
      <c r="AO446" s="1031" t="s">
        <v>4416</v>
      </c>
      <c r="AP446" s="1276">
        <v>1</v>
      </c>
      <c r="AQ446" s="802" t="s">
        <v>1828</v>
      </c>
      <c r="AR446" s="1040" t="s">
        <v>705</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79">
        <v>20.5</v>
      </c>
      <c r="BN446" s="1048"/>
      <c r="BO446" s="1049"/>
      <c r="BP446" s="1049"/>
      <c r="BQ446" s="1049"/>
      <c r="BR446" s="1049"/>
      <c r="BS446" s="1050"/>
      <c r="BT446" s="1049"/>
      <c r="BU446" s="1049"/>
      <c r="BV446" s="1049"/>
      <c r="BW446" s="1051"/>
      <c r="BX446" s="1050"/>
      <c r="BY446" s="1049"/>
      <c r="BZ446" s="1049"/>
      <c r="CA446" s="1049"/>
      <c r="CB446" s="1051"/>
      <c r="CC446" s="1052"/>
      <c r="CD446" s="1053" t="s">
        <v>210</v>
      </c>
      <c r="CE446" s="1054" t="s">
        <v>210</v>
      </c>
      <c r="CF446" s="1054" t="s">
        <v>210</v>
      </c>
      <c r="CG446" s="1054" t="s">
        <v>210</v>
      </c>
      <c r="CH446" s="1055" t="s">
        <v>210</v>
      </c>
      <c r="CI446" s="1058" t="s">
        <v>2260</v>
      </c>
      <c r="CJ446" s="1056" t="s">
        <v>2260</v>
      </c>
      <c r="CK446" s="1056" t="s">
        <v>2260</v>
      </c>
      <c r="CL446" s="1056" t="s">
        <v>2260</v>
      </c>
      <c r="CM446" s="1057" t="s">
        <v>2260</v>
      </c>
      <c r="CN446" s="1058">
        <v>-10</v>
      </c>
      <c r="CO446" s="1056">
        <v>-10</v>
      </c>
      <c r="CP446" s="1056">
        <v>-10</v>
      </c>
      <c r="CQ446" s="1056">
        <v>-10</v>
      </c>
      <c r="CR446" s="1057">
        <v>-10</v>
      </c>
      <c r="CS446" s="1048" t="s">
        <v>2260</v>
      </c>
      <c r="CT446" s="1049" t="s">
        <v>2260</v>
      </c>
      <c r="CU446" s="1049" t="s">
        <v>2260</v>
      </c>
      <c r="CV446" s="1049" t="s">
        <v>2260</v>
      </c>
      <c r="CW446" s="1052" t="s">
        <v>2260</v>
      </c>
      <c r="CX446" s="1048" t="s">
        <v>2260</v>
      </c>
      <c r="CY446" s="1049" t="s">
        <v>2260</v>
      </c>
      <c r="CZ446" s="1049" t="s">
        <v>2260</v>
      </c>
      <c r="DA446" s="1049" t="s">
        <v>2260</v>
      </c>
      <c r="DB446" s="1052" t="s">
        <v>2260</v>
      </c>
      <c r="DC446" s="1056">
        <v>7.4</v>
      </c>
      <c r="DD446" s="1056">
        <v>14.9</v>
      </c>
      <c r="DE446" s="1056">
        <v>18.8</v>
      </c>
      <c r="DF446" s="1056">
        <v>22.1</v>
      </c>
      <c r="DG446" s="1057">
        <v>25.1</v>
      </c>
      <c r="DH446" s="1058" t="s">
        <v>2260</v>
      </c>
      <c r="DI446" s="1049" t="s">
        <v>2260</v>
      </c>
      <c r="DJ446" s="1049" t="s">
        <v>2260</v>
      </c>
      <c r="DK446" s="1049" t="s">
        <v>2260</v>
      </c>
      <c r="DL446" s="1052" t="s">
        <v>2260</v>
      </c>
      <c r="DM446" s="1060">
        <v>-0.38900000000000001</v>
      </c>
      <c r="DN446" s="1061" t="s">
        <v>2260</v>
      </c>
      <c r="DO446" s="1061" t="s">
        <v>2260</v>
      </c>
      <c r="DP446" s="1062" t="s">
        <v>2260</v>
      </c>
      <c r="DQ446" s="1061">
        <v>0.307</v>
      </c>
      <c r="DR446" s="1061" t="s">
        <v>2260</v>
      </c>
      <c r="DS446" s="1061" t="s">
        <v>2260</v>
      </c>
      <c r="DT446" s="1062" t="s">
        <v>2260</v>
      </c>
      <c r="DU446" s="1054" t="s">
        <v>173</v>
      </c>
      <c r="DV446" s="1063">
        <v>1</v>
      </c>
      <c r="DW446" s="1064" t="s">
        <v>2260</v>
      </c>
    </row>
    <row r="447" spans="1:127" s="382" customFormat="1" ht="15.75" customHeight="1">
      <c r="A447" s="1023" t="s">
        <v>1199</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1264</v>
      </c>
      <c r="V447" s="1029" t="s">
        <v>3661</v>
      </c>
      <c r="W447" s="1029" t="s">
        <v>2231</v>
      </c>
      <c r="X447" s="1030" t="s">
        <v>3673</v>
      </c>
      <c r="Y447" s="1031" t="s">
        <v>1084</v>
      </c>
      <c r="Z447" s="1032" t="s">
        <v>3674</v>
      </c>
      <c r="AA447" s="1033" t="s">
        <v>2260</v>
      </c>
      <c r="AB447" s="1034">
        <v>1</v>
      </c>
      <c r="AC447" s="1034" t="s">
        <v>2260</v>
      </c>
      <c r="AD447" s="1034" t="s">
        <v>2260</v>
      </c>
      <c r="AE447" s="1034" t="s">
        <v>2260</v>
      </c>
      <c r="AF447" s="1034" t="s">
        <v>2260</v>
      </c>
      <c r="AG447" s="1034" t="s">
        <v>2260</v>
      </c>
      <c r="AH447" s="1034" t="s">
        <v>2260</v>
      </c>
      <c r="AI447" s="1035">
        <f t="shared" si="6"/>
        <v>1</v>
      </c>
      <c r="AJ447" s="1036" t="s">
        <v>1852</v>
      </c>
      <c r="AK447" s="1036" t="s">
        <v>1826</v>
      </c>
      <c r="AL447" s="1389" t="s">
        <v>1837</v>
      </c>
      <c r="AM447" s="1037" t="s">
        <v>2348</v>
      </c>
      <c r="AN447" s="1031" t="s">
        <v>2397</v>
      </c>
      <c r="AO447" s="1031" t="s">
        <v>4416</v>
      </c>
      <c r="AP447" s="1276">
        <v>1</v>
      </c>
      <c r="AQ447" s="802" t="s">
        <v>1828</v>
      </c>
      <c r="AR447" s="1040" t="s">
        <v>1084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210</v>
      </c>
      <c r="CE447" s="1054" t="s">
        <v>210</v>
      </c>
      <c r="CF447" s="1054" t="s">
        <v>210</v>
      </c>
      <c r="CG447" s="1054" t="s">
        <v>210</v>
      </c>
      <c r="CH447" s="1055" t="s">
        <v>210</v>
      </c>
      <c r="CI447" s="1058" t="s">
        <v>2260</v>
      </c>
      <c r="CJ447" s="1056" t="s">
        <v>2260</v>
      </c>
      <c r="CK447" s="1056" t="s">
        <v>2260</v>
      </c>
      <c r="CL447" s="1056" t="s">
        <v>2260</v>
      </c>
      <c r="CM447" s="1057" t="s">
        <v>2260</v>
      </c>
      <c r="CN447" s="1058">
        <v>-8.8000000000000007</v>
      </c>
      <c r="CO447" s="1056">
        <v>-8.8000000000000007</v>
      </c>
      <c r="CP447" s="1056">
        <v>-8.8000000000000007</v>
      </c>
      <c r="CQ447" s="1056">
        <v>-8.8000000000000007</v>
      </c>
      <c r="CR447" s="1057">
        <v>-8.8000000000000007</v>
      </c>
      <c r="CS447" s="1048" t="s">
        <v>2260</v>
      </c>
      <c r="CT447" s="1049" t="s">
        <v>2260</v>
      </c>
      <c r="CU447" s="1049" t="s">
        <v>2260</v>
      </c>
      <c r="CV447" s="1049" t="s">
        <v>2260</v>
      </c>
      <c r="CW447" s="1052" t="s">
        <v>2260</v>
      </c>
      <c r="CX447" s="1048" t="s">
        <v>2260</v>
      </c>
      <c r="CY447" s="1049" t="s">
        <v>2260</v>
      </c>
      <c r="CZ447" s="1049" t="s">
        <v>2260</v>
      </c>
      <c r="DA447" s="1049" t="s">
        <v>2260</v>
      </c>
      <c r="DB447" s="1052" t="s">
        <v>2260</v>
      </c>
      <c r="DC447" s="1056">
        <v>4.5999999999999996</v>
      </c>
      <c r="DD447" s="1056">
        <v>5.8</v>
      </c>
      <c r="DE447" s="1056">
        <v>6.9</v>
      </c>
      <c r="DF447" s="1056">
        <v>7.9</v>
      </c>
      <c r="DG447" s="1057">
        <v>9.8000000000000007</v>
      </c>
      <c r="DH447" s="1058" t="s">
        <v>2260</v>
      </c>
      <c r="DI447" s="1049" t="s">
        <v>2260</v>
      </c>
      <c r="DJ447" s="1049" t="s">
        <v>2260</v>
      </c>
      <c r="DK447" s="1049" t="s">
        <v>2260</v>
      </c>
      <c r="DL447" s="1052" t="s">
        <v>2260</v>
      </c>
      <c r="DM447" s="1060">
        <v>-0.69599999999999995</v>
      </c>
      <c r="DN447" s="1061" t="s">
        <v>2260</v>
      </c>
      <c r="DO447" s="1061" t="s">
        <v>2260</v>
      </c>
      <c r="DP447" s="1062" t="s">
        <v>2260</v>
      </c>
      <c r="DQ447" s="1061">
        <v>0.76</v>
      </c>
      <c r="DR447" s="1061" t="s">
        <v>2260</v>
      </c>
      <c r="DS447" s="1061" t="s">
        <v>2260</v>
      </c>
      <c r="DT447" s="1062" t="s">
        <v>2260</v>
      </c>
      <c r="DU447" s="1054" t="s">
        <v>173</v>
      </c>
      <c r="DV447" s="1063">
        <v>1</v>
      </c>
      <c r="DW447" s="1064" t="s">
        <v>2260</v>
      </c>
    </row>
    <row r="448" spans="1:127" s="382" customFormat="1" ht="15.75" customHeight="1">
      <c r="A448" s="1066" t="s">
        <v>1199</v>
      </c>
      <c r="B448" s="1026">
        <v>439</v>
      </c>
      <c r="C448" s="987"/>
      <c r="D448" s="987"/>
      <c r="E448" s="987"/>
      <c r="F448" s="987"/>
      <c r="G448" s="987"/>
      <c r="H448" s="987"/>
      <c r="I448" s="987"/>
      <c r="J448" s="987"/>
      <c r="K448" s="987"/>
      <c r="L448" s="987"/>
      <c r="M448" s="1026"/>
      <c r="N448" s="987"/>
      <c r="O448" s="987"/>
      <c r="P448" s="987"/>
      <c r="Q448" s="987"/>
      <c r="R448" s="987"/>
      <c r="S448" s="987"/>
      <c r="T448" s="988"/>
      <c r="U448" s="1067" t="s">
        <v>1252</v>
      </c>
      <c r="V448" s="1068" t="s">
        <v>3661</v>
      </c>
      <c r="W448" s="1068" t="s">
        <v>2231</v>
      </c>
      <c r="X448" s="1069" t="s">
        <v>3676</v>
      </c>
      <c r="Y448" s="1070" t="s">
        <v>172</v>
      </c>
      <c r="Z448" s="1071" t="s">
        <v>3677</v>
      </c>
      <c r="AA448" s="1072">
        <v>0.02</v>
      </c>
      <c r="AB448" s="1073">
        <v>0.98</v>
      </c>
      <c r="AC448" s="1073" t="s">
        <v>2260</v>
      </c>
      <c r="AD448" s="1073" t="s">
        <v>2260</v>
      </c>
      <c r="AE448" s="1073" t="s">
        <v>2260</v>
      </c>
      <c r="AF448" s="1073" t="s">
        <v>2260</v>
      </c>
      <c r="AG448" s="1073" t="s">
        <v>2260</v>
      </c>
      <c r="AH448" s="1073" t="s">
        <v>2260</v>
      </c>
      <c r="AI448" s="1074">
        <f t="shared" si="6"/>
        <v>1</v>
      </c>
      <c r="AJ448" s="1075" t="s">
        <v>1846</v>
      </c>
      <c r="AK448" s="1075" t="s">
        <v>1826</v>
      </c>
      <c r="AL448" s="1075" t="s">
        <v>1827</v>
      </c>
      <c r="AM448" s="1076" t="s">
        <v>2247</v>
      </c>
      <c r="AN448" s="987" t="s">
        <v>2439</v>
      </c>
      <c r="AO448" s="987" t="s">
        <v>4420</v>
      </c>
      <c r="AP448" s="1276">
        <v>2</v>
      </c>
      <c r="AQ448" s="1045" t="s">
        <v>1838</v>
      </c>
      <c r="AR448" s="1078" t="s">
        <v>172</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210</v>
      </c>
      <c r="CE448" s="1088" t="s">
        <v>210</v>
      </c>
      <c r="CF448" s="1088" t="s">
        <v>210</v>
      </c>
      <c r="CG448" s="1088" t="s">
        <v>210</v>
      </c>
      <c r="CH448" s="1089" t="s">
        <v>210</v>
      </c>
      <c r="CI448" s="1044" t="s">
        <v>2260</v>
      </c>
      <c r="CJ448" s="1045" t="s">
        <v>2260</v>
      </c>
      <c r="CK448" s="1045" t="s">
        <v>2260</v>
      </c>
      <c r="CL448" s="1045" t="s">
        <v>2260</v>
      </c>
      <c r="CM448" s="1086" t="s">
        <v>2260</v>
      </c>
      <c r="CN448" s="1044">
        <v>9.5</v>
      </c>
      <c r="CO448" s="1045">
        <v>9.5</v>
      </c>
      <c r="CP448" s="1045">
        <v>9.5</v>
      </c>
      <c r="CQ448" s="1045">
        <v>9.5</v>
      </c>
      <c r="CR448" s="1086">
        <v>9.5</v>
      </c>
      <c r="CS448" s="1044">
        <v>2</v>
      </c>
      <c r="CT448" s="1045">
        <v>2</v>
      </c>
      <c r="CU448" s="1045">
        <v>2</v>
      </c>
      <c r="CV448" s="1045">
        <v>2</v>
      </c>
      <c r="CW448" s="1086">
        <v>2</v>
      </c>
      <c r="CX448" s="1044" t="s">
        <v>2260</v>
      </c>
      <c r="CY448" s="1045" t="s">
        <v>2260</v>
      </c>
      <c r="CZ448" s="1045" t="s">
        <v>2260</v>
      </c>
      <c r="DA448" s="1045" t="s">
        <v>2260</v>
      </c>
      <c r="DB448" s="1086" t="s">
        <v>2260</v>
      </c>
      <c r="DC448" s="1045" t="s">
        <v>2260</v>
      </c>
      <c r="DD448" s="1045" t="s">
        <v>2260</v>
      </c>
      <c r="DE448" s="1045" t="s">
        <v>2260</v>
      </c>
      <c r="DF448" s="1045" t="s">
        <v>2260</v>
      </c>
      <c r="DG448" s="1086" t="s">
        <v>2260</v>
      </c>
      <c r="DH448" s="1044" t="s">
        <v>2260</v>
      </c>
      <c r="DI448" s="1045" t="s">
        <v>2260</v>
      </c>
      <c r="DJ448" s="1045" t="s">
        <v>2260</v>
      </c>
      <c r="DK448" s="1045" t="s">
        <v>2260</v>
      </c>
      <c r="DL448" s="1086" t="s">
        <v>2260</v>
      </c>
      <c r="DM448" s="1090">
        <v>-2.1389999999999998</v>
      </c>
      <c r="DN448" s="1091" t="s">
        <v>2260</v>
      </c>
      <c r="DO448" s="1091" t="s">
        <v>2260</v>
      </c>
      <c r="DP448" s="1092" t="s">
        <v>2260</v>
      </c>
      <c r="DQ448" s="1091">
        <v>0</v>
      </c>
      <c r="DR448" s="1091" t="s">
        <v>2260</v>
      </c>
      <c r="DS448" s="1091" t="s">
        <v>2260</v>
      </c>
      <c r="DT448" s="1092" t="s">
        <v>2260</v>
      </c>
      <c r="DU448" s="1088" t="s">
        <v>173</v>
      </c>
      <c r="DV448" s="1093">
        <v>1</v>
      </c>
      <c r="DW448" s="1094" t="s">
        <v>2260</v>
      </c>
    </row>
    <row r="449" spans="1:127" s="382" customFormat="1" ht="15.75" customHeight="1">
      <c r="A449" s="1066" t="s">
        <v>1199</v>
      </c>
      <c r="B449" s="1026">
        <v>440</v>
      </c>
      <c r="C449" s="987"/>
      <c r="D449" s="987"/>
      <c r="E449" s="987"/>
      <c r="F449" s="987"/>
      <c r="G449" s="987"/>
      <c r="H449" s="987"/>
      <c r="I449" s="987"/>
      <c r="J449" s="987"/>
      <c r="K449" s="987"/>
      <c r="L449" s="987"/>
      <c r="M449" s="1026"/>
      <c r="N449" s="987"/>
      <c r="O449" s="987"/>
      <c r="P449" s="987"/>
      <c r="Q449" s="987"/>
      <c r="R449" s="987"/>
      <c r="S449" s="987"/>
      <c r="T449" s="988"/>
      <c r="U449" s="1067" t="s">
        <v>1316</v>
      </c>
      <c r="V449" s="1068" t="s">
        <v>3661</v>
      </c>
      <c r="W449" s="1068" t="s">
        <v>2223</v>
      </c>
      <c r="X449" s="1069" t="s">
        <v>3678</v>
      </c>
      <c r="Y449" s="1070" t="s">
        <v>2293</v>
      </c>
      <c r="Z449" s="1071" t="s">
        <v>3679</v>
      </c>
      <c r="AA449" s="1072">
        <v>0.02</v>
      </c>
      <c r="AB449" s="1073">
        <v>0.98</v>
      </c>
      <c r="AC449" s="1073" t="s">
        <v>2260</v>
      </c>
      <c r="AD449" s="1073" t="s">
        <v>2260</v>
      </c>
      <c r="AE449" s="1073" t="s">
        <v>2260</v>
      </c>
      <c r="AF449" s="1073" t="s">
        <v>2260</v>
      </c>
      <c r="AG449" s="1073" t="s">
        <v>2260</v>
      </c>
      <c r="AH449" s="1073" t="s">
        <v>2260</v>
      </c>
      <c r="AI449" s="1074">
        <f t="shared" si="6"/>
        <v>1</v>
      </c>
      <c r="AJ449" s="1075" t="s">
        <v>1846</v>
      </c>
      <c r="AK449" s="1075" t="s">
        <v>1826</v>
      </c>
      <c r="AL449" s="1075" t="s">
        <v>1827</v>
      </c>
      <c r="AM449" s="1076" t="s">
        <v>2295</v>
      </c>
      <c r="AN449" s="987" t="s">
        <v>2439</v>
      </c>
      <c r="AO449" s="987" t="s">
        <v>4421</v>
      </c>
      <c r="AP449" s="1285">
        <v>0</v>
      </c>
      <c r="AQ449" s="1045" t="s">
        <v>1838</v>
      </c>
      <c r="AR449" s="1078"/>
      <c r="AS449" s="1079"/>
      <c r="AT449" s="1069"/>
      <c r="AU449" s="1069"/>
      <c r="AV449" s="1069"/>
      <c r="AW449" s="1080"/>
      <c r="AX449" s="1081"/>
      <c r="AY449" s="1044"/>
      <c r="AZ449" s="1045"/>
      <c r="BA449" s="1045"/>
      <c r="BB449" s="1045"/>
      <c r="BC449" s="1045"/>
      <c r="BD449" s="1045"/>
      <c r="BE449" s="1045"/>
      <c r="BF449" s="1045"/>
      <c r="BG449" s="1045"/>
      <c r="BH449" s="1045"/>
      <c r="BI449" s="1369"/>
      <c r="BJ449" s="1319"/>
      <c r="BK449" s="1319"/>
      <c r="BL449" s="1319"/>
      <c r="BM449" s="1319"/>
      <c r="BN449" s="1044"/>
      <c r="BO449" s="1045"/>
      <c r="BP449" s="1045"/>
      <c r="BQ449" s="1045"/>
      <c r="BR449" s="1045"/>
      <c r="BS449" s="1084"/>
      <c r="BT449" s="1045"/>
      <c r="BU449" s="1045"/>
      <c r="BV449" s="1045"/>
      <c r="BW449" s="1085"/>
      <c r="BX449" s="1084"/>
      <c r="BY449" s="1045"/>
      <c r="BZ449" s="1045"/>
      <c r="CA449" s="1045"/>
      <c r="CB449" s="1085"/>
      <c r="CC449" s="1086"/>
      <c r="CD449" s="1327"/>
      <c r="CE449" s="1328"/>
      <c r="CF449" s="1328"/>
      <c r="CG449" s="1328"/>
      <c r="CH449" s="1389"/>
      <c r="CI449" s="1369"/>
      <c r="CJ449" s="1319"/>
      <c r="CK449" s="1319"/>
      <c r="CL449" s="1319"/>
      <c r="CM449" s="1320"/>
      <c r="CN449" s="1369"/>
      <c r="CO449" s="1319"/>
      <c r="CP449" s="1319"/>
      <c r="CQ449" s="1319"/>
      <c r="CR449" s="1320"/>
      <c r="CS449" s="1369"/>
      <c r="CT449" s="1319"/>
      <c r="CU449" s="1319"/>
      <c r="CV449" s="1319"/>
      <c r="CW449" s="1320"/>
      <c r="CX449" s="1369"/>
      <c r="CY449" s="1319"/>
      <c r="CZ449" s="1319"/>
      <c r="DA449" s="1319"/>
      <c r="DB449" s="1320"/>
      <c r="DC449" s="1319"/>
      <c r="DD449" s="1319"/>
      <c r="DE449" s="1319"/>
      <c r="DF449" s="1319"/>
      <c r="DG449" s="1320"/>
      <c r="DH449" s="1369"/>
      <c r="DI449" s="1319"/>
      <c r="DJ449" s="1319"/>
      <c r="DK449" s="1319"/>
      <c r="DL449" s="1320"/>
      <c r="DM449" s="1743"/>
      <c r="DN449" s="1744"/>
      <c r="DO449" s="1744"/>
      <c r="DP449" s="1745"/>
      <c r="DQ449" s="1744"/>
      <c r="DR449" s="1744"/>
      <c r="DS449" s="1744"/>
      <c r="DT449" s="1745"/>
      <c r="DU449" s="1328"/>
      <c r="DV449" s="1664"/>
      <c r="DW449" s="1746"/>
    </row>
    <row r="450" spans="1:127" s="382" customFormat="1" ht="15.75" customHeight="1">
      <c r="A450" s="1066" t="s">
        <v>1199</v>
      </c>
      <c r="B450" s="1026">
        <v>441</v>
      </c>
      <c r="C450" s="987"/>
      <c r="D450" s="987"/>
      <c r="E450" s="987"/>
      <c r="F450" s="987"/>
      <c r="G450" s="987"/>
      <c r="H450" s="987"/>
      <c r="I450" s="987"/>
      <c r="J450" s="987"/>
      <c r="K450" s="987"/>
      <c r="L450" s="987"/>
      <c r="M450" s="1026"/>
      <c r="N450" s="987"/>
      <c r="O450" s="987"/>
      <c r="P450" s="987"/>
      <c r="Q450" s="987"/>
      <c r="R450" s="987"/>
      <c r="S450" s="987"/>
      <c r="T450" s="988"/>
      <c r="U450" s="1067" t="s">
        <v>1333</v>
      </c>
      <c r="V450" s="1068" t="s">
        <v>3661</v>
      </c>
      <c r="W450" s="1068" t="s">
        <v>2231</v>
      </c>
      <c r="X450" s="1069" t="s">
        <v>3681</v>
      </c>
      <c r="Y450" s="1070" t="s">
        <v>3682</v>
      </c>
      <c r="Z450" s="1071" t="s">
        <v>3683</v>
      </c>
      <c r="AA450" s="1072">
        <v>0.01</v>
      </c>
      <c r="AB450" s="1073">
        <v>0.99</v>
      </c>
      <c r="AC450" s="1073" t="s">
        <v>2260</v>
      </c>
      <c r="AD450" s="1073" t="s">
        <v>2260</v>
      </c>
      <c r="AE450" s="1073" t="s">
        <v>2260</v>
      </c>
      <c r="AF450" s="1073" t="s">
        <v>2260</v>
      </c>
      <c r="AG450" s="1073" t="s">
        <v>2260</v>
      </c>
      <c r="AH450" s="1073" t="s">
        <v>2260</v>
      </c>
      <c r="AI450" s="1074">
        <f t="shared" si="6"/>
        <v>1</v>
      </c>
      <c r="AJ450" s="1075" t="s">
        <v>1846</v>
      </c>
      <c r="AK450" s="1075" t="s">
        <v>1826</v>
      </c>
      <c r="AL450" s="1075" t="s">
        <v>1827</v>
      </c>
      <c r="AM450" s="1076" t="s">
        <v>2421</v>
      </c>
      <c r="AN450" s="987" t="s">
        <v>439</v>
      </c>
      <c r="AO450" s="987" t="s">
        <v>4423</v>
      </c>
      <c r="AP450" s="1276">
        <v>2</v>
      </c>
      <c r="AQ450" s="1045" t="s">
        <v>1838</v>
      </c>
      <c r="AR450" s="1078"/>
      <c r="AS450" s="1079"/>
      <c r="AT450" s="1069"/>
      <c r="AU450" s="1069"/>
      <c r="AV450" s="1069"/>
      <c r="AW450" s="1080"/>
      <c r="AX450" s="1081"/>
      <c r="AY450" s="1044"/>
      <c r="AZ450" s="1045"/>
      <c r="BA450" s="1045"/>
      <c r="BB450" s="1045"/>
      <c r="BC450" s="1045"/>
      <c r="BD450" s="1045"/>
      <c r="BE450" s="1045"/>
      <c r="BF450" s="1045"/>
      <c r="BG450" s="1045"/>
      <c r="BH450" s="1045"/>
      <c r="BI450" s="1369"/>
      <c r="BJ450" s="1319"/>
      <c r="BK450" s="1319"/>
      <c r="BL450" s="1319"/>
      <c r="BM450" s="1319"/>
      <c r="BN450" s="1044"/>
      <c r="BO450" s="1045"/>
      <c r="BP450" s="1045"/>
      <c r="BQ450" s="1045"/>
      <c r="BR450" s="1045"/>
      <c r="BS450" s="1084"/>
      <c r="BT450" s="1045"/>
      <c r="BU450" s="1045"/>
      <c r="BV450" s="1045"/>
      <c r="BW450" s="1085"/>
      <c r="BX450" s="1084"/>
      <c r="BY450" s="1045"/>
      <c r="BZ450" s="1045"/>
      <c r="CA450" s="1045"/>
      <c r="CB450" s="1085"/>
      <c r="CC450" s="1086"/>
      <c r="CD450" s="1327"/>
      <c r="CE450" s="1328"/>
      <c r="CF450" s="1328"/>
      <c r="CG450" s="1328"/>
      <c r="CH450" s="1389"/>
      <c r="CI450" s="1369"/>
      <c r="CJ450" s="1319"/>
      <c r="CK450" s="1319"/>
      <c r="CL450" s="1319"/>
      <c r="CM450" s="1320"/>
      <c r="CN450" s="1369"/>
      <c r="CO450" s="1319"/>
      <c r="CP450" s="1319"/>
      <c r="CQ450" s="1319"/>
      <c r="CR450" s="1320"/>
      <c r="CS450" s="1369"/>
      <c r="CT450" s="1319"/>
      <c r="CU450" s="1319"/>
      <c r="CV450" s="1319"/>
      <c r="CW450" s="1320"/>
      <c r="CX450" s="1369"/>
      <c r="CY450" s="1319"/>
      <c r="CZ450" s="1319"/>
      <c r="DA450" s="1319"/>
      <c r="DB450" s="1320"/>
      <c r="DC450" s="1319"/>
      <c r="DD450" s="1319"/>
      <c r="DE450" s="1319"/>
      <c r="DF450" s="1319"/>
      <c r="DG450" s="1320"/>
      <c r="DH450" s="1369"/>
      <c r="DI450" s="1319"/>
      <c r="DJ450" s="1319"/>
      <c r="DK450" s="1319"/>
      <c r="DL450" s="1320"/>
      <c r="DM450" s="1743"/>
      <c r="DN450" s="1744"/>
      <c r="DO450" s="1744"/>
      <c r="DP450" s="1745"/>
      <c r="DQ450" s="1744"/>
      <c r="DR450" s="1744"/>
      <c r="DS450" s="1744"/>
      <c r="DT450" s="1745"/>
      <c r="DU450" s="1328"/>
      <c r="DV450" s="1664"/>
      <c r="DW450" s="1746"/>
    </row>
    <row r="451" spans="1:127" s="382" customFormat="1" ht="15.75" customHeight="1">
      <c r="A451" s="1066" t="s">
        <v>1199</v>
      </c>
      <c r="B451" s="1026">
        <v>442</v>
      </c>
      <c r="C451" s="987"/>
      <c r="D451" s="987"/>
      <c r="E451" s="987"/>
      <c r="F451" s="987"/>
      <c r="G451" s="987"/>
      <c r="H451" s="987"/>
      <c r="I451" s="987"/>
      <c r="J451" s="987"/>
      <c r="K451" s="987"/>
      <c r="L451" s="987"/>
      <c r="M451" s="1026"/>
      <c r="N451" s="987"/>
      <c r="O451" s="987"/>
      <c r="P451" s="987"/>
      <c r="Q451" s="987"/>
      <c r="R451" s="987"/>
      <c r="S451" s="987"/>
      <c r="T451" s="988"/>
      <c r="U451" s="1067" t="s">
        <v>1350</v>
      </c>
      <c r="V451" s="1068" t="s">
        <v>3661</v>
      </c>
      <c r="W451" s="1068" t="s">
        <v>2231</v>
      </c>
      <c r="X451" s="1069" t="s">
        <v>3685</v>
      </c>
      <c r="Y451" s="1070" t="s">
        <v>3686</v>
      </c>
      <c r="Z451" s="1071" t="s">
        <v>3687</v>
      </c>
      <c r="AA451" s="1072" t="s">
        <v>2260</v>
      </c>
      <c r="AB451" s="1073">
        <v>1</v>
      </c>
      <c r="AC451" s="1073" t="s">
        <v>2260</v>
      </c>
      <c r="AD451" s="1073" t="s">
        <v>2260</v>
      </c>
      <c r="AE451" s="1073" t="s">
        <v>2260</v>
      </c>
      <c r="AF451" s="1073" t="s">
        <v>2260</v>
      </c>
      <c r="AG451" s="1073" t="s">
        <v>2260</v>
      </c>
      <c r="AH451" s="1073" t="s">
        <v>2260</v>
      </c>
      <c r="AI451" s="1074">
        <f t="shared" si="6"/>
        <v>1</v>
      </c>
      <c r="AJ451" s="1075" t="s">
        <v>1846</v>
      </c>
      <c r="AK451" s="1075" t="s">
        <v>1826</v>
      </c>
      <c r="AL451" s="1075" t="s">
        <v>1827</v>
      </c>
      <c r="AM451" s="1076" t="s">
        <v>2247</v>
      </c>
      <c r="AN451" s="987" t="s">
        <v>1857</v>
      </c>
      <c r="AO451" s="987" t="s">
        <v>3688</v>
      </c>
      <c r="AP451" s="1285">
        <v>0</v>
      </c>
      <c r="AQ451" s="1045" t="s">
        <v>1838</v>
      </c>
      <c r="AR451" s="1078" t="s">
        <v>2260</v>
      </c>
      <c r="AS451" s="1079"/>
      <c r="AT451" s="1069"/>
      <c r="AU451" s="1069"/>
      <c r="AV451" s="1069"/>
      <c r="AW451" s="1080"/>
      <c r="AX451" s="1081"/>
      <c r="AY451" s="1044"/>
      <c r="AZ451" s="1045"/>
      <c r="BA451" s="1045"/>
      <c r="BB451" s="1045"/>
      <c r="BC451" s="1045"/>
      <c r="BD451" s="1045"/>
      <c r="BE451" s="1045"/>
      <c r="BF451" s="1045"/>
      <c r="BG451" s="1045"/>
      <c r="BH451" s="1045"/>
      <c r="BI451" s="1369"/>
      <c r="BJ451" s="1319"/>
      <c r="BK451" s="1319"/>
      <c r="BL451" s="1319"/>
      <c r="BM451" s="1319"/>
      <c r="BN451" s="1044"/>
      <c r="BO451" s="1045"/>
      <c r="BP451" s="1045"/>
      <c r="BQ451" s="1045"/>
      <c r="BR451" s="1045"/>
      <c r="BS451" s="1084"/>
      <c r="BT451" s="1045"/>
      <c r="BU451" s="1045"/>
      <c r="BV451" s="1045"/>
      <c r="BW451" s="1085"/>
      <c r="BX451" s="1084"/>
      <c r="BY451" s="1045"/>
      <c r="BZ451" s="1045"/>
      <c r="CA451" s="1045"/>
      <c r="CB451" s="1085"/>
      <c r="CC451" s="1086"/>
      <c r="CD451" s="1327"/>
      <c r="CE451" s="1328"/>
      <c r="CF451" s="1328"/>
      <c r="CG451" s="1328"/>
      <c r="CH451" s="1389"/>
      <c r="CI451" s="1369"/>
      <c r="CJ451" s="1319"/>
      <c r="CK451" s="1319"/>
      <c r="CL451" s="1319"/>
      <c r="CM451" s="1320"/>
      <c r="CN451" s="1369"/>
      <c r="CO451" s="1319"/>
      <c r="CP451" s="1319"/>
      <c r="CQ451" s="1319"/>
      <c r="CR451" s="1320"/>
      <c r="CS451" s="1369"/>
      <c r="CT451" s="1319"/>
      <c r="CU451" s="1319"/>
      <c r="CV451" s="1319"/>
      <c r="CW451" s="1320"/>
      <c r="CX451" s="1369"/>
      <c r="CY451" s="1319"/>
      <c r="CZ451" s="1319"/>
      <c r="DA451" s="1319"/>
      <c r="DB451" s="1320"/>
      <c r="DC451" s="1319"/>
      <c r="DD451" s="1319"/>
      <c r="DE451" s="1319"/>
      <c r="DF451" s="1319"/>
      <c r="DG451" s="1320"/>
      <c r="DH451" s="1369"/>
      <c r="DI451" s="1319"/>
      <c r="DJ451" s="1319"/>
      <c r="DK451" s="1319"/>
      <c r="DL451" s="1320"/>
      <c r="DM451" s="1743"/>
      <c r="DN451" s="1744"/>
      <c r="DO451" s="1744"/>
      <c r="DP451" s="1745"/>
      <c r="DQ451" s="1744"/>
      <c r="DR451" s="1744"/>
      <c r="DS451" s="1744"/>
      <c r="DT451" s="1745"/>
      <c r="DU451" s="1328"/>
      <c r="DV451" s="1664"/>
      <c r="DW451" s="1746"/>
    </row>
    <row r="452" spans="1:127" s="382" customFormat="1" ht="15.75" customHeight="1">
      <c r="A452" s="1066" t="s">
        <v>1199</v>
      </c>
      <c r="B452" s="1026">
        <v>443</v>
      </c>
      <c r="C452" s="987"/>
      <c r="D452" s="987"/>
      <c r="E452" s="987"/>
      <c r="F452" s="987"/>
      <c r="G452" s="987"/>
      <c r="H452" s="987"/>
      <c r="I452" s="987"/>
      <c r="J452" s="987"/>
      <c r="K452" s="987"/>
      <c r="L452" s="987"/>
      <c r="M452" s="1026"/>
      <c r="N452" s="987"/>
      <c r="O452" s="987"/>
      <c r="P452" s="987"/>
      <c r="Q452" s="987"/>
      <c r="R452" s="987"/>
      <c r="S452" s="987"/>
      <c r="T452" s="988"/>
      <c r="U452" s="1067" t="s">
        <v>1367</v>
      </c>
      <c r="V452" s="1068" t="s">
        <v>3661</v>
      </c>
      <c r="W452" s="1068" t="s">
        <v>2231</v>
      </c>
      <c r="X452" s="1069" t="s">
        <v>3689</v>
      </c>
      <c r="Y452" s="1070" t="s">
        <v>3690</v>
      </c>
      <c r="Z452" s="1071" t="s">
        <v>3691</v>
      </c>
      <c r="AA452" s="1072" t="s">
        <v>2260</v>
      </c>
      <c r="AB452" s="1073">
        <v>1</v>
      </c>
      <c r="AC452" s="1073" t="s">
        <v>2260</v>
      </c>
      <c r="AD452" s="1073" t="s">
        <v>2260</v>
      </c>
      <c r="AE452" s="1073" t="s">
        <v>2260</v>
      </c>
      <c r="AF452" s="1073" t="s">
        <v>2260</v>
      </c>
      <c r="AG452" s="1073" t="s">
        <v>2260</v>
      </c>
      <c r="AH452" s="1073" t="s">
        <v>2260</v>
      </c>
      <c r="AI452" s="1074">
        <f t="shared" si="6"/>
        <v>1</v>
      </c>
      <c r="AJ452" s="1075" t="s">
        <v>1852</v>
      </c>
      <c r="AK452" s="1075" t="s">
        <v>1826</v>
      </c>
      <c r="AL452" s="1075" t="s">
        <v>1827</v>
      </c>
      <c r="AM452" s="1076" t="s">
        <v>2247</v>
      </c>
      <c r="AN452" s="987" t="s">
        <v>1857</v>
      </c>
      <c r="AO452" s="987" t="s">
        <v>3692</v>
      </c>
      <c r="AP452" s="1285">
        <v>0</v>
      </c>
      <c r="AQ452" s="1045" t="s">
        <v>1828</v>
      </c>
      <c r="AR452" s="1078" t="s">
        <v>2260</v>
      </c>
      <c r="AS452" s="1079"/>
      <c r="AT452" s="1069"/>
      <c r="AU452" s="1069"/>
      <c r="AV452" s="1069"/>
      <c r="AW452" s="1080"/>
      <c r="AX452" s="1081"/>
      <c r="AY452" s="1044"/>
      <c r="AZ452" s="1045"/>
      <c r="BA452" s="1045"/>
      <c r="BB452" s="1045"/>
      <c r="BC452" s="1045"/>
      <c r="BD452" s="1045"/>
      <c r="BE452" s="1045"/>
      <c r="BF452" s="1045"/>
      <c r="BG452" s="1045"/>
      <c r="BH452" s="1045"/>
      <c r="BI452" s="1369"/>
      <c r="BJ452" s="1319"/>
      <c r="BK452" s="1319"/>
      <c r="BL452" s="1319"/>
      <c r="BM452" s="1319"/>
      <c r="BN452" s="1044"/>
      <c r="BO452" s="1045"/>
      <c r="BP452" s="1045"/>
      <c r="BQ452" s="1045"/>
      <c r="BR452" s="1045"/>
      <c r="BS452" s="1084"/>
      <c r="BT452" s="1045"/>
      <c r="BU452" s="1045"/>
      <c r="BV452" s="1045"/>
      <c r="BW452" s="1085"/>
      <c r="BX452" s="1084"/>
      <c r="BY452" s="1045"/>
      <c r="BZ452" s="1045"/>
      <c r="CA452" s="1045"/>
      <c r="CB452" s="1085"/>
      <c r="CC452" s="1086"/>
      <c r="CD452" s="1327"/>
      <c r="CE452" s="1328"/>
      <c r="CF452" s="1328"/>
      <c r="CG452" s="1328"/>
      <c r="CH452" s="1389"/>
      <c r="CI452" s="1369"/>
      <c r="CJ452" s="1319"/>
      <c r="CK452" s="1319"/>
      <c r="CL452" s="1319"/>
      <c r="CM452" s="1320"/>
      <c r="CN452" s="1369"/>
      <c r="CO452" s="1319"/>
      <c r="CP452" s="1319"/>
      <c r="CQ452" s="1319"/>
      <c r="CR452" s="1320"/>
      <c r="CS452" s="1369"/>
      <c r="CT452" s="1319"/>
      <c r="CU452" s="1319"/>
      <c r="CV452" s="1319"/>
      <c r="CW452" s="1320"/>
      <c r="CX452" s="1369"/>
      <c r="CY452" s="1319"/>
      <c r="CZ452" s="1319"/>
      <c r="DA452" s="1319"/>
      <c r="DB452" s="1320"/>
      <c r="DC452" s="1319"/>
      <c r="DD452" s="1319"/>
      <c r="DE452" s="1319"/>
      <c r="DF452" s="1319"/>
      <c r="DG452" s="1320"/>
      <c r="DH452" s="1369"/>
      <c r="DI452" s="1319"/>
      <c r="DJ452" s="1319"/>
      <c r="DK452" s="1319"/>
      <c r="DL452" s="1320"/>
      <c r="DM452" s="1743"/>
      <c r="DN452" s="1744"/>
      <c r="DO452" s="1744"/>
      <c r="DP452" s="1745"/>
      <c r="DQ452" s="1744"/>
      <c r="DR452" s="1744"/>
      <c r="DS452" s="1744"/>
      <c r="DT452" s="1745"/>
      <c r="DU452" s="1328"/>
      <c r="DV452" s="1664"/>
      <c r="DW452" s="1746"/>
    </row>
    <row r="453" spans="1:127" s="382" customFormat="1" ht="15.75" customHeight="1">
      <c r="A453" s="1066" t="s">
        <v>1199</v>
      </c>
      <c r="B453" s="1026">
        <v>444</v>
      </c>
      <c r="C453" s="987"/>
      <c r="D453" s="987"/>
      <c r="E453" s="987"/>
      <c r="F453" s="987"/>
      <c r="G453" s="987"/>
      <c r="H453" s="987"/>
      <c r="I453" s="987"/>
      <c r="J453" s="987"/>
      <c r="K453" s="987"/>
      <c r="L453" s="987"/>
      <c r="M453" s="1026"/>
      <c r="N453" s="987"/>
      <c r="O453" s="987"/>
      <c r="P453" s="987"/>
      <c r="Q453" s="987"/>
      <c r="R453" s="987"/>
      <c r="S453" s="987"/>
      <c r="T453" s="988"/>
      <c r="U453" s="1067" t="s">
        <v>1633</v>
      </c>
      <c r="V453" s="1068" t="s">
        <v>3661</v>
      </c>
      <c r="W453" s="1068" t="s">
        <v>2231</v>
      </c>
      <c r="X453" s="1069" t="s">
        <v>3693</v>
      </c>
      <c r="Y453" s="1070" t="s">
        <v>3694</v>
      </c>
      <c r="Z453" s="1071" t="s">
        <v>3695</v>
      </c>
      <c r="AA453" s="1072" t="s">
        <v>2260</v>
      </c>
      <c r="AB453" s="1073">
        <v>1</v>
      </c>
      <c r="AC453" s="1073" t="s">
        <v>2260</v>
      </c>
      <c r="AD453" s="1073" t="s">
        <v>2260</v>
      </c>
      <c r="AE453" s="1073" t="s">
        <v>2260</v>
      </c>
      <c r="AF453" s="1073" t="s">
        <v>2260</v>
      </c>
      <c r="AG453" s="1073" t="s">
        <v>2260</v>
      </c>
      <c r="AH453" s="1073" t="s">
        <v>2260</v>
      </c>
      <c r="AI453" s="1074">
        <f t="shared" si="6"/>
        <v>1</v>
      </c>
      <c r="AJ453" s="1075" t="s">
        <v>1825</v>
      </c>
      <c r="AK453" s="1075" t="s">
        <v>2260</v>
      </c>
      <c r="AL453" s="1075" t="s">
        <v>2260</v>
      </c>
      <c r="AM453" s="1076" t="s">
        <v>2220</v>
      </c>
      <c r="AN453" s="987" t="s">
        <v>1851</v>
      </c>
      <c r="AO453" s="987" t="s">
        <v>3696</v>
      </c>
      <c r="AP453" s="1285">
        <v>0</v>
      </c>
      <c r="AQ453" s="1045" t="s">
        <v>1838</v>
      </c>
      <c r="AR453" s="1078" t="s">
        <v>2260</v>
      </c>
      <c r="AS453" s="1079"/>
      <c r="AT453" s="1069"/>
      <c r="AU453" s="1069"/>
      <c r="AV453" s="1069"/>
      <c r="AW453" s="1080"/>
      <c r="AX453" s="1081"/>
      <c r="AY453" s="1044"/>
      <c r="AZ453" s="1045"/>
      <c r="BA453" s="1045"/>
      <c r="BB453" s="1045"/>
      <c r="BC453" s="1045"/>
      <c r="BD453" s="1045"/>
      <c r="BE453" s="1045"/>
      <c r="BF453" s="1045"/>
      <c r="BG453" s="1045"/>
      <c r="BH453" s="1045"/>
      <c r="BI453" s="1369"/>
      <c r="BJ453" s="1319"/>
      <c r="BK453" s="1319"/>
      <c r="BL453" s="1319"/>
      <c r="BM453" s="1319"/>
      <c r="BN453" s="1044"/>
      <c r="BO453" s="1045"/>
      <c r="BP453" s="1045"/>
      <c r="BQ453" s="1045"/>
      <c r="BR453" s="1045"/>
      <c r="BS453" s="1084"/>
      <c r="BT453" s="1045"/>
      <c r="BU453" s="1045"/>
      <c r="BV453" s="1045"/>
      <c r="BW453" s="1085"/>
      <c r="BX453" s="1084"/>
      <c r="BY453" s="1045"/>
      <c r="BZ453" s="1045"/>
      <c r="CA453" s="1045"/>
      <c r="CB453" s="1085"/>
      <c r="CC453" s="1086"/>
      <c r="CD453" s="1327"/>
      <c r="CE453" s="1328"/>
      <c r="CF453" s="1328"/>
      <c r="CG453" s="1328"/>
      <c r="CH453" s="1389"/>
      <c r="CI453" s="1369"/>
      <c r="CJ453" s="1319"/>
      <c r="CK453" s="1319"/>
      <c r="CL453" s="1319"/>
      <c r="CM453" s="1320"/>
      <c r="CN453" s="1369"/>
      <c r="CO453" s="1319"/>
      <c r="CP453" s="1319"/>
      <c r="CQ453" s="1319"/>
      <c r="CR453" s="1320"/>
      <c r="CS453" s="1369"/>
      <c r="CT453" s="1319"/>
      <c r="CU453" s="1319"/>
      <c r="CV453" s="1319"/>
      <c r="CW453" s="1320"/>
      <c r="CX453" s="1369"/>
      <c r="CY453" s="1319"/>
      <c r="CZ453" s="1319"/>
      <c r="DA453" s="1319"/>
      <c r="DB453" s="1320"/>
      <c r="DC453" s="1319"/>
      <c r="DD453" s="1319"/>
      <c r="DE453" s="1319"/>
      <c r="DF453" s="1319"/>
      <c r="DG453" s="1320"/>
      <c r="DH453" s="1369"/>
      <c r="DI453" s="1319"/>
      <c r="DJ453" s="1319"/>
      <c r="DK453" s="1319"/>
      <c r="DL453" s="1320"/>
      <c r="DM453" s="1743"/>
      <c r="DN453" s="1744"/>
      <c r="DO453" s="1744"/>
      <c r="DP453" s="1745"/>
      <c r="DQ453" s="1744"/>
      <c r="DR453" s="1744"/>
      <c r="DS453" s="1744"/>
      <c r="DT453" s="1745"/>
      <c r="DU453" s="1328"/>
      <c r="DV453" s="1664"/>
      <c r="DW453" s="1746"/>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69"/>
      <c r="BJ454" s="1319"/>
      <c r="BK454" s="1319"/>
      <c r="BL454" s="1319"/>
      <c r="BM454" s="1319"/>
      <c r="BN454" s="1044"/>
      <c r="BO454" s="1045"/>
      <c r="BP454" s="1045"/>
      <c r="BQ454" s="1045"/>
      <c r="BR454" s="1045"/>
      <c r="BS454" s="1084"/>
      <c r="BT454" s="1045"/>
      <c r="BU454" s="1045"/>
      <c r="BV454" s="1045"/>
      <c r="BW454" s="1085"/>
      <c r="BX454" s="1084"/>
      <c r="BY454" s="1045"/>
      <c r="BZ454" s="1045"/>
      <c r="CA454" s="1045"/>
      <c r="CB454" s="1085"/>
      <c r="CC454" s="1086"/>
      <c r="CD454" s="1327"/>
      <c r="CE454" s="1328"/>
      <c r="CF454" s="1328"/>
      <c r="CG454" s="1328"/>
      <c r="CH454" s="1389"/>
      <c r="CI454" s="1369"/>
      <c r="CJ454" s="1319"/>
      <c r="CK454" s="1319"/>
      <c r="CL454" s="1319"/>
      <c r="CM454" s="1320"/>
      <c r="CN454" s="1369"/>
      <c r="CO454" s="1319"/>
      <c r="CP454" s="1319"/>
      <c r="CQ454" s="1319"/>
      <c r="CR454" s="1320"/>
      <c r="CS454" s="1369"/>
      <c r="CT454" s="1319"/>
      <c r="CU454" s="1319"/>
      <c r="CV454" s="1319"/>
      <c r="CW454" s="1320"/>
      <c r="CX454" s="1369"/>
      <c r="CY454" s="1319"/>
      <c r="CZ454" s="1319"/>
      <c r="DA454" s="1319"/>
      <c r="DB454" s="1320"/>
      <c r="DC454" s="1319"/>
      <c r="DD454" s="1319"/>
      <c r="DE454" s="1319"/>
      <c r="DF454" s="1319"/>
      <c r="DG454" s="1320"/>
      <c r="DH454" s="1369"/>
      <c r="DI454" s="1319"/>
      <c r="DJ454" s="1319"/>
      <c r="DK454" s="1319"/>
      <c r="DL454" s="1320"/>
      <c r="DM454" s="1743"/>
      <c r="DN454" s="1744"/>
      <c r="DO454" s="1744"/>
      <c r="DP454" s="1745"/>
      <c r="DQ454" s="1744"/>
      <c r="DR454" s="1744"/>
      <c r="DS454" s="1744"/>
      <c r="DT454" s="1745"/>
      <c r="DU454" s="1328"/>
      <c r="DV454" s="1664"/>
      <c r="DW454" s="1746"/>
    </row>
    <row r="455" spans="1:127" s="382" customFormat="1" ht="15.75" customHeight="1">
      <c r="A455" s="1066" t="s">
        <v>1199</v>
      </c>
      <c r="B455" s="1026">
        <v>446</v>
      </c>
      <c r="C455" s="987"/>
      <c r="D455" s="987"/>
      <c r="E455" s="987"/>
      <c r="F455" s="987"/>
      <c r="G455" s="987"/>
      <c r="H455" s="987"/>
      <c r="I455" s="987"/>
      <c r="J455" s="987"/>
      <c r="K455" s="987"/>
      <c r="L455" s="987"/>
      <c r="M455" s="1026"/>
      <c r="N455" s="987"/>
      <c r="O455" s="987"/>
      <c r="P455" s="987"/>
      <c r="Q455" s="987"/>
      <c r="R455" s="987"/>
      <c r="S455" s="987"/>
      <c r="T455" s="988"/>
      <c r="U455" s="1067" t="s">
        <v>1181</v>
      </c>
      <c r="V455" s="1068" t="s">
        <v>3702</v>
      </c>
      <c r="W455" s="1068" t="s">
        <v>2231</v>
      </c>
      <c r="X455" s="1069" t="s">
        <v>3703</v>
      </c>
      <c r="Y455" s="1070" t="s">
        <v>1085</v>
      </c>
      <c r="Z455" s="1071" t="s">
        <v>3704</v>
      </c>
      <c r="AA455" s="1072" t="s">
        <v>2260</v>
      </c>
      <c r="AB455" s="1073" t="s">
        <v>2260</v>
      </c>
      <c r="AC455" s="1073">
        <v>1</v>
      </c>
      <c r="AD455" s="1073" t="s">
        <v>2260</v>
      </c>
      <c r="AE455" s="1073" t="s">
        <v>2260</v>
      </c>
      <c r="AF455" s="1073" t="s">
        <v>2260</v>
      </c>
      <c r="AG455" s="1073" t="s">
        <v>2260</v>
      </c>
      <c r="AH455" s="1073" t="s">
        <v>2260</v>
      </c>
      <c r="AI455" s="1074">
        <f t="shared" si="6"/>
        <v>1</v>
      </c>
      <c r="AJ455" s="1075" t="s">
        <v>1846</v>
      </c>
      <c r="AK455" s="1075" t="s">
        <v>1826</v>
      </c>
      <c r="AL455" s="1075" t="s">
        <v>1827</v>
      </c>
      <c r="AM455" s="1076" t="s">
        <v>2371</v>
      </c>
      <c r="AN455" s="987" t="s">
        <v>321</v>
      </c>
      <c r="AO455" s="987" t="s">
        <v>2649</v>
      </c>
      <c r="AP455" s="1276">
        <v>2</v>
      </c>
      <c r="AQ455" s="1045" t="s">
        <v>1828</v>
      </c>
      <c r="AR455" s="1078" t="s">
        <v>1085</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210</v>
      </c>
      <c r="CE455" s="1088" t="s">
        <v>210</v>
      </c>
      <c r="CF455" s="1088" t="s">
        <v>210</v>
      </c>
      <c r="CG455" s="1088" t="s">
        <v>210</v>
      </c>
      <c r="CH455" s="1089" t="s">
        <v>210</v>
      </c>
      <c r="CI455" s="1044" t="s">
        <v>2260</v>
      </c>
      <c r="CJ455" s="1045" t="s">
        <v>2260</v>
      </c>
      <c r="CK455" s="1045" t="s">
        <v>2260</v>
      </c>
      <c r="CL455" s="1045" t="s">
        <v>2260</v>
      </c>
      <c r="CM455" s="1086" t="s">
        <v>2260</v>
      </c>
      <c r="CN455" s="1044" t="s">
        <v>2260</v>
      </c>
      <c r="CO455" s="1045" t="s">
        <v>2260</v>
      </c>
      <c r="CP455" s="1045" t="s">
        <v>2260</v>
      </c>
      <c r="CQ455" s="1045" t="s">
        <v>2260</v>
      </c>
      <c r="CR455" s="1086" t="s">
        <v>2260</v>
      </c>
      <c r="CS455" s="1044">
        <v>99</v>
      </c>
      <c r="CT455" s="1045">
        <v>99</v>
      </c>
      <c r="CU455" s="1045">
        <v>99</v>
      </c>
      <c r="CV455" s="1045">
        <v>99</v>
      </c>
      <c r="CW455" s="1086">
        <v>99</v>
      </c>
      <c r="CX455" s="1044" t="s">
        <v>2260</v>
      </c>
      <c r="CY455" s="1045" t="s">
        <v>2260</v>
      </c>
      <c r="CZ455" s="1045" t="s">
        <v>2260</v>
      </c>
      <c r="DA455" s="1045" t="s">
        <v>2260</v>
      </c>
      <c r="DB455" s="1086" t="s">
        <v>2260</v>
      </c>
      <c r="DC455" s="1045" t="s">
        <v>2260</v>
      </c>
      <c r="DD455" s="1045" t="s">
        <v>2260</v>
      </c>
      <c r="DE455" s="1045" t="s">
        <v>2260</v>
      </c>
      <c r="DF455" s="1045" t="s">
        <v>2260</v>
      </c>
      <c r="DG455" s="1086" t="s">
        <v>2260</v>
      </c>
      <c r="DH455" s="1044" t="s">
        <v>2260</v>
      </c>
      <c r="DI455" s="1045" t="s">
        <v>2260</v>
      </c>
      <c r="DJ455" s="1045" t="s">
        <v>2260</v>
      </c>
      <c r="DK455" s="1045" t="s">
        <v>2260</v>
      </c>
      <c r="DL455" s="1086" t="s">
        <v>2260</v>
      </c>
      <c r="DM455" s="1090">
        <v>-3.0630000000000002</v>
      </c>
      <c r="DN455" s="1091" t="s">
        <v>2260</v>
      </c>
      <c r="DO455" s="1091" t="s">
        <v>2260</v>
      </c>
      <c r="DP455" s="1092" t="s">
        <v>2260</v>
      </c>
      <c r="DQ455" s="1091" t="s">
        <v>2260</v>
      </c>
      <c r="DR455" s="1091" t="s">
        <v>2260</v>
      </c>
      <c r="DS455" s="1091" t="s">
        <v>2260</v>
      </c>
      <c r="DT455" s="1092" t="s">
        <v>2260</v>
      </c>
      <c r="DU455" s="1088" t="s">
        <v>2260</v>
      </c>
      <c r="DV455" s="1093">
        <v>1</v>
      </c>
      <c r="DW455" s="1094" t="s">
        <v>2260</v>
      </c>
    </row>
    <row r="456" spans="1:127" s="382" customFormat="1" ht="15.75" customHeight="1">
      <c r="A456" s="1066" t="s">
        <v>1199</v>
      </c>
      <c r="B456" s="1026">
        <v>447</v>
      </c>
      <c r="C456" s="987"/>
      <c r="D456" s="987"/>
      <c r="E456" s="987"/>
      <c r="F456" s="987"/>
      <c r="G456" s="987"/>
      <c r="H456" s="987"/>
      <c r="I456" s="987"/>
      <c r="J456" s="987"/>
      <c r="K456" s="987"/>
      <c r="L456" s="987"/>
      <c r="M456" s="1026"/>
      <c r="N456" s="987"/>
      <c r="O456" s="987"/>
      <c r="P456" s="987"/>
      <c r="Q456" s="987"/>
      <c r="R456" s="987"/>
      <c r="S456" s="987"/>
      <c r="T456" s="988"/>
      <c r="U456" s="1067" t="s">
        <v>1180</v>
      </c>
      <c r="V456" s="1068" t="s">
        <v>3702</v>
      </c>
      <c r="W456" s="1068" t="s">
        <v>2217</v>
      </c>
      <c r="X456" s="1069" t="s">
        <v>3706</v>
      </c>
      <c r="Y456" s="1070" t="s">
        <v>795</v>
      </c>
      <c r="Z456" s="1071" t="s">
        <v>3707</v>
      </c>
      <c r="AA456" s="1072" t="s">
        <v>2260</v>
      </c>
      <c r="AB456" s="1073" t="s">
        <v>2260</v>
      </c>
      <c r="AC456" s="1073">
        <v>1</v>
      </c>
      <c r="AD456" s="1073" t="s">
        <v>2260</v>
      </c>
      <c r="AE456" s="1073" t="s">
        <v>2260</v>
      </c>
      <c r="AF456" s="1073" t="s">
        <v>2260</v>
      </c>
      <c r="AG456" s="1073" t="s">
        <v>2260</v>
      </c>
      <c r="AH456" s="1073" t="s">
        <v>2260</v>
      </c>
      <c r="AI456" s="1074">
        <f t="shared" si="6"/>
        <v>1</v>
      </c>
      <c r="AJ456" s="1075" t="s">
        <v>1852</v>
      </c>
      <c r="AK456" s="1075" t="s">
        <v>1826</v>
      </c>
      <c r="AL456" s="1075" t="s">
        <v>1827</v>
      </c>
      <c r="AM456" s="1076" t="s">
        <v>2242</v>
      </c>
      <c r="AN456" s="987" t="s">
        <v>2439</v>
      </c>
      <c r="AO456" s="987" t="s">
        <v>4432</v>
      </c>
      <c r="AP456" s="1276">
        <v>2</v>
      </c>
      <c r="AQ456" s="1045" t="s">
        <v>1838</v>
      </c>
      <c r="AR456" s="1078" t="s">
        <v>795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210</v>
      </c>
      <c r="CE456" s="1088" t="s">
        <v>210</v>
      </c>
      <c r="CF456" s="1088" t="s">
        <v>210</v>
      </c>
      <c r="CG456" s="1088" t="s">
        <v>210</v>
      </c>
      <c r="CH456" s="1089" t="s">
        <v>210</v>
      </c>
      <c r="CI456" s="1044" t="s">
        <v>2260</v>
      </c>
      <c r="CJ456" s="1045" t="s">
        <v>2260</v>
      </c>
      <c r="CK456" s="1045" t="s">
        <v>2260</v>
      </c>
      <c r="CL456" s="1045" t="s">
        <v>2260</v>
      </c>
      <c r="CM456" s="1086" t="s">
        <v>2260</v>
      </c>
      <c r="CN456" s="1044" t="s">
        <v>2260</v>
      </c>
      <c r="CO456" s="1045" t="s">
        <v>2260</v>
      </c>
      <c r="CP456" s="1045" t="s">
        <v>2260</v>
      </c>
      <c r="CQ456" s="1045" t="s">
        <v>2260</v>
      </c>
      <c r="CR456" s="1086" t="s">
        <v>2260</v>
      </c>
      <c r="CS456" s="1044" t="s">
        <v>2260</v>
      </c>
      <c r="CT456" s="1045" t="s">
        <v>2260</v>
      </c>
      <c r="CU456" s="1045" t="s">
        <v>2260</v>
      </c>
      <c r="CV456" s="1045" t="s">
        <v>2260</v>
      </c>
      <c r="CW456" s="1086" t="s">
        <v>2260</v>
      </c>
      <c r="CX456" s="1044" t="s">
        <v>2260</v>
      </c>
      <c r="CY456" s="1045" t="s">
        <v>2260</v>
      </c>
      <c r="CZ456" s="1045" t="s">
        <v>2260</v>
      </c>
      <c r="DA456" s="1045" t="s">
        <v>2260</v>
      </c>
      <c r="DB456" s="1086" t="s">
        <v>2260</v>
      </c>
      <c r="DC456" s="1045" t="s">
        <v>2260</v>
      </c>
      <c r="DD456" s="1045" t="s">
        <v>2260</v>
      </c>
      <c r="DE456" s="1045" t="s">
        <v>2260</v>
      </c>
      <c r="DF456" s="1045" t="s">
        <v>2260</v>
      </c>
      <c r="DG456" s="1086" t="s">
        <v>2260</v>
      </c>
      <c r="DH456" s="1044" t="s">
        <v>2260</v>
      </c>
      <c r="DI456" s="1045" t="s">
        <v>2260</v>
      </c>
      <c r="DJ456" s="1045" t="s">
        <v>2260</v>
      </c>
      <c r="DK456" s="1045" t="s">
        <v>2260</v>
      </c>
      <c r="DL456" s="1086" t="s">
        <v>2260</v>
      </c>
      <c r="DM456" s="1090">
        <v>-0.96699999999999997</v>
      </c>
      <c r="DN456" s="1091" t="s">
        <v>2260</v>
      </c>
      <c r="DO456" s="1091" t="s">
        <v>2260</v>
      </c>
      <c r="DP456" s="1092" t="s">
        <v>2260</v>
      </c>
      <c r="DQ456" s="1091">
        <v>0.755</v>
      </c>
      <c r="DR456" s="1091" t="s">
        <v>2260</v>
      </c>
      <c r="DS456" s="1091" t="s">
        <v>2260</v>
      </c>
      <c r="DT456" s="1092" t="s">
        <v>2260</v>
      </c>
      <c r="DU456" s="1088" t="s">
        <v>2260</v>
      </c>
      <c r="DV456" s="1093">
        <v>1</v>
      </c>
      <c r="DW456" s="1094" t="s">
        <v>2260</v>
      </c>
    </row>
    <row r="457" spans="1:127" s="382" customFormat="1" ht="15.75" customHeight="1">
      <c r="A457" s="1023" t="s">
        <v>1199</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1178</v>
      </c>
      <c r="V457" s="1029" t="s">
        <v>3702</v>
      </c>
      <c r="W457" s="1029" t="s">
        <v>2231</v>
      </c>
      <c r="X457" s="1030" t="s">
        <v>3708</v>
      </c>
      <c r="Y457" s="1031" t="s">
        <v>784</v>
      </c>
      <c r="Z457" s="1032" t="s">
        <v>3709</v>
      </c>
      <c r="AA457" s="1033" t="s">
        <v>2260</v>
      </c>
      <c r="AB457" s="1034" t="s">
        <v>2260</v>
      </c>
      <c r="AC457" s="1034">
        <v>1</v>
      </c>
      <c r="AD457" s="1034" t="s">
        <v>2260</v>
      </c>
      <c r="AE457" s="1034" t="s">
        <v>2260</v>
      </c>
      <c r="AF457" s="1034" t="s">
        <v>2260</v>
      </c>
      <c r="AG457" s="1034" t="s">
        <v>2260</v>
      </c>
      <c r="AH457" s="1034" t="s">
        <v>2260</v>
      </c>
      <c r="AI457" s="1035">
        <f t="shared" si="6"/>
        <v>1</v>
      </c>
      <c r="AJ457" s="1036" t="s">
        <v>1852</v>
      </c>
      <c r="AK457" s="1036" t="s">
        <v>1826</v>
      </c>
      <c r="AL457" s="1036" t="s">
        <v>1827</v>
      </c>
      <c r="AM457" s="1037" t="s">
        <v>2351</v>
      </c>
      <c r="AN457" s="1031" t="s">
        <v>2439</v>
      </c>
      <c r="AO457" s="1031" t="s">
        <v>4197</v>
      </c>
      <c r="AP457" s="1276">
        <v>2</v>
      </c>
      <c r="AQ457" s="1049" t="s">
        <v>1838</v>
      </c>
      <c r="AR457" s="1040" t="s">
        <v>784</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210</v>
      </c>
      <c r="CE457" s="1054" t="s">
        <v>210</v>
      </c>
      <c r="CF457" s="1054" t="s">
        <v>210</v>
      </c>
      <c r="CG457" s="1054" t="s">
        <v>210</v>
      </c>
      <c r="CH457" s="1055" t="s">
        <v>210</v>
      </c>
      <c r="CI457" s="1058" t="s">
        <v>2260</v>
      </c>
      <c r="CJ457" s="1056" t="s">
        <v>2260</v>
      </c>
      <c r="CK457" s="1056" t="s">
        <v>2260</v>
      </c>
      <c r="CL457" s="1056" t="s">
        <v>2260</v>
      </c>
      <c r="CM457" s="1057" t="s">
        <v>2260</v>
      </c>
      <c r="CN457" s="1058">
        <v>3.35</v>
      </c>
      <c r="CO457" s="1056">
        <v>3.35</v>
      </c>
      <c r="CP457" s="1056">
        <v>3.35</v>
      </c>
      <c r="CQ457" s="1056">
        <v>3.35</v>
      </c>
      <c r="CR457" s="1057">
        <v>3.35</v>
      </c>
      <c r="CS457" s="1048" t="s">
        <v>2260</v>
      </c>
      <c r="CT457" s="1049" t="s">
        <v>2260</v>
      </c>
      <c r="CU457" s="1049" t="s">
        <v>2260</v>
      </c>
      <c r="CV457" s="1049" t="s">
        <v>2260</v>
      </c>
      <c r="CW457" s="1052" t="s">
        <v>2260</v>
      </c>
      <c r="CX457" s="1048" t="s">
        <v>2260</v>
      </c>
      <c r="CY457" s="1049" t="s">
        <v>2260</v>
      </c>
      <c r="CZ457" s="1049" t="s">
        <v>2260</v>
      </c>
      <c r="DA457" s="1049" t="s">
        <v>2260</v>
      </c>
      <c r="DB457" s="1052" t="s">
        <v>2260</v>
      </c>
      <c r="DC457" s="1056">
        <v>1.22</v>
      </c>
      <c r="DD457" s="1056">
        <v>1.17</v>
      </c>
      <c r="DE457" s="1056">
        <v>1.1299999999999999</v>
      </c>
      <c r="DF457" s="1056">
        <v>0.99</v>
      </c>
      <c r="DG457" s="1057">
        <v>0.9</v>
      </c>
      <c r="DH457" s="1058" t="s">
        <v>2260</v>
      </c>
      <c r="DI457" s="1049" t="s">
        <v>2260</v>
      </c>
      <c r="DJ457" s="1049" t="s">
        <v>2260</v>
      </c>
      <c r="DK457" s="1049" t="s">
        <v>2260</v>
      </c>
      <c r="DL457" s="1052" t="s">
        <v>2260</v>
      </c>
      <c r="DM457" s="1060">
        <v>-16.762</v>
      </c>
      <c r="DN457" s="1061" t="s">
        <v>2260</v>
      </c>
      <c r="DO457" s="1061" t="s">
        <v>2260</v>
      </c>
      <c r="DP457" s="1062" t="s">
        <v>2260</v>
      </c>
      <c r="DQ457" s="1061">
        <v>16.762</v>
      </c>
      <c r="DR457" s="1061" t="s">
        <v>2260</v>
      </c>
      <c r="DS457" s="1061" t="s">
        <v>2260</v>
      </c>
      <c r="DT457" s="1062" t="s">
        <v>2260</v>
      </c>
      <c r="DU457" s="1054" t="s">
        <v>2260</v>
      </c>
      <c r="DV457" s="1063">
        <v>1</v>
      </c>
      <c r="DW457" s="1064" t="s">
        <v>2260</v>
      </c>
    </row>
    <row r="458" spans="1:127" s="382" customFormat="1" ht="15.75" customHeight="1">
      <c r="A458" s="1066" t="s">
        <v>1199</v>
      </c>
      <c r="B458" s="1026">
        <v>449</v>
      </c>
      <c r="C458" s="987"/>
      <c r="D458" s="987"/>
      <c r="E458" s="987"/>
      <c r="F458" s="987"/>
      <c r="G458" s="987"/>
      <c r="H458" s="987"/>
      <c r="I458" s="987"/>
      <c r="J458" s="987"/>
      <c r="K458" s="987"/>
      <c r="L458" s="987"/>
      <c r="M458" s="1026"/>
      <c r="N458" s="987"/>
      <c r="O458" s="987"/>
      <c r="P458" s="987"/>
      <c r="Q458" s="987"/>
      <c r="R458" s="987"/>
      <c r="S458" s="987"/>
      <c r="T458" s="988"/>
      <c r="U458" s="1067" t="s">
        <v>1501</v>
      </c>
      <c r="V458" s="1068" t="s">
        <v>3702</v>
      </c>
      <c r="W458" s="1068" t="s">
        <v>2217</v>
      </c>
      <c r="X458" s="1069" t="s">
        <v>3710</v>
      </c>
      <c r="Y458" s="1070" t="s">
        <v>3711</v>
      </c>
      <c r="Z458" s="1071" t="s">
        <v>3712</v>
      </c>
      <c r="AA458" s="1072" t="s">
        <v>2260</v>
      </c>
      <c r="AB458" s="1073" t="s">
        <v>2260</v>
      </c>
      <c r="AC458" s="1073">
        <v>1</v>
      </c>
      <c r="AD458" s="1073" t="s">
        <v>2260</v>
      </c>
      <c r="AE458" s="1073" t="s">
        <v>2260</v>
      </c>
      <c r="AF458" s="1073" t="s">
        <v>2260</v>
      </c>
      <c r="AG458" s="1073" t="s">
        <v>2260</v>
      </c>
      <c r="AH458" s="1073" t="s">
        <v>2260</v>
      </c>
      <c r="AI458" s="1074">
        <f t="shared" ref="AI458:AI521" si="7">SUM(AA458:AH458)</f>
        <v>1</v>
      </c>
      <c r="AJ458" s="1075" t="s">
        <v>1852</v>
      </c>
      <c r="AK458" s="1075" t="s">
        <v>1826</v>
      </c>
      <c r="AL458" s="1075" t="s">
        <v>1827</v>
      </c>
      <c r="AM458" s="1076" t="s">
        <v>2351</v>
      </c>
      <c r="AN458" s="987" t="s">
        <v>2439</v>
      </c>
      <c r="AO458" s="987" t="s">
        <v>4447</v>
      </c>
      <c r="AP458" s="1285">
        <v>0</v>
      </c>
      <c r="AQ458" s="1045" t="s">
        <v>1838</v>
      </c>
      <c r="AR458" s="1078"/>
      <c r="AS458" s="1079"/>
      <c r="AT458" s="1069"/>
      <c r="AU458" s="1069"/>
      <c r="AV458" s="1069"/>
      <c r="AW458" s="1080"/>
      <c r="AX458" s="1081"/>
      <c r="AY458" s="1044"/>
      <c r="AZ458" s="1045"/>
      <c r="BA458" s="1045"/>
      <c r="BB458" s="1045"/>
      <c r="BC458" s="1045"/>
      <c r="BD458" s="1045"/>
      <c r="BE458" s="1045"/>
      <c r="BF458" s="1045"/>
      <c r="BG458" s="1095"/>
      <c r="BH458" s="1095"/>
      <c r="BI458" s="1660"/>
      <c r="BJ458" s="1661"/>
      <c r="BK458" s="1661"/>
      <c r="BL458" s="1661"/>
      <c r="BM458" s="1661"/>
      <c r="BN458" s="1044"/>
      <c r="BO458" s="1045"/>
      <c r="BP458" s="1045"/>
      <c r="BQ458" s="1045"/>
      <c r="BR458" s="1045"/>
      <c r="BS458" s="1084"/>
      <c r="BT458" s="1045"/>
      <c r="BU458" s="1045"/>
      <c r="BV458" s="1045"/>
      <c r="BW458" s="1085"/>
      <c r="BX458" s="1084"/>
      <c r="BY458" s="1045"/>
      <c r="BZ458" s="1045"/>
      <c r="CA458" s="1045"/>
      <c r="CB458" s="1085"/>
      <c r="CC458" s="1086"/>
      <c r="CD458" s="1327"/>
      <c r="CE458" s="1328"/>
      <c r="CF458" s="1328"/>
      <c r="CG458" s="1328"/>
      <c r="CH458" s="1389"/>
      <c r="CI458" s="1369"/>
      <c r="CJ458" s="1319"/>
      <c r="CK458" s="1319"/>
      <c r="CL458" s="1319"/>
      <c r="CM458" s="1320"/>
      <c r="CN458" s="1369"/>
      <c r="CO458" s="1319"/>
      <c r="CP458" s="1319"/>
      <c r="CQ458" s="1319"/>
      <c r="CR458" s="1320"/>
      <c r="CS458" s="1369"/>
      <c r="CT458" s="1319"/>
      <c r="CU458" s="1319"/>
      <c r="CV458" s="1319"/>
      <c r="CW458" s="1320"/>
      <c r="CX458" s="1369"/>
      <c r="CY458" s="1319"/>
      <c r="CZ458" s="1319"/>
      <c r="DA458" s="1319"/>
      <c r="DB458" s="1320"/>
      <c r="DC458" s="1319"/>
      <c r="DD458" s="1319"/>
      <c r="DE458" s="1319"/>
      <c r="DF458" s="1319"/>
      <c r="DG458" s="1320"/>
      <c r="DH458" s="1369"/>
      <c r="DI458" s="1319"/>
      <c r="DJ458" s="1319"/>
      <c r="DK458" s="1319"/>
      <c r="DL458" s="1320"/>
      <c r="DM458" s="1743"/>
      <c r="DN458" s="1744"/>
      <c r="DO458" s="1744"/>
      <c r="DP458" s="1745"/>
      <c r="DQ458" s="1744"/>
      <c r="DR458" s="1744"/>
      <c r="DS458" s="1744"/>
      <c r="DT458" s="1745"/>
      <c r="DU458" s="1328"/>
      <c r="DV458" s="1664"/>
      <c r="DW458" s="1746"/>
    </row>
    <row r="459" spans="1:127" s="382" customFormat="1" ht="15.75" customHeight="1">
      <c r="A459" s="1066" t="s">
        <v>1199</v>
      </c>
      <c r="B459" s="1026">
        <v>450</v>
      </c>
      <c r="C459" s="987"/>
      <c r="D459" s="987"/>
      <c r="E459" s="987"/>
      <c r="F459" s="987"/>
      <c r="G459" s="987"/>
      <c r="H459" s="987"/>
      <c r="I459" s="987"/>
      <c r="J459" s="987"/>
      <c r="K459" s="987"/>
      <c r="L459" s="987"/>
      <c r="M459" s="1026"/>
      <c r="N459" s="987"/>
      <c r="O459" s="987"/>
      <c r="P459" s="987"/>
      <c r="Q459" s="987"/>
      <c r="R459" s="987"/>
      <c r="S459" s="987"/>
      <c r="T459" s="988"/>
      <c r="U459" s="1067" t="s">
        <v>1512</v>
      </c>
      <c r="V459" s="1068" t="s">
        <v>3702</v>
      </c>
      <c r="W459" s="1068" t="s">
        <v>2231</v>
      </c>
      <c r="X459" s="1069" t="s">
        <v>3713</v>
      </c>
      <c r="Y459" s="1070" t="s">
        <v>3714</v>
      </c>
      <c r="Z459" s="1071" t="s">
        <v>3715</v>
      </c>
      <c r="AA459" s="1072" t="s">
        <v>2260</v>
      </c>
      <c r="AB459" s="1073" t="s">
        <v>2260</v>
      </c>
      <c r="AC459" s="1073">
        <v>1</v>
      </c>
      <c r="AD459" s="1073" t="s">
        <v>2260</v>
      </c>
      <c r="AE459" s="1073" t="s">
        <v>2260</v>
      </c>
      <c r="AF459" s="1073" t="s">
        <v>2260</v>
      </c>
      <c r="AG459" s="1073" t="s">
        <v>2260</v>
      </c>
      <c r="AH459" s="1073" t="s">
        <v>2260</v>
      </c>
      <c r="AI459" s="1074">
        <f t="shared" si="7"/>
        <v>1</v>
      </c>
      <c r="AJ459" s="1075" t="s">
        <v>1846</v>
      </c>
      <c r="AK459" s="1075" t="s">
        <v>1826</v>
      </c>
      <c r="AL459" s="1075" t="s">
        <v>1827</v>
      </c>
      <c r="AM459" s="1076" t="s">
        <v>2528</v>
      </c>
      <c r="AN459" s="987" t="s">
        <v>321</v>
      </c>
      <c r="AO459" s="987" t="s">
        <v>3716</v>
      </c>
      <c r="AP459" s="1285">
        <v>1</v>
      </c>
      <c r="AQ459" s="1045" t="s">
        <v>1828</v>
      </c>
      <c r="AR459" s="1078" t="s">
        <v>2260</v>
      </c>
      <c r="AS459" s="1079"/>
      <c r="AT459" s="1069"/>
      <c r="AU459" s="1069"/>
      <c r="AV459" s="1069"/>
      <c r="AW459" s="1080"/>
      <c r="AX459" s="1081"/>
      <c r="AY459" s="1044"/>
      <c r="AZ459" s="1045"/>
      <c r="BA459" s="1045"/>
      <c r="BB459" s="1045"/>
      <c r="BC459" s="1045"/>
      <c r="BD459" s="1045"/>
      <c r="BE459" s="1045"/>
      <c r="BF459" s="1045"/>
      <c r="BG459" s="1045"/>
      <c r="BH459" s="1045"/>
      <c r="BI459" s="1369"/>
      <c r="BJ459" s="1319"/>
      <c r="BK459" s="1319"/>
      <c r="BL459" s="1319"/>
      <c r="BM459" s="1319"/>
      <c r="BN459" s="1044"/>
      <c r="BO459" s="1045"/>
      <c r="BP459" s="1045"/>
      <c r="BQ459" s="1045"/>
      <c r="BR459" s="1045"/>
      <c r="BS459" s="1084"/>
      <c r="BT459" s="1045"/>
      <c r="BU459" s="1045"/>
      <c r="BV459" s="1045"/>
      <c r="BW459" s="1085"/>
      <c r="BX459" s="1084"/>
      <c r="BY459" s="1045"/>
      <c r="BZ459" s="1045"/>
      <c r="CA459" s="1045"/>
      <c r="CB459" s="1085"/>
      <c r="CC459" s="1086"/>
      <c r="CD459" s="1327"/>
      <c r="CE459" s="1328"/>
      <c r="CF459" s="1328"/>
      <c r="CG459" s="1328"/>
      <c r="CH459" s="1389"/>
      <c r="CI459" s="1369"/>
      <c r="CJ459" s="1319"/>
      <c r="CK459" s="1319"/>
      <c r="CL459" s="1319"/>
      <c r="CM459" s="1320"/>
      <c r="CN459" s="1369"/>
      <c r="CO459" s="1319"/>
      <c r="CP459" s="1319"/>
      <c r="CQ459" s="1319"/>
      <c r="CR459" s="1320"/>
      <c r="CS459" s="1369"/>
      <c r="CT459" s="1319"/>
      <c r="CU459" s="1319"/>
      <c r="CV459" s="1319"/>
      <c r="CW459" s="1320"/>
      <c r="CX459" s="1369"/>
      <c r="CY459" s="1319"/>
      <c r="CZ459" s="1319"/>
      <c r="DA459" s="1319"/>
      <c r="DB459" s="1320"/>
      <c r="DC459" s="1319"/>
      <c r="DD459" s="1319"/>
      <c r="DE459" s="1319"/>
      <c r="DF459" s="1319"/>
      <c r="DG459" s="1320"/>
      <c r="DH459" s="1369"/>
      <c r="DI459" s="1319"/>
      <c r="DJ459" s="1319"/>
      <c r="DK459" s="1319"/>
      <c r="DL459" s="1320"/>
      <c r="DM459" s="1743"/>
      <c r="DN459" s="1744"/>
      <c r="DO459" s="1744"/>
      <c r="DP459" s="1745"/>
      <c r="DQ459" s="1744"/>
      <c r="DR459" s="1744"/>
      <c r="DS459" s="1744"/>
      <c r="DT459" s="1745"/>
      <c r="DU459" s="1328"/>
      <c r="DV459" s="1664"/>
      <c r="DW459" s="1746"/>
    </row>
    <row r="460" spans="1:127" s="382" customFormat="1" ht="15.75" customHeight="1">
      <c r="A460" s="1066" t="s">
        <v>1199</v>
      </c>
      <c r="B460" s="1026">
        <v>451</v>
      </c>
      <c r="C460" s="987"/>
      <c r="D460" s="987"/>
      <c r="E460" s="987"/>
      <c r="F460" s="987"/>
      <c r="G460" s="987"/>
      <c r="H460" s="987"/>
      <c r="I460" s="987"/>
      <c r="J460" s="987"/>
      <c r="K460" s="987"/>
      <c r="L460" s="987"/>
      <c r="M460" s="1026"/>
      <c r="N460" s="987"/>
      <c r="O460" s="987"/>
      <c r="P460" s="987"/>
      <c r="Q460" s="987"/>
      <c r="R460" s="987"/>
      <c r="S460" s="987"/>
      <c r="T460" s="988"/>
      <c r="U460" s="1067" t="s">
        <v>1184</v>
      </c>
      <c r="V460" s="1068" t="s">
        <v>3717</v>
      </c>
      <c r="W460" s="1068" t="s">
        <v>2231</v>
      </c>
      <c r="X460" s="1069" t="s">
        <v>3718</v>
      </c>
      <c r="Y460" s="1070" t="s">
        <v>891</v>
      </c>
      <c r="Z460" s="1071" t="s">
        <v>3719</v>
      </c>
      <c r="AA460" s="1072" t="s">
        <v>2260</v>
      </c>
      <c r="AB460" s="1073" t="s">
        <v>2260</v>
      </c>
      <c r="AC460" s="1073">
        <v>1</v>
      </c>
      <c r="AD460" s="1073" t="s">
        <v>2260</v>
      </c>
      <c r="AE460" s="1073" t="s">
        <v>2260</v>
      </c>
      <c r="AF460" s="1073" t="s">
        <v>2260</v>
      </c>
      <c r="AG460" s="1073" t="s">
        <v>2260</v>
      </c>
      <c r="AH460" s="1073" t="s">
        <v>2260</v>
      </c>
      <c r="AI460" s="1074">
        <f t="shared" si="7"/>
        <v>1</v>
      </c>
      <c r="AJ460" s="1075" t="s">
        <v>1825</v>
      </c>
      <c r="AK460" s="1075" t="s">
        <v>2260</v>
      </c>
      <c r="AL460" s="1075" t="s">
        <v>2260</v>
      </c>
      <c r="AM460" s="1076" t="s">
        <v>2351</v>
      </c>
      <c r="AN460" s="987" t="s">
        <v>321</v>
      </c>
      <c r="AO460" s="987" t="s">
        <v>4417</v>
      </c>
      <c r="AP460" s="1276">
        <v>2</v>
      </c>
      <c r="AQ460" s="1045" t="s">
        <v>1838</v>
      </c>
      <c r="AR460" s="1078" t="s">
        <v>891</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2260</v>
      </c>
      <c r="CE460" s="1088" t="s">
        <v>2260</v>
      </c>
      <c r="CF460" s="1088" t="s">
        <v>2260</v>
      </c>
      <c r="CG460" s="1088" t="s">
        <v>2260</v>
      </c>
      <c r="CH460" s="1089" t="s">
        <v>2260</v>
      </c>
      <c r="CI460" s="1044" t="s">
        <v>2260</v>
      </c>
      <c r="CJ460" s="1045" t="s">
        <v>2260</v>
      </c>
      <c r="CK460" s="1045" t="s">
        <v>2260</v>
      </c>
      <c r="CL460" s="1045" t="s">
        <v>2260</v>
      </c>
      <c r="CM460" s="1086" t="s">
        <v>2260</v>
      </c>
      <c r="CN460" s="1044" t="s">
        <v>2260</v>
      </c>
      <c r="CO460" s="1045" t="s">
        <v>2260</v>
      </c>
      <c r="CP460" s="1045" t="s">
        <v>2260</v>
      </c>
      <c r="CQ460" s="1045" t="s">
        <v>2260</v>
      </c>
      <c r="CR460" s="1086" t="s">
        <v>2260</v>
      </c>
      <c r="CS460" s="1044" t="s">
        <v>2260</v>
      </c>
      <c r="CT460" s="1045" t="s">
        <v>2260</v>
      </c>
      <c r="CU460" s="1045" t="s">
        <v>2260</v>
      </c>
      <c r="CV460" s="1045" t="s">
        <v>2260</v>
      </c>
      <c r="CW460" s="1086" t="s">
        <v>2260</v>
      </c>
      <c r="CX460" s="1044" t="s">
        <v>2260</v>
      </c>
      <c r="CY460" s="1045" t="s">
        <v>2260</v>
      </c>
      <c r="CZ460" s="1045" t="s">
        <v>2260</v>
      </c>
      <c r="DA460" s="1045" t="s">
        <v>2260</v>
      </c>
      <c r="DB460" s="1086" t="s">
        <v>2260</v>
      </c>
      <c r="DC460" s="1045" t="s">
        <v>2260</v>
      </c>
      <c r="DD460" s="1045" t="s">
        <v>2260</v>
      </c>
      <c r="DE460" s="1045" t="s">
        <v>2260</v>
      </c>
      <c r="DF460" s="1045" t="s">
        <v>2260</v>
      </c>
      <c r="DG460" s="1086" t="s">
        <v>2260</v>
      </c>
      <c r="DH460" s="1044" t="s">
        <v>2260</v>
      </c>
      <c r="DI460" s="1045" t="s">
        <v>2260</v>
      </c>
      <c r="DJ460" s="1045" t="s">
        <v>2260</v>
      </c>
      <c r="DK460" s="1045" t="s">
        <v>2260</v>
      </c>
      <c r="DL460" s="1086" t="s">
        <v>2260</v>
      </c>
      <c r="DM460" s="1090" t="s">
        <v>2260</v>
      </c>
      <c r="DN460" s="1091" t="s">
        <v>2260</v>
      </c>
      <c r="DO460" s="1091" t="s">
        <v>2260</v>
      </c>
      <c r="DP460" s="1092" t="s">
        <v>2260</v>
      </c>
      <c r="DQ460" s="1091" t="s">
        <v>2260</v>
      </c>
      <c r="DR460" s="1091" t="s">
        <v>2260</v>
      </c>
      <c r="DS460" s="1091" t="s">
        <v>2260</v>
      </c>
      <c r="DT460" s="1092" t="s">
        <v>2260</v>
      </c>
      <c r="DU460" s="1088" t="s">
        <v>2260</v>
      </c>
      <c r="DV460" s="1093">
        <v>1</v>
      </c>
      <c r="DW460" s="1094" t="s">
        <v>2260</v>
      </c>
    </row>
    <row r="461" spans="1:127" s="382" customFormat="1" ht="15.75" customHeight="1">
      <c r="A461" s="1066" t="s">
        <v>1199</v>
      </c>
      <c r="B461" s="1026">
        <v>452</v>
      </c>
      <c r="C461" s="987"/>
      <c r="D461" s="987"/>
      <c r="E461" s="987"/>
      <c r="F461" s="987"/>
      <c r="G461" s="987"/>
      <c r="H461" s="987"/>
      <c r="I461" s="987"/>
      <c r="J461" s="987"/>
      <c r="K461" s="987"/>
      <c r="L461" s="987"/>
      <c r="M461" s="1026"/>
      <c r="N461" s="987"/>
      <c r="O461" s="987"/>
      <c r="P461" s="987"/>
      <c r="Q461" s="987"/>
      <c r="R461" s="987"/>
      <c r="S461" s="987"/>
      <c r="T461" s="988"/>
      <c r="U461" s="1067" t="s">
        <v>1523</v>
      </c>
      <c r="V461" s="1068" t="s">
        <v>3717</v>
      </c>
      <c r="W461" s="1068" t="s">
        <v>2217</v>
      </c>
      <c r="X461" s="1069" t="s">
        <v>3720</v>
      </c>
      <c r="Y461" s="1070" t="s">
        <v>3227</v>
      </c>
      <c r="Z461" s="1071" t="s">
        <v>3721</v>
      </c>
      <c r="AA461" s="1072" t="s">
        <v>2260</v>
      </c>
      <c r="AB461" s="1073" t="s">
        <v>2260</v>
      </c>
      <c r="AC461" s="1073">
        <v>1</v>
      </c>
      <c r="AD461" s="1073" t="s">
        <v>2260</v>
      </c>
      <c r="AE461" s="1073" t="s">
        <v>2260</v>
      </c>
      <c r="AF461" s="1073" t="s">
        <v>2260</v>
      </c>
      <c r="AG461" s="1073" t="s">
        <v>2260</v>
      </c>
      <c r="AH461" s="1073" t="s">
        <v>2260</v>
      </c>
      <c r="AI461" s="1074">
        <f t="shared" si="7"/>
        <v>1</v>
      </c>
      <c r="AJ461" s="1075" t="s">
        <v>1852</v>
      </c>
      <c r="AK461" s="1075" t="s">
        <v>1826</v>
      </c>
      <c r="AL461" s="1075" t="s">
        <v>1837</v>
      </c>
      <c r="AM461" s="1076" t="s">
        <v>2234</v>
      </c>
      <c r="AN461" s="987" t="s">
        <v>2439</v>
      </c>
      <c r="AO461" s="987" t="s">
        <v>3722</v>
      </c>
      <c r="AP461" s="1285">
        <v>2</v>
      </c>
      <c r="AQ461" s="1045" t="s">
        <v>1828</v>
      </c>
      <c r="AR461" s="1078" t="s">
        <v>2260</v>
      </c>
      <c r="AS461" s="1079"/>
      <c r="AT461" s="1069"/>
      <c r="AU461" s="1069"/>
      <c r="AV461" s="1069"/>
      <c r="AW461" s="1080"/>
      <c r="AX461" s="1081"/>
      <c r="AY461" s="1044"/>
      <c r="AZ461" s="1045"/>
      <c r="BA461" s="1045"/>
      <c r="BB461" s="1045"/>
      <c r="BC461" s="1045"/>
      <c r="BD461" s="1045"/>
      <c r="BE461" s="1045"/>
      <c r="BF461" s="1045"/>
      <c r="BG461" s="1045"/>
      <c r="BH461" s="1045"/>
      <c r="BI461" s="1369"/>
      <c r="BJ461" s="1319"/>
      <c r="BK461" s="1319"/>
      <c r="BL461" s="1319"/>
      <c r="BM461" s="1319"/>
      <c r="BN461" s="1044"/>
      <c r="BO461" s="1045"/>
      <c r="BP461" s="1045"/>
      <c r="BQ461" s="1045"/>
      <c r="BR461" s="1045"/>
      <c r="BS461" s="1084"/>
      <c r="BT461" s="1045"/>
      <c r="BU461" s="1045"/>
      <c r="BV461" s="1045"/>
      <c r="BW461" s="1085"/>
      <c r="BX461" s="1084"/>
      <c r="BY461" s="1045"/>
      <c r="BZ461" s="1045"/>
      <c r="CA461" s="1045"/>
      <c r="CB461" s="1085"/>
      <c r="CC461" s="1086"/>
      <c r="CD461" s="1327"/>
      <c r="CE461" s="1328"/>
      <c r="CF461" s="1328"/>
      <c r="CG461" s="1328"/>
      <c r="CH461" s="1389"/>
      <c r="CI461" s="1369"/>
      <c r="CJ461" s="1319"/>
      <c r="CK461" s="1319"/>
      <c r="CL461" s="1319"/>
      <c r="CM461" s="1320"/>
      <c r="CN461" s="1369"/>
      <c r="CO461" s="1319"/>
      <c r="CP461" s="1319"/>
      <c r="CQ461" s="1319"/>
      <c r="CR461" s="1320"/>
      <c r="CS461" s="1369"/>
      <c r="CT461" s="1319"/>
      <c r="CU461" s="1319"/>
      <c r="CV461" s="1319"/>
      <c r="CW461" s="1320"/>
      <c r="CX461" s="1369"/>
      <c r="CY461" s="1319"/>
      <c r="CZ461" s="1319"/>
      <c r="DA461" s="1319"/>
      <c r="DB461" s="1320"/>
      <c r="DC461" s="1319"/>
      <c r="DD461" s="1319"/>
      <c r="DE461" s="1319"/>
      <c r="DF461" s="1319"/>
      <c r="DG461" s="1320"/>
      <c r="DH461" s="1369"/>
      <c r="DI461" s="1319"/>
      <c r="DJ461" s="1319"/>
      <c r="DK461" s="1319"/>
      <c r="DL461" s="1320"/>
      <c r="DM461" s="1743"/>
      <c r="DN461" s="1744"/>
      <c r="DO461" s="1744"/>
      <c r="DP461" s="1745"/>
      <c r="DQ461" s="1744"/>
      <c r="DR461" s="1744"/>
      <c r="DS461" s="1744"/>
      <c r="DT461" s="1745"/>
      <c r="DU461" s="1328"/>
      <c r="DV461" s="1664"/>
      <c r="DW461" s="1746"/>
    </row>
    <row r="462" spans="1:127" s="382" customFormat="1" ht="15.75" customHeight="1">
      <c r="A462" s="1066" t="s">
        <v>1199</v>
      </c>
      <c r="B462" s="1026">
        <v>453</v>
      </c>
      <c r="C462" s="987"/>
      <c r="D462" s="987"/>
      <c r="E462" s="987"/>
      <c r="F462" s="987"/>
      <c r="G462" s="987"/>
      <c r="H462" s="987"/>
      <c r="I462" s="987"/>
      <c r="J462" s="987"/>
      <c r="K462" s="987"/>
      <c r="L462" s="987"/>
      <c r="M462" s="1026"/>
      <c r="N462" s="987"/>
      <c r="O462" s="987"/>
      <c r="P462" s="987"/>
      <c r="Q462" s="987"/>
      <c r="R462" s="987"/>
      <c r="S462" s="987"/>
      <c r="T462" s="988"/>
      <c r="U462" s="1067" t="s">
        <v>1258</v>
      </c>
      <c r="V462" s="1068" t="s">
        <v>3717</v>
      </c>
      <c r="W462" s="1068" t="s">
        <v>2231</v>
      </c>
      <c r="X462" s="1069" t="s">
        <v>3723</v>
      </c>
      <c r="Y462" s="1070" t="s">
        <v>567</v>
      </c>
      <c r="Z462" s="1071" t="s">
        <v>3724</v>
      </c>
      <c r="AA462" s="1072">
        <v>0.01</v>
      </c>
      <c r="AB462" s="1073">
        <v>0.99</v>
      </c>
      <c r="AC462" s="1073" t="s">
        <v>2260</v>
      </c>
      <c r="AD462" s="1073" t="s">
        <v>2260</v>
      </c>
      <c r="AE462" s="1073" t="s">
        <v>2260</v>
      </c>
      <c r="AF462" s="1073" t="s">
        <v>2260</v>
      </c>
      <c r="AG462" s="1073" t="s">
        <v>2260</v>
      </c>
      <c r="AH462" s="1073" t="s">
        <v>2260</v>
      </c>
      <c r="AI462" s="1074">
        <f t="shared" si="7"/>
        <v>1</v>
      </c>
      <c r="AJ462" s="1075" t="s">
        <v>1825</v>
      </c>
      <c r="AK462" s="1075" t="s">
        <v>2260</v>
      </c>
      <c r="AL462" s="1075" t="s">
        <v>2260</v>
      </c>
      <c r="AM462" s="1076" t="s">
        <v>2234</v>
      </c>
      <c r="AN462" s="987" t="s">
        <v>321</v>
      </c>
      <c r="AO462" s="987" t="s">
        <v>4417</v>
      </c>
      <c r="AP462" s="1276">
        <v>1</v>
      </c>
      <c r="AQ462" s="1045" t="s">
        <v>1838</v>
      </c>
      <c r="AR462" s="1078" t="s">
        <v>567</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2260</v>
      </c>
      <c r="CE462" s="1088" t="s">
        <v>2260</v>
      </c>
      <c r="CF462" s="1088" t="s">
        <v>2260</v>
      </c>
      <c r="CG462" s="1088" t="s">
        <v>2260</v>
      </c>
      <c r="CH462" s="1089" t="s">
        <v>2260</v>
      </c>
      <c r="CI462" s="1044" t="s">
        <v>2260</v>
      </c>
      <c r="CJ462" s="1045" t="s">
        <v>2260</v>
      </c>
      <c r="CK462" s="1045" t="s">
        <v>2260</v>
      </c>
      <c r="CL462" s="1045" t="s">
        <v>2260</v>
      </c>
      <c r="CM462" s="1086" t="s">
        <v>2260</v>
      </c>
      <c r="CN462" s="1044" t="s">
        <v>2260</v>
      </c>
      <c r="CO462" s="1045" t="s">
        <v>2260</v>
      </c>
      <c r="CP462" s="1045" t="s">
        <v>2260</v>
      </c>
      <c r="CQ462" s="1045" t="s">
        <v>2260</v>
      </c>
      <c r="CR462" s="1086" t="s">
        <v>2260</v>
      </c>
      <c r="CS462" s="1044" t="s">
        <v>2260</v>
      </c>
      <c r="CT462" s="1045" t="s">
        <v>2260</v>
      </c>
      <c r="CU462" s="1045" t="s">
        <v>2260</v>
      </c>
      <c r="CV462" s="1045" t="s">
        <v>2260</v>
      </c>
      <c r="CW462" s="1086" t="s">
        <v>2260</v>
      </c>
      <c r="CX462" s="1044" t="s">
        <v>2260</v>
      </c>
      <c r="CY462" s="1045" t="s">
        <v>2260</v>
      </c>
      <c r="CZ462" s="1045" t="s">
        <v>2260</v>
      </c>
      <c r="DA462" s="1045" t="s">
        <v>2260</v>
      </c>
      <c r="DB462" s="1086" t="s">
        <v>2260</v>
      </c>
      <c r="DC462" s="1045" t="s">
        <v>2260</v>
      </c>
      <c r="DD462" s="1045" t="s">
        <v>2260</v>
      </c>
      <c r="DE462" s="1045" t="s">
        <v>2260</v>
      </c>
      <c r="DF462" s="1045" t="s">
        <v>2260</v>
      </c>
      <c r="DG462" s="1086" t="s">
        <v>2260</v>
      </c>
      <c r="DH462" s="1044" t="s">
        <v>2260</v>
      </c>
      <c r="DI462" s="1045" t="s">
        <v>2260</v>
      </c>
      <c r="DJ462" s="1045" t="s">
        <v>2260</v>
      </c>
      <c r="DK462" s="1045" t="s">
        <v>2260</v>
      </c>
      <c r="DL462" s="1086" t="s">
        <v>2260</v>
      </c>
      <c r="DM462" s="1090" t="s">
        <v>2260</v>
      </c>
      <c r="DN462" s="1091" t="s">
        <v>2260</v>
      </c>
      <c r="DO462" s="1091" t="s">
        <v>2260</v>
      </c>
      <c r="DP462" s="1092" t="s">
        <v>2260</v>
      </c>
      <c r="DQ462" s="1091" t="s">
        <v>2260</v>
      </c>
      <c r="DR462" s="1091" t="s">
        <v>2260</v>
      </c>
      <c r="DS462" s="1091" t="s">
        <v>2260</v>
      </c>
      <c r="DT462" s="1092" t="s">
        <v>2260</v>
      </c>
      <c r="DU462" s="1088" t="s">
        <v>173</v>
      </c>
      <c r="DV462" s="1093">
        <v>1</v>
      </c>
      <c r="DW462" s="1094" t="s">
        <v>2260</v>
      </c>
    </row>
    <row r="463" spans="1:127" s="382" customFormat="1" ht="15.75" customHeight="1">
      <c r="A463" s="1066" t="s">
        <v>1199</v>
      </c>
      <c r="B463" s="1026">
        <v>454</v>
      </c>
      <c r="C463" s="987"/>
      <c r="D463" s="987"/>
      <c r="E463" s="987"/>
      <c r="F463" s="987"/>
      <c r="G463" s="987"/>
      <c r="H463" s="987"/>
      <c r="I463" s="987"/>
      <c r="J463" s="987"/>
      <c r="K463" s="987"/>
      <c r="L463" s="987"/>
      <c r="M463" s="1026"/>
      <c r="N463" s="987"/>
      <c r="O463" s="987"/>
      <c r="P463" s="987"/>
      <c r="Q463" s="987"/>
      <c r="R463" s="987"/>
      <c r="S463" s="987"/>
      <c r="T463" s="988"/>
      <c r="U463" s="1067" t="s">
        <v>1384</v>
      </c>
      <c r="V463" s="1068" t="s">
        <v>3717</v>
      </c>
      <c r="W463" s="1068" t="s">
        <v>2223</v>
      </c>
      <c r="X463" s="1069" t="s">
        <v>3725</v>
      </c>
      <c r="Y463" s="1070" t="s">
        <v>3726</v>
      </c>
      <c r="Z463" s="1071" t="s">
        <v>3727</v>
      </c>
      <c r="AA463" s="1072">
        <v>0.67</v>
      </c>
      <c r="AB463" s="1073">
        <v>0.33</v>
      </c>
      <c r="AC463" s="1073" t="s">
        <v>2260</v>
      </c>
      <c r="AD463" s="1073" t="s">
        <v>2260</v>
      </c>
      <c r="AE463" s="1073" t="s">
        <v>2260</v>
      </c>
      <c r="AF463" s="1073" t="s">
        <v>2260</v>
      </c>
      <c r="AG463" s="1073" t="s">
        <v>2260</v>
      </c>
      <c r="AH463" s="1073" t="s">
        <v>2260</v>
      </c>
      <c r="AI463" s="1074">
        <f t="shared" si="7"/>
        <v>1</v>
      </c>
      <c r="AJ463" s="1075" t="s">
        <v>1846</v>
      </c>
      <c r="AK463" s="1075" t="s">
        <v>1826</v>
      </c>
      <c r="AL463" s="1075" t="s">
        <v>1827</v>
      </c>
      <c r="AM463" s="1076" t="s">
        <v>2698</v>
      </c>
      <c r="AN463" s="987" t="s">
        <v>1897</v>
      </c>
      <c r="AO463" s="987" t="s">
        <v>3728</v>
      </c>
      <c r="AP463" s="1285">
        <v>0</v>
      </c>
      <c r="AQ463" s="1045" t="s">
        <v>1828</v>
      </c>
      <c r="AR463" s="1078" t="s">
        <v>2260</v>
      </c>
      <c r="AS463" s="1079"/>
      <c r="AT463" s="1069"/>
      <c r="AU463" s="1069"/>
      <c r="AV463" s="1069"/>
      <c r="AW463" s="1080"/>
      <c r="AX463" s="1081"/>
      <c r="AY463" s="1044"/>
      <c r="AZ463" s="1045"/>
      <c r="BA463" s="1045"/>
      <c r="BB463" s="1045"/>
      <c r="BC463" s="1045"/>
      <c r="BD463" s="1045"/>
      <c r="BE463" s="1045"/>
      <c r="BF463" s="1045"/>
      <c r="BG463" s="1045"/>
      <c r="BH463" s="1045"/>
      <c r="BI463" s="1369"/>
      <c r="BJ463" s="1319"/>
      <c r="BK463" s="1319"/>
      <c r="BL463" s="1319"/>
      <c r="BM463" s="1319"/>
      <c r="BN463" s="1044"/>
      <c r="BO463" s="1045"/>
      <c r="BP463" s="1045"/>
      <c r="BQ463" s="1045"/>
      <c r="BR463" s="1045"/>
      <c r="BS463" s="1084"/>
      <c r="BT463" s="1045"/>
      <c r="BU463" s="1045"/>
      <c r="BV463" s="1045"/>
      <c r="BW463" s="1085"/>
      <c r="BX463" s="1084"/>
      <c r="BY463" s="1045"/>
      <c r="BZ463" s="1045"/>
      <c r="CA463" s="1045"/>
      <c r="CB463" s="1085"/>
      <c r="CC463" s="1086"/>
      <c r="CD463" s="1327"/>
      <c r="CE463" s="1328"/>
      <c r="CF463" s="1328"/>
      <c r="CG463" s="1328"/>
      <c r="CH463" s="1389"/>
      <c r="CI463" s="1369"/>
      <c r="CJ463" s="1319"/>
      <c r="CK463" s="1319"/>
      <c r="CL463" s="1319"/>
      <c r="CM463" s="1320"/>
      <c r="CN463" s="1369"/>
      <c r="CO463" s="1319"/>
      <c r="CP463" s="1319"/>
      <c r="CQ463" s="1319"/>
      <c r="CR463" s="1320"/>
      <c r="CS463" s="1369"/>
      <c r="CT463" s="1319"/>
      <c r="CU463" s="1319"/>
      <c r="CV463" s="1319"/>
      <c r="CW463" s="1320"/>
      <c r="CX463" s="1369"/>
      <c r="CY463" s="1319"/>
      <c r="CZ463" s="1319"/>
      <c r="DA463" s="1319"/>
      <c r="DB463" s="1320"/>
      <c r="DC463" s="1319"/>
      <c r="DD463" s="1319"/>
      <c r="DE463" s="1319"/>
      <c r="DF463" s="1319"/>
      <c r="DG463" s="1320"/>
      <c r="DH463" s="1369"/>
      <c r="DI463" s="1319"/>
      <c r="DJ463" s="1319"/>
      <c r="DK463" s="1319"/>
      <c r="DL463" s="1320"/>
      <c r="DM463" s="1743"/>
      <c r="DN463" s="1744"/>
      <c r="DO463" s="1744"/>
      <c r="DP463" s="1745"/>
      <c r="DQ463" s="1744"/>
      <c r="DR463" s="1744"/>
      <c r="DS463" s="1744"/>
      <c r="DT463" s="1745"/>
      <c r="DU463" s="1328"/>
      <c r="DV463" s="1664"/>
      <c r="DW463" s="1746"/>
    </row>
    <row r="464" spans="1:127" s="382" customFormat="1" ht="15.75" customHeight="1">
      <c r="A464" s="1066" t="s">
        <v>1199</v>
      </c>
      <c r="B464" s="1026">
        <v>455</v>
      </c>
      <c r="C464" s="987"/>
      <c r="D464" s="987"/>
      <c r="E464" s="987"/>
      <c r="F464" s="987"/>
      <c r="G464" s="987"/>
      <c r="H464" s="987"/>
      <c r="I464" s="987"/>
      <c r="J464" s="987"/>
      <c r="K464" s="987"/>
      <c r="L464" s="987"/>
      <c r="M464" s="1026"/>
      <c r="N464" s="987"/>
      <c r="O464" s="987"/>
      <c r="P464" s="987"/>
      <c r="Q464" s="987"/>
      <c r="R464" s="987"/>
      <c r="S464" s="987"/>
      <c r="T464" s="988"/>
      <c r="U464" s="1067" t="s">
        <v>1401</v>
      </c>
      <c r="V464" s="1068" t="s">
        <v>3717</v>
      </c>
      <c r="W464" s="1068" t="s">
        <v>2231</v>
      </c>
      <c r="X464" s="1069" t="s">
        <v>3729</v>
      </c>
      <c r="Y464" s="1070" t="s">
        <v>3730</v>
      </c>
      <c r="Z464" s="1071" t="s">
        <v>3731</v>
      </c>
      <c r="AA464" s="1072" t="s">
        <v>2260</v>
      </c>
      <c r="AB464" s="1073">
        <v>0.67</v>
      </c>
      <c r="AC464" s="1073">
        <v>0.33</v>
      </c>
      <c r="AD464" s="1073" t="s">
        <v>2260</v>
      </c>
      <c r="AE464" s="1073" t="s">
        <v>2260</v>
      </c>
      <c r="AF464" s="1073" t="s">
        <v>2260</v>
      </c>
      <c r="AG464" s="1073" t="s">
        <v>2260</v>
      </c>
      <c r="AH464" s="1073" t="s">
        <v>2260</v>
      </c>
      <c r="AI464" s="1074">
        <f t="shared" si="7"/>
        <v>1</v>
      </c>
      <c r="AJ464" s="1075" t="s">
        <v>1846</v>
      </c>
      <c r="AK464" s="1075" t="s">
        <v>1826</v>
      </c>
      <c r="AL464" s="1075" t="s">
        <v>1837</v>
      </c>
      <c r="AM464" s="1076" t="s">
        <v>2234</v>
      </c>
      <c r="AN464" s="987" t="s">
        <v>1857</v>
      </c>
      <c r="AO464" s="987" t="s">
        <v>2830</v>
      </c>
      <c r="AP464" s="1285">
        <v>0</v>
      </c>
      <c r="AQ464" s="1045" t="s">
        <v>1828</v>
      </c>
      <c r="AR464" s="1078" t="s">
        <v>2260</v>
      </c>
      <c r="AS464" s="1079"/>
      <c r="AT464" s="1069"/>
      <c r="AU464" s="1069"/>
      <c r="AV464" s="1069"/>
      <c r="AW464" s="1080"/>
      <c r="AX464" s="1081"/>
      <c r="AY464" s="1044"/>
      <c r="AZ464" s="1045"/>
      <c r="BA464" s="1045"/>
      <c r="BB464" s="1045"/>
      <c r="BC464" s="1045"/>
      <c r="BD464" s="1045"/>
      <c r="BE464" s="1045"/>
      <c r="BF464" s="1045"/>
      <c r="BG464" s="1045"/>
      <c r="BH464" s="1045"/>
      <c r="BI464" s="1369"/>
      <c r="BJ464" s="1319"/>
      <c r="BK464" s="1319"/>
      <c r="BL464" s="1319"/>
      <c r="BM464" s="1319"/>
      <c r="BN464" s="1044"/>
      <c r="BO464" s="1045"/>
      <c r="BP464" s="1045"/>
      <c r="BQ464" s="1045"/>
      <c r="BR464" s="1045"/>
      <c r="BS464" s="1084"/>
      <c r="BT464" s="1045"/>
      <c r="BU464" s="1045"/>
      <c r="BV464" s="1045"/>
      <c r="BW464" s="1085"/>
      <c r="BX464" s="1084"/>
      <c r="BY464" s="1045"/>
      <c r="BZ464" s="1045"/>
      <c r="CA464" s="1045"/>
      <c r="CB464" s="1085"/>
      <c r="CC464" s="1086"/>
      <c r="CD464" s="1327"/>
      <c r="CE464" s="1328"/>
      <c r="CF464" s="1328"/>
      <c r="CG464" s="1328"/>
      <c r="CH464" s="1389"/>
      <c r="CI464" s="1369"/>
      <c r="CJ464" s="1319"/>
      <c r="CK464" s="1319"/>
      <c r="CL464" s="1319"/>
      <c r="CM464" s="1320"/>
      <c r="CN464" s="1369"/>
      <c r="CO464" s="1319"/>
      <c r="CP464" s="1319"/>
      <c r="CQ464" s="1319"/>
      <c r="CR464" s="1320"/>
      <c r="CS464" s="1369"/>
      <c r="CT464" s="1319"/>
      <c r="CU464" s="1319"/>
      <c r="CV464" s="1319"/>
      <c r="CW464" s="1320"/>
      <c r="CX464" s="1369"/>
      <c r="CY464" s="1319"/>
      <c r="CZ464" s="1319"/>
      <c r="DA464" s="1319"/>
      <c r="DB464" s="1320"/>
      <c r="DC464" s="1319"/>
      <c r="DD464" s="1319"/>
      <c r="DE464" s="1319"/>
      <c r="DF464" s="1319"/>
      <c r="DG464" s="1320"/>
      <c r="DH464" s="1369"/>
      <c r="DI464" s="1319"/>
      <c r="DJ464" s="1319"/>
      <c r="DK464" s="1319"/>
      <c r="DL464" s="1320"/>
      <c r="DM464" s="1743"/>
      <c r="DN464" s="1744"/>
      <c r="DO464" s="1744"/>
      <c r="DP464" s="1745"/>
      <c r="DQ464" s="1744"/>
      <c r="DR464" s="1744"/>
      <c r="DS464" s="1744"/>
      <c r="DT464" s="1745"/>
      <c r="DU464" s="1328"/>
      <c r="DV464" s="1664"/>
      <c r="DW464" s="1746"/>
    </row>
    <row r="465" spans="1:127" s="382" customFormat="1" ht="15.75" customHeight="1">
      <c r="A465" s="1066" t="s">
        <v>1199</v>
      </c>
      <c r="B465" s="1026">
        <v>456</v>
      </c>
      <c r="C465" s="987"/>
      <c r="D465" s="987"/>
      <c r="E465" s="987"/>
      <c r="F465" s="987"/>
      <c r="G465" s="987"/>
      <c r="H465" s="987"/>
      <c r="I465" s="987"/>
      <c r="J465" s="987"/>
      <c r="K465" s="987"/>
      <c r="L465" s="987"/>
      <c r="M465" s="1026"/>
      <c r="N465" s="987"/>
      <c r="O465" s="987"/>
      <c r="P465" s="987"/>
      <c r="Q465" s="987"/>
      <c r="R465" s="987"/>
      <c r="S465" s="987"/>
      <c r="T465" s="988"/>
      <c r="U465" s="1067" t="s">
        <v>1418</v>
      </c>
      <c r="V465" s="1068" t="s">
        <v>3717</v>
      </c>
      <c r="W465" s="1068" t="s">
        <v>2223</v>
      </c>
      <c r="X465" s="1069" t="s">
        <v>3732</v>
      </c>
      <c r="Y465" s="1070" t="s">
        <v>3733</v>
      </c>
      <c r="Z465" s="1071" t="s">
        <v>3734</v>
      </c>
      <c r="AA465" s="1072" t="s">
        <v>2260</v>
      </c>
      <c r="AB465" s="1073">
        <v>0.72</v>
      </c>
      <c r="AC465" s="1073">
        <v>0.28000000000000003</v>
      </c>
      <c r="AD465" s="1073" t="s">
        <v>2260</v>
      </c>
      <c r="AE465" s="1073" t="s">
        <v>2260</v>
      </c>
      <c r="AF465" s="1073" t="s">
        <v>2260</v>
      </c>
      <c r="AG465" s="1073" t="s">
        <v>2260</v>
      </c>
      <c r="AH465" s="1073" t="s">
        <v>2260</v>
      </c>
      <c r="AI465" s="1074">
        <f t="shared" si="7"/>
        <v>1</v>
      </c>
      <c r="AJ465" s="1075" t="s">
        <v>1846</v>
      </c>
      <c r="AK465" s="1075" t="s">
        <v>1826</v>
      </c>
      <c r="AL465" s="1075" t="s">
        <v>1837</v>
      </c>
      <c r="AM465" s="1076" t="s">
        <v>3735</v>
      </c>
      <c r="AN465" s="987" t="s">
        <v>321</v>
      </c>
      <c r="AO465" s="987" t="s">
        <v>3736</v>
      </c>
      <c r="AP465" s="1285">
        <v>1</v>
      </c>
      <c r="AQ465" s="1045" t="s">
        <v>1828</v>
      </c>
      <c r="AR465" s="1078" t="s">
        <v>2260</v>
      </c>
      <c r="AS465" s="1079"/>
      <c r="AT465" s="1069"/>
      <c r="AU465" s="1069"/>
      <c r="AV465" s="1069"/>
      <c r="AW465" s="1080"/>
      <c r="AX465" s="1081"/>
      <c r="AY465" s="1044"/>
      <c r="AZ465" s="1045"/>
      <c r="BA465" s="1045"/>
      <c r="BB465" s="1045"/>
      <c r="BC465" s="1045"/>
      <c r="BD465" s="1045"/>
      <c r="BE465" s="1045"/>
      <c r="BF465" s="1045"/>
      <c r="BG465" s="1045"/>
      <c r="BH465" s="1045"/>
      <c r="BI465" s="1369"/>
      <c r="BJ465" s="1319"/>
      <c r="BK465" s="1319"/>
      <c r="BL465" s="1319"/>
      <c r="BM465" s="1319"/>
      <c r="BN465" s="1044"/>
      <c r="BO465" s="1045"/>
      <c r="BP465" s="1045"/>
      <c r="BQ465" s="1045"/>
      <c r="BR465" s="1045"/>
      <c r="BS465" s="1084"/>
      <c r="BT465" s="1045"/>
      <c r="BU465" s="1045"/>
      <c r="BV465" s="1045"/>
      <c r="BW465" s="1085"/>
      <c r="BX465" s="1084"/>
      <c r="BY465" s="1045"/>
      <c r="BZ465" s="1045"/>
      <c r="CA465" s="1045"/>
      <c r="CB465" s="1085"/>
      <c r="CC465" s="1086"/>
      <c r="CD465" s="1327"/>
      <c r="CE465" s="1328"/>
      <c r="CF465" s="1328"/>
      <c r="CG465" s="1328"/>
      <c r="CH465" s="1389"/>
      <c r="CI465" s="1369"/>
      <c r="CJ465" s="1319"/>
      <c r="CK465" s="1319"/>
      <c r="CL465" s="1319"/>
      <c r="CM465" s="1320"/>
      <c r="CN465" s="1369"/>
      <c r="CO465" s="1319"/>
      <c r="CP465" s="1319"/>
      <c r="CQ465" s="1319"/>
      <c r="CR465" s="1320"/>
      <c r="CS465" s="1369"/>
      <c r="CT465" s="1319"/>
      <c r="CU465" s="1319"/>
      <c r="CV465" s="1319"/>
      <c r="CW465" s="1320"/>
      <c r="CX465" s="1369"/>
      <c r="CY465" s="1319"/>
      <c r="CZ465" s="1319"/>
      <c r="DA465" s="1319"/>
      <c r="DB465" s="1320"/>
      <c r="DC465" s="1319"/>
      <c r="DD465" s="1319"/>
      <c r="DE465" s="1319"/>
      <c r="DF465" s="1319"/>
      <c r="DG465" s="1320"/>
      <c r="DH465" s="1369"/>
      <c r="DI465" s="1319"/>
      <c r="DJ465" s="1319"/>
      <c r="DK465" s="1319"/>
      <c r="DL465" s="1320"/>
      <c r="DM465" s="1743"/>
      <c r="DN465" s="1744"/>
      <c r="DO465" s="1744"/>
      <c r="DP465" s="1745"/>
      <c r="DQ465" s="1744"/>
      <c r="DR465" s="1744"/>
      <c r="DS465" s="1744"/>
      <c r="DT465" s="1745"/>
      <c r="DU465" s="1328"/>
      <c r="DV465" s="1664"/>
      <c r="DW465" s="1746"/>
    </row>
    <row r="466" spans="1:127" s="382" customFormat="1" ht="15.75" customHeight="1">
      <c r="A466" s="1066" t="s">
        <v>1199</v>
      </c>
      <c r="B466" s="1026">
        <v>457</v>
      </c>
      <c r="C466" s="987"/>
      <c r="D466" s="987"/>
      <c r="E466" s="987"/>
      <c r="F466" s="987"/>
      <c r="G466" s="987"/>
      <c r="H466" s="987"/>
      <c r="I466" s="987"/>
      <c r="J466" s="987"/>
      <c r="K466" s="987"/>
      <c r="L466" s="987"/>
      <c r="M466" s="1026"/>
      <c r="N466" s="987"/>
      <c r="O466" s="987"/>
      <c r="P466" s="987"/>
      <c r="Q466" s="987"/>
      <c r="R466" s="987"/>
      <c r="S466" s="987"/>
      <c r="T466" s="988"/>
      <c r="U466" s="1067" t="s">
        <v>1434</v>
      </c>
      <c r="V466" s="1068" t="s">
        <v>2260</v>
      </c>
      <c r="W466" s="1068" t="s">
        <v>2260</v>
      </c>
      <c r="X466" s="1069" t="s">
        <v>3737</v>
      </c>
      <c r="Y466" s="1070" t="s">
        <v>3738</v>
      </c>
      <c r="Z466" s="1071" t="s">
        <v>2260</v>
      </c>
      <c r="AA466" s="1072" t="s">
        <v>2260</v>
      </c>
      <c r="AB466" s="1073">
        <v>0.754</v>
      </c>
      <c r="AC466" s="1073">
        <v>0.246</v>
      </c>
      <c r="AD466" s="1073" t="s">
        <v>2260</v>
      </c>
      <c r="AE466" s="1073" t="s">
        <v>2260</v>
      </c>
      <c r="AF466" s="1073" t="s">
        <v>2260</v>
      </c>
      <c r="AG466" s="1073" t="s">
        <v>2260</v>
      </c>
      <c r="AH466" s="1073" t="s">
        <v>2260</v>
      </c>
      <c r="AI466" s="1074">
        <f t="shared" si="7"/>
        <v>1</v>
      </c>
      <c r="AJ466" s="1075" t="s">
        <v>1846</v>
      </c>
      <c r="AK466" s="1075" t="s">
        <v>1826</v>
      </c>
      <c r="AL466" s="1075" t="s">
        <v>1837</v>
      </c>
      <c r="AM466" s="1076" t="s">
        <v>3735</v>
      </c>
      <c r="AN466" s="987" t="s">
        <v>2397</v>
      </c>
      <c r="AO466" s="987" t="s">
        <v>2260</v>
      </c>
      <c r="AP466" s="1285">
        <v>1</v>
      </c>
      <c r="AQ466" s="1045" t="s">
        <v>1828</v>
      </c>
      <c r="AR466" s="1078" t="s">
        <v>2260</v>
      </c>
      <c r="AS466" s="1079"/>
      <c r="AT466" s="1069"/>
      <c r="AU466" s="1069"/>
      <c r="AV466" s="1069"/>
      <c r="AW466" s="1080"/>
      <c r="AX466" s="1081"/>
      <c r="AY466" s="1044"/>
      <c r="AZ466" s="1045"/>
      <c r="BA466" s="1045"/>
      <c r="BB466" s="1045"/>
      <c r="BC466" s="1045"/>
      <c r="BD466" s="1045"/>
      <c r="BE466" s="1045"/>
      <c r="BF466" s="1045"/>
      <c r="BG466" s="1045"/>
      <c r="BH466" s="1045"/>
      <c r="BI466" s="1369"/>
      <c r="BJ466" s="1319"/>
      <c r="BK466" s="1319"/>
      <c r="BL466" s="1319"/>
      <c r="BM466" s="1319"/>
      <c r="BN466" s="1044"/>
      <c r="BO466" s="1045"/>
      <c r="BP466" s="1045"/>
      <c r="BQ466" s="1045"/>
      <c r="BR466" s="1045"/>
      <c r="BS466" s="1084"/>
      <c r="BT466" s="1045"/>
      <c r="BU466" s="1045"/>
      <c r="BV466" s="1045"/>
      <c r="BW466" s="1085"/>
      <c r="BX466" s="1084"/>
      <c r="BY466" s="1045"/>
      <c r="BZ466" s="1045"/>
      <c r="CA466" s="1045"/>
      <c r="CB466" s="1085"/>
      <c r="CC466" s="1086"/>
      <c r="CD466" s="1327"/>
      <c r="CE466" s="1328"/>
      <c r="CF466" s="1328"/>
      <c r="CG466" s="1328"/>
      <c r="CH466" s="1389"/>
      <c r="CI466" s="1369"/>
      <c r="CJ466" s="1319"/>
      <c r="CK466" s="1319"/>
      <c r="CL466" s="1319"/>
      <c r="CM466" s="1320"/>
      <c r="CN466" s="1369"/>
      <c r="CO466" s="1319"/>
      <c r="CP466" s="1319"/>
      <c r="CQ466" s="1319"/>
      <c r="CR466" s="1320"/>
      <c r="CS466" s="1369"/>
      <c r="CT466" s="1319"/>
      <c r="CU466" s="1319"/>
      <c r="CV466" s="1319"/>
      <c r="CW466" s="1320"/>
      <c r="CX466" s="1369"/>
      <c r="CY466" s="1319"/>
      <c r="CZ466" s="1319"/>
      <c r="DA466" s="1319"/>
      <c r="DB466" s="1320"/>
      <c r="DC466" s="1319"/>
      <c r="DD466" s="1319"/>
      <c r="DE466" s="1319"/>
      <c r="DF466" s="1319"/>
      <c r="DG466" s="1320"/>
      <c r="DH466" s="1369"/>
      <c r="DI466" s="1319"/>
      <c r="DJ466" s="1319"/>
      <c r="DK466" s="1319"/>
      <c r="DL466" s="1320"/>
      <c r="DM466" s="1743"/>
      <c r="DN466" s="1744"/>
      <c r="DO466" s="1744"/>
      <c r="DP466" s="1745"/>
      <c r="DQ466" s="1744"/>
      <c r="DR466" s="1744"/>
      <c r="DS466" s="1744"/>
      <c r="DT466" s="1745"/>
      <c r="DU466" s="1328"/>
      <c r="DV466" s="1664"/>
      <c r="DW466" s="1746"/>
    </row>
    <row r="467" spans="1:127" s="382" customFormat="1" ht="15.75" customHeight="1">
      <c r="A467" s="1066" t="s">
        <v>1199</v>
      </c>
      <c r="B467" s="1026">
        <v>458</v>
      </c>
      <c r="C467" s="987"/>
      <c r="D467" s="987"/>
      <c r="E467" s="987"/>
      <c r="F467" s="987"/>
      <c r="G467" s="987"/>
      <c r="H467" s="987"/>
      <c r="I467" s="987"/>
      <c r="J467" s="987"/>
      <c r="K467" s="987"/>
      <c r="L467" s="987"/>
      <c r="M467" s="1026"/>
      <c r="N467" s="987"/>
      <c r="O467" s="987"/>
      <c r="P467" s="987"/>
      <c r="Q467" s="987"/>
      <c r="R467" s="987"/>
      <c r="S467" s="987"/>
      <c r="T467" s="988"/>
      <c r="U467" s="1067" t="s">
        <v>1449</v>
      </c>
      <c r="V467" s="1068" t="s">
        <v>3739</v>
      </c>
      <c r="W467" s="1068" t="s">
        <v>2231</v>
      </c>
      <c r="X467" s="1069" t="s">
        <v>3740</v>
      </c>
      <c r="Y467" s="1070" t="s">
        <v>3741</v>
      </c>
      <c r="Z467" s="1071" t="s">
        <v>3742</v>
      </c>
      <c r="AA467" s="1072" t="s">
        <v>2260</v>
      </c>
      <c r="AB467" s="1073" t="s">
        <v>2260</v>
      </c>
      <c r="AC467" s="1073" t="s">
        <v>2260</v>
      </c>
      <c r="AD467" s="1073" t="s">
        <v>2260</v>
      </c>
      <c r="AE467" s="1073">
        <v>1</v>
      </c>
      <c r="AF467" s="1073" t="s">
        <v>2260</v>
      </c>
      <c r="AG467" s="1073" t="s">
        <v>2260</v>
      </c>
      <c r="AH467" s="1073" t="s">
        <v>2260</v>
      </c>
      <c r="AI467" s="1074">
        <f t="shared" si="7"/>
        <v>1</v>
      </c>
      <c r="AJ467" s="1075" t="s">
        <v>1846</v>
      </c>
      <c r="AK467" s="1075" t="s">
        <v>1826</v>
      </c>
      <c r="AL467" s="1075" t="s">
        <v>1827</v>
      </c>
      <c r="AM467" s="1076" t="s">
        <v>2892</v>
      </c>
      <c r="AN467" s="987" t="s">
        <v>1890</v>
      </c>
      <c r="AO467" s="987" t="s">
        <v>3743</v>
      </c>
      <c r="AP467" s="1285">
        <v>0</v>
      </c>
      <c r="AQ467" s="1045" t="s">
        <v>1838</v>
      </c>
      <c r="AR467" s="1078" t="s">
        <v>2260</v>
      </c>
      <c r="AS467" s="1079"/>
      <c r="AT467" s="1069"/>
      <c r="AU467" s="1069"/>
      <c r="AV467" s="1069"/>
      <c r="AW467" s="1080"/>
      <c r="AX467" s="1081"/>
      <c r="AY467" s="1044"/>
      <c r="AZ467" s="1045"/>
      <c r="BA467" s="1045"/>
      <c r="BB467" s="1045"/>
      <c r="BC467" s="1045"/>
      <c r="BD467" s="1045"/>
      <c r="BE467" s="1045"/>
      <c r="BF467" s="1045"/>
      <c r="BG467" s="1045"/>
      <c r="BH467" s="1045"/>
      <c r="BI467" s="1369"/>
      <c r="BJ467" s="1319"/>
      <c r="BK467" s="1319"/>
      <c r="BL467" s="1319"/>
      <c r="BM467" s="1319"/>
      <c r="BN467" s="1044"/>
      <c r="BO467" s="1045"/>
      <c r="BP467" s="1045"/>
      <c r="BQ467" s="1045"/>
      <c r="BR467" s="1045"/>
      <c r="BS467" s="1084"/>
      <c r="BT467" s="1045"/>
      <c r="BU467" s="1045"/>
      <c r="BV467" s="1045"/>
      <c r="BW467" s="1085"/>
      <c r="BX467" s="1084"/>
      <c r="BY467" s="1045"/>
      <c r="BZ467" s="1045"/>
      <c r="CA467" s="1045"/>
      <c r="CB467" s="1085"/>
      <c r="CC467" s="1086"/>
      <c r="CD467" s="1327"/>
      <c r="CE467" s="1328"/>
      <c r="CF467" s="1328"/>
      <c r="CG467" s="1328"/>
      <c r="CH467" s="1389"/>
      <c r="CI467" s="1369"/>
      <c r="CJ467" s="1319"/>
      <c r="CK467" s="1319"/>
      <c r="CL467" s="1319"/>
      <c r="CM467" s="1320"/>
      <c r="CN467" s="1369"/>
      <c r="CO467" s="1319"/>
      <c r="CP467" s="1319"/>
      <c r="CQ467" s="1319"/>
      <c r="CR467" s="1320"/>
      <c r="CS467" s="1369"/>
      <c r="CT467" s="1319"/>
      <c r="CU467" s="1319"/>
      <c r="CV467" s="1319"/>
      <c r="CW467" s="1320"/>
      <c r="CX467" s="1369"/>
      <c r="CY467" s="1319"/>
      <c r="CZ467" s="1319"/>
      <c r="DA467" s="1319"/>
      <c r="DB467" s="1320"/>
      <c r="DC467" s="1319"/>
      <c r="DD467" s="1319"/>
      <c r="DE467" s="1319"/>
      <c r="DF467" s="1319"/>
      <c r="DG467" s="1320"/>
      <c r="DH467" s="1369"/>
      <c r="DI467" s="1319"/>
      <c r="DJ467" s="1319"/>
      <c r="DK467" s="1319"/>
      <c r="DL467" s="1320"/>
      <c r="DM467" s="1743"/>
      <c r="DN467" s="1744"/>
      <c r="DO467" s="1744"/>
      <c r="DP467" s="1745"/>
      <c r="DQ467" s="1744"/>
      <c r="DR467" s="1744"/>
      <c r="DS467" s="1744"/>
      <c r="DT467" s="1745"/>
      <c r="DU467" s="1328"/>
      <c r="DV467" s="1664"/>
      <c r="DW467" s="1746"/>
    </row>
    <row r="468" spans="1:127" s="382" customFormat="1" ht="15.75" customHeight="1">
      <c r="A468" s="1066" t="s">
        <v>1199</v>
      </c>
      <c r="B468" s="1026">
        <v>459</v>
      </c>
      <c r="C468" s="987"/>
      <c r="D468" s="987"/>
      <c r="E468" s="987"/>
      <c r="F468" s="987"/>
      <c r="G468" s="987"/>
      <c r="H468" s="987"/>
      <c r="I468" s="987"/>
      <c r="J468" s="987"/>
      <c r="K468" s="987"/>
      <c r="L468" s="987"/>
      <c r="M468" s="1026"/>
      <c r="N468" s="987"/>
      <c r="O468" s="987"/>
      <c r="P468" s="987"/>
      <c r="Q468" s="987"/>
      <c r="R468" s="987"/>
      <c r="S468" s="987"/>
      <c r="T468" s="988"/>
      <c r="U468" s="1067" t="s">
        <v>1461</v>
      </c>
      <c r="V468" s="1068" t="s">
        <v>3739</v>
      </c>
      <c r="W468" s="1068" t="s">
        <v>2231</v>
      </c>
      <c r="X468" s="1069" t="s">
        <v>3744</v>
      </c>
      <c r="Y468" s="1070" t="s">
        <v>3745</v>
      </c>
      <c r="Z468" s="1071" t="s">
        <v>3746</v>
      </c>
      <c r="AA468" s="1072" t="s">
        <v>2260</v>
      </c>
      <c r="AB468" s="1073" t="s">
        <v>2260</v>
      </c>
      <c r="AC468" s="1073" t="s">
        <v>2260</v>
      </c>
      <c r="AD468" s="1073" t="s">
        <v>2260</v>
      </c>
      <c r="AE468" s="1073">
        <v>1</v>
      </c>
      <c r="AF468" s="1073" t="s">
        <v>2260</v>
      </c>
      <c r="AG468" s="1073" t="s">
        <v>2260</v>
      </c>
      <c r="AH468" s="1073" t="s">
        <v>2260</v>
      </c>
      <c r="AI468" s="1074">
        <f t="shared" si="7"/>
        <v>1</v>
      </c>
      <c r="AJ468" s="1075" t="s">
        <v>2882</v>
      </c>
      <c r="AK468" s="1075" t="s">
        <v>1826</v>
      </c>
      <c r="AL468" s="1075" t="s">
        <v>1827</v>
      </c>
      <c r="AM468" s="1076" t="s">
        <v>2892</v>
      </c>
      <c r="AN468" s="987" t="s">
        <v>321</v>
      </c>
      <c r="AO468" s="987" t="s">
        <v>3747</v>
      </c>
      <c r="AP468" s="1285">
        <v>2</v>
      </c>
      <c r="AQ468" s="1045" t="s">
        <v>1838</v>
      </c>
      <c r="AR468" s="1078" t="s">
        <v>2260</v>
      </c>
      <c r="AS468" s="1079"/>
      <c r="AT468" s="1069"/>
      <c r="AU468" s="1069"/>
      <c r="AV468" s="1069"/>
      <c r="AW468" s="1080"/>
      <c r="AX468" s="1081"/>
      <c r="AY468" s="1044"/>
      <c r="AZ468" s="1045"/>
      <c r="BA468" s="1045"/>
      <c r="BB468" s="1045"/>
      <c r="BC468" s="1045"/>
      <c r="BD468" s="1045"/>
      <c r="BE468" s="1045"/>
      <c r="BF468" s="1045"/>
      <c r="BG468" s="1045"/>
      <c r="BH468" s="1045"/>
      <c r="BI468" s="1369"/>
      <c r="BJ468" s="1319"/>
      <c r="BK468" s="1319"/>
      <c r="BL468" s="1319"/>
      <c r="BM468" s="1319"/>
      <c r="BN468" s="1044"/>
      <c r="BO468" s="1045"/>
      <c r="BP468" s="1045"/>
      <c r="BQ468" s="1045"/>
      <c r="BR468" s="1045"/>
      <c r="BS468" s="1084"/>
      <c r="BT468" s="1045"/>
      <c r="BU468" s="1045"/>
      <c r="BV468" s="1045"/>
      <c r="BW468" s="1085"/>
      <c r="BX468" s="1084"/>
      <c r="BY468" s="1045"/>
      <c r="BZ468" s="1045"/>
      <c r="CA468" s="1045"/>
      <c r="CB468" s="1085"/>
      <c r="CC468" s="1086"/>
      <c r="CD468" s="1327"/>
      <c r="CE468" s="1328"/>
      <c r="CF468" s="1328"/>
      <c r="CG468" s="1328"/>
      <c r="CH468" s="1389"/>
      <c r="CI468" s="1369"/>
      <c r="CJ468" s="1319"/>
      <c r="CK468" s="1319"/>
      <c r="CL468" s="1319"/>
      <c r="CM468" s="1320"/>
      <c r="CN468" s="1369"/>
      <c r="CO468" s="1319"/>
      <c r="CP468" s="1319"/>
      <c r="CQ468" s="1319"/>
      <c r="CR468" s="1320"/>
      <c r="CS468" s="1369"/>
      <c r="CT468" s="1319"/>
      <c r="CU468" s="1319"/>
      <c r="CV468" s="1319"/>
      <c r="CW468" s="1320"/>
      <c r="CX468" s="1369"/>
      <c r="CY468" s="1319"/>
      <c r="CZ468" s="1319"/>
      <c r="DA468" s="1319"/>
      <c r="DB468" s="1320"/>
      <c r="DC468" s="1319"/>
      <c r="DD468" s="1319"/>
      <c r="DE468" s="1319"/>
      <c r="DF468" s="1319"/>
      <c r="DG468" s="1320"/>
      <c r="DH468" s="1369"/>
      <c r="DI468" s="1319"/>
      <c r="DJ468" s="1319"/>
      <c r="DK468" s="1319"/>
      <c r="DL468" s="1320"/>
      <c r="DM468" s="1743"/>
      <c r="DN468" s="1744"/>
      <c r="DO468" s="1744"/>
      <c r="DP468" s="1745"/>
      <c r="DQ468" s="1744"/>
      <c r="DR468" s="1744"/>
      <c r="DS468" s="1744"/>
      <c r="DT468" s="1745"/>
      <c r="DU468" s="1328"/>
      <c r="DV468" s="1664"/>
      <c r="DW468" s="1746"/>
    </row>
    <row r="469" spans="1:127" s="382" customFormat="1" ht="15.75" customHeight="1">
      <c r="A469" s="1066" t="s">
        <v>1199</v>
      </c>
      <c r="B469" s="1026">
        <v>460</v>
      </c>
      <c r="C469" s="987"/>
      <c r="D469" s="987"/>
      <c r="E469" s="987"/>
      <c r="F469" s="987"/>
      <c r="G469" s="987"/>
      <c r="H469" s="987"/>
      <c r="I469" s="987"/>
      <c r="J469" s="987"/>
      <c r="K469" s="987"/>
      <c r="L469" s="987"/>
      <c r="M469" s="1026"/>
      <c r="N469" s="987"/>
      <c r="O469" s="987"/>
      <c r="P469" s="987"/>
      <c r="Q469" s="987"/>
      <c r="R469" s="987"/>
      <c r="S469" s="987"/>
      <c r="T469" s="988"/>
      <c r="U469" s="1067" t="s">
        <v>1649</v>
      </c>
      <c r="V469" s="1068" t="s">
        <v>3739</v>
      </c>
      <c r="W469" s="1068" t="s">
        <v>2231</v>
      </c>
      <c r="X469" s="1069" t="s">
        <v>3748</v>
      </c>
      <c r="Y469" s="1070" t="s">
        <v>3749</v>
      </c>
      <c r="Z469" s="1071" t="s">
        <v>3750</v>
      </c>
      <c r="AA469" s="1072" t="s">
        <v>2260</v>
      </c>
      <c r="AB469" s="1073" t="s">
        <v>2260</v>
      </c>
      <c r="AC469" s="1073" t="s">
        <v>2260</v>
      </c>
      <c r="AD469" s="1073" t="s">
        <v>2260</v>
      </c>
      <c r="AE469" s="1073">
        <v>1</v>
      </c>
      <c r="AF469" s="1073" t="s">
        <v>2260</v>
      </c>
      <c r="AG469" s="1073" t="s">
        <v>2260</v>
      </c>
      <c r="AH469" s="1073" t="s">
        <v>2260</v>
      </c>
      <c r="AI469" s="1074">
        <f t="shared" si="7"/>
        <v>1</v>
      </c>
      <c r="AJ469" s="1075" t="s">
        <v>1825</v>
      </c>
      <c r="AK469" s="1075" t="s">
        <v>2260</v>
      </c>
      <c r="AL469" s="1075" t="s">
        <v>2260</v>
      </c>
      <c r="AM469" s="1076" t="s">
        <v>2329</v>
      </c>
      <c r="AN469" s="987" t="s">
        <v>1857</v>
      </c>
      <c r="AO469" s="987" t="s">
        <v>3751</v>
      </c>
      <c r="AP469" s="1285">
        <v>0</v>
      </c>
      <c r="AQ469" s="1045" t="s">
        <v>1828</v>
      </c>
      <c r="AR469" s="1078" t="s">
        <v>2260</v>
      </c>
      <c r="AS469" s="1079"/>
      <c r="AT469" s="1069"/>
      <c r="AU469" s="1069"/>
      <c r="AV469" s="1069"/>
      <c r="AW469" s="1080"/>
      <c r="AX469" s="1081"/>
      <c r="AY469" s="1044"/>
      <c r="AZ469" s="1045"/>
      <c r="BA469" s="1045"/>
      <c r="BB469" s="1045"/>
      <c r="BC469" s="1045"/>
      <c r="BD469" s="1045"/>
      <c r="BE469" s="1045"/>
      <c r="BF469" s="1045"/>
      <c r="BG469" s="1045"/>
      <c r="BH469" s="1045"/>
      <c r="BI469" s="1369"/>
      <c r="BJ469" s="1319"/>
      <c r="BK469" s="1319"/>
      <c r="BL469" s="1319"/>
      <c r="BM469" s="1319"/>
      <c r="BN469" s="1044"/>
      <c r="BO469" s="1045"/>
      <c r="BP469" s="1045"/>
      <c r="BQ469" s="1045"/>
      <c r="BR469" s="1045"/>
      <c r="BS469" s="1084"/>
      <c r="BT469" s="1045"/>
      <c r="BU469" s="1045"/>
      <c r="BV469" s="1045"/>
      <c r="BW469" s="1085"/>
      <c r="BX469" s="1084"/>
      <c r="BY469" s="1045"/>
      <c r="BZ469" s="1045"/>
      <c r="CA469" s="1045"/>
      <c r="CB469" s="1085"/>
      <c r="CC469" s="1086"/>
      <c r="CD469" s="1327"/>
      <c r="CE469" s="1328"/>
      <c r="CF469" s="1328"/>
      <c r="CG469" s="1328"/>
      <c r="CH469" s="1389"/>
      <c r="CI469" s="1369"/>
      <c r="CJ469" s="1319"/>
      <c r="CK469" s="1319"/>
      <c r="CL469" s="1319"/>
      <c r="CM469" s="1320"/>
      <c r="CN469" s="1369"/>
      <c r="CO469" s="1319"/>
      <c r="CP469" s="1319"/>
      <c r="CQ469" s="1319"/>
      <c r="CR469" s="1320"/>
      <c r="CS469" s="1369"/>
      <c r="CT469" s="1319"/>
      <c r="CU469" s="1319"/>
      <c r="CV469" s="1319"/>
      <c r="CW469" s="1320"/>
      <c r="CX469" s="1369"/>
      <c r="CY469" s="1319"/>
      <c r="CZ469" s="1319"/>
      <c r="DA469" s="1319"/>
      <c r="DB469" s="1320"/>
      <c r="DC469" s="1319"/>
      <c r="DD469" s="1319"/>
      <c r="DE469" s="1319"/>
      <c r="DF469" s="1319"/>
      <c r="DG469" s="1320"/>
      <c r="DH469" s="1369"/>
      <c r="DI469" s="1319"/>
      <c r="DJ469" s="1319"/>
      <c r="DK469" s="1319"/>
      <c r="DL469" s="1320"/>
      <c r="DM469" s="1743"/>
      <c r="DN469" s="1744"/>
      <c r="DO469" s="1744"/>
      <c r="DP469" s="1745"/>
      <c r="DQ469" s="1744"/>
      <c r="DR469" s="1744"/>
      <c r="DS469" s="1744"/>
      <c r="DT469" s="1745"/>
      <c r="DU469" s="1328"/>
      <c r="DV469" s="1664"/>
      <c r="DW469" s="1746"/>
    </row>
    <row r="470" spans="1:127" s="382" customFormat="1" ht="15.75" customHeight="1">
      <c r="A470" s="1066" t="s">
        <v>1199</v>
      </c>
      <c r="B470" s="1026">
        <v>461</v>
      </c>
      <c r="C470" s="987"/>
      <c r="D470" s="987"/>
      <c r="E470" s="987"/>
      <c r="F470" s="987"/>
      <c r="G470" s="987"/>
      <c r="H470" s="987"/>
      <c r="I470" s="987"/>
      <c r="J470" s="987"/>
      <c r="K470" s="987"/>
      <c r="L470" s="987"/>
      <c r="M470" s="1026"/>
      <c r="N470" s="987"/>
      <c r="O470" s="987"/>
      <c r="P470" s="987"/>
      <c r="Q470" s="987"/>
      <c r="R470" s="987"/>
      <c r="S470" s="987"/>
      <c r="T470" s="988"/>
      <c r="U470" s="1067" t="s">
        <v>1193</v>
      </c>
      <c r="V470" s="1068" t="s">
        <v>3739</v>
      </c>
      <c r="W470" s="1068" t="s">
        <v>2217</v>
      </c>
      <c r="X470" s="1069" t="s">
        <v>3752</v>
      </c>
      <c r="Y470" s="1070" t="s">
        <v>788</v>
      </c>
      <c r="Z470" s="1071" t="s">
        <v>3753</v>
      </c>
      <c r="AA470" s="1072" t="s">
        <v>2260</v>
      </c>
      <c r="AB470" s="1073" t="s">
        <v>2260</v>
      </c>
      <c r="AC470" s="1073">
        <v>1</v>
      </c>
      <c r="AD470" s="1073" t="s">
        <v>2260</v>
      </c>
      <c r="AE470" s="1073" t="s">
        <v>2260</v>
      </c>
      <c r="AF470" s="1073" t="s">
        <v>2260</v>
      </c>
      <c r="AG470" s="1073" t="s">
        <v>2260</v>
      </c>
      <c r="AH470" s="1073" t="s">
        <v>2260</v>
      </c>
      <c r="AI470" s="1074">
        <f t="shared" si="7"/>
        <v>1</v>
      </c>
      <c r="AJ470" s="1075" t="s">
        <v>1846</v>
      </c>
      <c r="AK470" s="1075" t="s">
        <v>1826</v>
      </c>
      <c r="AL470" s="1075" t="s">
        <v>1827</v>
      </c>
      <c r="AM470" s="1076" t="s">
        <v>788</v>
      </c>
      <c r="AN470" s="987" t="s">
        <v>2439</v>
      </c>
      <c r="AO470" s="987" t="s">
        <v>4431</v>
      </c>
      <c r="AP470" s="1286">
        <v>2</v>
      </c>
      <c r="AQ470" s="1045" t="s">
        <v>1838</v>
      </c>
      <c r="AR470" s="1078" t="s">
        <v>788</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210</v>
      </c>
      <c r="CE470" s="1088" t="s">
        <v>210</v>
      </c>
      <c r="CF470" s="1088" t="s">
        <v>210</v>
      </c>
      <c r="CG470" s="1088" t="s">
        <v>210</v>
      </c>
      <c r="CH470" s="1089" t="s">
        <v>210</v>
      </c>
      <c r="CI470" s="1044" t="s">
        <v>2260</v>
      </c>
      <c r="CJ470" s="1045" t="s">
        <v>2260</v>
      </c>
      <c r="CK470" s="1045" t="s">
        <v>2260</v>
      </c>
      <c r="CL470" s="1045" t="s">
        <v>2260</v>
      </c>
      <c r="CM470" s="1086" t="s">
        <v>2260</v>
      </c>
      <c r="CN470" s="1044">
        <v>36.76</v>
      </c>
      <c r="CO470" s="1045">
        <v>36.76</v>
      </c>
      <c r="CP470" s="1045">
        <v>36.76</v>
      </c>
      <c r="CQ470" s="1045">
        <v>36.76</v>
      </c>
      <c r="CR470" s="1086">
        <v>36.76</v>
      </c>
      <c r="CS470" s="1044" t="s">
        <v>2260</v>
      </c>
      <c r="CT470" s="1045" t="s">
        <v>2260</v>
      </c>
      <c r="CU470" s="1045" t="s">
        <v>2260</v>
      </c>
      <c r="CV470" s="1045" t="s">
        <v>2260</v>
      </c>
      <c r="CW470" s="1086" t="s">
        <v>2260</v>
      </c>
      <c r="CX470" s="1044" t="s">
        <v>2260</v>
      </c>
      <c r="CY470" s="1045" t="s">
        <v>2260</v>
      </c>
      <c r="CZ470" s="1045" t="s">
        <v>2260</v>
      </c>
      <c r="DA470" s="1045" t="s">
        <v>2260</v>
      </c>
      <c r="DB470" s="1086" t="s">
        <v>2260</v>
      </c>
      <c r="DC470" s="1045" t="s">
        <v>2260</v>
      </c>
      <c r="DD470" s="1045" t="s">
        <v>2260</v>
      </c>
      <c r="DE470" s="1045" t="s">
        <v>2260</v>
      </c>
      <c r="DF470" s="1045" t="s">
        <v>2260</v>
      </c>
      <c r="DG470" s="1086" t="s">
        <v>2260</v>
      </c>
      <c r="DH470" s="1044" t="s">
        <v>2260</v>
      </c>
      <c r="DI470" s="1045" t="s">
        <v>2260</v>
      </c>
      <c r="DJ470" s="1045" t="s">
        <v>2260</v>
      </c>
      <c r="DK470" s="1045" t="s">
        <v>2260</v>
      </c>
      <c r="DL470" s="1086" t="s">
        <v>2260</v>
      </c>
      <c r="DM470" s="1090">
        <v>-1.268</v>
      </c>
      <c r="DN470" s="1091" t="s">
        <v>2260</v>
      </c>
      <c r="DO470" s="1091" t="s">
        <v>2260</v>
      </c>
      <c r="DP470" s="1092" t="s">
        <v>2260</v>
      </c>
      <c r="DQ470" s="1091" t="s">
        <v>2260</v>
      </c>
      <c r="DR470" s="1091" t="s">
        <v>2260</v>
      </c>
      <c r="DS470" s="1091" t="s">
        <v>2260</v>
      </c>
      <c r="DT470" s="1092" t="s">
        <v>2260</v>
      </c>
      <c r="DU470" s="1088" t="s">
        <v>173</v>
      </c>
      <c r="DV470" s="1093">
        <v>1</v>
      </c>
      <c r="DW470" s="1094" t="s">
        <v>2260</v>
      </c>
    </row>
    <row r="471" spans="1:127" s="382" customFormat="1" ht="15.75" customHeight="1">
      <c r="A471" s="1066" t="s">
        <v>1199</v>
      </c>
      <c r="B471" s="1026">
        <v>462</v>
      </c>
      <c r="C471" s="987"/>
      <c r="D471" s="987"/>
      <c r="E471" s="987"/>
      <c r="F471" s="987"/>
      <c r="G471" s="987"/>
      <c r="H471" s="987"/>
      <c r="I471" s="987"/>
      <c r="J471" s="987"/>
      <c r="K471" s="987"/>
      <c r="L471" s="987"/>
      <c r="M471" s="1026"/>
      <c r="N471" s="987"/>
      <c r="O471" s="987"/>
      <c r="P471" s="987"/>
      <c r="Q471" s="987"/>
      <c r="R471" s="987"/>
      <c r="S471" s="987"/>
      <c r="T471" s="988"/>
      <c r="U471" s="1067" t="s">
        <v>1533</v>
      </c>
      <c r="V471" s="1068" t="s">
        <v>3739</v>
      </c>
      <c r="W471" s="1068" t="s">
        <v>2260</v>
      </c>
      <c r="X471" s="1069" t="s">
        <v>3755</v>
      </c>
      <c r="Y471" s="1070" t="s">
        <v>3756</v>
      </c>
      <c r="Z471" s="1071" t="s">
        <v>3757</v>
      </c>
      <c r="AA471" s="1072">
        <v>0.123</v>
      </c>
      <c r="AB471" s="1073">
        <v>2.4E-2</v>
      </c>
      <c r="AC471" s="1073">
        <v>0.85299999999999998</v>
      </c>
      <c r="AD471" s="1073" t="s">
        <v>2260</v>
      </c>
      <c r="AE471" s="1073" t="s">
        <v>2260</v>
      </c>
      <c r="AF471" s="1073" t="s">
        <v>2260</v>
      </c>
      <c r="AG471" s="1073" t="s">
        <v>2260</v>
      </c>
      <c r="AH471" s="1073" t="s">
        <v>2260</v>
      </c>
      <c r="AI471" s="1074">
        <f t="shared" si="7"/>
        <v>1</v>
      </c>
      <c r="AJ471" s="1075" t="s">
        <v>1846</v>
      </c>
      <c r="AK471" s="1075" t="s">
        <v>1826</v>
      </c>
      <c r="AL471" s="1075" t="s">
        <v>1827</v>
      </c>
      <c r="AM471" s="1076" t="s">
        <v>2260</v>
      </c>
      <c r="AN471" s="987" t="s">
        <v>2260</v>
      </c>
      <c r="AO471" s="987" t="s">
        <v>2260</v>
      </c>
      <c r="AP471" s="1285">
        <v>0</v>
      </c>
      <c r="AQ471" s="1045" t="s">
        <v>1828</v>
      </c>
      <c r="AR471" s="1078" t="s">
        <v>2260</v>
      </c>
      <c r="AS471" s="1079"/>
      <c r="AT471" s="1069"/>
      <c r="AU471" s="1069"/>
      <c r="AV471" s="1069"/>
      <c r="AW471" s="1080"/>
      <c r="AX471" s="1081"/>
      <c r="AY471" s="1044"/>
      <c r="AZ471" s="1045"/>
      <c r="BA471" s="1045"/>
      <c r="BB471" s="1045"/>
      <c r="BC471" s="1045"/>
      <c r="BD471" s="1045"/>
      <c r="BE471" s="1045"/>
      <c r="BF471" s="1045"/>
      <c r="BG471" s="1045"/>
      <c r="BH471" s="1045"/>
      <c r="BI471" s="1369"/>
      <c r="BJ471" s="1319"/>
      <c r="BK471" s="1319"/>
      <c r="BL471" s="1319"/>
      <c r="BM471" s="1319"/>
      <c r="BN471" s="1044"/>
      <c r="BO471" s="1045"/>
      <c r="BP471" s="1045"/>
      <c r="BQ471" s="1045"/>
      <c r="BR471" s="1045"/>
      <c r="BS471" s="1084"/>
      <c r="BT471" s="1045"/>
      <c r="BU471" s="1045"/>
      <c r="BV471" s="1045"/>
      <c r="BW471" s="1085"/>
      <c r="BX471" s="1084"/>
      <c r="BY471" s="1045"/>
      <c r="BZ471" s="1045"/>
      <c r="CA471" s="1045"/>
      <c r="CB471" s="1085"/>
      <c r="CC471" s="1086"/>
      <c r="CD471" s="1327"/>
      <c r="CE471" s="1328"/>
      <c r="CF471" s="1328"/>
      <c r="CG471" s="1328"/>
      <c r="CH471" s="1389"/>
      <c r="CI471" s="1369"/>
      <c r="CJ471" s="1319"/>
      <c r="CK471" s="1319"/>
      <c r="CL471" s="1319"/>
      <c r="CM471" s="1320"/>
      <c r="CN471" s="1369"/>
      <c r="CO471" s="1319"/>
      <c r="CP471" s="1319"/>
      <c r="CQ471" s="1319"/>
      <c r="CR471" s="1320"/>
      <c r="CS471" s="1369"/>
      <c r="CT471" s="1319"/>
      <c r="CU471" s="1319"/>
      <c r="CV471" s="1319"/>
      <c r="CW471" s="1320"/>
      <c r="CX471" s="1369"/>
      <c r="CY471" s="1319"/>
      <c r="CZ471" s="1319"/>
      <c r="DA471" s="1319"/>
      <c r="DB471" s="1320"/>
      <c r="DC471" s="1319"/>
      <c r="DD471" s="1319"/>
      <c r="DE471" s="1319"/>
      <c r="DF471" s="1319"/>
      <c r="DG471" s="1320"/>
      <c r="DH471" s="1369"/>
      <c r="DI471" s="1319"/>
      <c r="DJ471" s="1319"/>
      <c r="DK471" s="1319"/>
      <c r="DL471" s="1320"/>
      <c r="DM471" s="1743"/>
      <c r="DN471" s="1744"/>
      <c r="DO471" s="1744"/>
      <c r="DP471" s="1745"/>
      <c r="DQ471" s="1744"/>
      <c r="DR471" s="1744"/>
      <c r="DS471" s="1744"/>
      <c r="DT471" s="1745"/>
      <c r="DU471" s="1328"/>
      <c r="DV471" s="1664"/>
      <c r="DW471" s="1746"/>
    </row>
    <row r="472" spans="1:127" s="382" customFormat="1" ht="15.75" customHeight="1">
      <c r="A472" s="1066" t="s">
        <v>1199</v>
      </c>
      <c r="B472" s="1026">
        <v>463</v>
      </c>
      <c r="C472" s="987"/>
      <c r="D472" s="987"/>
      <c r="E472" s="987"/>
      <c r="F472" s="987"/>
      <c r="G472" s="987"/>
      <c r="H472" s="987"/>
      <c r="I472" s="987"/>
      <c r="J472" s="987"/>
      <c r="K472" s="987"/>
      <c r="L472" s="987"/>
      <c r="M472" s="1026"/>
      <c r="N472" s="987"/>
      <c r="O472" s="987"/>
      <c r="P472" s="987"/>
      <c r="Q472" s="987"/>
      <c r="R472" s="987"/>
      <c r="S472" s="987"/>
      <c r="T472" s="988"/>
      <c r="U472" s="1067" t="s">
        <v>1543</v>
      </c>
      <c r="V472" s="1068" t="s">
        <v>3739</v>
      </c>
      <c r="W472" s="1068" t="s">
        <v>2231</v>
      </c>
      <c r="X472" s="1069" t="s">
        <v>3758</v>
      </c>
      <c r="Y472" s="1070" t="s">
        <v>3759</v>
      </c>
      <c r="Z472" s="1071" t="s">
        <v>3760</v>
      </c>
      <c r="AA472" s="1072" t="s">
        <v>2260</v>
      </c>
      <c r="AB472" s="1073" t="s">
        <v>2260</v>
      </c>
      <c r="AC472" s="1073" t="s">
        <v>2260</v>
      </c>
      <c r="AD472" s="1073">
        <v>1</v>
      </c>
      <c r="AE472" s="1073" t="s">
        <v>2260</v>
      </c>
      <c r="AF472" s="1073" t="s">
        <v>2260</v>
      </c>
      <c r="AG472" s="1073" t="s">
        <v>2260</v>
      </c>
      <c r="AH472" s="1073" t="s">
        <v>2260</v>
      </c>
      <c r="AI472" s="1074">
        <f t="shared" si="7"/>
        <v>1</v>
      </c>
      <c r="AJ472" s="1075" t="s">
        <v>1846</v>
      </c>
      <c r="AK472" s="1075" t="s">
        <v>1826</v>
      </c>
      <c r="AL472" s="1075" t="s">
        <v>1827</v>
      </c>
      <c r="AM472" s="1076" t="s">
        <v>815</v>
      </c>
      <c r="AN472" s="987" t="s">
        <v>321</v>
      </c>
      <c r="AO472" s="987" t="s">
        <v>2016</v>
      </c>
      <c r="AP472" s="1285">
        <v>1</v>
      </c>
      <c r="AQ472" s="1045" t="s">
        <v>1828</v>
      </c>
      <c r="AR472" s="1078" t="s">
        <v>2260</v>
      </c>
      <c r="AS472" s="1079"/>
      <c r="AT472" s="1069"/>
      <c r="AU472" s="1069"/>
      <c r="AV472" s="1069"/>
      <c r="AW472" s="1080"/>
      <c r="AX472" s="1081"/>
      <c r="AY472" s="1044"/>
      <c r="AZ472" s="1045"/>
      <c r="BA472" s="1045"/>
      <c r="BB472" s="1045"/>
      <c r="BC472" s="1045"/>
      <c r="BD472" s="1045"/>
      <c r="BE472" s="1045"/>
      <c r="BF472" s="1045"/>
      <c r="BG472" s="1045"/>
      <c r="BH472" s="1045"/>
      <c r="BI472" s="1369"/>
      <c r="BJ472" s="1319"/>
      <c r="BK472" s="1319"/>
      <c r="BL472" s="1319"/>
      <c r="BM472" s="1319"/>
      <c r="BN472" s="1044"/>
      <c r="BO472" s="1045"/>
      <c r="BP472" s="1045"/>
      <c r="BQ472" s="1045"/>
      <c r="BR472" s="1045"/>
      <c r="BS472" s="1084"/>
      <c r="BT472" s="1045"/>
      <c r="BU472" s="1045"/>
      <c r="BV472" s="1045"/>
      <c r="BW472" s="1085"/>
      <c r="BX472" s="1084"/>
      <c r="BY472" s="1045"/>
      <c r="BZ472" s="1045"/>
      <c r="CA472" s="1045"/>
      <c r="CB472" s="1085"/>
      <c r="CC472" s="1086"/>
      <c r="CD472" s="1327"/>
      <c r="CE472" s="1328"/>
      <c r="CF472" s="1328"/>
      <c r="CG472" s="1328"/>
      <c r="CH472" s="1389"/>
      <c r="CI472" s="1369"/>
      <c r="CJ472" s="1319"/>
      <c r="CK472" s="1319"/>
      <c r="CL472" s="1319"/>
      <c r="CM472" s="1320"/>
      <c r="CN472" s="1369"/>
      <c r="CO472" s="1319"/>
      <c r="CP472" s="1319"/>
      <c r="CQ472" s="1319"/>
      <c r="CR472" s="1320"/>
      <c r="CS472" s="1369"/>
      <c r="CT472" s="1319"/>
      <c r="CU472" s="1319"/>
      <c r="CV472" s="1319"/>
      <c r="CW472" s="1320"/>
      <c r="CX472" s="1369"/>
      <c r="CY472" s="1319"/>
      <c r="CZ472" s="1319"/>
      <c r="DA472" s="1319"/>
      <c r="DB472" s="1320"/>
      <c r="DC472" s="1319"/>
      <c r="DD472" s="1319"/>
      <c r="DE472" s="1319"/>
      <c r="DF472" s="1319"/>
      <c r="DG472" s="1320"/>
      <c r="DH472" s="1369"/>
      <c r="DI472" s="1319"/>
      <c r="DJ472" s="1319"/>
      <c r="DK472" s="1319"/>
      <c r="DL472" s="1320"/>
      <c r="DM472" s="1743"/>
      <c r="DN472" s="1744"/>
      <c r="DO472" s="1744"/>
      <c r="DP472" s="1745"/>
      <c r="DQ472" s="1744"/>
      <c r="DR472" s="1744"/>
      <c r="DS472" s="1744"/>
      <c r="DT472" s="1745"/>
      <c r="DU472" s="1328"/>
      <c r="DV472" s="1664"/>
      <c r="DW472" s="1746"/>
    </row>
    <row r="473" spans="1:127" s="382" customFormat="1" ht="15.75" customHeight="1">
      <c r="A473" s="1066" t="s">
        <v>1199</v>
      </c>
      <c r="B473" s="1026">
        <v>464</v>
      </c>
      <c r="C473" s="987"/>
      <c r="D473" s="987"/>
      <c r="E473" s="987"/>
      <c r="F473" s="987"/>
      <c r="G473" s="987"/>
      <c r="H473" s="987"/>
      <c r="I473" s="987"/>
      <c r="J473" s="987"/>
      <c r="K473" s="987"/>
      <c r="L473" s="987"/>
      <c r="M473" s="1026"/>
      <c r="N473" s="987"/>
      <c r="O473" s="987"/>
      <c r="P473" s="987"/>
      <c r="Q473" s="987"/>
      <c r="R473" s="987"/>
      <c r="S473" s="987"/>
      <c r="T473" s="988"/>
      <c r="U473" s="1067" t="s">
        <v>1552</v>
      </c>
      <c r="V473" s="1068" t="s">
        <v>3739</v>
      </c>
      <c r="W473" s="1068" t="s">
        <v>2231</v>
      </c>
      <c r="X473" s="1069" t="s">
        <v>3761</v>
      </c>
      <c r="Y473" s="1070" t="s">
        <v>3762</v>
      </c>
      <c r="Z473" s="1071" t="s">
        <v>3763</v>
      </c>
      <c r="AA473" s="1072" t="s">
        <v>2260</v>
      </c>
      <c r="AB473" s="1073" t="s">
        <v>2260</v>
      </c>
      <c r="AC473" s="1073" t="s">
        <v>2260</v>
      </c>
      <c r="AD473" s="1073" t="s">
        <v>2260</v>
      </c>
      <c r="AE473" s="1073" t="s">
        <v>2260</v>
      </c>
      <c r="AF473" s="1073" t="s">
        <v>2260</v>
      </c>
      <c r="AG473" s="1073" t="s">
        <v>2260</v>
      </c>
      <c r="AH473" s="1073">
        <v>1</v>
      </c>
      <c r="AI473" s="1074">
        <f t="shared" si="7"/>
        <v>1</v>
      </c>
      <c r="AJ473" s="1075" t="s">
        <v>1846</v>
      </c>
      <c r="AK473" s="1075" t="s">
        <v>1826</v>
      </c>
      <c r="AL473" s="1075" t="s">
        <v>1827</v>
      </c>
      <c r="AM473" s="1076" t="s">
        <v>2234</v>
      </c>
      <c r="AN473" s="987" t="s">
        <v>1890</v>
      </c>
      <c r="AO473" s="987" t="s">
        <v>3764</v>
      </c>
      <c r="AP473" s="1285">
        <v>0</v>
      </c>
      <c r="AQ473" s="1045" t="s">
        <v>1838</v>
      </c>
      <c r="AR473" s="1078" t="s">
        <v>2260</v>
      </c>
      <c r="AS473" s="1079"/>
      <c r="AT473" s="1069"/>
      <c r="AU473" s="1069"/>
      <c r="AV473" s="1069"/>
      <c r="AW473" s="1080"/>
      <c r="AX473" s="1081"/>
      <c r="AY473" s="1044"/>
      <c r="AZ473" s="1045"/>
      <c r="BA473" s="1045"/>
      <c r="BB473" s="1045"/>
      <c r="BC473" s="1045"/>
      <c r="BD473" s="1045"/>
      <c r="BE473" s="1045"/>
      <c r="BF473" s="1045"/>
      <c r="BG473" s="1045"/>
      <c r="BH473" s="1045"/>
      <c r="BI473" s="1369"/>
      <c r="BJ473" s="1319"/>
      <c r="BK473" s="1319"/>
      <c r="BL473" s="1319"/>
      <c r="BM473" s="1319"/>
      <c r="BN473" s="1044"/>
      <c r="BO473" s="1045"/>
      <c r="BP473" s="1045"/>
      <c r="BQ473" s="1045"/>
      <c r="BR473" s="1045"/>
      <c r="BS473" s="1084"/>
      <c r="BT473" s="1045"/>
      <c r="BU473" s="1045"/>
      <c r="BV473" s="1045"/>
      <c r="BW473" s="1085"/>
      <c r="BX473" s="1084"/>
      <c r="BY473" s="1045"/>
      <c r="BZ473" s="1045"/>
      <c r="CA473" s="1045"/>
      <c r="CB473" s="1085"/>
      <c r="CC473" s="1086"/>
      <c r="CD473" s="1327"/>
      <c r="CE473" s="1328"/>
      <c r="CF473" s="1328"/>
      <c r="CG473" s="1328"/>
      <c r="CH473" s="1389"/>
      <c r="CI473" s="1369"/>
      <c r="CJ473" s="1319"/>
      <c r="CK473" s="1319"/>
      <c r="CL473" s="1319"/>
      <c r="CM473" s="1320"/>
      <c r="CN473" s="1369"/>
      <c r="CO473" s="1319"/>
      <c r="CP473" s="1319"/>
      <c r="CQ473" s="1319"/>
      <c r="CR473" s="1320"/>
      <c r="CS473" s="1369"/>
      <c r="CT473" s="1319"/>
      <c r="CU473" s="1319"/>
      <c r="CV473" s="1319"/>
      <c r="CW473" s="1320"/>
      <c r="CX473" s="1369"/>
      <c r="CY473" s="1319"/>
      <c r="CZ473" s="1319"/>
      <c r="DA473" s="1319"/>
      <c r="DB473" s="1320"/>
      <c r="DC473" s="1319"/>
      <c r="DD473" s="1319"/>
      <c r="DE473" s="1319"/>
      <c r="DF473" s="1319"/>
      <c r="DG473" s="1320"/>
      <c r="DH473" s="1369"/>
      <c r="DI473" s="1319"/>
      <c r="DJ473" s="1319"/>
      <c r="DK473" s="1319"/>
      <c r="DL473" s="1320"/>
      <c r="DM473" s="1743"/>
      <c r="DN473" s="1744"/>
      <c r="DO473" s="1744"/>
      <c r="DP473" s="1745"/>
      <c r="DQ473" s="1744"/>
      <c r="DR473" s="1744"/>
      <c r="DS473" s="1744"/>
      <c r="DT473" s="1745"/>
      <c r="DU473" s="1328"/>
      <c r="DV473" s="1664"/>
      <c r="DW473" s="1746"/>
    </row>
    <row r="474" spans="1:127" s="382" customFormat="1" ht="15.75" customHeight="1">
      <c r="A474" s="1066" t="s">
        <v>1199</v>
      </c>
      <c r="B474" s="1026">
        <v>465</v>
      </c>
      <c r="C474" s="987"/>
      <c r="D474" s="987"/>
      <c r="E474" s="987"/>
      <c r="F474" s="987"/>
      <c r="G474" s="987"/>
      <c r="H474" s="987"/>
      <c r="I474" s="987"/>
      <c r="J474" s="987"/>
      <c r="K474" s="987"/>
      <c r="L474" s="987"/>
      <c r="M474" s="1026"/>
      <c r="N474" s="987"/>
      <c r="O474" s="987"/>
      <c r="P474" s="987"/>
      <c r="Q474" s="987"/>
      <c r="R474" s="987"/>
      <c r="S474" s="987"/>
      <c r="T474" s="988"/>
      <c r="U474" s="1067" t="s">
        <v>1665</v>
      </c>
      <c r="V474" s="1068" t="s">
        <v>3739</v>
      </c>
      <c r="W474" s="1068" t="s">
        <v>2223</v>
      </c>
      <c r="X474" s="1069" t="s">
        <v>3765</v>
      </c>
      <c r="Y474" s="1070" t="s">
        <v>3766</v>
      </c>
      <c r="Z474" s="1071" t="s">
        <v>3767</v>
      </c>
      <c r="AA474" s="1072" t="s">
        <v>2260</v>
      </c>
      <c r="AB474" s="1073" t="s">
        <v>2260</v>
      </c>
      <c r="AC474" s="1073" t="s">
        <v>2260</v>
      </c>
      <c r="AD474" s="1073" t="s">
        <v>2260</v>
      </c>
      <c r="AE474" s="1073" t="s">
        <v>2260</v>
      </c>
      <c r="AF474" s="1073" t="s">
        <v>2260</v>
      </c>
      <c r="AG474" s="1073" t="s">
        <v>2260</v>
      </c>
      <c r="AH474" s="1073">
        <v>1</v>
      </c>
      <c r="AI474" s="1074">
        <f t="shared" si="7"/>
        <v>1</v>
      </c>
      <c r="AJ474" s="1075" t="s">
        <v>1825</v>
      </c>
      <c r="AK474" s="1075"/>
      <c r="AL474" s="1075" t="s">
        <v>2260</v>
      </c>
      <c r="AM474" s="1076" t="s">
        <v>2610</v>
      </c>
      <c r="AN474" s="987" t="s">
        <v>1897</v>
      </c>
      <c r="AO474" s="987" t="s">
        <v>3768</v>
      </c>
      <c r="AP474" s="1285">
        <v>1</v>
      </c>
      <c r="AQ474" s="1045" t="s">
        <v>1828</v>
      </c>
      <c r="AR474" s="1078" t="s">
        <v>2260</v>
      </c>
      <c r="AS474" s="1079"/>
      <c r="AT474" s="1069"/>
      <c r="AU474" s="1069"/>
      <c r="AV474" s="1069"/>
      <c r="AW474" s="1080"/>
      <c r="AX474" s="1081"/>
      <c r="AY474" s="1044"/>
      <c r="AZ474" s="1045"/>
      <c r="BA474" s="1045"/>
      <c r="BB474" s="1045"/>
      <c r="BC474" s="1045"/>
      <c r="BD474" s="1045"/>
      <c r="BE474" s="1045"/>
      <c r="BF474" s="1045"/>
      <c r="BG474" s="1045"/>
      <c r="BH474" s="1045"/>
      <c r="BI474" s="1369"/>
      <c r="BJ474" s="1319"/>
      <c r="BK474" s="1319"/>
      <c r="BL474" s="1319"/>
      <c r="BM474" s="1319"/>
      <c r="BN474" s="1044"/>
      <c r="BO474" s="1045"/>
      <c r="BP474" s="1045"/>
      <c r="BQ474" s="1045"/>
      <c r="BR474" s="1045"/>
      <c r="BS474" s="1084"/>
      <c r="BT474" s="1045"/>
      <c r="BU474" s="1045"/>
      <c r="BV474" s="1045"/>
      <c r="BW474" s="1085"/>
      <c r="BX474" s="1084"/>
      <c r="BY474" s="1045"/>
      <c r="BZ474" s="1045"/>
      <c r="CA474" s="1045"/>
      <c r="CB474" s="1085"/>
      <c r="CC474" s="1086"/>
      <c r="CD474" s="1327"/>
      <c r="CE474" s="1328"/>
      <c r="CF474" s="1328"/>
      <c r="CG474" s="1328"/>
      <c r="CH474" s="1389"/>
      <c r="CI474" s="1369"/>
      <c r="CJ474" s="1319"/>
      <c r="CK474" s="1319"/>
      <c r="CL474" s="1319"/>
      <c r="CM474" s="1320"/>
      <c r="CN474" s="1369"/>
      <c r="CO474" s="1319"/>
      <c r="CP474" s="1319"/>
      <c r="CQ474" s="1319"/>
      <c r="CR474" s="1320"/>
      <c r="CS474" s="1369"/>
      <c r="CT474" s="1319"/>
      <c r="CU474" s="1319"/>
      <c r="CV474" s="1319"/>
      <c r="CW474" s="1320"/>
      <c r="CX474" s="1369"/>
      <c r="CY474" s="1319"/>
      <c r="CZ474" s="1319"/>
      <c r="DA474" s="1319"/>
      <c r="DB474" s="1320"/>
      <c r="DC474" s="1319"/>
      <c r="DD474" s="1319"/>
      <c r="DE474" s="1319"/>
      <c r="DF474" s="1319"/>
      <c r="DG474" s="1320"/>
      <c r="DH474" s="1369"/>
      <c r="DI474" s="1319"/>
      <c r="DJ474" s="1319"/>
      <c r="DK474" s="1319"/>
      <c r="DL474" s="1320"/>
      <c r="DM474" s="1743"/>
      <c r="DN474" s="1744"/>
      <c r="DO474" s="1744"/>
      <c r="DP474" s="1745"/>
      <c r="DQ474" s="1744"/>
      <c r="DR474" s="1744"/>
      <c r="DS474" s="1744"/>
      <c r="DT474" s="1745"/>
      <c r="DU474" s="1328"/>
      <c r="DV474" s="1664"/>
      <c r="DW474" s="1746"/>
    </row>
    <row r="475" spans="1:127" s="382" customFormat="1" ht="15.75" customHeight="1">
      <c r="A475" s="1066" t="s">
        <v>1199</v>
      </c>
      <c r="B475" s="1026">
        <v>466</v>
      </c>
      <c r="C475" s="987"/>
      <c r="D475" s="987"/>
      <c r="E475" s="987"/>
      <c r="F475" s="987"/>
      <c r="G475" s="987"/>
      <c r="H475" s="987"/>
      <c r="I475" s="987"/>
      <c r="J475" s="987"/>
      <c r="K475" s="987"/>
      <c r="L475" s="987"/>
      <c r="M475" s="1026"/>
      <c r="N475" s="987"/>
      <c r="O475" s="987"/>
      <c r="P475" s="987"/>
      <c r="Q475" s="987"/>
      <c r="R475" s="987"/>
      <c r="S475" s="987"/>
      <c r="T475" s="988"/>
      <c r="U475" s="1067" t="s">
        <v>1561</v>
      </c>
      <c r="V475" s="1068" t="s">
        <v>3739</v>
      </c>
      <c r="W475" s="1068" t="s">
        <v>2231</v>
      </c>
      <c r="X475" s="1069" t="s">
        <v>3769</v>
      </c>
      <c r="Y475" s="1070" t="s">
        <v>3770</v>
      </c>
      <c r="Z475" s="1071" t="s">
        <v>3771</v>
      </c>
      <c r="AA475" s="1072" t="s">
        <v>2260</v>
      </c>
      <c r="AB475" s="1073" t="s">
        <v>2260</v>
      </c>
      <c r="AC475" s="1073">
        <v>0.5</v>
      </c>
      <c r="AD475" s="1073" t="s">
        <v>2260</v>
      </c>
      <c r="AE475" s="1073" t="s">
        <v>2260</v>
      </c>
      <c r="AF475" s="1073" t="s">
        <v>2260</v>
      </c>
      <c r="AG475" s="1073" t="s">
        <v>2260</v>
      </c>
      <c r="AH475" s="1073">
        <v>0.5</v>
      </c>
      <c r="AI475" s="1074">
        <f t="shared" si="7"/>
        <v>1</v>
      </c>
      <c r="AJ475" s="1075" t="s">
        <v>1846</v>
      </c>
      <c r="AK475" s="1075" t="s">
        <v>1826</v>
      </c>
      <c r="AL475" s="1075" t="s">
        <v>1827</v>
      </c>
      <c r="AM475" s="1076" t="s">
        <v>2482</v>
      </c>
      <c r="AN475" s="987" t="s">
        <v>1890</v>
      </c>
      <c r="AO475" s="987" t="s">
        <v>3772</v>
      </c>
      <c r="AP475" s="1285">
        <v>0</v>
      </c>
      <c r="AQ475" s="1045" t="s">
        <v>1838</v>
      </c>
      <c r="AR475" s="1078" t="s">
        <v>2260</v>
      </c>
      <c r="AS475" s="1079"/>
      <c r="AT475" s="1069"/>
      <c r="AU475" s="1069"/>
      <c r="AV475" s="1069"/>
      <c r="AW475" s="1080"/>
      <c r="AX475" s="1081"/>
      <c r="AY475" s="1044"/>
      <c r="AZ475" s="1045"/>
      <c r="BA475" s="1045"/>
      <c r="BB475" s="1045"/>
      <c r="BC475" s="1045"/>
      <c r="BD475" s="1045"/>
      <c r="BE475" s="1045"/>
      <c r="BF475" s="1045"/>
      <c r="BG475" s="1045"/>
      <c r="BH475" s="1045"/>
      <c r="BI475" s="1369"/>
      <c r="BJ475" s="1319"/>
      <c r="BK475" s="1319"/>
      <c r="BL475" s="1319"/>
      <c r="BM475" s="1319"/>
      <c r="BN475" s="1044"/>
      <c r="BO475" s="1045"/>
      <c r="BP475" s="1045"/>
      <c r="BQ475" s="1045"/>
      <c r="BR475" s="1045"/>
      <c r="BS475" s="1084"/>
      <c r="BT475" s="1045"/>
      <c r="BU475" s="1045"/>
      <c r="BV475" s="1045"/>
      <c r="BW475" s="1085"/>
      <c r="BX475" s="1084"/>
      <c r="BY475" s="1045"/>
      <c r="BZ475" s="1045"/>
      <c r="CA475" s="1045"/>
      <c r="CB475" s="1085"/>
      <c r="CC475" s="1086"/>
      <c r="CD475" s="1327"/>
      <c r="CE475" s="1328"/>
      <c r="CF475" s="1328"/>
      <c r="CG475" s="1328"/>
      <c r="CH475" s="1389"/>
      <c r="CI475" s="1369"/>
      <c r="CJ475" s="1319"/>
      <c r="CK475" s="1319"/>
      <c r="CL475" s="1319"/>
      <c r="CM475" s="1320"/>
      <c r="CN475" s="1369"/>
      <c r="CO475" s="1319"/>
      <c r="CP475" s="1319"/>
      <c r="CQ475" s="1319"/>
      <c r="CR475" s="1320"/>
      <c r="CS475" s="1369"/>
      <c r="CT475" s="1319"/>
      <c r="CU475" s="1319"/>
      <c r="CV475" s="1319"/>
      <c r="CW475" s="1320"/>
      <c r="CX475" s="1369"/>
      <c r="CY475" s="1319"/>
      <c r="CZ475" s="1319"/>
      <c r="DA475" s="1319"/>
      <c r="DB475" s="1320"/>
      <c r="DC475" s="1319"/>
      <c r="DD475" s="1319"/>
      <c r="DE475" s="1319"/>
      <c r="DF475" s="1319"/>
      <c r="DG475" s="1320"/>
      <c r="DH475" s="1369"/>
      <c r="DI475" s="1319"/>
      <c r="DJ475" s="1319"/>
      <c r="DK475" s="1319"/>
      <c r="DL475" s="1320"/>
      <c r="DM475" s="1743"/>
      <c r="DN475" s="1744"/>
      <c r="DO475" s="1744"/>
      <c r="DP475" s="1745"/>
      <c r="DQ475" s="1744"/>
      <c r="DR475" s="1744"/>
      <c r="DS475" s="1744"/>
      <c r="DT475" s="1745"/>
      <c r="DU475" s="1328"/>
      <c r="DV475" s="1664"/>
      <c r="DW475" s="1746"/>
    </row>
    <row r="476" spans="1:127" s="382" customFormat="1" ht="15.75" customHeight="1">
      <c r="A476" s="1066" t="s">
        <v>1199</v>
      </c>
      <c r="B476" s="1026">
        <v>467</v>
      </c>
      <c r="C476" s="987"/>
      <c r="D476" s="987"/>
      <c r="E476" s="987"/>
      <c r="F476" s="987"/>
      <c r="G476" s="987"/>
      <c r="H476" s="987"/>
      <c r="I476" s="987"/>
      <c r="J476" s="987"/>
      <c r="K476" s="987"/>
      <c r="L476" s="987"/>
      <c r="M476" s="1026"/>
      <c r="N476" s="987"/>
      <c r="O476" s="987"/>
      <c r="P476" s="987"/>
      <c r="Q476" s="987"/>
      <c r="R476" s="987"/>
      <c r="S476" s="987"/>
      <c r="T476" s="988"/>
      <c r="U476" s="1067" t="s">
        <v>1679</v>
      </c>
      <c r="V476" s="1068" t="s">
        <v>3739</v>
      </c>
      <c r="W476" s="1068" t="s">
        <v>2231</v>
      </c>
      <c r="X476" s="1069" t="s">
        <v>3773</v>
      </c>
      <c r="Y476" s="1070" t="s">
        <v>3774</v>
      </c>
      <c r="Z476" s="1071" t="s">
        <v>2260</v>
      </c>
      <c r="AA476" s="1072" t="s">
        <v>2260</v>
      </c>
      <c r="AB476" s="1073" t="s">
        <v>2260</v>
      </c>
      <c r="AC476" s="1073" t="s">
        <v>2260</v>
      </c>
      <c r="AD476" s="1073" t="s">
        <v>2260</v>
      </c>
      <c r="AE476" s="1073" t="s">
        <v>2260</v>
      </c>
      <c r="AF476" s="1073" t="s">
        <v>2260</v>
      </c>
      <c r="AG476" s="1073" t="s">
        <v>2260</v>
      </c>
      <c r="AH476" s="1073" t="s">
        <v>2260</v>
      </c>
      <c r="AI476" s="1074">
        <f t="shared" si="7"/>
        <v>0</v>
      </c>
      <c r="AJ476" s="1075" t="s">
        <v>1825</v>
      </c>
      <c r="AK476" s="1075"/>
      <c r="AL476" s="1075" t="s">
        <v>2260</v>
      </c>
      <c r="AM476" s="1076" t="s">
        <v>2260</v>
      </c>
      <c r="AN476" s="987" t="s">
        <v>2260</v>
      </c>
      <c r="AO476" s="987" t="s">
        <v>3775</v>
      </c>
      <c r="AP476" s="1285">
        <v>0</v>
      </c>
      <c r="AQ476" s="1045" t="s">
        <v>2260</v>
      </c>
      <c r="AR476" s="1078" t="s">
        <v>2260</v>
      </c>
      <c r="AS476" s="1079"/>
      <c r="AT476" s="1069"/>
      <c r="AU476" s="1069"/>
      <c r="AV476" s="1069"/>
      <c r="AW476" s="1080"/>
      <c r="AX476" s="1081"/>
      <c r="AY476" s="1044"/>
      <c r="AZ476" s="1045"/>
      <c r="BA476" s="1045"/>
      <c r="BB476" s="1045"/>
      <c r="BC476" s="1045"/>
      <c r="BD476" s="1045"/>
      <c r="BE476" s="1045"/>
      <c r="BF476" s="1045"/>
      <c r="BG476" s="1045"/>
      <c r="BH476" s="1045"/>
      <c r="BI476" s="1369"/>
      <c r="BJ476" s="1319"/>
      <c r="BK476" s="1319"/>
      <c r="BL476" s="1319"/>
      <c r="BM476" s="1319"/>
      <c r="BN476" s="1044"/>
      <c r="BO476" s="1045"/>
      <c r="BP476" s="1045"/>
      <c r="BQ476" s="1045"/>
      <c r="BR476" s="1045"/>
      <c r="BS476" s="1084"/>
      <c r="BT476" s="1045"/>
      <c r="BU476" s="1045"/>
      <c r="BV476" s="1045"/>
      <c r="BW476" s="1085"/>
      <c r="BX476" s="1084"/>
      <c r="BY476" s="1045"/>
      <c r="BZ476" s="1045"/>
      <c r="CA476" s="1045"/>
      <c r="CB476" s="1085"/>
      <c r="CC476" s="1086"/>
      <c r="CD476" s="1327"/>
      <c r="CE476" s="1328"/>
      <c r="CF476" s="1328"/>
      <c r="CG476" s="1328"/>
      <c r="CH476" s="1389"/>
      <c r="CI476" s="1369"/>
      <c r="CJ476" s="1319"/>
      <c r="CK476" s="1319"/>
      <c r="CL476" s="1319"/>
      <c r="CM476" s="1320"/>
      <c r="CN476" s="1369"/>
      <c r="CO476" s="1319"/>
      <c r="CP476" s="1319"/>
      <c r="CQ476" s="1319"/>
      <c r="CR476" s="1320"/>
      <c r="CS476" s="1369"/>
      <c r="CT476" s="1319"/>
      <c r="CU476" s="1319"/>
      <c r="CV476" s="1319"/>
      <c r="CW476" s="1320"/>
      <c r="CX476" s="1369"/>
      <c r="CY476" s="1319"/>
      <c r="CZ476" s="1319"/>
      <c r="DA476" s="1319"/>
      <c r="DB476" s="1320"/>
      <c r="DC476" s="1319"/>
      <c r="DD476" s="1319"/>
      <c r="DE476" s="1319"/>
      <c r="DF476" s="1319"/>
      <c r="DG476" s="1320"/>
      <c r="DH476" s="1369"/>
      <c r="DI476" s="1319"/>
      <c r="DJ476" s="1319"/>
      <c r="DK476" s="1319"/>
      <c r="DL476" s="1320"/>
      <c r="DM476" s="1743"/>
      <c r="DN476" s="1744"/>
      <c r="DO476" s="1744"/>
      <c r="DP476" s="1745"/>
      <c r="DQ476" s="1744"/>
      <c r="DR476" s="1744"/>
      <c r="DS476" s="1744"/>
      <c r="DT476" s="1745"/>
      <c r="DU476" s="1328"/>
      <c r="DV476" s="1664"/>
      <c r="DW476" s="1746"/>
    </row>
    <row r="477" spans="1:127" s="382" customFormat="1" ht="15.75" customHeight="1">
      <c r="A477" s="1066" t="s">
        <v>1199</v>
      </c>
      <c r="B477" s="1026">
        <v>468</v>
      </c>
      <c r="C477" s="987"/>
      <c r="D477" s="987"/>
      <c r="E477" s="987"/>
      <c r="F477" s="987"/>
      <c r="G477" s="987"/>
      <c r="H477" s="987"/>
      <c r="I477" s="987"/>
      <c r="J477" s="987"/>
      <c r="K477" s="987"/>
      <c r="L477" s="987"/>
      <c r="M477" s="1026"/>
      <c r="N477" s="987"/>
      <c r="O477" s="987"/>
      <c r="P477" s="987"/>
      <c r="Q477" s="987"/>
      <c r="R477" s="987"/>
      <c r="S477" s="987"/>
      <c r="T477" s="988"/>
      <c r="U477" s="1067" t="s">
        <v>1691</v>
      </c>
      <c r="V477" s="1068" t="s">
        <v>3739</v>
      </c>
      <c r="W477" s="1068" t="s">
        <v>2231</v>
      </c>
      <c r="X477" s="1069" t="s">
        <v>3776</v>
      </c>
      <c r="Y477" s="1070" t="s">
        <v>3777</v>
      </c>
      <c r="Z477" s="1071" t="s">
        <v>2260</v>
      </c>
      <c r="AA477" s="1072" t="s">
        <v>2260</v>
      </c>
      <c r="AB477" s="1073" t="s">
        <v>2260</v>
      </c>
      <c r="AC477" s="1073" t="s">
        <v>2260</v>
      </c>
      <c r="AD477" s="1073" t="s">
        <v>2260</v>
      </c>
      <c r="AE477" s="1073" t="s">
        <v>2260</v>
      </c>
      <c r="AF477" s="1073" t="s">
        <v>2260</v>
      </c>
      <c r="AG477" s="1073" t="s">
        <v>2260</v>
      </c>
      <c r="AH477" s="1073">
        <v>1</v>
      </c>
      <c r="AI477" s="1074">
        <f t="shared" si="7"/>
        <v>1</v>
      </c>
      <c r="AJ477" s="1075" t="s">
        <v>1852</v>
      </c>
      <c r="AK477" s="1075" t="s">
        <v>1826</v>
      </c>
      <c r="AL477" s="1075" t="s">
        <v>1837</v>
      </c>
      <c r="AM477" s="1076" t="s">
        <v>2260</v>
      </c>
      <c r="AN477" s="987" t="s">
        <v>2260</v>
      </c>
      <c r="AO477" s="987" t="s">
        <v>2260</v>
      </c>
      <c r="AP477" s="1285">
        <v>1</v>
      </c>
      <c r="AQ477" s="1045" t="s">
        <v>1828</v>
      </c>
      <c r="AR477" s="1078" t="s">
        <v>2260</v>
      </c>
      <c r="AS477" s="1079"/>
      <c r="AT477" s="1069"/>
      <c r="AU477" s="1069"/>
      <c r="AV477" s="1069"/>
      <c r="AW477" s="1080"/>
      <c r="AX477" s="1081"/>
      <c r="AY477" s="1044"/>
      <c r="AZ477" s="1045"/>
      <c r="BA477" s="1045"/>
      <c r="BB477" s="1045"/>
      <c r="BC477" s="1045"/>
      <c r="BD477" s="1045"/>
      <c r="BE477" s="1045"/>
      <c r="BF477" s="1045"/>
      <c r="BG477" s="1045"/>
      <c r="BH477" s="1045"/>
      <c r="BI477" s="1369"/>
      <c r="BJ477" s="1319"/>
      <c r="BK477" s="1319"/>
      <c r="BL477" s="1319"/>
      <c r="BM477" s="1319"/>
      <c r="BN477" s="1044"/>
      <c r="BO477" s="1045"/>
      <c r="BP477" s="1045"/>
      <c r="BQ477" s="1045"/>
      <c r="BR477" s="1045"/>
      <c r="BS477" s="1084"/>
      <c r="BT477" s="1045"/>
      <c r="BU477" s="1045"/>
      <c r="BV477" s="1045"/>
      <c r="BW477" s="1085"/>
      <c r="BX477" s="1084"/>
      <c r="BY477" s="1045"/>
      <c r="BZ477" s="1045"/>
      <c r="CA477" s="1045"/>
      <c r="CB477" s="1085"/>
      <c r="CC477" s="1086"/>
      <c r="CD477" s="1327"/>
      <c r="CE477" s="1328"/>
      <c r="CF477" s="1328"/>
      <c r="CG477" s="1328"/>
      <c r="CH477" s="1389"/>
      <c r="CI477" s="1369"/>
      <c r="CJ477" s="1319"/>
      <c r="CK477" s="1319"/>
      <c r="CL477" s="1319"/>
      <c r="CM477" s="1320"/>
      <c r="CN477" s="1369"/>
      <c r="CO477" s="1319"/>
      <c r="CP477" s="1319"/>
      <c r="CQ477" s="1319"/>
      <c r="CR477" s="1320"/>
      <c r="CS477" s="1369"/>
      <c r="CT477" s="1319"/>
      <c r="CU477" s="1319"/>
      <c r="CV477" s="1319"/>
      <c r="CW477" s="1320"/>
      <c r="CX477" s="1369"/>
      <c r="CY477" s="1319"/>
      <c r="CZ477" s="1319"/>
      <c r="DA477" s="1319"/>
      <c r="DB477" s="1320"/>
      <c r="DC477" s="1319"/>
      <c r="DD477" s="1319"/>
      <c r="DE477" s="1319"/>
      <c r="DF477" s="1319"/>
      <c r="DG477" s="1320"/>
      <c r="DH477" s="1369"/>
      <c r="DI477" s="1319"/>
      <c r="DJ477" s="1319"/>
      <c r="DK477" s="1319"/>
      <c r="DL477" s="1320"/>
      <c r="DM477" s="1743"/>
      <c r="DN477" s="1744"/>
      <c r="DO477" s="1744"/>
      <c r="DP477" s="1745"/>
      <c r="DQ477" s="1744"/>
      <c r="DR477" s="1744"/>
      <c r="DS477" s="1744"/>
      <c r="DT477" s="1745"/>
      <c r="DU477" s="1328"/>
      <c r="DV477" s="1664"/>
      <c r="DW477" s="1746"/>
    </row>
    <row r="478" spans="1:127" s="382" customFormat="1" ht="15.75" customHeight="1">
      <c r="A478" s="1066" t="s">
        <v>1199</v>
      </c>
      <c r="B478" s="1026">
        <v>469</v>
      </c>
      <c r="C478" s="987"/>
      <c r="D478" s="987"/>
      <c r="E478" s="987"/>
      <c r="F478" s="987"/>
      <c r="G478" s="987"/>
      <c r="H478" s="987"/>
      <c r="I478" s="987"/>
      <c r="J478" s="987"/>
      <c r="K478" s="987"/>
      <c r="L478" s="987"/>
      <c r="M478" s="1026"/>
      <c r="N478" s="987"/>
      <c r="O478" s="987"/>
      <c r="P478" s="987"/>
      <c r="Q478" s="987"/>
      <c r="R478" s="987"/>
      <c r="S478" s="987"/>
      <c r="T478" s="988"/>
      <c r="U478" s="1067" t="s">
        <v>1469</v>
      </c>
      <c r="V478" s="1068" t="s">
        <v>3739</v>
      </c>
      <c r="W478" s="1068" t="s">
        <v>2223</v>
      </c>
      <c r="X478" s="1069" t="s">
        <v>3778</v>
      </c>
      <c r="Y478" s="1070" t="s">
        <v>2540</v>
      </c>
      <c r="Z478" s="1071" t="s">
        <v>3779</v>
      </c>
      <c r="AA478" s="1072">
        <v>1</v>
      </c>
      <c r="AB478" s="1073" t="s">
        <v>2260</v>
      </c>
      <c r="AC478" s="1073" t="s">
        <v>2260</v>
      </c>
      <c r="AD478" s="1073" t="s">
        <v>2260</v>
      </c>
      <c r="AE478" s="1073" t="s">
        <v>2260</v>
      </c>
      <c r="AF478" s="1073" t="s">
        <v>2260</v>
      </c>
      <c r="AG478" s="1073" t="s">
        <v>2260</v>
      </c>
      <c r="AH478" s="1073" t="s">
        <v>2260</v>
      </c>
      <c r="AI478" s="1074">
        <f t="shared" si="7"/>
        <v>1</v>
      </c>
      <c r="AJ478" s="1075" t="s">
        <v>1852</v>
      </c>
      <c r="AK478" s="1075" t="s">
        <v>1826</v>
      </c>
      <c r="AL478" s="1075" t="s">
        <v>1827</v>
      </c>
      <c r="AM478" s="1076" t="s">
        <v>2290</v>
      </c>
      <c r="AN478" s="987" t="s">
        <v>1857</v>
      </c>
      <c r="AO478" s="987" t="s">
        <v>2542</v>
      </c>
      <c r="AP478" s="1285">
        <v>1</v>
      </c>
      <c r="AQ478" s="1045" t="s">
        <v>1838</v>
      </c>
      <c r="AR478" s="1078" t="s">
        <v>2260</v>
      </c>
      <c r="AS478" s="1079"/>
      <c r="AT478" s="1069"/>
      <c r="AU478" s="1069"/>
      <c r="AV478" s="1069"/>
      <c r="AW478" s="1080"/>
      <c r="AX478" s="1081"/>
      <c r="AY478" s="1044"/>
      <c r="AZ478" s="1045"/>
      <c r="BA478" s="1045"/>
      <c r="BB478" s="1045"/>
      <c r="BC478" s="1045"/>
      <c r="BD478" s="1045"/>
      <c r="BE478" s="1045"/>
      <c r="BF478" s="1045"/>
      <c r="BG478" s="1045"/>
      <c r="BH478" s="1045"/>
      <c r="BI478" s="1369"/>
      <c r="BJ478" s="1319"/>
      <c r="BK478" s="1319"/>
      <c r="BL478" s="1319"/>
      <c r="BM478" s="1319"/>
      <c r="BN478" s="1044"/>
      <c r="BO478" s="1045"/>
      <c r="BP478" s="1045"/>
      <c r="BQ478" s="1045"/>
      <c r="BR478" s="1045"/>
      <c r="BS478" s="1084"/>
      <c r="BT478" s="1045"/>
      <c r="BU478" s="1045"/>
      <c r="BV478" s="1045"/>
      <c r="BW478" s="1085"/>
      <c r="BX478" s="1084"/>
      <c r="BY478" s="1045"/>
      <c r="BZ478" s="1045"/>
      <c r="CA478" s="1045"/>
      <c r="CB478" s="1085"/>
      <c r="CC478" s="1086"/>
      <c r="CD478" s="1327"/>
      <c r="CE478" s="1328"/>
      <c r="CF478" s="1328"/>
      <c r="CG478" s="1328"/>
      <c r="CH478" s="1389"/>
      <c r="CI478" s="1369"/>
      <c r="CJ478" s="1319"/>
      <c r="CK478" s="1319"/>
      <c r="CL478" s="1319"/>
      <c r="CM478" s="1320"/>
      <c r="CN478" s="1369"/>
      <c r="CO478" s="1319"/>
      <c r="CP478" s="1319"/>
      <c r="CQ478" s="1319"/>
      <c r="CR478" s="1320"/>
      <c r="CS478" s="1369"/>
      <c r="CT478" s="1319"/>
      <c r="CU478" s="1319"/>
      <c r="CV478" s="1319"/>
      <c r="CW478" s="1320"/>
      <c r="CX478" s="1369"/>
      <c r="CY478" s="1319"/>
      <c r="CZ478" s="1319"/>
      <c r="DA478" s="1319"/>
      <c r="DB478" s="1320"/>
      <c r="DC478" s="1319"/>
      <c r="DD478" s="1319"/>
      <c r="DE478" s="1319"/>
      <c r="DF478" s="1319"/>
      <c r="DG478" s="1320"/>
      <c r="DH478" s="1369"/>
      <c r="DI478" s="1319"/>
      <c r="DJ478" s="1319"/>
      <c r="DK478" s="1319"/>
      <c r="DL478" s="1320"/>
      <c r="DM478" s="1743"/>
      <c r="DN478" s="1744"/>
      <c r="DO478" s="1744"/>
      <c r="DP478" s="1745"/>
      <c r="DQ478" s="1744"/>
      <c r="DR478" s="1744"/>
      <c r="DS478" s="1744"/>
      <c r="DT478" s="1745"/>
      <c r="DU478" s="1328"/>
      <c r="DV478" s="1664"/>
      <c r="DW478" s="1746"/>
    </row>
    <row r="479" spans="1:127" s="382" customFormat="1" ht="15.75" customHeight="1">
      <c r="A479" s="1066" t="s">
        <v>1199</v>
      </c>
      <c r="B479" s="1026">
        <v>470</v>
      </c>
      <c r="C479" s="987"/>
      <c r="D479" s="987"/>
      <c r="E479" s="987"/>
      <c r="F479" s="987"/>
      <c r="G479" s="987"/>
      <c r="H479" s="987"/>
      <c r="I479" s="987"/>
      <c r="J479" s="987"/>
      <c r="K479" s="987"/>
      <c r="L479" s="987"/>
      <c r="M479" s="1026"/>
      <c r="N479" s="987"/>
      <c r="O479" s="987"/>
      <c r="P479" s="987"/>
      <c r="Q479" s="987"/>
      <c r="R479" s="987"/>
      <c r="S479" s="987"/>
      <c r="T479" s="988"/>
      <c r="U479" s="1067" t="s">
        <v>1569</v>
      </c>
      <c r="V479" s="1068" t="s">
        <v>3739</v>
      </c>
      <c r="W479" s="1068" t="s">
        <v>2231</v>
      </c>
      <c r="X479" s="1069" t="s">
        <v>3780</v>
      </c>
      <c r="Y479" s="1070" t="s">
        <v>3781</v>
      </c>
      <c r="Z479" s="1071" t="s">
        <v>3782</v>
      </c>
      <c r="AA479" s="1072">
        <v>0.08</v>
      </c>
      <c r="AB479" s="1073">
        <v>0.3</v>
      </c>
      <c r="AC479" s="1073">
        <v>0.57999999999999996</v>
      </c>
      <c r="AD479" s="1073">
        <v>0.04</v>
      </c>
      <c r="AE479" s="1073" t="s">
        <v>2260</v>
      </c>
      <c r="AF479" s="1073" t="s">
        <v>2260</v>
      </c>
      <c r="AG479" s="1073" t="s">
        <v>2260</v>
      </c>
      <c r="AH479" s="1073" t="s">
        <v>2260</v>
      </c>
      <c r="AI479" s="1074">
        <f t="shared" si="7"/>
        <v>1</v>
      </c>
      <c r="AJ479" s="1075" t="s">
        <v>1852</v>
      </c>
      <c r="AK479" s="1075" t="s">
        <v>1826</v>
      </c>
      <c r="AL479" s="1075" t="s">
        <v>1837</v>
      </c>
      <c r="AM479" s="1076" t="s">
        <v>2523</v>
      </c>
      <c r="AN479" s="987" t="s">
        <v>1857</v>
      </c>
      <c r="AO479" s="987" t="s">
        <v>3783</v>
      </c>
      <c r="AP479" s="1285">
        <v>0</v>
      </c>
      <c r="AQ479" s="1045" t="s">
        <v>1828</v>
      </c>
      <c r="AR479" s="1078" t="s">
        <v>2260</v>
      </c>
      <c r="AS479" s="1079"/>
      <c r="AT479" s="1069"/>
      <c r="AU479" s="1069"/>
      <c r="AV479" s="1069"/>
      <c r="AW479" s="1080"/>
      <c r="AX479" s="1081"/>
      <c r="AY479" s="1044"/>
      <c r="AZ479" s="1045"/>
      <c r="BA479" s="1045"/>
      <c r="BB479" s="1045"/>
      <c r="BC479" s="1045"/>
      <c r="BD479" s="1045"/>
      <c r="BE479" s="1045"/>
      <c r="BF479" s="1045"/>
      <c r="BG479" s="1045"/>
      <c r="BH479" s="1045"/>
      <c r="BI479" s="1369"/>
      <c r="BJ479" s="1319"/>
      <c r="BK479" s="1319"/>
      <c r="BL479" s="1319"/>
      <c r="BM479" s="1319"/>
      <c r="BN479" s="1044"/>
      <c r="BO479" s="1045"/>
      <c r="BP479" s="1045"/>
      <c r="BQ479" s="1045"/>
      <c r="BR479" s="1045"/>
      <c r="BS479" s="1084"/>
      <c r="BT479" s="1045"/>
      <c r="BU479" s="1045"/>
      <c r="BV479" s="1045"/>
      <c r="BW479" s="1085"/>
      <c r="BX479" s="1084"/>
      <c r="BY479" s="1045"/>
      <c r="BZ479" s="1045"/>
      <c r="CA479" s="1045"/>
      <c r="CB479" s="1085"/>
      <c r="CC479" s="1086"/>
      <c r="CD479" s="1327"/>
      <c r="CE479" s="1328"/>
      <c r="CF479" s="1328"/>
      <c r="CG479" s="1328"/>
      <c r="CH479" s="1389"/>
      <c r="CI479" s="1369"/>
      <c r="CJ479" s="1319"/>
      <c r="CK479" s="1319"/>
      <c r="CL479" s="1319"/>
      <c r="CM479" s="1320"/>
      <c r="CN479" s="1369"/>
      <c r="CO479" s="1319"/>
      <c r="CP479" s="1319"/>
      <c r="CQ479" s="1319"/>
      <c r="CR479" s="1320"/>
      <c r="CS479" s="1369"/>
      <c r="CT479" s="1319"/>
      <c r="CU479" s="1319"/>
      <c r="CV479" s="1319"/>
      <c r="CW479" s="1320"/>
      <c r="CX479" s="1369"/>
      <c r="CY479" s="1319"/>
      <c r="CZ479" s="1319"/>
      <c r="DA479" s="1319"/>
      <c r="DB479" s="1320"/>
      <c r="DC479" s="1319"/>
      <c r="DD479" s="1319"/>
      <c r="DE479" s="1319"/>
      <c r="DF479" s="1319"/>
      <c r="DG479" s="1320"/>
      <c r="DH479" s="1369"/>
      <c r="DI479" s="1319"/>
      <c r="DJ479" s="1319"/>
      <c r="DK479" s="1319"/>
      <c r="DL479" s="1320"/>
      <c r="DM479" s="1743"/>
      <c r="DN479" s="1744"/>
      <c r="DO479" s="1744"/>
      <c r="DP479" s="1745"/>
      <c r="DQ479" s="1744"/>
      <c r="DR479" s="1744"/>
      <c r="DS479" s="1744"/>
      <c r="DT479" s="1745"/>
      <c r="DU479" s="1328"/>
      <c r="DV479" s="1664"/>
      <c r="DW479" s="1746"/>
    </row>
    <row r="480" spans="1:127" s="382" customFormat="1" ht="15.75" customHeight="1">
      <c r="A480" s="1066" t="s">
        <v>1199</v>
      </c>
      <c r="B480" s="1026">
        <v>471</v>
      </c>
      <c r="C480" s="987"/>
      <c r="D480" s="987"/>
      <c r="E480" s="987"/>
      <c r="F480" s="987"/>
      <c r="G480" s="987"/>
      <c r="H480" s="987"/>
      <c r="I480" s="987"/>
      <c r="J480" s="987"/>
      <c r="K480" s="987"/>
      <c r="L480" s="987"/>
      <c r="M480" s="1026"/>
      <c r="N480" s="987"/>
      <c r="O480" s="987"/>
      <c r="P480" s="987"/>
      <c r="Q480" s="987"/>
      <c r="R480" s="987"/>
      <c r="S480" s="987"/>
      <c r="T480" s="988"/>
      <c r="U480" s="1067" t="s">
        <v>1577</v>
      </c>
      <c r="V480" s="1068" t="s">
        <v>3739</v>
      </c>
      <c r="W480" s="1068" t="s">
        <v>2231</v>
      </c>
      <c r="X480" s="1069" t="s">
        <v>3784</v>
      </c>
      <c r="Y480" s="1070" t="s">
        <v>3785</v>
      </c>
      <c r="Z480" s="1071" t="s">
        <v>3786</v>
      </c>
      <c r="AA480" s="1072" t="s">
        <v>2260</v>
      </c>
      <c r="AB480" s="1073" t="s">
        <v>2260</v>
      </c>
      <c r="AC480" s="1073">
        <v>1</v>
      </c>
      <c r="AD480" s="1073" t="s">
        <v>2260</v>
      </c>
      <c r="AE480" s="1073" t="s">
        <v>2260</v>
      </c>
      <c r="AF480" s="1073" t="s">
        <v>2260</v>
      </c>
      <c r="AG480" s="1073" t="s">
        <v>2260</v>
      </c>
      <c r="AH480" s="1073" t="s">
        <v>2260</v>
      </c>
      <c r="AI480" s="1074">
        <f t="shared" si="7"/>
        <v>1</v>
      </c>
      <c r="AJ480" s="1075" t="s">
        <v>1846</v>
      </c>
      <c r="AK480" s="1075" t="s">
        <v>1826</v>
      </c>
      <c r="AL480" s="1075" t="s">
        <v>1827</v>
      </c>
      <c r="AM480" s="1076" t="s">
        <v>2280</v>
      </c>
      <c r="AN480" s="987" t="s">
        <v>1857</v>
      </c>
      <c r="AO480" s="987" t="s">
        <v>3787</v>
      </c>
      <c r="AP480" s="1285">
        <v>0</v>
      </c>
      <c r="AQ480" s="1045" t="s">
        <v>1828</v>
      </c>
      <c r="AR480" s="1078" t="s">
        <v>2260</v>
      </c>
      <c r="AS480" s="1079"/>
      <c r="AT480" s="1069"/>
      <c r="AU480" s="1069"/>
      <c r="AV480" s="1069"/>
      <c r="AW480" s="1080"/>
      <c r="AX480" s="1081"/>
      <c r="AY480" s="1044"/>
      <c r="AZ480" s="1045"/>
      <c r="BA480" s="1045"/>
      <c r="BB480" s="1045"/>
      <c r="BC480" s="1045"/>
      <c r="BD480" s="1045"/>
      <c r="BE480" s="1045"/>
      <c r="BF480" s="1045"/>
      <c r="BG480" s="1045"/>
      <c r="BH480" s="1045"/>
      <c r="BI480" s="1369"/>
      <c r="BJ480" s="1319"/>
      <c r="BK480" s="1319"/>
      <c r="BL480" s="1319"/>
      <c r="BM480" s="1319"/>
      <c r="BN480" s="1044"/>
      <c r="BO480" s="1045"/>
      <c r="BP480" s="1045"/>
      <c r="BQ480" s="1045"/>
      <c r="BR480" s="1045"/>
      <c r="BS480" s="1084"/>
      <c r="BT480" s="1045"/>
      <c r="BU480" s="1045"/>
      <c r="BV480" s="1045"/>
      <c r="BW480" s="1085"/>
      <c r="BX480" s="1084"/>
      <c r="BY480" s="1045"/>
      <c r="BZ480" s="1045"/>
      <c r="CA480" s="1045"/>
      <c r="CB480" s="1085"/>
      <c r="CC480" s="1086"/>
      <c r="CD480" s="1327"/>
      <c r="CE480" s="1328"/>
      <c r="CF480" s="1328"/>
      <c r="CG480" s="1328"/>
      <c r="CH480" s="1389"/>
      <c r="CI480" s="1369"/>
      <c r="CJ480" s="1319"/>
      <c r="CK480" s="1319"/>
      <c r="CL480" s="1319"/>
      <c r="CM480" s="1320"/>
      <c r="CN480" s="1369"/>
      <c r="CO480" s="1319"/>
      <c r="CP480" s="1319"/>
      <c r="CQ480" s="1319"/>
      <c r="CR480" s="1320"/>
      <c r="CS480" s="1369"/>
      <c r="CT480" s="1319"/>
      <c r="CU480" s="1319"/>
      <c r="CV480" s="1319"/>
      <c r="CW480" s="1320"/>
      <c r="CX480" s="1369"/>
      <c r="CY480" s="1319"/>
      <c r="CZ480" s="1319"/>
      <c r="DA480" s="1319"/>
      <c r="DB480" s="1320"/>
      <c r="DC480" s="1319"/>
      <c r="DD480" s="1319"/>
      <c r="DE480" s="1319"/>
      <c r="DF480" s="1319"/>
      <c r="DG480" s="1320"/>
      <c r="DH480" s="1369"/>
      <c r="DI480" s="1319"/>
      <c r="DJ480" s="1319"/>
      <c r="DK480" s="1319"/>
      <c r="DL480" s="1320"/>
      <c r="DM480" s="1743"/>
      <c r="DN480" s="1744"/>
      <c r="DO480" s="1744"/>
      <c r="DP480" s="1745"/>
      <c r="DQ480" s="1744"/>
      <c r="DR480" s="1744"/>
      <c r="DS480" s="1744"/>
      <c r="DT480" s="1745"/>
      <c r="DU480" s="1328"/>
      <c r="DV480" s="1664"/>
      <c r="DW480" s="1746"/>
    </row>
    <row r="481" spans="1:127" s="382" customFormat="1" ht="15.75" customHeight="1">
      <c r="A481" s="1066" t="s">
        <v>1199</v>
      </c>
      <c r="B481" s="1026">
        <v>472</v>
      </c>
      <c r="C481" s="987"/>
      <c r="D481" s="987"/>
      <c r="E481" s="987"/>
      <c r="F481" s="987"/>
      <c r="G481" s="987"/>
      <c r="H481" s="987"/>
      <c r="I481" s="987"/>
      <c r="J481" s="987"/>
      <c r="K481" s="987"/>
      <c r="L481" s="987"/>
      <c r="M481" s="1026"/>
      <c r="N481" s="987"/>
      <c r="O481" s="987"/>
      <c r="P481" s="987"/>
      <c r="Q481" s="987"/>
      <c r="R481" s="987"/>
      <c r="S481" s="987"/>
      <c r="T481" s="988"/>
      <c r="U481" s="1067" t="s">
        <v>1581</v>
      </c>
      <c r="V481" s="1068" t="s">
        <v>3739</v>
      </c>
      <c r="W481" s="1068" t="s">
        <v>2231</v>
      </c>
      <c r="X481" s="1069" t="s">
        <v>3788</v>
      </c>
      <c r="Y481" s="1070" t="s">
        <v>3789</v>
      </c>
      <c r="Z481" s="1071" t="s">
        <v>3790</v>
      </c>
      <c r="AA481" s="1072" t="s">
        <v>2260</v>
      </c>
      <c r="AB481" s="1073" t="s">
        <v>2260</v>
      </c>
      <c r="AC481" s="1073">
        <v>0.1</v>
      </c>
      <c r="AD481" s="1073">
        <v>0.9</v>
      </c>
      <c r="AE481" s="1073" t="s">
        <v>2260</v>
      </c>
      <c r="AF481" s="1073" t="s">
        <v>2260</v>
      </c>
      <c r="AG481" s="1073" t="s">
        <v>2260</v>
      </c>
      <c r="AH481" s="1073" t="s">
        <v>2260</v>
      </c>
      <c r="AI481" s="1074">
        <f t="shared" si="7"/>
        <v>1</v>
      </c>
      <c r="AJ481" s="1075" t="s">
        <v>1852</v>
      </c>
      <c r="AK481" s="1075" t="s">
        <v>1826</v>
      </c>
      <c r="AL481" s="1075" t="s">
        <v>1827</v>
      </c>
      <c r="AM481" s="1076" t="s">
        <v>2408</v>
      </c>
      <c r="AN481" s="987" t="s">
        <v>1857</v>
      </c>
      <c r="AO481" s="987" t="s">
        <v>3791</v>
      </c>
      <c r="AP481" s="1285">
        <v>0</v>
      </c>
      <c r="AQ481" s="1045" t="s">
        <v>1828</v>
      </c>
      <c r="AR481" s="1078" t="s">
        <v>2260</v>
      </c>
      <c r="AS481" s="1079"/>
      <c r="AT481" s="1069"/>
      <c r="AU481" s="1069"/>
      <c r="AV481" s="1069"/>
      <c r="AW481" s="1080"/>
      <c r="AX481" s="1081"/>
      <c r="AY481" s="1044"/>
      <c r="AZ481" s="1045"/>
      <c r="BA481" s="1045"/>
      <c r="BB481" s="1045"/>
      <c r="BC481" s="1045"/>
      <c r="BD481" s="1045"/>
      <c r="BE481" s="1045"/>
      <c r="BF481" s="1045"/>
      <c r="BG481" s="1045"/>
      <c r="BH481" s="1045"/>
      <c r="BI481" s="1369"/>
      <c r="BJ481" s="1319"/>
      <c r="BK481" s="1319"/>
      <c r="BL481" s="1319"/>
      <c r="BM481" s="1319"/>
      <c r="BN481" s="1044"/>
      <c r="BO481" s="1045"/>
      <c r="BP481" s="1045"/>
      <c r="BQ481" s="1045"/>
      <c r="BR481" s="1045"/>
      <c r="BS481" s="1084"/>
      <c r="BT481" s="1045"/>
      <c r="BU481" s="1045"/>
      <c r="BV481" s="1045"/>
      <c r="BW481" s="1085"/>
      <c r="BX481" s="1084"/>
      <c r="BY481" s="1045"/>
      <c r="BZ481" s="1045"/>
      <c r="CA481" s="1045"/>
      <c r="CB481" s="1085"/>
      <c r="CC481" s="1086"/>
      <c r="CD481" s="1327"/>
      <c r="CE481" s="1328"/>
      <c r="CF481" s="1328"/>
      <c r="CG481" s="1328"/>
      <c r="CH481" s="1389"/>
      <c r="CI481" s="1369"/>
      <c r="CJ481" s="1319"/>
      <c r="CK481" s="1319"/>
      <c r="CL481" s="1319"/>
      <c r="CM481" s="1320"/>
      <c r="CN481" s="1369"/>
      <c r="CO481" s="1319"/>
      <c r="CP481" s="1319"/>
      <c r="CQ481" s="1319"/>
      <c r="CR481" s="1320"/>
      <c r="CS481" s="1369"/>
      <c r="CT481" s="1319"/>
      <c r="CU481" s="1319"/>
      <c r="CV481" s="1319"/>
      <c r="CW481" s="1320"/>
      <c r="CX481" s="1369"/>
      <c r="CY481" s="1319"/>
      <c r="CZ481" s="1319"/>
      <c r="DA481" s="1319"/>
      <c r="DB481" s="1320"/>
      <c r="DC481" s="1319"/>
      <c r="DD481" s="1319"/>
      <c r="DE481" s="1319"/>
      <c r="DF481" s="1319"/>
      <c r="DG481" s="1320"/>
      <c r="DH481" s="1369"/>
      <c r="DI481" s="1319"/>
      <c r="DJ481" s="1319"/>
      <c r="DK481" s="1319"/>
      <c r="DL481" s="1320"/>
      <c r="DM481" s="1743"/>
      <c r="DN481" s="1744"/>
      <c r="DO481" s="1744"/>
      <c r="DP481" s="1745"/>
      <c r="DQ481" s="1744"/>
      <c r="DR481" s="1744"/>
      <c r="DS481" s="1744"/>
      <c r="DT481" s="1745"/>
      <c r="DU481" s="1328"/>
      <c r="DV481" s="1664"/>
      <c r="DW481" s="1746"/>
    </row>
    <row r="482" spans="1:127" s="382" customFormat="1" ht="15.75" customHeight="1">
      <c r="A482" s="1066" t="s">
        <v>1199</v>
      </c>
      <c r="B482" s="1026">
        <v>473</v>
      </c>
      <c r="C482" s="987"/>
      <c r="D482" s="987"/>
      <c r="E482" s="987"/>
      <c r="F482" s="987"/>
      <c r="G482" s="987"/>
      <c r="H482" s="987"/>
      <c r="I482" s="987"/>
      <c r="J482" s="987"/>
      <c r="K482" s="987"/>
      <c r="L482" s="987"/>
      <c r="M482" s="1026"/>
      <c r="N482" s="987"/>
      <c r="O482" s="987"/>
      <c r="P482" s="987"/>
      <c r="Q482" s="987"/>
      <c r="R482" s="987"/>
      <c r="S482" s="987"/>
      <c r="T482" s="988"/>
      <c r="U482" s="1067" t="s">
        <v>1702</v>
      </c>
      <c r="V482" s="1068" t="s">
        <v>3739</v>
      </c>
      <c r="W482" s="1068" t="s">
        <v>2231</v>
      </c>
      <c r="X482" s="1069" t="s">
        <v>3792</v>
      </c>
      <c r="Y482" s="1070" t="s">
        <v>3793</v>
      </c>
      <c r="Z482" s="1071" t="s">
        <v>3794</v>
      </c>
      <c r="AA482" s="1072">
        <v>0.25</v>
      </c>
      <c r="AB482" s="1073">
        <v>0.25</v>
      </c>
      <c r="AC482" s="1073">
        <v>0.25</v>
      </c>
      <c r="AD482" s="1073">
        <v>0.25</v>
      </c>
      <c r="AE482" s="1073" t="s">
        <v>2260</v>
      </c>
      <c r="AF482" s="1073" t="s">
        <v>2260</v>
      </c>
      <c r="AG482" s="1073" t="s">
        <v>2260</v>
      </c>
      <c r="AH482" s="1073" t="s">
        <v>2260</v>
      </c>
      <c r="AI482" s="1074">
        <f t="shared" si="7"/>
        <v>1</v>
      </c>
      <c r="AJ482" s="1075" t="s">
        <v>1825</v>
      </c>
      <c r="AK482" s="1075"/>
      <c r="AL482" s="1075"/>
      <c r="AM482" s="1076" t="s">
        <v>2387</v>
      </c>
      <c r="AN482" s="987" t="s">
        <v>321</v>
      </c>
      <c r="AO482" s="987" t="s">
        <v>3795</v>
      </c>
      <c r="AP482" s="1285">
        <v>1</v>
      </c>
      <c r="AQ482" s="1045" t="s">
        <v>321</v>
      </c>
      <c r="AR482" s="1078" t="s">
        <v>2260</v>
      </c>
      <c r="AS482" s="1079"/>
      <c r="AT482" s="1069"/>
      <c r="AU482" s="1069"/>
      <c r="AV482" s="1069"/>
      <c r="AW482" s="1080"/>
      <c r="AX482" s="1081"/>
      <c r="AY482" s="1044"/>
      <c r="AZ482" s="1045"/>
      <c r="BA482" s="1045"/>
      <c r="BB482" s="1045"/>
      <c r="BC482" s="1045"/>
      <c r="BD482" s="1045"/>
      <c r="BE482" s="1045"/>
      <c r="BF482" s="1045"/>
      <c r="BG482" s="1045"/>
      <c r="BH482" s="1045"/>
      <c r="BI482" s="1369"/>
      <c r="BJ482" s="1319"/>
      <c r="BK482" s="1319"/>
      <c r="BL482" s="1319"/>
      <c r="BM482" s="1319"/>
      <c r="BN482" s="1044"/>
      <c r="BO482" s="1045"/>
      <c r="BP482" s="1045"/>
      <c r="BQ482" s="1045"/>
      <c r="BR482" s="1045"/>
      <c r="BS482" s="1084"/>
      <c r="BT482" s="1045"/>
      <c r="BU482" s="1045"/>
      <c r="BV482" s="1045"/>
      <c r="BW482" s="1085"/>
      <c r="BX482" s="1084"/>
      <c r="BY482" s="1045"/>
      <c r="BZ482" s="1045"/>
      <c r="CA482" s="1045"/>
      <c r="CB482" s="1085"/>
      <c r="CC482" s="1086"/>
      <c r="CD482" s="1327"/>
      <c r="CE482" s="1328"/>
      <c r="CF482" s="1328"/>
      <c r="CG482" s="1328"/>
      <c r="CH482" s="1389"/>
      <c r="CI482" s="1369"/>
      <c r="CJ482" s="1319"/>
      <c r="CK482" s="1319"/>
      <c r="CL482" s="1319"/>
      <c r="CM482" s="1320"/>
      <c r="CN482" s="1369"/>
      <c r="CO482" s="1319"/>
      <c r="CP482" s="1319"/>
      <c r="CQ482" s="1319"/>
      <c r="CR482" s="1320"/>
      <c r="CS482" s="1369"/>
      <c r="CT482" s="1319"/>
      <c r="CU482" s="1319"/>
      <c r="CV482" s="1319"/>
      <c r="CW482" s="1320"/>
      <c r="CX482" s="1369"/>
      <c r="CY482" s="1319"/>
      <c r="CZ482" s="1319"/>
      <c r="DA482" s="1319"/>
      <c r="DB482" s="1320"/>
      <c r="DC482" s="1319"/>
      <c r="DD482" s="1319"/>
      <c r="DE482" s="1319"/>
      <c r="DF482" s="1319"/>
      <c r="DG482" s="1320"/>
      <c r="DH482" s="1369"/>
      <c r="DI482" s="1319"/>
      <c r="DJ482" s="1319"/>
      <c r="DK482" s="1319"/>
      <c r="DL482" s="1320"/>
      <c r="DM482" s="1743"/>
      <c r="DN482" s="1744"/>
      <c r="DO482" s="1744"/>
      <c r="DP482" s="1745"/>
      <c r="DQ482" s="1744"/>
      <c r="DR482" s="1744"/>
      <c r="DS482" s="1744"/>
      <c r="DT482" s="1745"/>
      <c r="DU482" s="1328"/>
      <c r="DV482" s="1664"/>
      <c r="DW482" s="1746"/>
    </row>
    <row r="483" spans="1:127" s="382" customFormat="1" ht="15.75" customHeight="1">
      <c r="A483" s="1066" t="s">
        <v>1199</v>
      </c>
      <c r="B483" s="1026">
        <v>474</v>
      </c>
      <c r="C483" s="987"/>
      <c r="D483" s="987"/>
      <c r="E483" s="987"/>
      <c r="F483" s="987"/>
      <c r="G483" s="987"/>
      <c r="H483" s="987"/>
      <c r="I483" s="987"/>
      <c r="J483" s="987"/>
      <c r="K483" s="987"/>
      <c r="L483" s="987"/>
      <c r="M483" s="1026"/>
      <c r="N483" s="987"/>
      <c r="O483" s="987"/>
      <c r="P483" s="987"/>
      <c r="Q483" s="987"/>
      <c r="R483" s="987"/>
      <c r="S483" s="987"/>
      <c r="T483" s="988"/>
      <c r="U483" s="1067" t="s">
        <v>1476</v>
      </c>
      <c r="V483" s="1068" t="s">
        <v>3739</v>
      </c>
      <c r="W483" s="1068" t="s">
        <v>2231</v>
      </c>
      <c r="X483" s="1069" t="s">
        <v>3796</v>
      </c>
      <c r="Y483" s="1070" t="s">
        <v>3797</v>
      </c>
      <c r="Z483" s="1071" t="s">
        <v>3798</v>
      </c>
      <c r="AA483" s="1072" t="s">
        <v>2260</v>
      </c>
      <c r="AB483" s="1073">
        <v>0.5</v>
      </c>
      <c r="AC483" s="1073">
        <v>0.5</v>
      </c>
      <c r="AD483" s="1073" t="s">
        <v>2260</v>
      </c>
      <c r="AE483" s="1073" t="s">
        <v>2260</v>
      </c>
      <c r="AF483" s="1073" t="s">
        <v>2260</v>
      </c>
      <c r="AG483" s="1073" t="s">
        <v>2260</v>
      </c>
      <c r="AH483" s="1073" t="s">
        <v>2260</v>
      </c>
      <c r="AI483" s="1074">
        <f t="shared" si="7"/>
        <v>1</v>
      </c>
      <c r="AJ483" s="1075" t="s">
        <v>1835</v>
      </c>
      <c r="AK483" s="1075" t="s">
        <v>1826</v>
      </c>
      <c r="AL483" s="1075" t="s">
        <v>1827</v>
      </c>
      <c r="AM483" s="1076" t="s">
        <v>2892</v>
      </c>
      <c r="AN483" s="987" t="s">
        <v>1857</v>
      </c>
      <c r="AO483" s="987" t="s">
        <v>3799</v>
      </c>
      <c r="AP483" s="1285">
        <v>0</v>
      </c>
      <c r="AQ483" s="1045" t="s">
        <v>1828</v>
      </c>
      <c r="AR483" s="1078" t="s">
        <v>2260</v>
      </c>
      <c r="AS483" s="1079"/>
      <c r="AT483" s="1069"/>
      <c r="AU483" s="1069"/>
      <c r="AV483" s="1069"/>
      <c r="AW483" s="1080"/>
      <c r="AX483" s="1081"/>
      <c r="AY483" s="1044"/>
      <c r="AZ483" s="1045"/>
      <c r="BA483" s="1045"/>
      <c r="BB483" s="1045"/>
      <c r="BC483" s="1045"/>
      <c r="BD483" s="1045"/>
      <c r="BE483" s="1045"/>
      <c r="BF483" s="1045"/>
      <c r="BG483" s="1045"/>
      <c r="BH483" s="1045"/>
      <c r="BI483" s="1369"/>
      <c r="BJ483" s="1319"/>
      <c r="BK483" s="1319"/>
      <c r="BL483" s="1319"/>
      <c r="BM483" s="1319"/>
      <c r="BN483" s="1044"/>
      <c r="BO483" s="1045"/>
      <c r="BP483" s="1045"/>
      <c r="BQ483" s="1045"/>
      <c r="BR483" s="1045"/>
      <c r="BS483" s="1084"/>
      <c r="BT483" s="1045"/>
      <c r="BU483" s="1045"/>
      <c r="BV483" s="1045"/>
      <c r="BW483" s="1085"/>
      <c r="BX483" s="1084"/>
      <c r="BY483" s="1045"/>
      <c r="BZ483" s="1045"/>
      <c r="CA483" s="1045"/>
      <c r="CB483" s="1085"/>
      <c r="CC483" s="1086"/>
      <c r="CD483" s="1327"/>
      <c r="CE483" s="1328"/>
      <c r="CF483" s="1328"/>
      <c r="CG483" s="1328"/>
      <c r="CH483" s="1389"/>
      <c r="CI483" s="1369"/>
      <c r="CJ483" s="1319"/>
      <c r="CK483" s="1319"/>
      <c r="CL483" s="1319"/>
      <c r="CM483" s="1320"/>
      <c r="CN483" s="1369"/>
      <c r="CO483" s="1319"/>
      <c r="CP483" s="1319"/>
      <c r="CQ483" s="1319"/>
      <c r="CR483" s="1320"/>
      <c r="CS483" s="1369"/>
      <c r="CT483" s="1319"/>
      <c r="CU483" s="1319"/>
      <c r="CV483" s="1319"/>
      <c r="CW483" s="1320"/>
      <c r="CX483" s="1369"/>
      <c r="CY483" s="1319"/>
      <c r="CZ483" s="1319"/>
      <c r="DA483" s="1319"/>
      <c r="DB483" s="1320"/>
      <c r="DC483" s="1319"/>
      <c r="DD483" s="1319"/>
      <c r="DE483" s="1319"/>
      <c r="DF483" s="1319"/>
      <c r="DG483" s="1320"/>
      <c r="DH483" s="1369"/>
      <c r="DI483" s="1319"/>
      <c r="DJ483" s="1319"/>
      <c r="DK483" s="1319"/>
      <c r="DL483" s="1320"/>
      <c r="DM483" s="1743"/>
      <c r="DN483" s="1744"/>
      <c r="DO483" s="1744"/>
      <c r="DP483" s="1745"/>
      <c r="DQ483" s="1744"/>
      <c r="DR483" s="1744"/>
      <c r="DS483" s="1744"/>
      <c r="DT483" s="1745"/>
      <c r="DU483" s="1328"/>
      <c r="DV483" s="1664"/>
      <c r="DW483" s="1746"/>
    </row>
    <row r="484" spans="1:127" s="382" customFormat="1" ht="15.75" customHeight="1">
      <c r="A484" s="1066" t="s">
        <v>1199</v>
      </c>
      <c r="B484" s="1026">
        <v>475</v>
      </c>
      <c r="C484" s="987"/>
      <c r="D484" s="987"/>
      <c r="E484" s="987"/>
      <c r="F484" s="987"/>
      <c r="G484" s="987"/>
      <c r="H484" s="987"/>
      <c r="I484" s="987"/>
      <c r="J484" s="987"/>
      <c r="K484" s="987"/>
      <c r="L484" s="987"/>
      <c r="M484" s="1026"/>
      <c r="N484" s="987"/>
      <c r="O484" s="987"/>
      <c r="P484" s="987"/>
      <c r="Q484" s="987"/>
      <c r="R484" s="987"/>
      <c r="S484" s="987"/>
      <c r="T484" s="988"/>
      <c r="U484" s="1067" t="s">
        <v>1259</v>
      </c>
      <c r="V484" s="1068" t="s">
        <v>3649</v>
      </c>
      <c r="W484" s="1068" t="s">
        <v>2231</v>
      </c>
      <c r="X484" s="1069" t="s">
        <v>3800</v>
      </c>
      <c r="Y484" s="1070" t="s">
        <v>755</v>
      </c>
      <c r="Z484" s="1071" t="s">
        <v>3801</v>
      </c>
      <c r="AA484" s="1072" t="s">
        <v>2260</v>
      </c>
      <c r="AB484" s="1073" t="s">
        <v>2260</v>
      </c>
      <c r="AC484" s="1073" t="s">
        <v>2260</v>
      </c>
      <c r="AD484" s="1073" t="s">
        <v>2260</v>
      </c>
      <c r="AE484" s="1073">
        <v>1</v>
      </c>
      <c r="AF484" s="1073" t="s">
        <v>2260</v>
      </c>
      <c r="AG484" s="1073" t="s">
        <v>2260</v>
      </c>
      <c r="AH484" s="1073" t="s">
        <v>2260</v>
      </c>
      <c r="AI484" s="1074">
        <f t="shared" si="7"/>
        <v>1</v>
      </c>
      <c r="AJ484" s="1075" t="s">
        <v>1825</v>
      </c>
      <c r="AK484" s="1075" t="s">
        <v>2260</v>
      </c>
      <c r="AL484" s="1075" t="s">
        <v>2260</v>
      </c>
      <c r="AM484" s="1076" t="s">
        <v>2329</v>
      </c>
      <c r="AN484" s="987" t="s">
        <v>321</v>
      </c>
      <c r="AO484" s="987" t="s">
        <v>4424</v>
      </c>
      <c r="AP484" s="1276">
        <v>1</v>
      </c>
      <c r="AQ484" s="1045" t="s">
        <v>1828</v>
      </c>
      <c r="AR484" s="1078" t="s">
        <v>755</v>
      </c>
      <c r="AS484" s="1079"/>
      <c r="AT484" s="1069"/>
      <c r="AU484" s="1069"/>
      <c r="AV484" s="1069"/>
      <c r="AW484" s="1080"/>
      <c r="AX484" s="1081"/>
      <c r="AY484" s="1044"/>
      <c r="AZ484" s="1045"/>
      <c r="BA484" s="1045"/>
      <c r="BB484" s="1045"/>
      <c r="BC484" s="1045"/>
      <c r="BD484" s="1045"/>
      <c r="BE484" s="1045"/>
      <c r="BF484" s="1045"/>
      <c r="BG484" s="1045"/>
      <c r="BH484" s="1045"/>
      <c r="BI484" s="1044" t="s">
        <v>4493</v>
      </c>
      <c r="BJ484" s="1045" t="s">
        <v>4451</v>
      </c>
      <c r="BK484" s="1045" t="s">
        <v>4470</v>
      </c>
      <c r="BL484" s="1045" t="s">
        <v>4494</v>
      </c>
      <c r="BM484" s="1045" t="s">
        <v>4446</v>
      </c>
      <c r="BN484" s="1044"/>
      <c r="BO484" s="1045"/>
      <c r="BP484" s="1045"/>
      <c r="BQ484" s="1045"/>
      <c r="BR484" s="1045"/>
      <c r="BS484" s="1084"/>
      <c r="BT484" s="1045"/>
      <c r="BU484" s="1045"/>
      <c r="BV484" s="1045"/>
      <c r="BW484" s="1085"/>
      <c r="BX484" s="1084"/>
      <c r="BY484" s="1045"/>
      <c r="BZ484" s="1045"/>
      <c r="CA484" s="1045"/>
      <c r="CB484" s="1085"/>
      <c r="CC484" s="1086"/>
      <c r="CD484" s="1087" t="s">
        <v>2260</v>
      </c>
      <c r="CE484" s="1088" t="s">
        <v>2260</v>
      </c>
      <c r="CF484" s="1088" t="s">
        <v>2260</v>
      </c>
      <c r="CG484" s="1088" t="s">
        <v>2260</v>
      </c>
      <c r="CH484" s="1089" t="s">
        <v>2260</v>
      </c>
      <c r="CI484" s="1044" t="s">
        <v>2260</v>
      </c>
      <c r="CJ484" s="1045" t="s">
        <v>2260</v>
      </c>
      <c r="CK484" s="1045" t="s">
        <v>2260</v>
      </c>
      <c r="CL484" s="1045" t="s">
        <v>2260</v>
      </c>
      <c r="CM484" s="1086" t="s">
        <v>2260</v>
      </c>
      <c r="CN484" s="1044" t="s">
        <v>2260</v>
      </c>
      <c r="CO484" s="1045" t="s">
        <v>2260</v>
      </c>
      <c r="CP484" s="1045" t="s">
        <v>2260</v>
      </c>
      <c r="CQ484" s="1045" t="s">
        <v>2260</v>
      </c>
      <c r="CR484" s="1086" t="s">
        <v>2260</v>
      </c>
      <c r="CS484" s="1044" t="s">
        <v>2260</v>
      </c>
      <c r="CT484" s="1045" t="s">
        <v>2260</v>
      </c>
      <c r="CU484" s="1045" t="s">
        <v>2260</v>
      </c>
      <c r="CV484" s="1045" t="s">
        <v>2260</v>
      </c>
      <c r="CW484" s="1086" t="s">
        <v>2260</v>
      </c>
      <c r="CX484" s="1044" t="s">
        <v>2260</v>
      </c>
      <c r="CY484" s="1045" t="s">
        <v>2260</v>
      </c>
      <c r="CZ484" s="1045" t="s">
        <v>2260</v>
      </c>
      <c r="DA484" s="1045" t="s">
        <v>2260</v>
      </c>
      <c r="DB484" s="1086" t="s">
        <v>2260</v>
      </c>
      <c r="DC484" s="1045" t="s">
        <v>2260</v>
      </c>
      <c r="DD484" s="1045" t="s">
        <v>2260</v>
      </c>
      <c r="DE484" s="1045" t="s">
        <v>2260</v>
      </c>
      <c r="DF484" s="1045" t="s">
        <v>2260</v>
      </c>
      <c r="DG484" s="1086" t="s">
        <v>2260</v>
      </c>
      <c r="DH484" s="1044" t="s">
        <v>2260</v>
      </c>
      <c r="DI484" s="1045" t="s">
        <v>2260</v>
      </c>
      <c r="DJ484" s="1045" t="s">
        <v>2260</v>
      </c>
      <c r="DK484" s="1045" t="s">
        <v>2260</v>
      </c>
      <c r="DL484" s="1086" t="s">
        <v>2260</v>
      </c>
      <c r="DM484" s="1090" t="s">
        <v>2260</v>
      </c>
      <c r="DN484" s="1091" t="s">
        <v>2260</v>
      </c>
      <c r="DO484" s="1091" t="s">
        <v>2260</v>
      </c>
      <c r="DP484" s="1092" t="s">
        <v>2260</v>
      </c>
      <c r="DQ484" s="1091" t="s">
        <v>2260</v>
      </c>
      <c r="DR484" s="1091" t="s">
        <v>2260</v>
      </c>
      <c r="DS484" s="1091" t="s">
        <v>2260</v>
      </c>
      <c r="DT484" s="1092" t="s">
        <v>2260</v>
      </c>
      <c r="DU484" s="1088" t="s">
        <v>173</v>
      </c>
      <c r="DV484" s="1093">
        <v>1</v>
      </c>
      <c r="DW484" s="1094" t="s">
        <v>259</v>
      </c>
    </row>
    <row r="485" spans="1:127" s="382" customFormat="1" ht="15.75" customHeight="1">
      <c r="A485" s="1066" t="s">
        <v>1199</v>
      </c>
      <c r="B485" s="1026">
        <v>476</v>
      </c>
      <c r="C485" s="987"/>
      <c r="D485" s="987"/>
      <c r="E485" s="987"/>
      <c r="F485" s="987"/>
      <c r="G485" s="987"/>
      <c r="H485" s="987"/>
      <c r="I485" s="987"/>
      <c r="J485" s="987"/>
      <c r="K485" s="987"/>
      <c r="L485" s="987"/>
      <c r="M485" s="1026"/>
      <c r="N485" s="987"/>
      <c r="O485" s="987"/>
      <c r="P485" s="987"/>
      <c r="Q485" s="987"/>
      <c r="R485" s="987"/>
      <c r="S485" s="987"/>
      <c r="T485" s="988"/>
      <c r="U485" s="1067" t="s">
        <v>1712</v>
      </c>
      <c r="V485" s="1068" t="s">
        <v>3649</v>
      </c>
      <c r="W485" s="1068" t="s">
        <v>2231</v>
      </c>
      <c r="X485" s="1069" t="s">
        <v>3803</v>
      </c>
      <c r="Y485" s="1070" t="s">
        <v>3804</v>
      </c>
      <c r="Z485" s="1071" t="s">
        <v>3805</v>
      </c>
      <c r="AA485" s="1072" t="s">
        <v>2260</v>
      </c>
      <c r="AB485" s="1073" t="s">
        <v>2260</v>
      </c>
      <c r="AC485" s="1073" t="s">
        <v>2260</v>
      </c>
      <c r="AD485" s="1073" t="s">
        <v>2260</v>
      </c>
      <c r="AE485" s="1073">
        <v>1</v>
      </c>
      <c r="AF485" s="1073" t="s">
        <v>2260</v>
      </c>
      <c r="AG485" s="1073" t="s">
        <v>2260</v>
      </c>
      <c r="AH485" s="1073" t="s">
        <v>2260</v>
      </c>
      <c r="AI485" s="1074">
        <f t="shared" si="7"/>
        <v>1</v>
      </c>
      <c r="AJ485" s="1075" t="s">
        <v>1825</v>
      </c>
      <c r="AK485" s="1075" t="s">
        <v>2260</v>
      </c>
      <c r="AL485" s="1075" t="s">
        <v>2260</v>
      </c>
      <c r="AM485" s="1076" t="s">
        <v>2329</v>
      </c>
      <c r="AN485" s="987" t="s">
        <v>1890</v>
      </c>
      <c r="AO485" s="987" t="s">
        <v>3806</v>
      </c>
      <c r="AP485" s="1285">
        <v>0</v>
      </c>
      <c r="AQ485" s="1045" t="s">
        <v>1890</v>
      </c>
      <c r="AR485" s="1078" t="s">
        <v>2260</v>
      </c>
      <c r="AS485" s="1079"/>
      <c r="AT485" s="1069"/>
      <c r="AU485" s="1069"/>
      <c r="AV485" s="1069"/>
      <c r="AW485" s="1080"/>
      <c r="AX485" s="1081"/>
      <c r="AY485" s="1044"/>
      <c r="AZ485" s="1045"/>
      <c r="BA485" s="1045"/>
      <c r="BB485" s="1045"/>
      <c r="BC485" s="1045"/>
      <c r="BD485" s="1045"/>
      <c r="BE485" s="1045"/>
      <c r="BF485" s="1045"/>
      <c r="BG485" s="1045"/>
      <c r="BH485" s="1045"/>
      <c r="BI485" s="1369"/>
      <c r="BJ485" s="1319"/>
      <c r="BK485" s="1319"/>
      <c r="BL485" s="1319"/>
      <c r="BM485" s="1319"/>
      <c r="BN485" s="1044"/>
      <c r="BO485" s="1045"/>
      <c r="BP485" s="1045"/>
      <c r="BQ485" s="1045"/>
      <c r="BR485" s="1045"/>
      <c r="BS485" s="1084"/>
      <c r="BT485" s="1045"/>
      <c r="BU485" s="1045"/>
      <c r="BV485" s="1045"/>
      <c r="BW485" s="1085"/>
      <c r="BX485" s="1084"/>
      <c r="BY485" s="1045"/>
      <c r="BZ485" s="1045"/>
      <c r="CA485" s="1045"/>
      <c r="CB485" s="1085"/>
      <c r="CC485" s="1086"/>
      <c r="CD485" s="1327"/>
      <c r="CE485" s="1328"/>
      <c r="CF485" s="1328"/>
      <c r="CG485" s="1328"/>
      <c r="CH485" s="1389"/>
      <c r="CI485" s="1369"/>
      <c r="CJ485" s="1319"/>
      <c r="CK485" s="1319"/>
      <c r="CL485" s="1319"/>
      <c r="CM485" s="1320"/>
      <c r="CN485" s="1369"/>
      <c r="CO485" s="1319"/>
      <c r="CP485" s="1319"/>
      <c r="CQ485" s="1319"/>
      <c r="CR485" s="1320"/>
      <c r="CS485" s="1369"/>
      <c r="CT485" s="1319"/>
      <c r="CU485" s="1319"/>
      <c r="CV485" s="1319"/>
      <c r="CW485" s="1320"/>
      <c r="CX485" s="1369"/>
      <c r="CY485" s="1319"/>
      <c r="CZ485" s="1319"/>
      <c r="DA485" s="1319"/>
      <c r="DB485" s="1320"/>
      <c r="DC485" s="1319"/>
      <c r="DD485" s="1319"/>
      <c r="DE485" s="1319"/>
      <c r="DF485" s="1319"/>
      <c r="DG485" s="1320"/>
      <c r="DH485" s="1369"/>
      <c r="DI485" s="1319"/>
      <c r="DJ485" s="1319"/>
      <c r="DK485" s="1319"/>
      <c r="DL485" s="1320"/>
      <c r="DM485" s="1743"/>
      <c r="DN485" s="1744"/>
      <c r="DO485" s="1744"/>
      <c r="DP485" s="1745"/>
      <c r="DQ485" s="1744"/>
      <c r="DR485" s="1744"/>
      <c r="DS485" s="1744"/>
      <c r="DT485" s="1745"/>
      <c r="DU485" s="1328"/>
      <c r="DV485" s="1664"/>
      <c r="DW485" s="1746"/>
    </row>
    <row r="486" spans="1:127" s="382" customFormat="1" ht="15.75" customHeight="1">
      <c r="A486" s="1066" t="s">
        <v>1199</v>
      </c>
      <c r="B486" s="1026">
        <v>477</v>
      </c>
      <c r="C486" s="987"/>
      <c r="D486" s="987"/>
      <c r="E486" s="987"/>
      <c r="F486" s="987"/>
      <c r="G486" s="987"/>
      <c r="H486" s="987"/>
      <c r="I486" s="987"/>
      <c r="J486" s="987"/>
      <c r="K486" s="987"/>
      <c r="L486" s="987"/>
      <c r="M486" s="1026"/>
      <c r="N486" s="987"/>
      <c r="O486" s="987"/>
      <c r="P486" s="987"/>
      <c r="Q486" s="987"/>
      <c r="R486" s="987"/>
      <c r="S486" s="987"/>
      <c r="T486" s="988"/>
      <c r="U486" s="1067" t="s">
        <v>1482</v>
      </c>
      <c r="V486" s="1068" t="s">
        <v>2260</v>
      </c>
      <c r="W486" s="1068" t="s">
        <v>2260</v>
      </c>
      <c r="X486" s="1069" t="s">
        <v>3808</v>
      </c>
      <c r="Y486" s="1070" t="s">
        <v>3809</v>
      </c>
      <c r="Z486" s="1071" t="s">
        <v>2260</v>
      </c>
      <c r="AA486" s="1072" t="s">
        <v>2260</v>
      </c>
      <c r="AB486" s="1073">
        <v>1</v>
      </c>
      <c r="AC486" s="1073" t="s">
        <v>2260</v>
      </c>
      <c r="AD486" s="1073" t="s">
        <v>2260</v>
      </c>
      <c r="AE486" s="1073" t="s">
        <v>2260</v>
      </c>
      <c r="AF486" s="1073" t="s">
        <v>2260</v>
      </c>
      <c r="AG486" s="1073" t="s">
        <v>2260</v>
      </c>
      <c r="AH486" s="1073" t="s">
        <v>2260</v>
      </c>
      <c r="AI486" s="1074">
        <f t="shared" si="7"/>
        <v>1</v>
      </c>
      <c r="AJ486" s="1075" t="s">
        <v>1846</v>
      </c>
      <c r="AK486" s="1075" t="s">
        <v>1826</v>
      </c>
      <c r="AL486" s="1075" t="s">
        <v>1837</v>
      </c>
      <c r="AM486" s="1076" t="s">
        <v>2260</v>
      </c>
      <c r="AN486" s="987" t="s">
        <v>2260</v>
      </c>
      <c r="AO486" s="987" t="s">
        <v>2260</v>
      </c>
      <c r="AP486" s="1285">
        <v>0</v>
      </c>
      <c r="AQ486" s="1045" t="s">
        <v>1828</v>
      </c>
      <c r="AR486" s="1078" t="s">
        <v>2260</v>
      </c>
      <c r="AS486" s="1079"/>
      <c r="AT486" s="1069"/>
      <c r="AU486" s="1069"/>
      <c r="AV486" s="1069"/>
      <c r="AW486" s="1080"/>
      <c r="AX486" s="1081"/>
      <c r="AY486" s="1044"/>
      <c r="AZ486" s="1045"/>
      <c r="BA486" s="1045"/>
      <c r="BB486" s="1045"/>
      <c r="BC486" s="1045"/>
      <c r="BD486" s="1045"/>
      <c r="BE486" s="1045"/>
      <c r="BF486" s="1045"/>
      <c r="BG486" s="1045"/>
      <c r="BH486" s="1045"/>
      <c r="BI486" s="1369"/>
      <c r="BJ486" s="1319"/>
      <c r="BK486" s="1319"/>
      <c r="BL486" s="1319"/>
      <c r="BM486" s="1319"/>
      <c r="BN486" s="1044"/>
      <c r="BO486" s="1045"/>
      <c r="BP486" s="1045"/>
      <c r="BQ486" s="1045"/>
      <c r="BR486" s="1045"/>
      <c r="BS486" s="1084"/>
      <c r="BT486" s="1045"/>
      <c r="BU486" s="1045"/>
      <c r="BV486" s="1045"/>
      <c r="BW486" s="1085"/>
      <c r="BX486" s="1084"/>
      <c r="BY486" s="1045"/>
      <c r="BZ486" s="1045"/>
      <c r="CA486" s="1045"/>
      <c r="CB486" s="1085"/>
      <c r="CC486" s="1086"/>
      <c r="CD486" s="1327"/>
      <c r="CE486" s="1328"/>
      <c r="CF486" s="1328"/>
      <c r="CG486" s="1328"/>
      <c r="CH486" s="1389"/>
      <c r="CI486" s="1369"/>
      <c r="CJ486" s="1319"/>
      <c r="CK486" s="1319"/>
      <c r="CL486" s="1319"/>
      <c r="CM486" s="1320"/>
      <c r="CN486" s="1369"/>
      <c r="CO486" s="1319"/>
      <c r="CP486" s="1319"/>
      <c r="CQ486" s="1319"/>
      <c r="CR486" s="1320"/>
      <c r="CS486" s="1369"/>
      <c r="CT486" s="1319"/>
      <c r="CU486" s="1319"/>
      <c r="CV486" s="1319"/>
      <c r="CW486" s="1320"/>
      <c r="CX486" s="1369"/>
      <c r="CY486" s="1319"/>
      <c r="CZ486" s="1319"/>
      <c r="DA486" s="1319"/>
      <c r="DB486" s="1320"/>
      <c r="DC486" s="1319"/>
      <c r="DD486" s="1319"/>
      <c r="DE486" s="1319"/>
      <c r="DF486" s="1319"/>
      <c r="DG486" s="1320"/>
      <c r="DH486" s="1369"/>
      <c r="DI486" s="1319"/>
      <c r="DJ486" s="1319"/>
      <c r="DK486" s="1319"/>
      <c r="DL486" s="1320"/>
      <c r="DM486" s="1743"/>
      <c r="DN486" s="1744"/>
      <c r="DO486" s="1744"/>
      <c r="DP486" s="1745"/>
      <c r="DQ486" s="1744"/>
      <c r="DR486" s="1744"/>
      <c r="DS486" s="1744"/>
      <c r="DT486" s="1745"/>
      <c r="DU486" s="1328"/>
      <c r="DV486" s="1664"/>
      <c r="DW486" s="1746"/>
    </row>
    <row r="487" spans="1:127" s="382" customFormat="1" ht="15.75" customHeight="1">
      <c r="A487" s="1066" t="s">
        <v>1199</v>
      </c>
      <c r="B487" s="1026">
        <v>478</v>
      </c>
      <c r="C487" s="987"/>
      <c r="D487" s="987"/>
      <c r="E487" s="987"/>
      <c r="F487" s="987"/>
      <c r="G487" s="987"/>
      <c r="H487" s="987"/>
      <c r="I487" s="987"/>
      <c r="J487" s="987"/>
      <c r="K487" s="987"/>
      <c r="L487" s="987"/>
      <c r="M487" s="1026"/>
      <c r="N487" s="987"/>
      <c r="O487" s="987"/>
      <c r="P487" s="987"/>
      <c r="Q487" s="987"/>
      <c r="R487" s="987"/>
      <c r="S487" s="987"/>
      <c r="T487" s="988"/>
      <c r="U487" s="1067" t="s">
        <v>1488</v>
      </c>
      <c r="V487" s="1068" t="s">
        <v>2260</v>
      </c>
      <c r="W487" s="1068" t="s">
        <v>2260</v>
      </c>
      <c r="X487" s="1069" t="s">
        <v>3810</v>
      </c>
      <c r="Y487" s="1070" t="s">
        <v>3811</v>
      </c>
      <c r="Z487" s="1071" t="s">
        <v>2260</v>
      </c>
      <c r="AA487" s="1072" t="s">
        <v>2260</v>
      </c>
      <c r="AB487" s="1073">
        <v>1</v>
      </c>
      <c r="AC487" s="1073" t="s">
        <v>2260</v>
      </c>
      <c r="AD487" s="1073" t="s">
        <v>2260</v>
      </c>
      <c r="AE487" s="1073" t="s">
        <v>2260</v>
      </c>
      <c r="AF487" s="1073" t="s">
        <v>2260</v>
      </c>
      <c r="AG487" s="1073" t="s">
        <v>2260</v>
      </c>
      <c r="AH487" s="1073" t="s">
        <v>2260</v>
      </c>
      <c r="AI487" s="1074">
        <f t="shared" si="7"/>
        <v>1</v>
      </c>
      <c r="AJ487" s="1075" t="s">
        <v>1846</v>
      </c>
      <c r="AK487" s="1075" t="s">
        <v>1826</v>
      </c>
      <c r="AL487" s="1075" t="s">
        <v>1837</v>
      </c>
      <c r="AM487" s="1076" t="s">
        <v>2260</v>
      </c>
      <c r="AN487" s="987" t="s">
        <v>2260</v>
      </c>
      <c r="AO487" s="987" t="s">
        <v>2260</v>
      </c>
      <c r="AP487" s="1285">
        <v>0</v>
      </c>
      <c r="AQ487" s="1045" t="s">
        <v>1828</v>
      </c>
      <c r="AR487" s="1078" t="s">
        <v>2260</v>
      </c>
      <c r="AS487" s="1079"/>
      <c r="AT487" s="1069"/>
      <c r="AU487" s="1069"/>
      <c r="AV487" s="1069"/>
      <c r="AW487" s="1080"/>
      <c r="AX487" s="1081"/>
      <c r="AY487" s="1044"/>
      <c r="AZ487" s="1045"/>
      <c r="BA487" s="1045"/>
      <c r="BB487" s="1045"/>
      <c r="BC487" s="1045"/>
      <c r="BD487" s="1045"/>
      <c r="BE487" s="1045"/>
      <c r="BF487" s="1045"/>
      <c r="BG487" s="1045"/>
      <c r="BH487" s="1045"/>
      <c r="BI487" s="1369"/>
      <c r="BJ487" s="1319"/>
      <c r="BK487" s="1319"/>
      <c r="BL487" s="1319"/>
      <c r="BM487" s="1319"/>
      <c r="BN487" s="1044"/>
      <c r="BO487" s="1045"/>
      <c r="BP487" s="1045"/>
      <c r="BQ487" s="1045"/>
      <c r="BR487" s="1045"/>
      <c r="BS487" s="1084"/>
      <c r="BT487" s="1045"/>
      <c r="BU487" s="1045"/>
      <c r="BV487" s="1045"/>
      <c r="BW487" s="1085"/>
      <c r="BX487" s="1084"/>
      <c r="BY487" s="1045"/>
      <c r="BZ487" s="1045"/>
      <c r="CA487" s="1045"/>
      <c r="CB487" s="1085"/>
      <c r="CC487" s="1086"/>
      <c r="CD487" s="1327"/>
      <c r="CE487" s="1328"/>
      <c r="CF487" s="1328"/>
      <c r="CG487" s="1328"/>
      <c r="CH487" s="1389"/>
      <c r="CI487" s="1369"/>
      <c r="CJ487" s="1319"/>
      <c r="CK487" s="1319"/>
      <c r="CL487" s="1319"/>
      <c r="CM487" s="1320"/>
      <c r="CN487" s="1369"/>
      <c r="CO487" s="1319"/>
      <c r="CP487" s="1319"/>
      <c r="CQ487" s="1319"/>
      <c r="CR487" s="1320"/>
      <c r="CS487" s="1369"/>
      <c r="CT487" s="1319"/>
      <c r="CU487" s="1319"/>
      <c r="CV487" s="1319"/>
      <c r="CW487" s="1320"/>
      <c r="CX487" s="1369"/>
      <c r="CY487" s="1319"/>
      <c r="CZ487" s="1319"/>
      <c r="DA487" s="1319"/>
      <c r="DB487" s="1320"/>
      <c r="DC487" s="1319"/>
      <c r="DD487" s="1319"/>
      <c r="DE487" s="1319"/>
      <c r="DF487" s="1319"/>
      <c r="DG487" s="1320"/>
      <c r="DH487" s="1369"/>
      <c r="DI487" s="1319"/>
      <c r="DJ487" s="1319"/>
      <c r="DK487" s="1319"/>
      <c r="DL487" s="1320"/>
      <c r="DM487" s="1743"/>
      <c r="DN487" s="1744"/>
      <c r="DO487" s="1744"/>
      <c r="DP487" s="1745"/>
      <c r="DQ487" s="1744"/>
      <c r="DR487" s="1744"/>
      <c r="DS487" s="1744"/>
      <c r="DT487" s="1745"/>
      <c r="DU487" s="1328"/>
      <c r="DV487" s="1664"/>
      <c r="DW487" s="1746"/>
    </row>
    <row r="488" spans="1:127" s="382" customFormat="1" ht="15.75" customHeight="1">
      <c r="A488" s="1066" t="s">
        <v>1199</v>
      </c>
      <c r="B488" s="1026">
        <v>479</v>
      </c>
      <c r="C488" s="987"/>
      <c r="D488" s="987"/>
      <c r="E488" s="987"/>
      <c r="F488" s="987"/>
      <c r="G488" s="987"/>
      <c r="H488" s="987"/>
      <c r="I488" s="987"/>
      <c r="J488" s="987"/>
      <c r="K488" s="987"/>
      <c r="L488" s="987"/>
      <c r="M488" s="1026"/>
      <c r="N488" s="987"/>
      <c r="O488" s="987"/>
      <c r="P488" s="987"/>
      <c r="Q488" s="987"/>
      <c r="R488" s="987"/>
      <c r="S488" s="987"/>
      <c r="T488" s="988"/>
      <c r="U488" s="1067" t="s">
        <v>1720</v>
      </c>
      <c r="V488" s="1068" t="s">
        <v>2260</v>
      </c>
      <c r="W488" s="1068" t="s">
        <v>2260</v>
      </c>
      <c r="X488" s="1069" t="s">
        <v>2331</v>
      </c>
      <c r="Y488" s="1070" t="s">
        <v>2332</v>
      </c>
      <c r="Z488" s="1071" t="s">
        <v>2260</v>
      </c>
      <c r="AA488" s="1072" t="s">
        <v>2260</v>
      </c>
      <c r="AB488" s="1073" t="s">
        <v>2260</v>
      </c>
      <c r="AC488" s="1073" t="s">
        <v>2260</v>
      </c>
      <c r="AD488" s="1073" t="s">
        <v>2260</v>
      </c>
      <c r="AE488" s="1073" t="s">
        <v>2260</v>
      </c>
      <c r="AF488" s="1073" t="s">
        <v>2260</v>
      </c>
      <c r="AG488" s="1073" t="s">
        <v>2260</v>
      </c>
      <c r="AH488" s="1073" t="s">
        <v>2260</v>
      </c>
      <c r="AI488" s="1074">
        <f t="shared" si="7"/>
        <v>0</v>
      </c>
      <c r="AJ488" s="1075" t="s">
        <v>1825</v>
      </c>
      <c r="AK488" s="1075" t="s">
        <v>2260</v>
      </c>
      <c r="AL488" s="1075" t="s">
        <v>2260</v>
      </c>
      <c r="AM488" s="1076" t="s">
        <v>2260</v>
      </c>
      <c r="AN488" s="987" t="s">
        <v>2260</v>
      </c>
      <c r="AO488" s="987" t="s">
        <v>2333</v>
      </c>
      <c r="AP488" s="1285">
        <v>0</v>
      </c>
      <c r="AQ488" s="1045" t="s">
        <v>2260</v>
      </c>
      <c r="AR488" s="1078" t="s">
        <v>2260</v>
      </c>
      <c r="AS488" s="1079"/>
      <c r="AT488" s="1069"/>
      <c r="AU488" s="1069"/>
      <c r="AV488" s="1069"/>
      <c r="AW488" s="1080"/>
      <c r="AX488" s="1081"/>
      <c r="AY488" s="1044"/>
      <c r="AZ488" s="1045"/>
      <c r="BA488" s="1045"/>
      <c r="BB488" s="1045"/>
      <c r="BC488" s="1045"/>
      <c r="BD488" s="1045"/>
      <c r="BE488" s="1045"/>
      <c r="BF488" s="1045"/>
      <c r="BG488" s="1045"/>
      <c r="BH488" s="1045"/>
      <c r="BI488" s="1369"/>
      <c r="BJ488" s="1319"/>
      <c r="BK488" s="1319"/>
      <c r="BL488" s="1319"/>
      <c r="BM488" s="1319"/>
      <c r="BN488" s="1044"/>
      <c r="BO488" s="1045"/>
      <c r="BP488" s="1045"/>
      <c r="BQ488" s="1045"/>
      <c r="BR488" s="1045"/>
      <c r="BS488" s="1084"/>
      <c r="BT488" s="1045"/>
      <c r="BU488" s="1045"/>
      <c r="BV488" s="1045"/>
      <c r="BW488" s="1085"/>
      <c r="BX488" s="1084"/>
      <c r="BY488" s="1045"/>
      <c r="BZ488" s="1045"/>
      <c r="CA488" s="1045"/>
      <c r="CB488" s="1085"/>
      <c r="CC488" s="1086"/>
      <c r="CD488" s="1327"/>
      <c r="CE488" s="1328"/>
      <c r="CF488" s="1328"/>
      <c r="CG488" s="1328"/>
      <c r="CH488" s="1389"/>
      <c r="CI488" s="1369"/>
      <c r="CJ488" s="1319"/>
      <c r="CK488" s="1319"/>
      <c r="CL488" s="1319"/>
      <c r="CM488" s="1320"/>
      <c r="CN488" s="1369"/>
      <c r="CO488" s="1319"/>
      <c r="CP488" s="1319"/>
      <c r="CQ488" s="1319"/>
      <c r="CR488" s="1320"/>
      <c r="CS488" s="1369"/>
      <c r="CT488" s="1319"/>
      <c r="CU488" s="1319"/>
      <c r="CV488" s="1319"/>
      <c r="CW488" s="1320"/>
      <c r="CX488" s="1369"/>
      <c r="CY488" s="1319"/>
      <c r="CZ488" s="1319"/>
      <c r="DA488" s="1319"/>
      <c r="DB488" s="1320"/>
      <c r="DC488" s="1319"/>
      <c r="DD488" s="1319"/>
      <c r="DE488" s="1319"/>
      <c r="DF488" s="1319"/>
      <c r="DG488" s="1320"/>
      <c r="DH488" s="1369"/>
      <c r="DI488" s="1319"/>
      <c r="DJ488" s="1319"/>
      <c r="DK488" s="1319"/>
      <c r="DL488" s="1320"/>
      <c r="DM488" s="1743"/>
      <c r="DN488" s="1744"/>
      <c r="DO488" s="1744"/>
      <c r="DP488" s="1745"/>
      <c r="DQ488" s="1744"/>
      <c r="DR488" s="1744"/>
      <c r="DS488" s="1744"/>
      <c r="DT488" s="1745"/>
      <c r="DU488" s="1328"/>
      <c r="DV488" s="1664"/>
      <c r="DW488" s="1746"/>
    </row>
    <row r="489" spans="1:127" s="382" customFormat="1" ht="15.75" customHeight="1">
      <c r="A489" s="1066" t="s">
        <v>1199</v>
      </c>
      <c r="B489" s="1026">
        <v>480</v>
      </c>
      <c r="C489" s="987"/>
      <c r="D489" s="987"/>
      <c r="E489" s="987"/>
      <c r="F489" s="987"/>
      <c r="G489" s="987"/>
      <c r="H489" s="987"/>
      <c r="I489" s="987"/>
      <c r="J489" s="987"/>
      <c r="K489" s="987"/>
      <c r="L489" s="987"/>
      <c r="M489" s="1026"/>
      <c r="N489" s="987"/>
      <c r="O489" s="987"/>
      <c r="P489" s="987"/>
      <c r="Q489" s="987"/>
      <c r="R489" s="987"/>
      <c r="S489" s="987"/>
      <c r="T489" s="988"/>
      <c r="U489" s="1067" t="s">
        <v>1727</v>
      </c>
      <c r="V489" s="1068" t="s">
        <v>2260</v>
      </c>
      <c r="W489" s="1068" t="s">
        <v>2260</v>
      </c>
      <c r="X489" s="1069" t="s">
        <v>3812</v>
      </c>
      <c r="Y489" s="1070" t="s">
        <v>2840</v>
      </c>
      <c r="Z489" s="1071" t="s">
        <v>2260</v>
      </c>
      <c r="AA489" s="1072" t="s">
        <v>2260</v>
      </c>
      <c r="AB489" s="1073" t="s">
        <v>2260</v>
      </c>
      <c r="AC489" s="1073" t="s">
        <v>2260</v>
      </c>
      <c r="AD489" s="1073" t="s">
        <v>2260</v>
      </c>
      <c r="AE489" s="1073" t="s">
        <v>2260</v>
      </c>
      <c r="AF489" s="1073" t="s">
        <v>2260</v>
      </c>
      <c r="AG489" s="1073" t="s">
        <v>2260</v>
      </c>
      <c r="AH489" s="1073" t="s">
        <v>2260</v>
      </c>
      <c r="AI489" s="1074">
        <f t="shared" si="7"/>
        <v>0</v>
      </c>
      <c r="AJ489" s="1075"/>
      <c r="AK489" s="1075"/>
      <c r="AL489" s="1075"/>
      <c r="AM489" s="1076"/>
      <c r="AN489" s="987"/>
      <c r="AO489" s="987"/>
      <c r="AP489" s="1285">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69"/>
      <c r="BJ489" s="1319"/>
      <c r="BK489" s="1319"/>
      <c r="BL489" s="1319"/>
      <c r="BM489" s="1319"/>
      <c r="BN489" s="1044"/>
      <c r="BO489" s="1045"/>
      <c r="BP489" s="1045"/>
      <c r="BQ489" s="1045"/>
      <c r="BR489" s="1045"/>
      <c r="BS489" s="1084"/>
      <c r="BT489" s="1045"/>
      <c r="BU489" s="1045"/>
      <c r="BV489" s="1045"/>
      <c r="BW489" s="1085"/>
      <c r="BX489" s="1084"/>
      <c r="BY489" s="1045"/>
      <c r="BZ489" s="1045"/>
      <c r="CA489" s="1045"/>
      <c r="CB489" s="1085"/>
      <c r="CC489" s="1086"/>
      <c r="CD489" s="1327"/>
      <c r="CE489" s="1328"/>
      <c r="CF489" s="1328"/>
      <c r="CG489" s="1328"/>
      <c r="CH489" s="1389"/>
      <c r="CI489" s="1369"/>
      <c r="CJ489" s="1319"/>
      <c r="CK489" s="1319"/>
      <c r="CL489" s="1319"/>
      <c r="CM489" s="1320"/>
      <c r="CN489" s="1369"/>
      <c r="CO489" s="1319"/>
      <c r="CP489" s="1319"/>
      <c r="CQ489" s="1319"/>
      <c r="CR489" s="1320"/>
      <c r="CS489" s="1369"/>
      <c r="CT489" s="1319"/>
      <c r="CU489" s="1319"/>
      <c r="CV489" s="1319"/>
      <c r="CW489" s="1320"/>
      <c r="CX489" s="1369"/>
      <c r="CY489" s="1319"/>
      <c r="CZ489" s="1319"/>
      <c r="DA489" s="1319"/>
      <c r="DB489" s="1320"/>
      <c r="DC489" s="1319"/>
      <c r="DD489" s="1319"/>
      <c r="DE489" s="1319"/>
      <c r="DF489" s="1319"/>
      <c r="DG489" s="1320"/>
      <c r="DH489" s="1369"/>
      <c r="DI489" s="1319"/>
      <c r="DJ489" s="1319"/>
      <c r="DK489" s="1319"/>
      <c r="DL489" s="1320"/>
      <c r="DM489" s="1743"/>
      <c r="DN489" s="1744"/>
      <c r="DO489" s="1744"/>
      <c r="DP489" s="1745"/>
      <c r="DQ489" s="1744"/>
      <c r="DR489" s="1744"/>
      <c r="DS489" s="1744"/>
      <c r="DT489" s="1745"/>
      <c r="DU489" s="1328"/>
      <c r="DV489" s="1664"/>
      <c r="DW489" s="1746"/>
    </row>
    <row r="490" spans="1:127" s="382" customFormat="1" ht="15.75" customHeight="1">
      <c r="A490" s="1066" t="s">
        <v>1213</v>
      </c>
      <c r="B490" s="1026">
        <v>481</v>
      </c>
      <c r="C490" s="987"/>
      <c r="D490" s="987"/>
      <c r="E490" s="987"/>
      <c r="F490" s="987"/>
      <c r="G490" s="987"/>
      <c r="H490" s="987"/>
      <c r="I490" s="987"/>
      <c r="J490" s="987"/>
      <c r="K490" s="987"/>
      <c r="L490" s="987"/>
      <c r="M490" s="1026"/>
      <c r="N490" s="987"/>
      <c r="O490" s="987"/>
      <c r="P490" s="987"/>
      <c r="Q490" s="987"/>
      <c r="R490" s="987"/>
      <c r="S490" s="987"/>
      <c r="T490" s="988"/>
      <c r="U490" s="1067" t="s">
        <v>1261</v>
      </c>
      <c r="V490" s="1068" t="s">
        <v>3817</v>
      </c>
      <c r="W490" s="1068" t="s">
        <v>2231</v>
      </c>
      <c r="X490" s="1069" t="s">
        <v>3818</v>
      </c>
      <c r="Y490" s="1070" t="s">
        <v>172</v>
      </c>
      <c r="Z490" s="1071" t="s">
        <v>3819</v>
      </c>
      <c r="AA490" s="1072">
        <v>0.1</v>
      </c>
      <c r="AB490" s="1073">
        <v>0.9</v>
      </c>
      <c r="AC490" s="1073" t="s">
        <v>2260</v>
      </c>
      <c r="AD490" s="1073" t="s">
        <v>2260</v>
      </c>
      <c r="AE490" s="1073" t="s">
        <v>2260</v>
      </c>
      <c r="AF490" s="1073" t="s">
        <v>2260</v>
      </c>
      <c r="AG490" s="1073" t="s">
        <v>2260</v>
      </c>
      <c r="AH490" s="1073" t="s">
        <v>2260</v>
      </c>
      <c r="AI490" s="1074">
        <f t="shared" si="7"/>
        <v>1</v>
      </c>
      <c r="AJ490" s="1075" t="s">
        <v>1846</v>
      </c>
      <c r="AK490" s="1075" t="s">
        <v>1826</v>
      </c>
      <c r="AL490" s="1075" t="s">
        <v>1827</v>
      </c>
      <c r="AM490" s="1076" t="s">
        <v>2247</v>
      </c>
      <c r="AN490" s="987" t="s">
        <v>2439</v>
      </c>
      <c r="AO490" s="987" t="s">
        <v>4420</v>
      </c>
      <c r="AP490" s="1276">
        <v>2</v>
      </c>
      <c r="AQ490" s="1045" t="s">
        <v>1838</v>
      </c>
      <c r="AR490" s="1078" t="s">
        <v>172</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210</v>
      </c>
      <c r="CE490" s="1088" t="s">
        <v>210</v>
      </c>
      <c r="CF490" s="1088" t="s">
        <v>210</v>
      </c>
      <c r="CG490" s="1088" t="s">
        <v>210</v>
      </c>
      <c r="CH490" s="1089" t="s">
        <v>210</v>
      </c>
      <c r="CI490" s="1044" t="s">
        <v>2260</v>
      </c>
      <c r="CJ490" s="1045" t="s">
        <v>2260</v>
      </c>
      <c r="CK490" s="1045" t="s">
        <v>2260</v>
      </c>
      <c r="CL490" s="1045" t="s">
        <v>2260</v>
      </c>
      <c r="CM490" s="1086" t="s">
        <v>2260</v>
      </c>
      <c r="CN490" s="1044">
        <v>9.5</v>
      </c>
      <c r="CO490" s="1045">
        <v>9.5</v>
      </c>
      <c r="CP490" s="1045">
        <v>9.5</v>
      </c>
      <c r="CQ490" s="1045">
        <v>9.5</v>
      </c>
      <c r="CR490" s="1086">
        <v>9.5</v>
      </c>
      <c r="CS490" s="1044">
        <v>2</v>
      </c>
      <c r="CT490" s="1045">
        <v>2</v>
      </c>
      <c r="CU490" s="1045">
        <v>2</v>
      </c>
      <c r="CV490" s="1045">
        <v>2</v>
      </c>
      <c r="CW490" s="1086">
        <v>2</v>
      </c>
      <c r="CX490" s="1044" t="s">
        <v>2260</v>
      </c>
      <c r="CY490" s="1045" t="s">
        <v>2260</v>
      </c>
      <c r="CZ490" s="1045" t="s">
        <v>2260</v>
      </c>
      <c r="DA490" s="1045" t="s">
        <v>2260</v>
      </c>
      <c r="DB490" s="1086" t="s">
        <v>2260</v>
      </c>
      <c r="DC490" s="1045" t="s">
        <v>2260</v>
      </c>
      <c r="DD490" s="1045" t="s">
        <v>2260</v>
      </c>
      <c r="DE490" s="1045" t="s">
        <v>2260</v>
      </c>
      <c r="DF490" s="1045" t="s">
        <v>2260</v>
      </c>
      <c r="DG490" s="1086" t="s">
        <v>2260</v>
      </c>
      <c r="DH490" s="1044" t="s">
        <v>2260</v>
      </c>
      <c r="DI490" s="1045" t="s">
        <v>2260</v>
      </c>
      <c r="DJ490" s="1045" t="s">
        <v>2260</v>
      </c>
      <c r="DK490" s="1045" t="s">
        <v>2260</v>
      </c>
      <c r="DL490" s="1086" t="s">
        <v>2260</v>
      </c>
      <c r="DM490" s="1090">
        <v>-1.125</v>
      </c>
      <c r="DN490" s="1091" t="s">
        <v>2260</v>
      </c>
      <c r="DO490" s="1091" t="s">
        <v>2260</v>
      </c>
      <c r="DP490" s="1092" t="s">
        <v>2260</v>
      </c>
      <c r="DQ490" s="1091">
        <v>0</v>
      </c>
      <c r="DR490" s="1091" t="s">
        <v>2260</v>
      </c>
      <c r="DS490" s="1091" t="s">
        <v>2260</v>
      </c>
      <c r="DT490" s="1092" t="s">
        <v>2260</v>
      </c>
      <c r="DU490" s="1088" t="s">
        <v>173</v>
      </c>
      <c r="DV490" s="1093">
        <v>1</v>
      </c>
      <c r="DW490" s="1094" t="s">
        <v>2260</v>
      </c>
    </row>
    <row r="491" spans="1:127" s="382" customFormat="1" ht="15.75" customHeight="1">
      <c r="A491" s="1066" t="s">
        <v>1213</v>
      </c>
      <c r="B491" s="1026">
        <v>482</v>
      </c>
      <c r="C491" s="987"/>
      <c r="D491" s="987"/>
      <c r="E491" s="987"/>
      <c r="F491" s="987"/>
      <c r="G491" s="987"/>
      <c r="H491" s="987"/>
      <c r="I491" s="987"/>
      <c r="J491" s="987"/>
      <c r="K491" s="987"/>
      <c r="L491" s="987"/>
      <c r="M491" s="1026"/>
      <c r="N491" s="987"/>
      <c r="O491" s="987"/>
      <c r="P491" s="987"/>
      <c r="Q491" s="987"/>
      <c r="R491" s="987"/>
      <c r="S491" s="987"/>
      <c r="T491" s="988"/>
      <c r="U491" s="1067" t="s">
        <v>1317</v>
      </c>
      <c r="V491" s="1068" t="s">
        <v>3817</v>
      </c>
      <c r="W491" s="1068" t="s">
        <v>2217</v>
      </c>
      <c r="X491" s="1069" t="s">
        <v>3821</v>
      </c>
      <c r="Y491" s="1070" t="s">
        <v>3822</v>
      </c>
      <c r="Z491" s="1071" t="s">
        <v>3823</v>
      </c>
      <c r="AA491" s="1072" t="s">
        <v>2260</v>
      </c>
      <c r="AB491" s="1073">
        <v>1</v>
      </c>
      <c r="AC491" s="1073" t="s">
        <v>2260</v>
      </c>
      <c r="AD491" s="1073" t="s">
        <v>2260</v>
      </c>
      <c r="AE491" s="1073" t="s">
        <v>2260</v>
      </c>
      <c r="AF491" s="1073" t="s">
        <v>2260</v>
      </c>
      <c r="AG491" s="1073" t="s">
        <v>2260</v>
      </c>
      <c r="AH491" s="1073" t="s">
        <v>2260</v>
      </c>
      <c r="AI491" s="1074">
        <f t="shared" si="7"/>
        <v>1</v>
      </c>
      <c r="AJ491" s="1075" t="s">
        <v>1852</v>
      </c>
      <c r="AK491" s="1075" t="s">
        <v>1826</v>
      </c>
      <c r="AL491" s="1075" t="s">
        <v>1827</v>
      </c>
      <c r="AM491" s="1076" t="s">
        <v>2421</v>
      </c>
      <c r="AN491" s="987" t="s">
        <v>439</v>
      </c>
      <c r="AO491" s="987" t="s">
        <v>4423</v>
      </c>
      <c r="AP491" s="1243">
        <v>1</v>
      </c>
      <c r="AQ491" s="1045" t="s">
        <v>1838</v>
      </c>
      <c r="AR491" s="1078"/>
      <c r="AS491" s="1079"/>
      <c r="AT491" s="1069"/>
      <c r="AU491" s="1069"/>
      <c r="AV491" s="1069"/>
      <c r="AW491" s="1080"/>
      <c r="AX491" s="1081"/>
      <c r="AY491" s="1044"/>
      <c r="AZ491" s="1045"/>
      <c r="BA491" s="1045"/>
      <c r="BB491" s="1045"/>
      <c r="BC491" s="1045"/>
      <c r="BD491" s="1045"/>
      <c r="BE491" s="1045"/>
      <c r="BF491" s="1045"/>
      <c r="BG491" s="1045"/>
      <c r="BH491" s="1045"/>
      <c r="BI491" s="1369"/>
      <c r="BJ491" s="1319"/>
      <c r="BK491" s="1319"/>
      <c r="BL491" s="1319"/>
      <c r="BM491" s="1319"/>
      <c r="BN491" s="1044"/>
      <c r="BO491" s="1045"/>
      <c r="BP491" s="1045"/>
      <c r="BQ491" s="1045"/>
      <c r="BR491" s="1045"/>
      <c r="BS491" s="1084"/>
      <c r="BT491" s="1045"/>
      <c r="BU491" s="1045"/>
      <c r="BV491" s="1045"/>
      <c r="BW491" s="1085"/>
      <c r="BX491" s="1084"/>
      <c r="BY491" s="1045"/>
      <c r="BZ491" s="1045"/>
      <c r="CA491" s="1045"/>
      <c r="CB491" s="1085"/>
      <c r="CC491" s="1086"/>
      <c r="CD491" s="1327"/>
      <c r="CE491" s="1328"/>
      <c r="CF491" s="1328"/>
      <c r="CG491" s="1328"/>
      <c r="CH491" s="1389"/>
      <c r="CI491" s="1369"/>
      <c r="CJ491" s="1319"/>
      <c r="CK491" s="1319"/>
      <c r="CL491" s="1319"/>
      <c r="CM491" s="1320"/>
      <c r="CN491" s="1369"/>
      <c r="CO491" s="1319"/>
      <c r="CP491" s="1319"/>
      <c r="CQ491" s="1319"/>
      <c r="CR491" s="1320"/>
      <c r="CS491" s="1369"/>
      <c r="CT491" s="1319"/>
      <c r="CU491" s="1319"/>
      <c r="CV491" s="1319"/>
      <c r="CW491" s="1320"/>
      <c r="CX491" s="1369"/>
      <c r="CY491" s="1319"/>
      <c r="CZ491" s="1319"/>
      <c r="DA491" s="1319"/>
      <c r="DB491" s="1320"/>
      <c r="DC491" s="1319"/>
      <c r="DD491" s="1319"/>
      <c r="DE491" s="1319"/>
      <c r="DF491" s="1319"/>
      <c r="DG491" s="1320"/>
      <c r="DH491" s="1369"/>
      <c r="DI491" s="1319"/>
      <c r="DJ491" s="1319"/>
      <c r="DK491" s="1319"/>
      <c r="DL491" s="1320"/>
      <c r="DM491" s="1743"/>
      <c r="DN491" s="1744"/>
      <c r="DO491" s="1744"/>
      <c r="DP491" s="1745"/>
      <c r="DQ491" s="1744"/>
      <c r="DR491" s="1744"/>
      <c r="DS491" s="1744"/>
      <c r="DT491" s="1745"/>
      <c r="DU491" s="1328"/>
      <c r="DV491" s="1664"/>
      <c r="DW491" s="1746"/>
    </row>
    <row r="492" spans="1:127" s="382" customFormat="1" ht="15.75" customHeight="1">
      <c r="A492" s="1066" t="s">
        <v>1213</v>
      </c>
      <c r="B492" s="1026">
        <v>483</v>
      </c>
      <c r="C492" s="987"/>
      <c r="D492" s="987"/>
      <c r="E492" s="987"/>
      <c r="F492" s="987"/>
      <c r="G492" s="987"/>
      <c r="H492" s="987"/>
      <c r="I492" s="987"/>
      <c r="J492" s="987"/>
      <c r="K492" s="987"/>
      <c r="L492" s="987"/>
      <c r="M492" s="1026"/>
      <c r="N492" s="987"/>
      <c r="O492" s="987"/>
      <c r="P492" s="987"/>
      <c r="Q492" s="987"/>
      <c r="R492" s="987"/>
      <c r="S492" s="987"/>
      <c r="T492" s="988"/>
      <c r="U492" s="1067" t="s">
        <v>1334</v>
      </c>
      <c r="V492" s="1068" t="s">
        <v>3817</v>
      </c>
      <c r="W492" s="1068" t="s">
        <v>2231</v>
      </c>
      <c r="X492" s="1069" t="s">
        <v>3825</v>
      </c>
      <c r="Y492" s="1070" t="s">
        <v>3826</v>
      </c>
      <c r="Z492" s="1071" t="s">
        <v>3827</v>
      </c>
      <c r="AA492" s="1072" t="s">
        <v>2260</v>
      </c>
      <c r="AB492" s="1073">
        <v>1</v>
      </c>
      <c r="AC492" s="1073" t="s">
        <v>2260</v>
      </c>
      <c r="AD492" s="1073" t="s">
        <v>2260</v>
      </c>
      <c r="AE492" s="1073" t="s">
        <v>2260</v>
      </c>
      <c r="AF492" s="1073" t="s">
        <v>2260</v>
      </c>
      <c r="AG492" s="1073" t="s">
        <v>2260</v>
      </c>
      <c r="AH492" s="1073" t="s">
        <v>2260</v>
      </c>
      <c r="AI492" s="1074">
        <f t="shared" si="7"/>
        <v>1</v>
      </c>
      <c r="AJ492" s="1075" t="s">
        <v>1852</v>
      </c>
      <c r="AK492" s="1075" t="s">
        <v>1826</v>
      </c>
      <c r="AL492" s="1075" t="s">
        <v>1827</v>
      </c>
      <c r="AM492" s="1076" t="s">
        <v>2247</v>
      </c>
      <c r="AN492" s="987" t="s">
        <v>1857</v>
      </c>
      <c r="AO492" s="987" t="s">
        <v>3828</v>
      </c>
      <c r="AP492" s="1243">
        <v>0</v>
      </c>
      <c r="AQ492" s="1045" t="s">
        <v>1828</v>
      </c>
      <c r="AR492" s="1078" t="s">
        <v>2260</v>
      </c>
      <c r="AS492" s="1079"/>
      <c r="AT492" s="1069"/>
      <c r="AU492" s="1069"/>
      <c r="AV492" s="1069"/>
      <c r="AW492" s="1080"/>
      <c r="AX492" s="1081"/>
      <c r="AY492" s="1044"/>
      <c r="AZ492" s="1045"/>
      <c r="BA492" s="1045"/>
      <c r="BB492" s="1045"/>
      <c r="BC492" s="1045"/>
      <c r="BD492" s="1045"/>
      <c r="BE492" s="1045"/>
      <c r="BF492" s="1045"/>
      <c r="BG492" s="1045"/>
      <c r="BH492" s="1045"/>
      <c r="BI492" s="1369"/>
      <c r="BJ492" s="1319"/>
      <c r="BK492" s="1319"/>
      <c r="BL492" s="1319"/>
      <c r="BM492" s="1319"/>
      <c r="BN492" s="1044"/>
      <c r="BO492" s="1045"/>
      <c r="BP492" s="1045"/>
      <c r="BQ492" s="1045"/>
      <c r="BR492" s="1045"/>
      <c r="BS492" s="1084"/>
      <c r="BT492" s="1045"/>
      <c r="BU492" s="1045"/>
      <c r="BV492" s="1045"/>
      <c r="BW492" s="1085"/>
      <c r="BX492" s="1084"/>
      <c r="BY492" s="1045"/>
      <c r="BZ492" s="1045"/>
      <c r="CA492" s="1045"/>
      <c r="CB492" s="1085"/>
      <c r="CC492" s="1086"/>
      <c r="CD492" s="1327"/>
      <c r="CE492" s="1328"/>
      <c r="CF492" s="1328"/>
      <c r="CG492" s="1328"/>
      <c r="CH492" s="1389"/>
      <c r="CI492" s="1369"/>
      <c r="CJ492" s="1319"/>
      <c r="CK492" s="1319"/>
      <c r="CL492" s="1319"/>
      <c r="CM492" s="1320"/>
      <c r="CN492" s="1369"/>
      <c r="CO492" s="1319"/>
      <c r="CP492" s="1319"/>
      <c r="CQ492" s="1319"/>
      <c r="CR492" s="1320"/>
      <c r="CS492" s="1369"/>
      <c r="CT492" s="1319"/>
      <c r="CU492" s="1319"/>
      <c r="CV492" s="1319"/>
      <c r="CW492" s="1320"/>
      <c r="CX492" s="1369"/>
      <c r="CY492" s="1319"/>
      <c r="CZ492" s="1319"/>
      <c r="DA492" s="1319"/>
      <c r="DB492" s="1320"/>
      <c r="DC492" s="1319"/>
      <c r="DD492" s="1319"/>
      <c r="DE492" s="1319"/>
      <c r="DF492" s="1319"/>
      <c r="DG492" s="1320"/>
      <c r="DH492" s="1369"/>
      <c r="DI492" s="1319"/>
      <c r="DJ492" s="1319"/>
      <c r="DK492" s="1319"/>
      <c r="DL492" s="1320"/>
      <c r="DM492" s="1743"/>
      <c r="DN492" s="1744"/>
      <c r="DO492" s="1744"/>
      <c r="DP492" s="1745"/>
      <c r="DQ492" s="1744"/>
      <c r="DR492" s="1744"/>
      <c r="DS492" s="1744"/>
      <c r="DT492" s="1745"/>
      <c r="DU492" s="1328"/>
      <c r="DV492" s="1664"/>
      <c r="DW492" s="1746"/>
    </row>
    <row r="493" spans="1:127" s="382" customFormat="1" ht="15.75" customHeight="1">
      <c r="A493" s="1066" t="s">
        <v>1213</v>
      </c>
      <c r="B493" s="1026">
        <v>484</v>
      </c>
      <c r="C493" s="987"/>
      <c r="D493" s="987"/>
      <c r="E493" s="987"/>
      <c r="F493" s="987"/>
      <c r="G493" s="987"/>
      <c r="H493" s="987"/>
      <c r="I493" s="987"/>
      <c r="J493" s="987"/>
      <c r="K493" s="987"/>
      <c r="L493" s="987"/>
      <c r="M493" s="1026"/>
      <c r="N493" s="987"/>
      <c r="O493" s="987"/>
      <c r="P493" s="987"/>
      <c r="Q493" s="987"/>
      <c r="R493" s="987"/>
      <c r="S493" s="987"/>
      <c r="T493" s="988"/>
      <c r="U493" s="1067" t="s">
        <v>1351</v>
      </c>
      <c r="V493" s="1068" t="s">
        <v>3817</v>
      </c>
      <c r="W493" s="1068" t="s">
        <v>2231</v>
      </c>
      <c r="X493" s="1069" t="s">
        <v>3829</v>
      </c>
      <c r="Y493" s="1070" t="s">
        <v>3830</v>
      </c>
      <c r="Z493" s="1071" t="s">
        <v>3831</v>
      </c>
      <c r="AA493" s="1072" t="s">
        <v>2260</v>
      </c>
      <c r="AB493" s="1073">
        <v>1</v>
      </c>
      <c r="AC493" s="1073" t="s">
        <v>2260</v>
      </c>
      <c r="AD493" s="1073" t="s">
        <v>2260</v>
      </c>
      <c r="AE493" s="1073" t="s">
        <v>2260</v>
      </c>
      <c r="AF493" s="1073" t="s">
        <v>2260</v>
      </c>
      <c r="AG493" s="1073" t="s">
        <v>2260</v>
      </c>
      <c r="AH493" s="1073" t="s">
        <v>2260</v>
      </c>
      <c r="AI493" s="1074">
        <f t="shared" si="7"/>
        <v>1</v>
      </c>
      <c r="AJ493" s="1075" t="s">
        <v>1852</v>
      </c>
      <c r="AK493" s="1075" t="s">
        <v>1826</v>
      </c>
      <c r="AL493" s="1075" t="s">
        <v>1827</v>
      </c>
      <c r="AM493" s="1076" t="s">
        <v>2610</v>
      </c>
      <c r="AN493" s="987" t="s">
        <v>321</v>
      </c>
      <c r="AO493" s="987" t="s">
        <v>3832</v>
      </c>
      <c r="AP493" s="1243">
        <v>1</v>
      </c>
      <c r="AQ493" s="1045" t="s">
        <v>1828</v>
      </c>
      <c r="AR493" s="1078" t="s">
        <v>2260</v>
      </c>
      <c r="AS493" s="1079"/>
      <c r="AT493" s="1069"/>
      <c r="AU493" s="1069"/>
      <c r="AV493" s="1069"/>
      <c r="AW493" s="1080"/>
      <c r="AX493" s="1081"/>
      <c r="AY493" s="1044"/>
      <c r="AZ493" s="1045"/>
      <c r="BA493" s="1045"/>
      <c r="BB493" s="1045"/>
      <c r="BC493" s="1045"/>
      <c r="BD493" s="1045"/>
      <c r="BE493" s="1045"/>
      <c r="BF493" s="1045"/>
      <c r="BG493" s="1045"/>
      <c r="BH493" s="1045"/>
      <c r="BI493" s="1369"/>
      <c r="BJ493" s="1319"/>
      <c r="BK493" s="1319"/>
      <c r="BL493" s="1319"/>
      <c r="BM493" s="1319"/>
      <c r="BN493" s="1044"/>
      <c r="BO493" s="1045"/>
      <c r="BP493" s="1045"/>
      <c r="BQ493" s="1045"/>
      <c r="BR493" s="1045"/>
      <c r="BS493" s="1084"/>
      <c r="BT493" s="1045"/>
      <c r="BU493" s="1045"/>
      <c r="BV493" s="1045"/>
      <c r="BW493" s="1085"/>
      <c r="BX493" s="1084"/>
      <c r="BY493" s="1045"/>
      <c r="BZ493" s="1045"/>
      <c r="CA493" s="1045"/>
      <c r="CB493" s="1085"/>
      <c r="CC493" s="1086"/>
      <c r="CD493" s="1327"/>
      <c r="CE493" s="1328"/>
      <c r="CF493" s="1328"/>
      <c r="CG493" s="1328"/>
      <c r="CH493" s="1389"/>
      <c r="CI493" s="1369"/>
      <c r="CJ493" s="1319"/>
      <c r="CK493" s="1319"/>
      <c r="CL493" s="1319"/>
      <c r="CM493" s="1320"/>
      <c r="CN493" s="1369"/>
      <c r="CO493" s="1319"/>
      <c r="CP493" s="1319"/>
      <c r="CQ493" s="1319"/>
      <c r="CR493" s="1320"/>
      <c r="CS493" s="1369"/>
      <c r="CT493" s="1319"/>
      <c r="CU493" s="1319"/>
      <c r="CV493" s="1319"/>
      <c r="CW493" s="1320"/>
      <c r="CX493" s="1369"/>
      <c r="CY493" s="1319"/>
      <c r="CZ493" s="1319"/>
      <c r="DA493" s="1319"/>
      <c r="DB493" s="1320"/>
      <c r="DC493" s="1319"/>
      <c r="DD493" s="1319"/>
      <c r="DE493" s="1319"/>
      <c r="DF493" s="1319"/>
      <c r="DG493" s="1320"/>
      <c r="DH493" s="1369"/>
      <c r="DI493" s="1319"/>
      <c r="DJ493" s="1319"/>
      <c r="DK493" s="1319"/>
      <c r="DL493" s="1320"/>
      <c r="DM493" s="1743"/>
      <c r="DN493" s="1744"/>
      <c r="DO493" s="1744"/>
      <c r="DP493" s="1745"/>
      <c r="DQ493" s="1744"/>
      <c r="DR493" s="1744"/>
      <c r="DS493" s="1744"/>
      <c r="DT493" s="1745"/>
      <c r="DU493" s="1328"/>
      <c r="DV493" s="1664"/>
      <c r="DW493" s="1746"/>
    </row>
    <row r="494" spans="1:127" s="382" customFormat="1" ht="15.75" customHeight="1">
      <c r="A494" s="1066" t="s">
        <v>1213</v>
      </c>
      <c r="B494" s="1026">
        <v>485</v>
      </c>
      <c r="C494" s="987"/>
      <c r="D494" s="987"/>
      <c r="E494" s="987"/>
      <c r="F494" s="987"/>
      <c r="G494" s="987"/>
      <c r="H494" s="987"/>
      <c r="I494" s="987"/>
      <c r="J494" s="987"/>
      <c r="K494" s="987"/>
      <c r="L494" s="987"/>
      <c r="M494" s="1026"/>
      <c r="N494" s="987"/>
      <c r="O494" s="987"/>
      <c r="P494" s="987"/>
      <c r="Q494" s="987"/>
      <c r="R494" s="987"/>
      <c r="S494" s="987"/>
      <c r="T494" s="988"/>
      <c r="U494" s="1067" t="s">
        <v>1368</v>
      </c>
      <c r="V494" s="1068" t="s">
        <v>3817</v>
      </c>
      <c r="W494" s="1068" t="s">
        <v>2231</v>
      </c>
      <c r="X494" s="1069" t="s">
        <v>3833</v>
      </c>
      <c r="Y494" s="1070" t="s">
        <v>3834</v>
      </c>
      <c r="Z494" s="1071" t="s">
        <v>3835</v>
      </c>
      <c r="AA494" s="1072" t="s">
        <v>2260</v>
      </c>
      <c r="AB494" s="1073">
        <v>1</v>
      </c>
      <c r="AC494" s="1073" t="s">
        <v>2260</v>
      </c>
      <c r="AD494" s="1073" t="s">
        <v>2260</v>
      </c>
      <c r="AE494" s="1073" t="s">
        <v>2260</v>
      </c>
      <c r="AF494" s="1073" t="s">
        <v>2260</v>
      </c>
      <c r="AG494" s="1073" t="s">
        <v>2260</v>
      </c>
      <c r="AH494" s="1073" t="s">
        <v>2260</v>
      </c>
      <c r="AI494" s="1074">
        <f t="shared" si="7"/>
        <v>1</v>
      </c>
      <c r="AJ494" s="1075" t="s">
        <v>1835</v>
      </c>
      <c r="AK494" s="1075" t="s">
        <v>1826</v>
      </c>
      <c r="AL494" s="1075" t="s">
        <v>1827</v>
      </c>
      <c r="AM494" s="1076" t="s">
        <v>2421</v>
      </c>
      <c r="AN494" s="987" t="s">
        <v>1857</v>
      </c>
      <c r="AO494" s="987" t="s">
        <v>3836</v>
      </c>
      <c r="AP494" s="1243">
        <v>2</v>
      </c>
      <c r="AQ494" s="1045" t="s">
        <v>1828</v>
      </c>
      <c r="AR494" s="1078" t="s">
        <v>2260</v>
      </c>
      <c r="AS494" s="1079"/>
      <c r="AT494" s="1069"/>
      <c r="AU494" s="1069"/>
      <c r="AV494" s="1069"/>
      <c r="AW494" s="1080"/>
      <c r="AX494" s="1081"/>
      <c r="AY494" s="1044"/>
      <c r="AZ494" s="1045"/>
      <c r="BA494" s="1045"/>
      <c r="BB494" s="1045"/>
      <c r="BC494" s="1045"/>
      <c r="BD494" s="1045"/>
      <c r="BE494" s="1045"/>
      <c r="BF494" s="1045"/>
      <c r="BG494" s="1045"/>
      <c r="BH494" s="1045"/>
      <c r="BI494" s="1369"/>
      <c r="BJ494" s="1319"/>
      <c r="BK494" s="1319"/>
      <c r="BL494" s="1319"/>
      <c r="BM494" s="1319"/>
      <c r="BN494" s="1044"/>
      <c r="BO494" s="1045"/>
      <c r="BP494" s="1045"/>
      <c r="BQ494" s="1045"/>
      <c r="BR494" s="1045"/>
      <c r="BS494" s="1084"/>
      <c r="BT494" s="1045"/>
      <c r="BU494" s="1045"/>
      <c r="BV494" s="1045"/>
      <c r="BW494" s="1085"/>
      <c r="BX494" s="1084"/>
      <c r="BY494" s="1045"/>
      <c r="BZ494" s="1045"/>
      <c r="CA494" s="1045"/>
      <c r="CB494" s="1085"/>
      <c r="CC494" s="1086"/>
      <c r="CD494" s="1327"/>
      <c r="CE494" s="1328"/>
      <c r="CF494" s="1328"/>
      <c r="CG494" s="1328"/>
      <c r="CH494" s="1389"/>
      <c r="CI494" s="1369"/>
      <c r="CJ494" s="1319"/>
      <c r="CK494" s="1319"/>
      <c r="CL494" s="1319"/>
      <c r="CM494" s="1320"/>
      <c r="CN494" s="1369"/>
      <c r="CO494" s="1319"/>
      <c r="CP494" s="1319"/>
      <c r="CQ494" s="1319"/>
      <c r="CR494" s="1320"/>
      <c r="CS494" s="1369"/>
      <c r="CT494" s="1319"/>
      <c r="CU494" s="1319"/>
      <c r="CV494" s="1319"/>
      <c r="CW494" s="1320"/>
      <c r="CX494" s="1369"/>
      <c r="CY494" s="1319"/>
      <c r="CZ494" s="1319"/>
      <c r="DA494" s="1319"/>
      <c r="DB494" s="1320"/>
      <c r="DC494" s="1319"/>
      <c r="DD494" s="1319"/>
      <c r="DE494" s="1319"/>
      <c r="DF494" s="1319"/>
      <c r="DG494" s="1320"/>
      <c r="DH494" s="1369"/>
      <c r="DI494" s="1319"/>
      <c r="DJ494" s="1319"/>
      <c r="DK494" s="1319"/>
      <c r="DL494" s="1320"/>
      <c r="DM494" s="1743"/>
      <c r="DN494" s="1744"/>
      <c r="DO494" s="1744"/>
      <c r="DP494" s="1745"/>
      <c r="DQ494" s="1744"/>
      <c r="DR494" s="1744"/>
      <c r="DS494" s="1744"/>
      <c r="DT494" s="1745"/>
      <c r="DU494" s="1328"/>
      <c r="DV494" s="1664"/>
      <c r="DW494" s="1746"/>
    </row>
    <row r="495" spans="1:127" s="382" customFormat="1" ht="15.75" customHeight="1">
      <c r="A495" s="1023" t="s">
        <v>1213</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1281</v>
      </c>
      <c r="V495" s="1029" t="s">
        <v>3837</v>
      </c>
      <c r="W495" s="1029" t="s">
        <v>2217</v>
      </c>
      <c r="X495" s="1030" t="s">
        <v>3838</v>
      </c>
      <c r="Y495" s="1031" t="s">
        <v>705</v>
      </c>
      <c r="Z495" s="1032" t="s">
        <v>3819</v>
      </c>
      <c r="AA495" s="1033" t="s">
        <v>2260</v>
      </c>
      <c r="AB495" s="1034">
        <v>1</v>
      </c>
      <c r="AC495" s="1034" t="s">
        <v>2260</v>
      </c>
      <c r="AD495" s="1034" t="s">
        <v>2260</v>
      </c>
      <c r="AE495" s="1034" t="s">
        <v>2260</v>
      </c>
      <c r="AF495" s="1034" t="s">
        <v>2260</v>
      </c>
      <c r="AG495" s="1034" t="s">
        <v>2260</v>
      </c>
      <c r="AH495" s="1034" t="s">
        <v>2260</v>
      </c>
      <c r="AI495" s="1035">
        <f t="shared" si="7"/>
        <v>1</v>
      </c>
      <c r="AJ495" s="1036" t="s">
        <v>1852</v>
      </c>
      <c r="AK495" s="1036" t="s">
        <v>1826</v>
      </c>
      <c r="AL495" s="1036" t="s">
        <v>1827</v>
      </c>
      <c r="AM495" s="1037" t="s">
        <v>705</v>
      </c>
      <c r="AN495" s="1031" t="s">
        <v>321</v>
      </c>
      <c r="AO495" s="1031" t="s">
        <v>4416</v>
      </c>
      <c r="AP495" s="1275">
        <v>1</v>
      </c>
      <c r="AQ495" s="802" t="s">
        <v>1828</v>
      </c>
      <c r="AR495" s="1040" t="s">
        <v>705</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210</v>
      </c>
      <c r="CE495" s="1054" t="s">
        <v>210</v>
      </c>
      <c r="CF495" s="1054" t="s">
        <v>210</v>
      </c>
      <c r="CG495" s="1054" t="s">
        <v>210</v>
      </c>
      <c r="CH495" s="1055" t="s">
        <v>210</v>
      </c>
      <c r="CI495" s="1058" t="s">
        <v>2260</v>
      </c>
      <c r="CJ495" s="1056" t="s">
        <v>2260</v>
      </c>
      <c r="CK495" s="1056" t="s">
        <v>2260</v>
      </c>
      <c r="CL495" s="1056" t="s">
        <v>2260</v>
      </c>
      <c r="CM495" s="1057" t="s">
        <v>2260</v>
      </c>
      <c r="CN495" s="1058">
        <v>-5</v>
      </c>
      <c r="CO495" s="1056">
        <v>-5</v>
      </c>
      <c r="CP495" s="1056">
        <v>-5</v>
      </c>
      <c r="CQ495" s="1056">
        <v>-5</v>
      </c>
      <c r="CR495" s="1057">
        <v>-5</v>
      </c>
      <c r="CS495" s="1048" t="s">
        <v>2260</v>
      </c>
      <c r="CT495" s="1049" t="s">
        <v>2260</v>
      </c>
      <c r="CU495" s="1049" t="s">
        <v>2260</v>
      </c>
      <c r="CV495" s="1049" t="s">
        <v>2260</v>
      </c>
      <c r="CW495" s="1052" t="s">
        <v>2260</v>
      </c>
      <c r="CX495" s="1048" t="s">
        <v>2260</v>
      </c>
      <c r="CY495" s="1049" t="s">
        <v>2260</v>
      </c>
      <c r="CZ495" s="1049" t="s">
        <v>2260</v>
      </c>
      <c r="DA495" s="1049" t="s">
        <v>2260</v>
      </c>
      <c r="DB495" s="1052" t="s">
        <v>2260</v>
      </c>
      <c r="DC495" s="1049">
        <v>2.5</v>
      </c>
      <c r="DD495" s="1049">
        <v>5.0999999999999996</v>
      </c>
      <c r="DE495" s="1049">
        <v>8.9</v>
      </c>
      <c r="DF495" s="1049">
        <v>13.2</v>
      </c>
      <c r="DG495" s="1052">
        <v>17.2</v>
      </c>
      <c r="DH495" s="1058" t="s">
        <v>2260</v>
      </c>
      <c r="DI495" s="1049" t="s">
        <v>2260</v>
      </c>
      <c r="DJ495" s="1049" t="s">
        <v>2260</v>
      </c>
      <c r="DK495" s="1049" t="s">
        <v>2260</v>
      </c>
      <c r="DL495" s="1052" t="s">
        <v>2260</v>
      </c>
      <c r="DM495" s="1060">
        <v>-0.17499999999999999</v>
      </c>
      <c r="DN495" s="1061" t="s">
        <v>2260</v>
      </c>
      <c r="DO495" s="1061" t="s">
        <v>2260</v>
      </c>
      <c r="DP495" s="1062" t="s">
        <v>2260</v>
      </c>
      <c r="DQ495" s="1061">
        <v>0.14599999999999999</v>
      </c>
      <c r="DR495" s="1061" t="s">
        <v>2260</v>
      </c>
      <c r="DS495" s="1061" t="s">
        <v>2260</v>
      </c>
      <c r="DT495" s="1062" t="s">
        <v>2260</v>
      </c>
      <c r="DU495" s="1054" t="s">
        <v>173</v>
      </c>
      <c r="DV495" s="1063">
        <v>1</v>
      </c>
      <c r="DW495" s="1064" t="s">
        <v>2260</v>
      </c>
    </row>
    <row r="496" spans="1:127" s="382" customFormat="1" ht="15.75" customHeight="1">
      <c r="A496" s="1066" t="s">
        <v>1213</v>
      </c>
      <c r="B496" s="1026">
        <v>487</v>
      </c>
      <c r="C496" s="987"/>
      <c r="D496" s="987"/>
      <c r="E496" s="987"/>
      <c r="F496" s="987"/>
      <c r="G496" s="987"/>
      <c r="H496" s="987"/>
      <c r="I496" s="987"/>
      <c r="J496" s="987"/>
      <c r="K496" s="987"/>
      <c r="L496" s="987"/>
      <c r="M496" s="1026"/>
      <c r="N496" s="987"/>
      <c r="O496" s="987"/>
      <c r="P496" s="987"/>
      <c r="Q496" s="987"/>
      <c r="R496" s="987"/>
      <c r="S496" s="987"/>
      <c r="T496" s="988"/>
      <c r="U496" s="1067" t="s">
        <v>1265</v>
      </c>
      <c r="V496" s="1068" t="s">
        <v>3837</v>
      </c>
      <c r="W496" s="1068" t="s">
        <v>2217</v>
      </c>
      <c r="X496" s="1069" t="s">
        <v>3840</v>
      </c>
      <c r="Y496" s="1070" t="s">
        <v>203</v>
      </c>
      <c r="Z496" s="1071" t="s">
        <v>3819</v>
      </c>
      <c r="AA496" s="1072" t="s">
        <v>2260</v>
      </c>
      <c r="AB496" s="1073">
        <v>1</v>
      </c>
      <c r="AC496" s="1073" t="s">
        <v>2260</v>
      </c>
      <c r="AD496" s="1073" t="s">
        <v>2260</v>
      </c>
      <c r="AE496" s="1073" t="s">
        <v>2260</v>
      </c>
      <c r="AF496" s="1073" t="s">
        <v>2260</v>
      </c>
      <c r="AG496" s="1073" t="s">
        <v>2260</v>
      </c>
      <c r="AH496" s="1073" t="s">
        <v>2260</v>
      </c>
      <c r="AI496" s="1074">
        <f t="shared" si="7"/>
        <v>1</v>
      </c>
      <c r="AJ496" s="1075" t="s">
        <v>1852</v>
      </c>
      <c r="AK496" s="1075" t="s">
        <v>1826</v>
      </c>
      <c r="AL496" s="1075" t="s">
        <v>1827</v>
      </c>
      <c r="AM496" s="1076" t="s">
        <v>2363</v>
      </c>
      <c r="AN496" s="987" t="s">
        <v>2439</v>
      </c>
      <c r="AO496" s="987" t="s">
        <v>4419</v>
      </c>
      <c r="AP496" s="1276">
        <v>1</v>
      </c>
      <c r="AQ496" s="1045" t="s">
        <v>1838</v>
      </c>
      <c r="AR496" s="1078" t="s">
        <v>203</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210</v>
      </c>
      <c r="CE496" s="1088" t="s">
        <v>210</v>
      </c>
      <c r="CF496" s="1088" t="s">
        <v>210</v>
      </c>
      <c r="CG496" s="1088" t="s">
        <v>210</v>
      </c>
      <c r="CH496" s="1089" t="s">
        <v>210</v>
      </c>
      <c r="CI496" s="1044" t="s">
        <v>2260</v>
      </c>
      <c r="CJ496" s="1045" t="s">
        <v>2260</v>
      </c>
      <c r="CK496" s="1045" t="s">
        <v>2260</v>
      </c>
      <c r="CL496" s="1045" t="s">
        <v>2260</v>
      </c>
      <c r="CM496" s="1086" t="s">
        <v>2260</v>
      </c>
      <c r="CN496" s="1044">
        <v>167.9</v>
      </c>
      <c r="CO496" s="1045">
        <v>167.9</v>
      </c>
      <c r="CP496" s="1045">
        <v>167.9</v>
      </c>
      <c r="CQ496" s="1045">
        <v>167.9</v>
      </c>
      <c r="CR496" s="1086">
        <v>167.9</v>
      </c>
      <c r="CS496" s="1044" t="s">
        <v>2260</v>
      </c>
      <c r="CT496" s="1045" t="s">
        <v>2260</v>
      </c>
      <c r="CU496" s="1045" t="s">
        <v>2260</v>
      </c>
      <c r="CV496" s="1045" t="s">
        <v>2260</v>
      </c>
      <c r="CW496" s="1086" t="s">
        <v>2260</v>
      </c>
      <c r="CX496" s="1044" t="s">
        <v>2260</v>
      </c>
      <c r="CY496" s="1045" t="s">
        <v>2260</v>
      </c>
      <c r="CZ496" s="1045" t="s">
        <v>2260</v>
      </c>
      <c r="DA496" s="1045" t="s">
        <v>2260</v>
      </c>
      <c r="DB496" s="1086" t="s">
        <v>2260</v>
      </c>
      <c r="DC496" s="1045">
        <v>89.9</v>
      </c>
      <c r="DD496" s="1326">
        <v>88.3</v>
      </c>
      <c r="DE496" s="1045">
        <v>86.6</v>
      </c>
      <c r="DF496" s="1045">
        <v>84.9</v>
      </c>
      <c r="DG496" s="1086">
        <v>83.3</v>
      </c>
      <c r="DH496" s="1044" t="s">
        <v>2260</v>
      </c>
      <c r="DI496" s="1045" t="s">
        <v>2260</v>
      </c>
      <c r="DJ496" s="1045" t="s">
        <v>2260</v>
      </c>
      <c r="DK496" s="1045" t="s">
        <v>2260</v>
      </c>
      <c r="DL496" s="1086" t="s">
        <v>2260</v>
      </c>
      <c r="DM496" s="1090">
        <v>-0.23499999999999999</v>
      </c>
      <c r="DN496" s="1091" t="s">
        <v>2260</v>
      </c>
      <c r="DO496" s="1091" t="s">
        <v>2260</v>
      </c>
      <c r="DP496" s="1092" t="s">
        <v>2260</v>
      </c>
      <c r="DQ496" s="1091">
        <v>0.13200000000000001</v>
      </c>
      <c r="DR496" s="1091" t="s">
        <v>2260</v>
      </c>
      <c r="DS496" s="1091" t="s">
        <v>2260</v>
      </c>
      <c r="DT496" s="1092" t="s">
        <v>2260</v>
      </c>
      <c r="DU496" s="1088" t="s">
        <v>2260</v>
      </c>
      <c r="DV496" s="1093">
        <v>1</v>
      </c>
      <c r="DW496" s="1094" t="s">
        <v>2260</v>
      </c>
    </row>
    <row r="497" spans="1:127" s="382" customFormat="1" ht="15.75" customHeight="1">
      <c r="A497" s="1066" t="s">
        <v>1213</v>
      </c>
      <c r="B497" s="1026">
        <v>488</v>
      </c>
      <c r="C497" s="987"/>
      <c r="D497" s="987"/>
      <c r="E497" s="987"/>
      <c r="F497" s="987"/>
      <c r="G497" s="987"/>
      <c r="H497" s="987"/>
      <c r="I497" s="987"/>
      <c r="J497" s="987"/>
      <c r="K497" s="987"/>
      <c r="L497" s="987"/>
      <c r="M497" s="1026"/>
      <c r="N497" s="987"/>
      <c r="O497" s="987"/>
      <c r="P497" s="987"/>
      <c r="Q497" s="987"/>
      <c r="R497" s="987"/>
      <c r="S497" s="987"/>
      <c r="T497" s="988"/>
      <c r="U497" s="1067" t="s">
        <v>1262</v>
      </c>
      <c r="V497" s="1068" t="s">
        <v>3837</v>
      </c>
      <c r="W497" s="1068" t="s">
        <v>2217</v>
      </c>
      <c r="X497" s="1069" t="s">
        <v>3842</v>
      </c>
      <c r="Y497" s="1070" t="s">
        <v>179</v>
      </c>
      <c r="Z497" s="1071" t="s">
        <v>3819</v>
      </c>
      <c r="AA497" s="1072" t="s">
        <v>2260</v>
      </c>
      <c r="AB497" s="1073">
        <v>1</v>
      </c>
      <c r="AC497" s="1073" t="s">
        <v>2260</v>
      </c>
      <c r="AD497" s="1073" t="s">
        <v>2260</v>
      </c>
      <c r="AE497" s="1073" t="s">
        <v>2260</v>
      </c>
      <c r="AF497" s="1073" t="s">
        <v>2260</v>
      </c>
      <c r="AG497" s="1073" t="s">
        <v>2260</v>
      </c>
      <c r="AH497" s="1073" t="s">
        <v>2260</v>
      </c>
      <c r="AI497" s="1074">
        <f t="shared" si="7"/>
        <v>1</v>
      </c>
      <c r="AJ497" s="1075" t="s">
        <v>1852</v>
      </c>
      <c r="AK497" s="1075" t="s">
        <v>1826</v>
      </c>
      <c r="AL497" s="1075" t="s">
        <v>1827</v>
      </c>
      <c r="AM497" s="1076" t="s">
        <v>2220</v>
      </c>
      <c r="AN497" s="987" t="s">
        <v>4414</v>
      </c>
      <c r="AO497" s="987" t="s">
        <v>4415</v>
      </c>
      <c r="AP497" s="1276">
        <v>0</v>
      </c>
      <c r="AQ497" s="1045" t="s">
        <v>1838</v>
      </c>
      <c r="AR497" s="1078" t="s">
        <v>179</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210</v>
      </c>
      <c r="CE497" s="1088" t="s">
        <v>210</v>
      </c>
      <c r="CF497" s="1088" t="s">
        <v>210</v>
      </c>
      <c r="CG497" s="1088" t="s">
        <v>210</v>
      </c>
      <c r="CH497" s="1089" t="s">
        <v>210</v>
      </c>
      <c r="CI497" s="1118" t="s">
        <v>2260</v>
      </c>
      <c r="CJ497" s="1119" t="s">
        <v>2260</v>
      </c>
      <c r="CK497" s="1119" t="s">
        <v>2260</v>
      </c>
      <c r="CL497" s="1119" t="s">
        <v>2260</v>
      </c>
      <c r="CM497" s="1122" t="s">
        <v>2260</v>
      </c>
      <c r="CN497" s="1118">
        <v>1.5798611111111114E-2</v>
      </c>
      <c r="CO497" s="1119">
        <v>1.5798611111111114E-2</v>
      </c>
      <c r="CP497" s="1119">
        <v>1.5798611111111114E-2</v>
      </c>
      <c r="CQ497" s="1119">
        <v>1.5798611111111114E-2</v>
      </c>
      <c r="CR497" s="1122">
        <v>1.5798611111111114E-2</v>
      </c>
      <c r="CS497" s="1118" t="s">
        <v>2260</v>
      </c>
      <c r="CT497" s="1119" t="s">
        <v>2260</v>
      </c>
      <c r="CU497" s="1119" t="s">
        <v>2260</v>
      </c>
      <c r="CV497" s="1119" t="s">
        <v>2260</v>
      </c>
      <c r="CW497" s="1122" t="s">
        <v>2260</v>
      </c>
      <c r="CX497" s="1118" t="s">
        <v>2260</v>
      </c>
      <c r="CY497" s="1119" t="s">
        <v>2260</v>
      </c>
      <c r="CZ497" s="1119" t="s">
        <v>2260</v>
      </c>
      <c r="DA497" s="1119" t="s">
        <v>2260</v>
      </c>
      <c r="DB497" s="1122" t="s">
        <v>2260</v>
      </c>
      <c r="DC497" s="1119">
        <v>2.4305555555555556E-3</v>
      </c>
      <c r="DD497" s="1119">
        <v>2.3263888888888891E-3</v>
      </c>
      <c r="DE497" s="1119">
        <v>2.2106481481481491E-3</v>
      </c>
      <c r="DF497" s="1119">
        <v>2.1064814814814817E-3</v>
      </c>
      <c r="DG497" s="1122">
        <v>2.0138888888888888E-3</v>
      </c>
      <c r="DH497" s="1118" t="s">
        <v>2260</v>
      </c>
      <c r="DI497" s="1119" t="s">
        <v>2260</v>
      </c>
      <c r="DJ497" s="1119" t="s">
        <v>2260</v>
      </c>
      <c r="DK497" s="1119" t="s">
        <v>2260</v>
      </c>
      <c r="DL497" s="1122" t="s">
        <v>2260</v>
      </c>
      <c r="DM497" s="1090">
        <v>-0.93600000000000005</v>
      </c>
      <c r="DN497" s="1091" t="s">
        <v>2260</v>
      </c>
      <c r="DO497" s="1091" t="s">
        <v>2260</v>
      </c>
      <c r="DP497" s="1092" t="s">
        <v>2260</v>
      </c>
      <c r="DQ497" s="1091">
        <v>0.93600000000000005</v>
      </c>
      <c r="DR497" s="1091" t="s">
        <v>2260</v>
      </c>
      <c r="DS497" s="1091" t="s">
        <v>2260</v>
      </c>
      <c r="DT497" s="1092" t="s">
        <v>2260</v>
      </c>
      <c r="DU497" s="1088" t="s">
        <v>173</v>
      </c>
      <c r="DV497" s="1093">
        <v>1</v>
      </c>
      <c r="DW497" s="1094" t="s">
        <v>2260</v>
      </c>
    </row>
    <row r="498" spans="1:127" s="382" customFormat="1" ht="15.75" customHeight="1">
      <c r="A498" s="1066" t="s">
        <v>1213</v>
      </c>
      <c r="B498" s="1026">
        <v>489</v>
      </c>
      <c r="C498" s="987"/>
      <c r="D498" s="987"/>
      <c r="E498" s="987"/>
      <c r="F498" s="987"/>
      <c r="G498" s="987"/>
      <c r="H498" s="987"/>
      <c r="I498" s="987"/>
      <c r="J498" s="987"/>
      <c r="K498" s="987"/>
      <c r="L498" s="987"/>
      <c r="M498" s="1026"/>
      <c r="N498" s="987"/>
      <c r="O498" s="987"/>
      <c r="P498" s="987"/>
      <c r="Q498" s="987"/>
      <c r="R498" s="987"/>
      <c r="S498" s="987"/>
      <c r="T498" s="988"/>
      <c r="U498" s="1067" t="s">
        <v>1266</v>
      </c>
      <c r="V498" s="1068" t="s">
        <v>3837</v>
      </c>
      <c r="W498" s="1068" t="s">
        <v>2231</v>
      </c>
      <c r="X498" s="1069" t="s">
        <v>3844</v>
      </c>
      <c r="Y498" s="1070" t="s">
        <v>209</v>
      </c>
      <c r="Z498" s="1071" t="s">
        <v>3819</v>
      </c>
      <c r="AA498" s="1072">
        <v>0.05</v>
      </c>
      <c r="AB498" s="1073">
        <v>0.95</v>
      </c>
      <c r="AC498" s="1073" t="s">
        <v>2260</v>
      </c>
      <c r="AD498" s="1073" t="s">
        <v>2260</v>
      </c>
      <c r="AE498" s="1073" t="s">
        <v>2260</v>
      </c>
      <c r="AF498" s="1073" t="s">
        <v>2260</v>
      </c>
      <c r="AG498" s="1073" t="s">
        <v>2260</v>
      </c>
      <c r="AH498" s="1073" t="s">
        <v>2260</v>
      </c>
      <c r="AI498" s="1074">
        <f t="shared" si="7"/>
        <v>1</v>
      </c>
      <c r="AJ498" s="1075" t="s">
        <v>1846</v>
      </c>
      <c r="AK498" s="1075" t="s">
        <v>1826</v>
      </c>
      <c r="AL498" s="1075" t="s">
        <v>1827</v>
      </c>
      <c r="AM498" s="1076" t="s">
        <v>2238</v>
      </c>
      <c r="AN498" s="987" t="s">
        <v>321</v>
      </c>
      <c r="AO498" s="987" t="s">
        <v>4418</v>
      </c>
      <c r="AP498" s="1276">
        <v>2</v>
      </c>
      <c r="AQ498" s="1045" t="s">
        <v>1838</v>
      </c>
      <c r="AR498" s="1078" t="s">
        <v>209</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210</v>
      </c>
      <c r="CE498" s="1088" t="s">
        <v>210</v>
      </c>
      <c r="CF498" s="1088" t="s">
        <v>210</v>
      </c>
      <c r="CG498" s="1088" t="s">
        <v>210</v>
      </c>
      <c r="CH498" s="1089" t="s">
        <v>210</v>
      </c>
      <c r="CI498" s="1044" t="s">
        <v>2260</v>
      </c>
      <c r="CJ498" s="1045" t="s">
        <v>2260</v>
      </c>
      <c r="CK498" s="1045" t="s">
        <v>2260</v>
      </c>
      <c r="CL498" s="1045" t="s">
        <v>2260</v>
      </c>
      <c r="CM498" s="1086" t="s">
        <v>2260</v>
      </c>
      <c r="CN498" s="1044">
        <v>7.13</v>
      </c>
      <c r="CO498" s="1045">
        <v>7.13</v>
      </c>
      <c r="CP498" s="1045">
        <v>7.13</v>
      </c>
      <c r="CQ498" s="1045">
        <v>7.13</v>
      </c>
      <c r="CR498" s="1086">
        <v>7.13</v>
      </c>
      <c r="CS498" s="1044" t="s">
        <v>2260</v>
      </c>
      <c r="CT498" s="1045" t="s">
        <v>2260</v>
      </c>
      <c r="CU498" s="1045" t="s">
        <v>2260</v>
      </c>
      <c r="CV498" s="1045" t="s">
        <v>2260</v>
      </c>
      <c r="CW498" s="1086" t="s">
        <v>2260</v>
      </c>
      <c r="CX498" s="1044" t="s">
        <v>2260</v>
      </c>
      <c r="CY498" s="1045" t="s">
        <v>2260</v>
      </c>
      <c r="CZ498" s="1045" t="s">
        <v>2260</v>
      </c>
      <c r="DA498" s="1045" t="s">
        <v>2260</v>
      </c>
      <c r="DB498" s="1086" t="s">
        <v>2260</v>
      </c>
      <c r="DC498" s="1045" t="s">
        <v>2260</v>
      </c>
      <c r="DD498" s="1045" t="s">
        <v>2260</v>
      </c>
      <c r="DE498" s="1045" t="s">
        <v>2260</v>
      </c>
      <c r="DF498" s="1045" t="s">
        <v>2260</v>
      </c>
      <c r="DG498" s="1086" t="s">
        <v>2260</v>
      </c>
      <c r="DH498" s="1044" t="s">
        <v>2260</v>
      </c>
      <c r="DI498" s="1045" t="s">
        <v>2260</v>
      </c>
      <c r="DJ498" s="1045" t="s">
        <v>2260</v>
      </c>
      <c r="DK498" s="1045" t="s">
        <v>2260</v>
      </c>
      <c r="DL498" s="1086" t="s">
        <v>2260</v>
      </c>
      <c r="DM498" s="1090">
        <v>-2.7029999999999998</v>
      </c>
      <c r="DN498" s="1091" t="s">
        <v>2260</v>
      </c>
      <c r="DO498" s="1091" t="s">
        <v>2260</v>
      </c>
      <c r="DP498" s="1092" t="s">
        <v>2260</v>
      </c>
      <c r="DQ498" s="1091" t="s">
        <v>2260</v>
      </c>
      <c r="DR498" s="1091" t="s">
        <v>2260</v>
      </c>
      <c r="DS498" s="1091" t="s">
        <v>2260</v>
      </c>
      <c r="DT498" s="1092" t="s">
        <v>2260</v>
      </c>
      <c r="DU498" s="1088" t="s">
        <v>2260</v>
      </c>
      <c r="DV498" s="1093">
        <v>1</v>
      </c>
      <c r="DW498" s="1094" t="s">
        <v>2260</v>
      </c>
    </row>
    <row r="499" spans="1:127" s="382" customFormat="1" ht="15.75" customHeight="1">
      <c r="A499" s="1023" t="s">
        <v>1213</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1273</v>
      </c>
      <c r="V499" s="1029" t="s">
        <v>3837</v>
      </c>
      <c r="W499" s="1029" t="s">
        <v>2231</v>
      </c>
      <c r="X499" s="1030" t="s">
        <v>3846</v>
      </c>
      <c r="Y499" s="1031" t="s">
        <v>1084</v>
      </c>
      <c r="Z499" s="1032" t="s">
        <v>3819</v>
      </c>
      <c r="AA499" s="1033" t="s">
        <v>2260</v>
      </c>
      <c r="AB499" s="1034">
        <v>1</v>
      </c>
      <c r="AC499" s="1034" t="s">
        <v>2260</v>
      </c>
      <c r="AD499" s="1034" t="s">
        <v>2260</v>
      </c>
      <c r="AE499" s="1034" t="s">
        <v>2260</v>
      </c>
      <c r="AF499" s="1034" t="s">
        <v>2260</v>
      </c>
      <c r="AG499" s="1034" t="s">
        <v>2260</v>
      </c>
      <c r="AH499" s="1034" t="s">
        <v>2260</v>
      </c>
      <c r="AI499" s="1035">
        <f t="shared" si="7"/>
        <v>1</v>
      </c>
      <c r="AJ499" s="1036" t="s">
        <v>1852</v>
      </c>
      <c r="AK499" s="1036" t="s">
        <v>1826</v>
      </c>
      <c r="AL499" s="1389" t="s">
        <v>1837</v>
      </c>
      <c r="AM499" s="1037" t="s">
        <v>2348</v>
      </c>
      <c r="AN499" s="1031" t="s">
        <v>321</v>
      </c>
      <c r="AO499" s="1031" t="s">
        <v>4416</v>
      </c>
      <c r="AP499" s="1275">
        <v>1</v>
      </c>
      <c r="AQ499" s="802" t="s">
        <v>1828</v>
      </c>
      <c r="AR499" s="1040" t="s">
        <v>1084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210</v>
      </c>
      <c r="CE499" s="1054" t="s">
        <v>210</v>
      </c>
      <c r="CF499" s="1054" t="s">
        <v>210</v>
      </c>
      <c r="CG499" s="1054" t="s">
        <v>210</v>
      </c>
      <c r="CH499" s="1055" t="s">
        <v>210</v>
      </c>
      <c r="CI499" s="1058" t="s">
        <v>2260</v>
      </c>
      <c r="CJ499" s="1056" t="s">
        <v>2260</v>
      </c>
      <c r="CK499" s="1056" t="s">
        <v>2260</v>
      </c>
      <c r="CL499" s="1056" t="s">
        <v>2260</v>
      </c>
      <c r="CM499" s="1057" t="s">
        <v>2260</v>
      </c>
      <c r="CN499" s="1058" t="s">
        <v>2260</v>
      </c>
      <c r="CO499" s="1056" t="s">
        <v>2260</v>
      </c>
      <c r="CP499" s="1056" t="s">
        <v>2260</v>
      </c>
      <c r="CQ499" s="1056" t="s">
        <v>2260</v>
      </c>
      <c r="CR499" s="1057" t="s">
        <v>2260</v>
      </c>
      <c r="CS499" s="1048" t="s">
        <v>2260</v>
      </c>
      <c r="CT499" s="1049" t="s">
        <v>2260</v>
      </c>
      <c r="CU499" s="1049" t="s">
        <v>2260</v>
      </c>
      <c r="CV499" s="1049" t="s">
        <v>2260</v>
      </c>
      <c r="CW499" s="1052" t="s">
        <v>2260</v>
      </c>
      <c r="CX499" s="1048" t="s">
        <v>2260</v>
      </c>
      <c r="CY499" s="1049" t="s">
        <v>2260</v>
      </c>
      <c r="CZ499" s="1049" t="s">
        <v>2260</v>
      </c>
      <c r="DA499" s="1049" t="s">
        <v>2260</v>
      </c>
      <c r="DB499" s="1052" t="s">
        <v>2260</v>
      </c>
      <c r="DC499" s="1049" t="s">
        <v>2260</v>
      </c>
      <c r="DD499" s="1049" t="s">
        <v>2260</v>
      </c>
      <c r="DE499" s="1049" t="s">
        <v>2260</v>
      </c>
      <c r="DF499" s="1049" t="s">
        <v>2260</v>
      </c>
      <c r="DG499" s="1052" t="s">
        <v>2260</v>
      </c>
      <c r="DH499" s="1058" t="s">
        <v>2260</v>
      </c>
      <c r="DI499" s="1049" t="s">
        <v>2260</v>
      </c>
      <c r="DJ499" s="1049" t="s">
        <v>2260</v>
      </c>
      <c r="DK499" s="1049" t="s">
        <v>2260</v>
      </c>
      <c r="DL499" s="1052" t="s">
        <v>2260</v>
      </c>
      <c r="DM499" s="1060">
        <v>-0.39600000000000002</v>
      </c>
      <c r="DN499" s="1061" t="s">
        <v>2260</v>
      </c>
      <c r="DO499" s="1061" t="s">
        <v>2260</v>
      </c>
      <c r="DP499" s="1062" t="s">
        <v>2260</v>
      </c>
      <c r="DQ499" s="1061">
        <v>0.33</v>
      </c>
      <c r="DR499" s="1061" t="s">
        <v>2260</v>
      </c>
      <c r="DS499" s="1061" t="s">
        <v>2260</v>
      </c>
      <c r="DT499" s="1062" t="s">
        <v>2260</v>
      </c>
      <c r="DU499" s="1054" t="s">
        <v>2260</v>
      </c>
      <c r="DV499" s="1063">
        <v>1</v>
      </c>
      <c r="DW499" s="1064" t="s">
        <v>2260</v>
      </c>
    </row>
    <row r="500" spans="1:127" s="382" customFormat="1" ht="15.75" customHeight="1">
      <c r="A500" s="1066" t="s">
        <v>1213</v>
      </c>
      <c r="B500" s="1026">
        <v>491</v>
      </c>
      <c r="C500" s="987"/>
      <c r="D500" s="987"/>
      <c r="E500" s="987"/>
      <c r="F500" s="987"/>
      <c r="G500" s="987"/>
      <c r="H500" s="987"/>
      <c r="I500" s="987"/>
      <c r="J500" s="987"/>
      <c r="K500" s="987"/>
      <c r="L500" s="987"/>
      <c r="M500" s="1026"/>
      <c r="N500" s="987"/>
      <c r="O500" s="987"/>
      <c r="P500" s="987"/>
      <c r="Q500" s="987"/>
      <c r="R500" s="987"/>
      <c r="S500" s="987"/>
      <c r="T500" s="988"/>
      <c r="U500" s="1067" t="s">
        <v>1267</v>
      </c>
      <c r="V500" s="1068" t="s">
        <v>3837</v>
      </c>
      <c r="W500" s="1068" t="s">
        <v>2231</v>
      </c>
      <c r="X500" s="1069" t="s">
        <v>3847</v>
      </c>
      <c r="Y500" s="1070" t="s">
        <v>567</v>
      </c>
      <c r="Z500" s="1071" t="s">
        <v>3819</v>
      </c>
      <c r="AA500" s="1072">
        <v>0.5</v>
      </c>
      <c r="AB500" s="1073">
        <v>0.5</v>
      </c>
      <c r="AC500" s="1073" t="s">
        <v>2260</v>
      </c>
      <c r="AD500" s="1073" t="s">
        <v>2260</v>
      </c>
      <c r="AE500" s="1073" t="s">
        <v>2260</v>
      </c>
      <c r="AF500" s="1073" t="s">
        <v>2260</v>
      </c>
      <c r="AG500" s="1073" t="s">
        <v>2260</v>
      </c>
      <c r="AH500" s="1073" t="s">
        <v>2260</v>
      </c>
      <c r="AI500" s="1074">
        <f t="shared" si="7"/>
        <v>1</v>
      </c>
      <c r="AJ500" s="1075" t="s">
        <v>1825</v>
      </c>
      <c r="AK500" s="1075" t="s">
        <v>2260</v>
      </c>
      <c r="AL500" s="1075" t="s">
        <v>2260</v>
      </c>
      <c r="AM500" s="1076" t="s">
        <v>2234</v>
      </c>
      <c r="AN500" s="987" t="s">
        <v>321</v>
      </c>
      <c r="AO500" s="987" t="s">
        <v>4417</v>
      </c>
      <c r="AP500" s="1276">
        <v>1</v>
      </c>
      <c r="AQ500" s="1045" t="s">
        <v>1838</v>
      </c>
      <c r="AR500" s="1078" t="s">
        <v>567</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2260</v>
      </c>
      <c r="CE500" s="1088" t="s">
        <v>2260</v>
      </c>
      <c r="CF500" s="1088" t="s">
        <v>2260</v>
      </c>
      <c r="CG500" s="1088" t="s">
        <v>2260</v>
      </c>
      <c r="CH500" s="1089" t="s">
        <v>2260</v>
      </c>
      <c r="CI500" s="1044" t="s">
        <v>2260</v>
      </c>
      <c r="CJ500" s="1045" t="s">
        <v>2260</v>
      </c>
      <c r="CK500" s="1045" t="s">
        <v>2260</v>
      </c>
      <c r="CL500" s="1045" t="s">
        <v>2260</v>
      </c>
      <c r="CM500" s="1086" t="s">
        <v>2260</v>
      </c>
      <c r="CN500" s="1044" t="s">
        <v>2260</v>
      </c>
      <c r="CO500" s="1045" t="s">
        <v>2260</v>
      </c>
      <c r="CP500" s="1045" t="s">
        <v>2260</v>
      </c>
      <c r="CQ500" s="1045" t="s">
        <v>2260</v>
      </c>
      <c r="CR500" s="1086" t="s">
        <v>2260</v>
      </c>
      <c r="CS500" s="1044" t="s">
        <v>2260</v>
      </c>
      <c r="CT500" s="1045" t="s">
        <v>2260</v>
      </c>
      <c r="CU500" s="1045" t="s">
        <v>2260</v>
      </c>
      <c r="CV500" s="1045" t="s">
        <v>2260</v>
      </c>
      <c r="CW500" s="1086" t="s">
        <v>2260</v>
      </c>
      <c r="CX500" s="1044" t="s">
        <v>2260</v>
      </c>
      <c r="CY500" s="1045" t="s">
        <v>2260</v>
      </c>
      <c r="CZ500" s="1045" t="s">
        <v>2260</v>
      </c>
      <c r="DA500" s="1045" t="s">
        <v>2260</v>
      </c>
      <c r="DB500" s="1086" t="s">
        <v>2260</v>
      </c>
      <c r="DC500" s="1045" t="s">
        <v>2260</v>
      </c>
      <c r="DD500" s="1045" t="s">
        <v>2260</v>
      </c>
      <c r="DE500" s="1045" t="s">
        <v>2260</v>
      </c>
      <c r="DF500" s="1045" t="s">
        <v>2260</v>
      </c>
      <c r="DG500" s="1086" t="s">
        <v>2260</v>
      </c>
      <c r="DH500" s="1044" t="s">
        <v>2260</v>
      </c>
      <c r="DI500" s="1045" t="s">
        <v>2260</v>
      </c>
      <c r="DJ500" s="1045" t="s">
        <v>2260</v>
      </c>
      <c r="DK500" s="1045" t="s">
        <v>2260</v>
      </c>
      <c r="DL500" s="1086" t="s">
        <v>2260</v>
      </c>
      <c r="DM500" s="1090" t="s">
        <v>2260</v>
      </c>
      <c r="DN500" s="1091" t="s">
        <v>2260</v>
      </c>
      <c r="DO500" s="1091" t="s">
        <v>2260</v>
      </c>
      <c r="DP500" s="1092" t="s">
        <v>2260</v>
      </c>
      <c r="DQ500" s="1091" t="s">
        <v>2260</v>
      </c>
      <c r="DR500" s="1091" t="s">
        <v>2260</v>
      </c>
      <c r="DS500" s="1091" t="s">
        <v>2260</v>
      </c>
      <c r="DT500" s="1092" t="s">
        <v>2260</v>
      </c>
      <c r="DU500" s="1088" t="s">
        <v>2260</v>
      </c>
      <c r="DV500" s="1093" t="s">
        <v>2260</v>
      </c>
      <c r="DW500" s="1094" t="s">
        <v>2260</v>
      </c>
    </row>
    <row r="501" spans="1:127" s="382" customFormat="1" ht="15.75" customHeight="1">
      <c r="A501" s="1066" t="s">
        <v>1213</v>
      </c>
      <c r="B501" s="1026">
        <v>492</v>
      </c>
      <c r="C501" s="987"/>
      <c r="D501" s="987"/>
      <c r="E501" s="987"/>
      <c r="F501" s="987"/>
      <c r="G501" s="987"/>
      <c r="H501" s="987"/>
      <c r="I501" s="987"/>
      <c r="J501" s="987"/>
      <c r="K501" s="987"/>
      <c r="L501" s="987"/>
      <c r="M501" s="1026"/>
      <c r="N501" s="987"/>
      <c r="O501" s="987"/>
      <c r="P501" s="987"/>
      <c r="Q501" s="987"/>
      <c r="R501" s="987"/>
      <c r="S501" s="987"/>
      <c r="T501" s="988"/>
      <c r="U501" s="1067" t="s">
        <v>1385</v>
      </c>
      <c r="V501" s="1068" t="s">
        <v>3837</v>
      </c>
      <c r="W501" s="1068" t="s">
        <v>2217</v>
      </c>
      <c r="X501" s="1069" t="s">
        <v>3849</v>
      </c>
      <c r="Y501" s="1070" t="s">
        <v>3850</v>
      </c>
      <c r="Z501" s="1071" t="s">
        <v>3851</v>
      </c>
      <c r="AA501" s="1072" t="s">
        <v>2260</v>
      </c>
      <c r="AB501" s="1073">
        <v>1</v>
      </c>
      <c r="AC501" s="1073" t="s">
        <v>2260</v>
      </c>
      <c r="AD501" s="1073" t="s">
        <v>2260</v>
      </c>
      <c r="AE501" s="1073" t="s">
        <v>2260</v>
      </c>
      <c r="AF501" s="1073" t="s">
        <v>2260</v>
      </c>
      <c r="AG501" s="1073" t="s">
        <v>2260</v>
      </c>
      <c r="AH501" s="1073" t="s">
        <v>2260</v>
      </c>
      <c r="AI501" s="1074">
        <f t="shared" si="7"/>
        <v>1</v>
      </c>
      <c r="AJ501" s="1075" t="s">
        <v>1852</v>
      </c>
      <c r="AK501" s="1075" t="s">
        <v>1826</v>
      </c>
      <c r="AL501" s="1075" t="s">
        <v>1827</v>
      </c>
      <c r="AM501" s="1076" t="s">
        <v>2295</v>
      </c>
      <c r="AN501" s="987" t="s">
        <v>2439</v>
      </c>
      <c r="AO501" s="987" t="s">
        <v>4421</v>
      </c>
      <c r="AP501" s="1243">
        <v>3</v>
      </c>
      <c r="AQ501" s="1045" t="s">
        <v>1838</v>
      </c>
      <c r="AR501" s="1078"/>
      <c r="AS501" s="1079"/>
      <c r="AT501" s="1069"/>
      <c r="AU501" s="1069"/>
      <c r="AV501" s="1069"/>
      <c r="AW501" s="1080"/>
      <c r="AX501" s="1081"/>
      <c r="AY501" s="1044"/>
      <c r="AZ501" s="1045"/>
      <c r="BA501" s="1045"/>
      <c r="BB501" s="1045"/>
      <c r="BC501" s="1045"/>
      <c r="BD501" s="1045"/>
      <c r="BE501" s="1045"/>
      <c r="BF501" s="1045"/>
      <c r="BG501" s="1045"/>
      <c r="BH501" s="1045"/>
      <c r="BI501" s="1369"/>
      <c r="BJ501" s="1319"/>
      <c r="BK501" s="1319"/>
      <c r="BL501" s="1319"/>
      <c r="BM501" s="1319"/>
      <c r="BN501" s="1044"/>
      <c r="BO501" s="1045"/>
      <c r="BP501" s="1045"/>
      <c r="BQ501" s="1045"/>
      <c r="BR501" s="1045"/>
      <c r="BS501" s="1084"/>
      <c r="BT501" s="1045"/>
      <c r="BU501" s="1045"/>
      <c r="BV501" s="1045"/>
      <c r="BW501" s="1085"/>
      <c r="BX501" s="1084"/>
      <c r="BY501" s="1045"/>
      <c r="BZ501" s="1045"/>
      <c r="CA501" s="1045"/>
      <c r="CB501" s="1085"/>
      <c r="CC501" s="1086"/>
      <c r="CD501" s="1327"/>
      <c r="CE501" s="1328"/>
      <c r="CF501" s="1328"/>
      <c r="CG501" s="1328"/>
      <c r="CH501" s="1389"/>
      <c r="CI501" s="1369"/>
      <c r="CJ501" s="1319"/>
      <c r="CK501" s="1319"/>
      <c r="CL501" s="1319"/>
      <c r="CM501" s="1320"/>
      <c r="CN501" s="1369"/>
      <c r="CO501" s="1319"/>
      <c r="CP501" s="1319"/>
      <c r="CQ501" s="1319"/>
      <c r="CR501" s="1320"/>
      <c r="CS501" s="1369"/>
      <c r="CT501" s="1319"/>
      <c r="CU501" s="1319"/>
      <c r="CV501" s="1319"/>
      <c r="CW501" s="1320"/>
      <c r="CX501" s="1369"/>
      <c r="CY501" s="1319"/>
      <c r="CZ501" s="1319"/>
      <c r="DA501" s="1319"/>
      <c r="DB501" s="1320"/>
      <c r="DC501" s="1319"/>
      <c r="DD501" s="1319"/>
      <c r="DE501" s="1319"/>
      <c r="DF501" s="1319"/>
      <c r="DG501" s="1320"/>
      <c r="DH501" s="1369"/>
      <c r="DI501" s="1319"/>
      <c r="DJ501" s="1319"/>
      <c r="DK501" s="1319"/>
      <c r="DL501" s="1320"/>
      <c r="DM501" s="1743"/>
      <c r="DN501" s="1744"/>
      <c r="DO501" s="1744"/>
      <c r="DP501" s="1745"/>
      <c r="DQ501" s="1744"/>
      <c r="DR501" s="1744"/>
      <c r="DS501" s="1744"/>
      <c r="DT501" s="1745"/>
      <c r="DU501" s="1328"/>
      <c r="DV501" s="1664"/>
      <c r="DW501" s="1746"/>
    </row>
    <row r="502" spans="1:127" s="382" customFormat="1" ht="15.75" customHeight="1">
      <c r="A502" s="1066" t="s">
        <v>1213</v>
      </c>
      <c r="B502" s="1026">
        <v>493</v>
      </c>
      <c r="C502" s="987"/>
      <c r="D502" s="987"/>
      <c r="E502" s="987"/>
      <c r="F502" s="987"/>
      <c r="G502" s="987"/>
      <c r="H502" s="987"/>
      <c r="I502" s="987"/>
      <c r="J502" s="987"/>
      <c r="K502" s="987"/>
      <c r="L502" s="987"/>
      <c r="M502" s="1026"/>
      <c r="N502" s="987"/>
      <c r="O502" s="987"/>
      <c r="P502" s="987"/>
      <c r="Q502" s="987"/>
      <c r="R502" s="987"/>
      <c r="S502" s="987"/>
      <c r="T502" s="988"/>
      <c r="U502" s="1067" t="s">
        <v>1402</v>
      </c>
      <c r="V502" s="1068" t="s">
        <v>3837</v>
      </c>
      <c r="W502" s="1068" t="s">
        <v>2231</v>
      </c>
      <c r="X502" s="1069" t="s">
        <v>3853</v>
      </c>
      <c r="Y502" s="1070" t="s">
        <v>3854</v>
      </c>
      <c r="Z502" s="1071" t="s">
        <v>3855</v>
      </c>
      <c r="AA502" s="1072" t="s">
        <v>2260</v>
      </c>
      <c r="AB502" s="1073">
        <v>1</v>
      </c>
      <c r="AC502" s="1073" t="s">
        <v>2260</v>
      </c>
      <c r="AD502" s="1073" t="s">
        <v>2260</v>
      </c>
      <c r="AE502" s="1073" t="s">
        <v>2260</v>
      </c>
      <c r="AF502" s="1073" t="s">
        <v>2260</v>
      </c>
      <c r="AG502" s="1073" t="s">
        <v>2260</v>
      </c>
      <c r="AH502" s="1073" t="s">
        <v>2260</v>
      </c>
      <c r="AI502" s="1074">
        <f t="shared" si="7"/>
        <v>1</v>
      </c>
      <c r="AJ502" s="1075" t="s">
        <v>1852</v>
      </c>
      <c r="AK502" s="1075" t="s">
        <v>1826</v>
      </c>
      <c r="AL502" s="1075" t="s">
        <v>1827</v>
      </c>
      <c r="AM502" s="1076" t="s">
        <v>2242</v>
      </c>
      <c r="AN502" s="987" t="s">
        <v>1857</v>
      </c>
      <c r="AO502" s="987" t="s">
        <v>3856</v>
      </c>
      <c r="AP502" s="1243">
        <v>0</v>
      </c>
      <c r="AQ502" s="1045" t="s">
        <v>1838</v>
      </c>
      <c r="AR502" s="1078" t="s">
        <v>2260</v>
      </c>
      <c r="AS502" s="1079"/>
      <c r="AT502" s="1069"/>
      <c r="AU502" s="1069"/>
      <c r="AV502" s="1069"/>
      <c r="AW502" s="1080"/>
      <c r="AX502" s="1081"/>
      <c r="AY502" s="1044"/>
      <c r="AZ502" s="1045"/>
      <c r="BA502" s="1045"/>
      <c r="BB502" s="1045"/>
      <c r="BC502" s="1045"/>
      <c r="BD502" s="1045"/>
      <c r="BE502" s="1045"/>
      <c r="BF502" s="1045"/>
      <c r="BG502" s="1045"/>
      <c r="BH502" s="1045"/>
      <c r="BI502" s="1369"/>
      <c r="BJ502" s="1319"/>
      <c r="BK502" s="1319"/>
      <c r="BL502" s="1319"/>
      <c r="BM502" s="1319"/>
      <c r="BN502" s="1044"/>
      <c r="BO502" s="1045"/>
      <c r="BP502" s="1045"/>
      <c r="BQ502" s="1045"/>
      <c r="BR502" s="1045"/>
      <c r="BS502" s="1084"/>
      <c r="BT502" s="1045"/>
      <c r="BU502" s="1045"/>
      <c r="BV502" s="1045"/>
      <c r="BW502" s="1085"/>
      <c r="BX502" s="1084"/>
      <c r="BY502" s="1045"/>
      <c r="BZ502" s="1045"/>
      <c r="CA502" s="1045"/>
      <c r="CB502" s="1085"/>
      <c r="CC502" s="1086"/>
      <c r="CD502" s="1327"/>
      <c r="CE502" s="1328"/>
      <c r="CF502" s="1328"/>
      <c r="CG502" s="1328"/>
      <c r="CH502" s="1389"/>
      <c r="CI502" s="1369"/>
      <c r="CJ502" s="1319"/>
      <c r="CK502" s="1319"/>
      <c r="CL502" s="1319"/>
      <c r="CM502" s="1320"/>
      <c r="CN502" s="1369"/>
      <c r="CO502" s="1319"/>
      <c r="CP502" s="1319"/>
      <c r="CQ502" s="1319"/>
      <c r="CR502" s="1320"/>
      <c r="CS502" s="1369"/>
      <c r="CT502" s="1319"/>
      <c r="CU502" s="1319"/>
      <c r="CV502" s="1319"/>
      <c r="CW502" s="1320"/>
      <c r="CX502" s="1369"/>
      <c r="CY502" s="1319"/>
      <c r="CZ502" s="1319"/>
      <c r="DA502" s="1319"/>
      <c r="DB502" s="1320"/>
      <c r="DC502" s="1319"/>
      <c r="DD502" s="1319"/>
      <c r="DE502" s="1319"/>
      <c r="DF502" s="1319"/>
      <c r="DG502" s="1320"/>
      <c r="DH502" s="1369"/>
      <c r="DI502" s="1319"/>
      <c r="DJ502" s="1319"/>
      <c r="DK502" s="1319"/>
      <c r="DL502" s="1320"/>
      <c r="DM502" s="1743"/>
      <c r="DN502" s="1744"/>
      <c r="DO502" s="1744"/>
      <c r="DP502" s="1745"/>
      <c r="DQ502" s="1744"/>
      <c r="DR502" s="1744"/>
      <c r="DS502" s="1744"/>
      <c r="DT502" s="1745"/>
      <c r="DU502" s="1328"/>
      <c r="DV502" s="1664"/>
      <c r="DW502" s="1746"/>
    </row>
    <row r="503" spans="1:127" s="382" customFormat="1" ht="15.75" customHeight="1">
      <c r="A503" s="1066" t="s">
        <v>1213</v>
      </c>
      <c r="B503" s="1026">
        <v>494</v>
      </c>
      <c r="C503" s="987"/>
      <c r="D503" s="987"/>
      <c r="E503" s="987"/>
      <c r="F503" s="987"/>
      <c r="G503" s="987"/>
      <c r="H503" s="987"/>
      <c r="I503" s="987"/>
      <c r="J503" s="987"/>
      <c r="K503" s="987"/>
      <c r="L503" s="987"/>
      <c r="M503" s="1026"/>
      <c r="N503" s="987"/>
      <c r="O503" s="987"/>
      <c r="P503" s="987"/>
      <c r="Q503" s="987"/>
      <c r="R503" s="987"/>
      <c r="S503" s="987"/>
      <c r="T503" s="988"/>
      <c r="U503" s="1067" t="s">
        <v>1419</v>
      </c>
      <c r="V503" s="1068" t="s">
        <v>3837</v>
      </c>
      <c r="W503" s="1068" t="s">
        <v>2231</v>
      </c>
      <c r="X503" s="1069" t="s">
        <v>3857</v>
      </c>
      <c r="Y503" s="1070" t="s">
        <v>2088</v>
      </c>
      <c r="Z503" s="1071" t="s">
        <v>3858</v>
      </c>
      <c r="AA503" s="1072" t="s">
        <v>2260</v>
      </c>
      <c r="AB503" s="1073">
        <v>1</v>
      </c>
      <c r="AC503" s="1073" t="s">
        <v>2260</v>
      </c>
      <c r="AD503" s="1073" t="s">
        <v>2260</v>
      </c>
      <c r="AE503" s="1073" t="s">
        <v>2260</v>
      </c>
      <c r="AF503" s="1073" t="s">
        <v>2260</v>
      </c>
      <c r="AG503" s="1073" t="s">
        <v>2260</v>
      </c>
      <c r="AH503" s="1073" t="s">
        <v>2260</v>
      </c>
      <c r="AI503" s="1074">
        <f t="shared" si="7"/>
        <v>1</v>
      </c>
      <c r="AJ503" s="1075" t="s">
        <v>1825</v>
      </c>
      <c r="AK503" s="1075" t="s">
        <v>2260</v>
      </c>
      <c r="AL503" s="1075" t="s">
        <v>2260</v>
      </c>
      <c r="AM503" s="1076" t="s">
        <v>2234</v>
      </c>
      <c r="AN503" s="987" t="s">
        <v>1900</v>
      </c>
      <c r="AO503" s="987" t="s">
        <v>3861</v>
      </c>
      <c r="AP503" s="1243">
        <v>0</v>
      </c>
      <c r="AQ503" s="1045" t="s">
        <v>1828</v>
      </c>
      <c r="AR503" s="1078" t="s">
        <v>2260</v>
      </c>
      <c r="AS503" s="1079"/>
      <c r="AT503" s="1069"/>
      <c r="AU503" s="1069"/>
      <c r="AV503" s="1069"/>
      <c r="AW503" s="1080"/>
      <c r="AX503" s="1081"/>
      <c r="AY503" s="1044"/>
      <c r="AZ503" s="1045"/>
      <c r="BA503" s="1045"/>
      <c r="BB503" s="1045"/>
      <c r="BC503" s="1045"/>
      <c r="BD503" s="1045"/>
      <c r="BE503" s="1045"/>
      <c r="BF503" s="1045"/>
      <c r="BG503" s="1045"/>
      <c r="BH503" s="1045"/>
      <c r="BI503" s="1369"/>
      <c r="BJ503" s="1319"/>
      <c r="BK503" s="1319"/>
      <c r="BL503" s="1319"/>
      <c r="BM503" s="1319"/>
      <c r="BN503" s="1044"/>
      <c r="BO503" s="1045"/>
      <c r="BP503" s="1045"/>
      <c r="BQ503" s="1045"/>
      <c r="BR503" s="1045"/>
      <c r="BS503" s="1084"/>
      <c r="BT503" s="1045"/>
      <c r="BU503" s="1045"/>
      <c r="BV503" s="1045"/>
      <c r="BW503" s="1085"/>
      <c r="BX503" s="1084"/>
      <c r="BY503" s="1045"/>
      <c r="BZ503" s="1045"/>
      <c r="CA503" s="1045"/>
      <c r="CB503" s="1085"/>
      <c r="CC503" s="1086"/>
      <c r="CD503" s="1327"/>
      <c r="CE503" s="1328"/>
      <c r="CF503" s="1328"/>
      <c r="CG503" s="1328"/>
      <c r="CH503" s="1389"/>
      <c r="CI503" s="1369"/>
      <c r="CJ503" s="1319"/>
      <c r="CK503" s="1319"/>
      <c r="CL503" s="1319"/>
      <c r="CM503" s="1320"/>
      <c r="CN503" s="1369"/>
      <c r="CO503" s="1319"/>
      <c r="CP503" s="1319"/>
      <c r="CQ503" s="1319"/>
      <c r="CR503" s="1320"/>
      <c r="CS503" s="1369"/>
      <c r="CT503" s="1319"/>
      <c r="CU503" s="1319"/>
      <c r="CV503" s="1319"/>
      <c r="CW503" s="1320"/>
      <c r="CX503" s="1369"/>
      <c r="CY503" s="1319"/>
      <c r="CZ503" s="1319"/>
      <c r="DA503" s="1319"/>
      <c r="DB503" s="1320"/>
      <c r="DC503" s="1319"/>
      <c r="DD503" s="1319"/>
      <c r="DE503" s="1319"/>
      <c r="DF503" s="1319"/>
      <c r="DG503" s="1320"/>
      <c r="DH503" s="1369"/>
      <c r="DI503" s="1319"/>
      <c r="DJ503" s="1319"/>
      <c r="DK503" s="1319"/>
      <c r="DL503" s="1320"/>
      <c r="DM503" s="1743"/>
      <c r="DN503" s="1744"/>
      <c r="DO503" s="1744"/>
      <c r="DP503" s="1745"/>
      <c r="DQ503" s="1744"/>
      <c r="DR503" s="1744"/>
      <c r="DS503" s="1744"/>
      <c r="DT503" s="1745"/>
      <c r="DU503" s="1328"/>
      <c r="DV503" s="1664"/>
      <c r="DW503" s="1746"/>
    </row>
    <row r="504" spans="1:127" s="382" customFormat="1" ht="15.75" customHeight="1">
      <c r="A504" s="1066" t="s">
        <v>1213</v>
      </c>
      <c r="B504" s="1026">
        <v>495</v>
      </c>
      <c r="C504" s="987"/>
      <c r="D504" s="987"/>
      <c r="E504" s="987"/>
      <c r="F504" s="987"/>
      <c r="G504" s="987"/>
      <c r="H504" s="987"/>
      <c r="I504" s="987"/>
      <c r="J504" s="987"/>
      <c r="K504" s="987"/>
      <c r="L504" s="987"/>
      <c r="M504" s="1026"/>
      <c r="N504" s="987"/>
      <c r="O504" s="987"/>
      <c r="P504" s="987"/>
      <c r="Q504" s="987"/>
      <c r="R504" s="987"/>
      <c r="S504" s="987"/>
      <c r="T504" s="988"/>
      <c r="U504" s="1067" t="s">
        <v>1435</v>
      </c>
      <c r="V504" s="1068" t="s">
        <v>3837</v>
      </c>
      <c r="W504" s="1068" t="s">
        <v>2217</v>
      </c>
      <c r="X504" s="1069" t="s">
        <v>3862</v>
      </c>
      <c r="Y504" s="1070" t="s">
        <v>3863</v>
      </c>
      <c r="Z504" s="1071" t="s">
        <v>3864</v>
      </c>
      <c r="AA504" s="1072">
        <v>1</v>
      </c>
      <c r="AB504" s="1073" t="s">
        <v>2260</v>
      </c>
      <c r="AC504" s="1073" t="s">
        <v>2260</v>
      </c>
      <c r="AD504" s="1073" t="s">
        <v>2260</v>
      </c>
      <c r="AE504" s="1073" t="s">
        <v>2260</v>
      </c>
      <c r="AF504" s="1073" t="s">
        <v>2260</v>
      </c>
      <c r="AG504" s="1073" t="s">
        <v>2260</v>
      </c>
      <c r="AH504" s="1073" t="s">
        <v>2260</v>
      </c>
      <c r="AI504" s="1074">
        <f t="shared" si="7"/>
        <v>1</v>
      </c>
      <c r="AJ504" s="1075" t="s">
        <v>2260</v>
      </c>
      <c r="AK504" s="1075" t="s">
        <v>2260</v>
      </c>
      <c r="AL504" s="1075" t="s">
        <v>2260</v>
      </c>
      <c r="AM504" s="1076" t="s">
        <v>2927</v>
      </c>
      <c r="AN504" s="987" t="s">
        <v>1896</v>
      </c>
      <c r="AO504" s="987" t="s">
        <v>3866</v>
      </c>
      <c r="AP504" s="1243">
        <v>5</v>
      </c>
      <c r="AQ504" s="1045" t="s">
        <v>1828</v>
      </c>
      <c r="AR504" s="1078" t="s">
        <v>2260</v>
      </c>
      <c r="AS504" s="1079"/>
      <c r="AT504" s="1069"/>
      <c r="AU504" s="1069"/>
      <c r="AV504" s="1069"/>
      <c r="AW504" s="1080"/>
      <c r="AX504" s="1081"/>
      <c r="AY504" s="1044"/>
      <c r="AZ504" s="1045"/>
      <c r="BA504" s="1045"/>
      <c r="BB504" s="1045"/>
      <c r="BC504" s="1045"/>
      <c r="BD504" s="1045"/>
      <c r="BE504" s="1045"/>
      <c r="BF504" s="1045"/>
      <c r="BG504" s="1045"/>
      <c r="BH504" s="1045"/>
      <c r="BI504" s="1369"/>
      <c r="BJ504" s="1319"/>
      <c r="BK504" s="1319"/>
      <c r="BL504" s="1319"/>
      <c r="BM504" s="1319"/>
      <c r="BN504" s="1044"/>
      <c r="BO504" s="1045"/>
      <c r="BP504" s="1045"/>
      <c r="BQ504" s="1045"/>
      <c r="BR504" s="1045"/>
      <c r="BS504" s="1084"/>
      <c r="BT504" s="1045"/>
      <c r="BU504" s="1045"/>
      <c r="BV504" s="1045"/>
      <c r="BW504" s="1085"/>
      <c r="BX504" s="1084"/>
      <c r="BY504" s="1045"/>
      <c r="BZ504" s="1045"/>
      <c r="CA504" s="1045"/>
      <c r="CB504" s="1085"/>
      <c r="CC504" s="1086"/>
      <c r="CD504" s="1327"/>
      <c r="CE504" s="1328"/>
      <c r="CF504" s="1328"/>
      <c r="CG504" s="1328"/>
      <c r="CH504" s="1389"/>
      <c r="CI504" s="1369"/>
      <c r="CJ504" s="1319"/>
      <c r="CK504" s="1319"/>
      <c r="CL504" s="1319"/>
      <c r="CM504" s="1320"/>
      <c r="CN504" s="1369"/>
      <c r="CO504" s="1319"/>
      <c r="CP504" s="1319"/>
      <c r="CQ504" s="1319"/>
      <c r="CR504" s="1320"/>
      <c r="CS504" s="1369"/>
      <c r="CT504" s="1319"/>
      <c r="CU504" s="1319"/>
      <c r="CV504" s="1319"/>
      <c r="CW504" s="1320"/>
      <c r="CX504" s="1369"/>
      <c r="CY504" s="1319"/>
      <c r="CZ504" s="1319"/>
      <c r="DA504" s="1319"/>
      <c r="DB504" s="1320"/>
      <c r="DC504" s="1319"/>
      <c r="DD504" s="1319"/>
      <c r="DE504" s="1319"/>
      <c r="DF504" s="1319"/>
      <c r="DG504" s="1320"/>
      <c r="DH504" s="1369"/>
      <c r="DI504" s="1319"/>
      <c r="DJ504" s="1319"/>
      <c r="DK504" s="1319"/>
      <c r="DL504" s="1320"/>
      <c r="DM504" s="1743"/>
      <c r="DN504" s="1744"/>
      <c r="DO504" s="1744"/>
      <c r="DP504" s="1745"/>
      <c r="DQ504" s="1744"/>
      <c r="DR504" s="1744"/>
      <c r="DS504" s="1744"/>
      <c r="DT504" s="1745"/>
      <c r="DU504" s="1328"/>
      <c r="DV504" s="1664"/>
      <c r="DW504" s="1746"/>
    </row>
    <row r="505" spans="1:127" s="382" customFormat="1" ht="15.75" customHeight="1">
      <c r="A505" s="1066" t="s">
        <v>1213</v>
      </c>
      <c r="B505" s="1026">
        <v>496</v>
      </c>
      <c r="C505" s="987"/>
      <c r="D505" s="987"/>
      <c r="E505" s="987"/>
      <c r="F505" s="987"/>
      <c r="G505" s="987"/>
      <c r="H505" s="987"/>
      <c r="I505" s="987"/>
      <c r="J505" s="987"/>
      <c r="K505" s="987"/>
      <c r="L505" s="987"/>
      <c r="M505" s="1026"/>
      <c r="N505" s="987"/>
      <c r="O505" s="987"/>
      <c r="P505" s="987"/>
      <c r="Q505" s="987"/>
      <c r="R505" s="987"/>
      <c r="S505" s="987"/>
      <c r="T505" s="988"/>
      <c r="U505" s="1067" t="s">
        <v>1450</v>
      </c>
      <c r="V505" s="1068" t="s">
        <v>3837</v>
      </c>
      <c r="W505" s="1068" t="s">
        <v>2223</v>
      </c>
      <c r="X505" s="1069" t="s">
        <v>3867</v>
      </c>
      <c r="Y505" s="1070" t="s">
        <v>3868</v>
      </c>
      <c r="Z505" s="1071" t="s">
        <v>3869</v>
      </c>
      <c r="AA505" s="1072" t="s">
        <v>2260</v>
      </c>
      <c r="AB505" s="1073">
        <v>1</v>
      </c>
      <c r="AC505" s="1073" t="s">
        <v>2260</v>
      </c>
      <c r="AD505" s="1073" t="s">
        <v>2260</v>
      </c>
      <c r="AE505" s="1073" t="s">
        <v>2260</v>
      </c>
      <c r="AF505" s="1073" t="s">
        <v>2260</v>
      </c>
      <c r="AG505" s="1073" t="s">
        <v>2260</v>
      </c>
      <c r="AH505" s="1073" t="s">
        <v>2260</v>
      </c>
      <c r="AI505" s="1074">
        <f t="shared" si="7"/>
        <v>1</v>
      </c>
      <c r="AJ505" s="1075" t="s">
        <v>1852</v>
      </c>
      <c r="AK505" s="1075" t="s">
        <v>1826</v>
      </c>
      <c r="AL505" s="1075" t="s">
        <v>1827</v>
      </c>
      <c r="AM505" s="1076" t="s">
        <v>2698</v>
      </c>
      <c r="AN505" s="987" t="s">
        <v>321</v>
      </c>
      <c r="AO505" s="987" t="s">
        <v>3870</v>
      </c>
      <c r="AP505" s="1243">
        <v>0</v>
      </c>
      <c r="AQ505" s="1045" t="s">
        <v>1828</v>
      </c>
      <c r="AR505" s="1078" t="s">
        <v>2260</v>
      </c>
      <c r="AS505" s="1079"/>
      <c r="AT505" s="1069"/>
      <c r="AU505" s="1069"/>
      <c r="AV505" s="1069"/>
      <c r="AW505" s="1080"/>
      <c r="AX505" s="1081"/>
      <c r="AY505" s="1044"/>
      <c r="AZ505" s="1045"/>
      <c r="BA505" s="1045"/>
      <c r="BB505" s="1045"/>
      <c r="BC505" s="1045"/>
      <c r="BD505" s="1045"/>
      <c r="BE505" s="1045"/>
      <c r="BF505" s="1045"/>
      <c r="BG505" s="1045"/>
      <c r="BH505" s="1045"/>
      <c r="BI505" s="1369"/>
      <c r="BJ505" s="1319"/>
      <c r="BK505" s="1319"/>
      <c r="BL505" s="1319"/>
      <c r="BM505" s="1319"/>
      <c r="BN505" s="1044"/>
      <c r="BO505" s="1045"/>
      <c r="BP505" s="1045"/>
      <c r="BQ505" s="1045"/>
      <c r="BR505" s="1045"/>
      <c r="BS505" s="1084"/>
      <c r="BT505" s="1045"/>
      <c r="BU505" s="1045"/>
      <c r="BV505" s="1045"/>
      <c r="BW505" s="1085"/>
      <c r="BX505" s="1084"/>
      <c r="BY505" s="1045"/>
      <c r="BZ505" s="1045"/>
      <c r="CA505" s="1045"/>
      <c r="CB505" s="1085"/>
      <c r="CC505" s="1086"/>
      <c r="CD505" s="1327"/>
      <c r="CE505" s="1328"/>
      <c r="CF505" s="1328"/>
      <c r="CG505" s="1328"/>
      <c r="CH505" s="1389"/>
      <c r="CI505" s="1369"/>
      <c r="CJ505" s="1319"/>
      <c r="CK505" s="1319"/>
      <c r="CL505" s="1319"/>
      <c r="CM505" s="1320"/>
      <c r="CN505" s="1369"/>
      <c r="CO505" s="1319"/>
      <c r="CP505" s="1319"/>
      <c r="CQ505" s="1319"/>
      <c r="CR505" s="1320"/>
      <c r="CS505" s="1369"/>
      <c r="CT505" s="1319"/>
      <c r="CU505" s="1319"/>
      <c r="CV505" s="1319"/>
      <c r="CW505" s="1320"/>
      <c r="CX505" s="1369"/>
      <c r="CY505" s="1319"/>
      <c r="CZ505" s="1319"/>
      <c r="DA505" s="1319"/>
      <c r="DB505" s="1320"/>
      <c r="DC505" s="1319"/>
      <c r="DD505" s="1319"/>
      <c r="DE505" s="1319"/>
      <c r="DF505" s="1319"/>
      <c r="DG505" s="1320"/>
      <c r="DH505" s="1369"/>
      <c r="DI505" s="1319"/>
      <c r="DJ505" s="1319"/>
      <c r="DK505" s="1319"/>
      <c r="DL505" s="1320"/>
      <c r="DM505" s="1743"/>
      <c r="DN505" s="1744"/>
      <c r="DO505" s="1744"/>
      <c r="DP505" s="1745"/>
      <c r="DQ505" s="1744"/>
      <c r="DR505" s="1744"/>
      <c r="DS505" s="1744"/>
      <c r="DT505" s="1745"/>
      <c r="DU505" s="1328"/>
      <c r="DV505" s="1664"/>
      <c r="DW505" s="1746"/>
    </row>
    <row r="506" spans="1:127" s="382" customFormat="1" ht="15.75" customHeight="1">
      <c r="A506" s="1066" t="s">
        <v>1213</v>
      </c>
      <c r="B506" s="1026">
        <v>497</v>
      </c>
      <c r="C506" s="987"/>
      <c r="D506" s="987"/>
      <c r="E506" s="987"/>
      <c r="F506" s="987"/>
      <c r="G506" s="987"/>
      <c r="H506" s="987"/>
      <c r="I506" s="987"/>
      <c r="J506" s="987"/>
      <c r="K506" s="987"/>
      <c r="L506" s="987"/>
      <c r="M506" s="1026"/>
      <c r="N506" s="987"/>
      <c r="O506" s="987"/>
      <c r="P506" s="987"/>
      <c r="Q506" s="987"/>
      <c r="R506" s="987"/>
      <c r="S506" s="987"/>
      <c r="T506" s="988"/>
      <c r="U506" s="1067" t="s">
        <v>1207</v>
      </c>
      <c r="V506" s="1068" t="s">
        <v>3871</v>
      </c>
      <c r="W506" s="1068" t="s">
        <v>2217</v>
      </c>
      <c r="X506" s="1069" t="s">
        <v>3872</v>
      </c>
      <c r="Y506" s="1070" t="s">
        <v>788</v>
      </c>
      <c r="Z506" s="1071" t="s">
        <v>3819</v>
      </c>
      <c r="AA506" s="1072" t="s">
        <v>2260</v>
      </c>
      <c r="AB506" s="1073" t="s">
        <v>2260</v>
      </c>
      <c r="AC506" s="1073">
        <v>1</v>
      </c>
      <c r="AD506" s="1073" t="s">
        <v>2260</v>
      </c>
      <c r="AE506" s="1073" t="s">
        <v>2260</v>
      </c>
      <c r="AF506" s="1073" t="s">
        <v>2260</v>
      </c>
      <c r="AG506" s="1073" t="s">
        <v>2260</v>
      </c>
      <c r="AH506" s="1073" t="s">
        <v>2260</v>
      </c>
      <c r="AI506" s="1074">
        <f t="shared" si="7"/>
        <v>1</v>
      </c>
      <c r="AJ506" s="1075" t="s">
        <v>1852</v>
      </c>
      <c r="AK506" s="1075" t="s">
        <v>1826</v>
      </c>
      <c r="AL506" s="1075" t="s">
        <v>1827</v>
      </c>
      <c r="AM506" s="1076" t="s">
        <v>788</v>
      </c>
      <c r="AN506" s="987" t="s">
        <v>2439</v>
      </c>
      <c r="AO506" s="987" t="s">
        <v>4431</v>
      </c>
      <c r="AP506" s="1276">
        <v>2</v>
      </c>
      <c r="AQ506" s="1045" t="s">
        <v>1838</v>
      </c>
      <c r="AR506" s="1078" t="s">
        <v>788</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210</v>
      </c>
      <c r="CE506" s="1088" t="s">
        <v>210</v>
      </c>
      <c r="CF506" s="1088" t="s">
        <v>210</v>
      </c>
      <c r="CG506" s="1088" t="s">
        <v>210</v>
      </c>
      <c r="CH506" s="1089" t="s">
        <v>210</v>
      </c>
      <c r="CI506" s="1044">
        <v>98</v>
      </c>
      <c r="CJ506" s="1045">
        <v>98</v>
      </c>
      <c r="CK506" s="1045">
        <v>98</v>
      </c>
      <c r="CL506" s="1045">
        <v>98</v>
      </c>
      <c r="CM506" s="1086">
        <v>98</v>
      </c>
      <c r="CN506" s="1044">
        <v>41.6</v>
      </c>
      <c r="CO506" s="1045">
        <v>41.6</v>
      </c>
      <c r="CP506" s="1045">
        <v>41.6</v>
      </c>
      <c r="CQ506" s="1045">
        <v>41.6</v>
      </c>
      <c r="CR506" s="1086">
        <v>41.6</v>
      </c>
      <c r="CS506" s="1044" t="s">
        <v>2260</v>
      </c>
      <c r="CT506" s="1045" t="s">
        <v>2260</v>
      </c>
      <c r="CU506" s="1045" t="s">
        <v>2260</v>
      </c>
      <c r="CV506" s="1045" t="s">
        <v>2260</v>
      </c>
      <c r="CW506" s="1086" t="s">
        <v>2260</v>
      </c>
      <c r="CX506" s="1044" t="s">
        <v>2260</v>
      </c>
      <c r="CY506" s="1045" t="s">
        <v>2260</v>
      </c>
      <c r="CZ506" s="1045" t="s">
        <v>2260</v>
      </c>
      <c r="DA506" s="1045" t="s">
        <v>2260</v>
      </c>
      <c r="DB506" s="1086" t="s">
        <v>2260</v>
      </c>
      <c r="DC506" s="1045">
        <v>11.83</v>
      </c>
      <c r="DD506" s="1045">
        <v>11.46</v>
      </c>
      <c r="DE506" s="1045">
        <v>11.11</v>
      </c>
      <c r="DF506" s="1045">
        <v>10.82</v>
      </c>
      <c r="DG506" s="1086">
        <v>9.42</v>
      </c>
      <c r="DH506" s="1044" t="s">
        <v>2260</v>
      </c>
      <c r="DI506" s="1045" t="s">
        <v>2260</v>
      </c>
      <c r="DJ506" s="1045" t="s">
        <v>2260</v>
      </c>
      <c r="DK506" s="1045" t="s">
        <v>2260</v>
      </c>
      <c r="DL506" s="1086" t="s">
        <v>2260</v>
      </c>
      <c r="DM506" s="1090">
        <v>-0.91200000000000003</v>
      </c>
      <c r="DN506" s="1091" t="s">
        <v>2260</v>
      </c>
      <c r="DO506" s="1091" t="s">
        <v>2260</v>
      </c>
      <c r="DP506" s="1092">
        <v>-1.52</v>
      </c>
      <c r="DQ506" s="1091">
        <v>0.76</v>
      </c>
      <c r="DR506" s="1091" t="s">
        <v>2260</v>
      </c>
      <c r="DS506" s="1091" t="s">
        <v>2260</v>
      </c>
      <c r="DT506" s="1092">
        <v>1.52</v>
      </c>
      <c r="DU506" s="1088" t="s">
        <v>173</v>
      </c>
      <c r="DV506" s="1093">
        <v>1</v>
      </c>
      <c r="DW506" s="1094" t="s">
        <v>2260</v>
      </c>
    </row>
    <row r="507" spans="1:127" s="382" customFormat="1" ht="15.75" customHeight="1">
      <c r="A507" s="1066" t="s">
        <v>1213</v>
      </c>
      <c r="B507" s="1026">
        <v>498</v>
      </c>
      <c r="C507" s="987"/>
      <c r="D507" s="987"/>
      <c r="E507" s="987"/>
      <c r="F507" s="987"/>
      <c r="G507" s="987"/>
      <c r="H507" s="987"/>
      <c r="I507" s="987"/>
      <c r="J507" s="987"/>
      <c r="K507" s="987"/>
      <c r="L507" s="987"/>
      <c r="M507" s="1026"/>
      <c r="N507" s="987"/>
      <c r="O507" s="987"/>
      <c r="P507" s="987"/>
      <c r="Q507" s="987"/>
      <c r="R507" s="987"/>
      <c r="S507" s="987"/>
      <c r="T507" s="988"/>
      <c r="U507" s="1067" t="s">
        <v>1195</v>
      </c>
      <c r="V507" s="1068" t="s">
        <v>3871</v>
      </c>
      <c r="W507" s="1068" t="s">
        <v>2217</v>
      </c>
      <c r="X507" s="1069" t="s">
        <v>3874</v>
      </c>
      <c r="Y507" s="1070" t="s">
        <v>1085</v>
      </c>
      <c r="Z507" s="1071" t="s">
        <v>3819</v>
      </c>
      <c r="AA507" s="1072" t="s">
        <v>2260</v>
      </c>
      <c r="AB507" s="1073">
        <v>0.06</v>
      </c>
      <c r="AC507" s="1073">
        <v>0.94</v>
      </c>
      <c r="AD507" s="1073" t="s">
        <v>2260</v>
      </c>
      <c r="AE507" s="1073" t="s">
        <v>2260</v>
      </c>
      <c r="AF507" s="1073" t="s">
        <v>2260</v>
      </c>
      <c r="AG507" s="1073" t="s">
        <v>2260</v>
      </c>
      <c r="AH507" s="1073" t="s">
        <v>2260</v>
      </c>
      <c r="AI507" s="1074">
        <f t="shared" si="7"/>
        <v>1</v>
      </c>
      <c r="AJ507" s="1075" t="s">
        <v>1852</v>
      </c>
      <c r="AK507" s="1075" t="s">
        <v>1826</v>
      </c>
      <c r="AL507" s="1075" t="s">
        <v>1827</v>
      </c>
      <c r="AM507" s="1076" t="s">
        <v>2371</v>
      </c>
      <c r="AN507" s="987" t="s">
        <v>321</v>
      </c>
      <c r="AO507" s="987" t="s">
        <v>2649</v>
      </c>
      <c r="AP507" s="1276">
        <v>2</v>
      </c>
      <c r="AQ507" s="1045" t="s">
        <v>1828</v>
      </c>
      <c r="AR507" s="1078" t="s">
        <v>1085</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210</v>
      </c>
      <c r="CE507" s="1088" t="s">
        <v>210</v>
      </c>
      <c r="CF507" s="1088" t="s">
        <v>210</v>
      </c>
      <c r="CG507" s="1088" t="s">
        <v>210</v>
      </c>
      <c r="CH507" s="1089" t="s">
        <v>210</v>
      </c>
      <c r="CI507" s="1044" t="s">
        <v>2260</v>
      </c>
      <c r="CJ507" s="1045" t="s">
        <v>2260</v>
      </c>
      <c r="CK507" s="1045" t="s">
        <v>2260</v>
      </c>
      <c r="CL507" s="1045" t="s">
        <v>2260</v>
      </c>
      <c r="CM507" s="1086" t="s">
        <v>2260</v>
      </c>
      <c r="CN507" s="1044" t="s">
        <v>2260</v>
      </c>
      <c r="CO507" s="1045" t="s">
        <v>2260</v>
      </c>
      <c r="CP507" s="1045" t="s">
        <v>2260</v>
      </c>
      <c r="CQ507" s="1045" t="s">
        <v>2260</v>
      </c>
      <c r="CR507" s="1086" t="s">
        <v>2260</v>
      </c>
      <c r="CS507" s="1044">
        <v>99</v>
      </c>
      <c r="CT507" s="1045">
        <v>99</v>
      </c>
      <c r="CU507" s="1045">
        <v>99</v>
      </c>
      <c r="CV507" s="1045">
        <v>99</v>
      </c>
      <c r="CW507" s="1086">
        <v>99</v>
      </c>
      <c r="CX507" s="1044" t="s">
        <v>2260</v>
      </c>
      <c r="CY507" s="1045" t="s">
        <v>2260</v>
      </c>
      <c r="CZ507" s="1045" t="s">
        <v>2260</v>
      </c>
      <c r="DA507" s="1045" t="s">
        <v>2260</v>
      </c>
      <c r="DB507" s="1086" t="s">
        <v>2260</v>
      </c>
      <c r="DC507" s="1045" t="s">
        <v>2260</v>
      </c>
      <c r="DD507" s="1045" t="s">
        <v>2260</v>
      </c>
      <c r="DE507" s="1045" t="s">
        <v>2260</v>
      </c>
      <c r="DF507" s="1045" t="s">
        <v>2260</v>
      </c>
      <c r="DG507" s="1086" t="s">
        <v>2260</v>
      </c>
      <c r="DH507" s="1044" t="s">
        <v>2260</v>
      </c>
      <c r="DI507" s="1045" t="s">
        <v>2260</v>
      </c>
      <c r="DJ507" s="1045" t="s">
        <v>2260</v>
      </c>
      <c r="DK507" s="1045" t="s">
        <v>2260</v>
      </c>
      <c r="DL507" s="1086" t="s">
        <v>2260</v>
      </c>
      <c r="DM507" s="1090">
        <v>-1.5249999999999999</v>
      </c>
      <c r="DN507" s="1091" t="s">
        <v>2260</v>
      </c>
      <c r="DO507" s="1091" t="s">
        <v>2260</v>
      </c>
      <c r="DP507" s="1092" t="s">
        <v>2260</v>
      </c>
      <c r="DQ507" s="1091" t="s">
        <v>2260</v>
      </c>
      <c r="DR507" s="1091" t="s">
        <v>2260</v>
      </c>
      <c r="DS507" s="1091" t="s">
        <v>2260</v>
      </c>
      <c r="DT507" s="1092" t="s">
        <v>2260</v>
      </c>
      <c r="DU507" s="1088" t="s">
        <v>2260</v>
      </c>
      <c r="DV507" s="1093">
        <v>100</v>
      </c>
      <c r="DW507" s="1094" t="s">
        <v>3901</v>
      </c>
    </row>
    <row r="508" spans="1:127" s="382" customFormat="1" ht="15.75" customHeight="1">
      <c r="A508" s="1066" t="s">
        <v>1213</v>
      </c>
      <c r="B508" s="1026">
        <v>499</v>
      </c>
      <c r="C508" s="987"/>
      <c r="D508" s="987"/>
      <c r="E508" s="987"/>
      <c r="F508" s="987"/>
      <c r="G508" s="987"/>
      <c r="H508" s="987"/>
      <c r="I508" s="987"/>
      <c r="J508" s="987"/>
      <c r="K508" s="987"/>
      <c r="L508" s="987"/>
      <c r="M508" s="1026"/>
      <c r="N508" s="987"/>
      <c r="O508" s="987"/>
      <c r="P508" s="987"/>
      <c r="Q508" s="987"/>
      <c r="R508" s="987"/>
      <c r="S508" s="987"/>
      <c r="T508" s="988"/>
      <c r="U508" s="1067" t="s">
        <v>1462</v>
      </c>
      <c r="V508" s="1068" t="s">
        <v>3871</v>
      </c>
      <c r="W508" s="1068" t="s">
        <v>2217</v>
      </c>
      <c r="X508" s="1069" t="s">
        <v>3876</v>
      </c>
      <c r="Y508" s="1070" t="s">
        <v>2988</v>
      </c>
      <c r="Z508" s="1071" t="s">
        <v>3877</v>
      </c>
      <c r="AA508" s="1072">
        <v>1</v>
      </c>
      <c r="AB508" s="1073" t="s">
        <v>2260</v>
      </c>
      <c r="AC508" s="1073" t="s">
        <v>2260</v>
      </c>
      <c r="AD508" s="1073" t="s">
        <v>2260</v>
      </c>
      <c r="AE508" s="1073" t="s">
        <v>2260</v>
      </c>
      <c r="AF508" s="1073" t="s">
        <v>2260</v>
      </c>
      <c r="AG508" s="1073" t="s">
        <v>2260</v>
      </c>
      <c r="AH508" s="1073" t="s">
        <v>2260</v>
      </c>
      <c r="AI508" s="1074">
        <f t="shared" si="7"/>
        <v>1</v>
      </c>
      <c r="AJ508" s="1075" t="s">
        <v>1852</v>
      </c>
      <c r="AK508" s="1075" t="s">
        <v>1826</v>
      </c>
      <c r="AL508" s="1075" t="s">
        <v>1827</v>
      </c>
      <c r="AM508" s="1076" t="s">
        <v>2290</v>
      </c>
      <c r="AN508" s="987" t="s">
        <v>1857</v>
      </c>
      <c r="AO508" s="987" t="s">
        <v>2542</v>
      </c>
      <c r="AP508" s="1243">
        <v>1</v>
      </c>
      <c r="AQ508" s="1045" t="s">
        <v>1838</v>
      </c>
      <c r="AR508" s="1078" t="s">
        <v>2260</v>
      </c>
      <c r="AS508" s="1079"/>
      <c r="AT508" s="1069"/>
      <c r="AU508" s="1069"/>
      <c r="AV508" s="1069"/>
      <c r="AW508" s="1080"/>
      <c r="AX508" s="1081"/>
      <c r="AY508" s="1044"/>
      <c r="AZ508" s="1045"/>
      <c r="BA508" s="1045"/>
      <c r="BB508" s="1045"/>
      <c r="BC508" s="1045"/>
      <c r="BD508" s="1045"/>
      <c r="BE508" s="1045"/>
      <c r="BF508" s="1045"/>
      <c r="BG508" s="1045"/>
      <c r="BH508" s="1045"/>
      <c r="BI508" s="1369"/>
      <c r="BJ508" s="1319"/>
      <c r="BK508" s="1319"/>
      <c r="BL508" s="1319"/>
      <c r="BM508" s="1319"/>
      <c r="BN508" s="1044"/>
      <c r="BO508" s="1045"/>
      <c r="BP508" s="1045"/>
      <c r="BQ508" s="1045"/>
      <c r="BR508" s="1045"/>
      <c r="BS508" s="1084"/>
      <c r="BT508" s="1045"/>
      <c r="BU508" s="1045"/>
      <c r="BV508" s="1045"/>
      <c r="BW508" s="1085"/>
      <c r="BX508" s="1084"/>
      <c r="BY508" s="1045"/>
      <c r="BZ508" s="1045"/>
      <c r="CA508" s="1045"/>
      <c r="CB508" s="1085"/>
      <c r="CC508" s="1086"/>
      <c r="CD508" s="1327"/>
      <c r="CE508" s="1328"/>
      <c r="CF508" s="1328"/>
      <c r="CG508" s="1328"/>
      <c r="CH508" s="1389"/>
      <c r="CI508" s="1369"/>
      <c r="CJ508" s="1319"/>
      <c r="CK508" s="1319"/>
      <c r="CL508" s="1319"/>
      <c r="CM508" s="1320"/>
      <c r="CN508" s="1369"/>
      <c r="CO508" s="1319"/>
      <c r="CP508" s="1319"/>
      <c r="CQ508" s="1319"/>
      <c r="CR508" s="1320"/>
      <c r="CS508" s="1369"/>
      <c r="CT508" s="1319"/>
      <c r="CU508" s="1319"/>
      <c r="CV508" s="1319"/>
      <c r="CW508" s="1320"/>
      <c r="CX508" s="1369"/>
      <c r="CY508" s="1319"/>
      <c r="CZ508" s="1319"/>
      <c r="DA508" s="1319"/>
      <c r="DB508" s="1320"/>
      <c r="DC508" s="1319"/>
      <c r="DD508" s="1319"/>
      <c r="DE508" s="1319"/>
      <c r="DF508" s="1319"/>
      <c r="DG508" s="1320"/>
      <c r="DH508" s="1369"/>
      <c r="DI508" s="1319"/>
      <c r="DJ508" s="1319"/>
      <c r="DK508" s="1319"/>
      <c r="DL508" s="1320"/>
      <c r="DM508" s="1743"/>
      <c r="DN508" s="1744"/>
      <c r="DO508" s="1744"/>
      <c r="DP508" s="1745"/>
      <c r="DQ508" s="1744"/>
      <c r="DR508" s="1744"/>
      <c r="DS508" s="1744"/>
      <c r="DT508" s="1745"/>
      <c r="DU508" s="1328"/>
      <c r="DV508" s="1664"/>
      <c r="DW508" s="1746"/>
    </row>
    <row r="509" spans="1:127" s="382" customFormat="1" ht="15.75" customHeight="1">
      <c r="A509" s="1066" t="s">
        <v>1213</v>
      </c>
      <c r="B509" s="1026">
        <v>500</v>
      </c>
      <c r="C509" s="987"/>
      <c r="D509" s="987"/>
      <c r="E509" s="987"/>
      <c r="F509" s="987"/>
      <c r="G509" s="987"/>
      <c r="H509" s="987"/>
      <c r="I509" s="987"/>
      <c r="J509" s="987"/>
      <c r="K509" s="987"/>
      <c r="L509" s="987"/>
      <c r="M509" s="1026"/>
      <c r="N509" s="987"/>
      <c r="O509" s="987"/>
      <c r="P509" s="987"/>
      <c r="Q509" s="987"/>
      <c r="R509" s="987"/>
      <c r="S509" s="987"/>
      <c r="T509" s="988"/>
      <c r="U509" s="1067" t="s">
        <v>1470</v>
      </c>
      <c r="V509" s="1068" t="s">
        <v>3871</v>
      </c>
      <c r="W509" s="1068" t="s">
        <v>2217</v>
      </c>
      <c r="X509" s="1069" t="s">
        <v>3879</v>
      </c>
      <c r="Y509" s="1070" t="s">
        <v>3880</v>
      </c>
      <c r="Z509" s="1071" t="s">
        <v>3881</v>
      </c>
      <c r="AA509" s="1072">
        <v>1</v>
      </c>
      <c r="AB509" s="1073" t="s">
        <v>2260</v>
      </c>
      <c r="AC509" s="1073" t="s">
        <v>2260</v>
      </c>
      <c r="AD509" s="1073" t="s">
        <v>2260</v>
      </c>
      <c r="AE509" s="1073" t="s">
        <v>2260</v>
      </c>
      <c r="AF509" s="1073" t="s">
        <v>2260</v>
      </c>
      <c r="AG509" s="1073" t="s">
        <v>2260</v>
      </c>
      <c r="AH509" s="1073" t="s">
        <v>2260</v>
      </c>
      <c r="AI509" s="1074">
        <f t="shared" si="7"/>
        <v>1</v>
      </c>
      <c r="AJ509" s="1075" t="s">
        <v>1825</v>
      </c>
      <c r="AK509" s="1075" t="s">
        <v>2260</v>
      </c>
      <c r="AL509" s="1075" t="s">
        <v>2260</v>
      </c>
      <c r="AM509" s="1076" t="s">
        <v>2387</v>
      </c>
      <c r="AN509" s="987" t="s">
        <v>4489</v>
      </c>
      <c r="AO509" s="987" t="s">
        <v>3882</v>
      </c>
      <c r="AP509" s="1243">
        <v>0</v>
      </c>
      <c r="AQ509" s="1045" t="s">
        <v>1828</v>
      </c>
      <c r="AR509" s="1078" t="s">
        <v>2260</v>
      </c>
      <c r="AS509" s="1079"/>
      <c r="AT509" s="1069"/>
      <c r="AU509" s="1069"/>
      <c r="AV509" s="1069"/>
      <c r="AW509" s="1080"/>
      <c r="AX509" s="1081"/>
      <c r="AY509" s="1044"/>
      <c r="AZ509" s="1045"/>
      <c r="BA509" s="1045"/>
      <c r="BB509" s="1045"/>
      <c r="BC509" s="1045"/>
      <c r="BD509" s="1045"/>
      <c r="BE509" s="1045"/>
      <c r="BF509" s="1045"/>
      <c r="BG509" s="1045"/>
      <c r="BH509" s="1045"/>
      <c r="BI509" s="1369"/>
      <c r="BJ509" s="1319"/>
      <c r="BK509" s="1319"/>
      <c r="BL509" s="1319"/>
      <c r="BM509" s="1319"/>
      <c r="BN509" s="1044"/>
      <c r="BO509" s="1045"/>
      <c r="BP509" s="1045"/>
      <c r="BQ509" s="1045"/>
      <c r="BR509" s="1045"/>
      <c r="BS509" s="1084"/>
      <c r="BT509" s="1045"/>
      <c r="BU509" s="1045"/>
      <c r="BV509" s="1045"/>
      <c r="BW509" s="1085"/>
      <c r="BX509" s="1084"/>
      <c r="BY509" s="1045"/>
      <c r="BZ509" s="1045"/>
      <c r="CA509" s="1045"/>
      <c r="CB509" s="1085"/>
      <c r="CC509" s="1086"/>
      <c r="CD509" s="1327"/>
      <c r="CE509" s="1328"/>
      <c r="CF509" s="1328"/>
      <c r="CG509" s="1328"/>
      <c r="CH509" s="1389"/>
      <c r="CI509" s="1369"/>
      <c r="CJ509" s="1319"/>
      <c r="CK509" s="1319"/>
      <c r="CL509" s="1319"/>
      <c r="CM509" s="1320"/>
      <c r="CN509" s="1369"/>
      <c r="CO509" s="1319"/>
      <c r="CP509" s="1319"/>
      <c r="CQ509" s="1319"/>
      <c r="CR509" s="1320"/>
      <c r="CS509" s="1369"/>
      <c r="CT509" s="1319"/>
      <c r="CU509" s="1319"/>
      <c r="CV509" s="1319"/>
      <c r="CW509" s="1320"/>
      <c r="CX509" s="1369"/>
      <c r="CY509" s="1319"/>
      <c r="CZ509" s="1319"/>
      <c r="DA509" s="1319"/>
      <c r="DB509" s="1320"/>
      <c r="DC509" s="1319"/>
      <c r="DD509" s="1319"/>
      <c r="DE509" s="1319"/>
      <c r="DF509" s="1319"/>
      <c r="DG509" s="1320"/>
      <c r="DH509" s="1369"/>
      <c r="DI509" s="1319"/>
      <c r="DJ509" s="1319"/>
      <c r="DK509" s="1319"/>
      <c r="DL509" s="1320"/>
      <c r="DM509" s="1743"/>
      <c r="DN509" s="1744"/>
      <c r="DO509" s="1744"/>
      <c r="DP509" s="1745"/>
      <c r="DQ509" s="1744"/>
      <c r="DR509" s="1744"/>
      <c r="DS509" s="1744"/>
      <c r="DT509" s="1745"/>
      <c r="DU509" s="1328"/>
      <c r="DV509" s="1664"/>
      <c r="DW509" s="1746"/>
    </row>
    <row r="510" spans="1:127" s="382" customFormat="1" ht="15.75" customHeight="1">
      <c r="A510" s="1066" t="s">
        <v>1213</v>
      </c>
      <c r="B510" s="1026">
        <v>501</v>
      </c>
      <c r="C510" s="987"/>
      <c r="D510" s="987"/>
      <c r="E510" s="987"/>
      <c r="F510" s="987"/>
      <c r="G510" s="987"/>
      <c r="H510" s="987"/>
      <c r="I510" s="987"/>
      <c r="J510" s="987"/>
      <c r="K510" s="987"/>
      <c r="L510" s="987"/>
      <c r="M510" s="1026"/>
      <c r="N510" s="987"/>
      <c r="O510" s="987"/>
      <c r="P510" s="987"/>
      <c r="Q510" s="987"/>
      <c r="R510" s="987"/>
      <c r="S510" s="987"/>
      <c r="T510" s="988"/>
      <c r="U510" s="1067" t="s">
        <v>1502</v>
      </c>
      <c r="V510" s="1068" t="s">
        <v>3871</v>
      </c>
      <c r="W510" s="1068" t="s">
        <v>2217</v>
      </c>
      <c r="X510" s="1069" t="s">
        <v>3883</v>
      </c>
      <c r="Y510" s="1070" t="s">
        <v>3884</v>
      </c>
      <c r="Z510" s="1071" t="s">
        <v>3881</v>
      </c>
      <c r="AA510" s="1072" t="s">
        <v>2260</v>
      </c>
      <c r="AB510" s="1073" t="s">
        <v>2260</v>
      </c>
      <c r="AC510" s="1073">
        <v>1</v>
      </c>
      <c r="AD510" s="1073" t="s">
        <v>2260</v>
      </c>
      <c r="AE510" s="1073" t="s">
        <v>2260</v>
      </c>
      <c r="AF510" s="1073" t="s">
        <v>2260</v>
      </c>
      <c r="AG510" s="1073" t="s">
        <v>2260</v>
      </c>
      <c r="AH510" s="1073" t="s">
        <v>2260</v>
      </c>
      <c r="AI510" s="1074">
        <f t="shared" si="7"/>
        <v>1</v>
      </c>
      <c r="AJ510" s="1075" t="s">
        <v>1825</v>
      </c>
      <c r="AK510" s="1075" t="s">
        <v>2260</v>
      </c>
      <c r="AL510" s="1075" t="s">
        <v>2260</v>
      </c>
      <c r="AM510" s="1076" t="s">
        <v>2387</v>
      </c>
      <c r="AN510" s="987" t="s">
        <v>4489</v>
      </c>
      <c r="AO510" s="987" t="s">
        <v>3885</v>
      </c>
      <c r="AP510" s="1243">
        <v>0</v>
      </c>
      <c r="AQ510" s="1045" t="s">
        <v>1828</v>
      </c>
      <c r="AR510" s="1078" t="s">
        <v>2260</v>
      </c>
      <c r="AS510" s="1079"/>
      <c r="AT510" s="1069"/>
      <c r="AU510" s="1069"/>
      <c r="AV510" s="1069"/>
      <c r="AW510" s="1080"/>
      <c r="AX510" s="1081"/>
      <c r="AY510" s="1044"/>
      <c r="AZ510" s="1045"/>
      <c r="BA510" s="1045"/>
      <c r="BB510" s="1045"/>
      <c r="BC510" s="1045"/>
      <c r="BD510" s="1045"/>
      <c r="BE510" s="1045"/>
      <c r="BF510" s="1045"/>
      <c r="BG510" s="1045"/>
      <c r="BH510" s="1045"/>
      <c r="BI510" s="1369"/>
      <c r="BJ510" s="1319"/>
      <c r="BK510" s="1319"/>
      <c r="BL510" s="1319"/>
      <c r="BM510" s="1319"/>
      <c r="BN510" s="1044"/>
      <c r="BO510" s="1045"/>
      <c r="BP510" s="1045"/>
      <c r="BQ510" s="1045"/>
      <c r="BR510" s="1045"/>
      <c r="BS510" s="1084"/>
      <c r="BT510" s="1045"/>
      <c r="BU510" s="1045"/>
      <c r="BV510" s="1045"/>
      <c r="BW510" s="1085"/>
      <c r="BX510" s="1084"/>
      <c r="BY510" s="1045"/>
      <c r="BZ510" s="1045"/>
      <c r="CA510" s="1045"/>
      <c r="CB510" s="1085"/>
      <c r="CC510" s="1086"/>
      <c r="CD510" s="1327"/>
      <c r="CE510" s="1328"/>
      <c r="CF510" s="1328"/>
      <c r="CG510" s="1328"/>
      <c r="CH510" s="1389"/>
      <c r="CI510" s="1369"/>
      <c r="CJ510" s="1319"/>
      <c r="CK510" s="1319"/>
      <c r="CL510" s="1319"/>
      <c r="CM510" s="1320"/>
      <c r="CN510" s="1369"/>
      <c r="CO510" s="1319"/>
      <c r="CP510" s="1319"/>
      <c r="CQ510" s="1319"/>
      <c r="CR510" s="1320"/>
      <c r="CS510" s="1369"/>
      <c r="CT510" s="1319"/>
      <c r="CU510" s="1319"/>
      <c r="CV510" s="1319"/>
      <c r="CW510" s="1320"/>
      <c r="CX510" s="1369"/>
      <c r="CY510" s="1319"/>
      <c r="CZ510" s="1319"/>
      <c r="DA510" s="1319"/>
      <c r="DB510" s="1320"/>
      <c r="DC510" s="1319"/>
      <c r="DD510" s="1319"/>
      <c r="DE510" s="1319"/>
      <c r="DF510" s="1319"/>
      <c r="DG510" s="1320"/>
      <c r="DH510" s="1369"/>
      <c r="DI510" s="1319"/>
      <c r="DJ510" s="1319"/>
      <c r="DK510" s="1319"/>
      <c r="DL510" s="1320"/>
      <c r="DM510" s="1743"/>
      <c r="DN510" s="1744"/>
      <c r="DO510" s="1744"/>
      <c r="DP510" s="1745"/>
      <c r="DQ510" s="1744"/>
      <c r="DR510" s="1744"/>
      <c r="DS510" s="1744"/>
      <c r="DT510" s="1745"/>
      <c r="DU510" s="1328"/>
      <c r="DV510" s="1664"/>
      <c r="DW510" s="1746"/>
    </row>
    <row r="511" spans="1:127" s="382" customFormat="1" ht="15.75" customHeight="1">
      <c r="A511" s="1066" t="s">
        <v>1213</v>
      </c>
      <c r="B511" s="1026">
        <v>502</v>
      </c>
      <c r="C511" s="987"/>
      <c r="D511" s="987"/>
      <c r="E511" s="987"/>
      <c r="F511" s="987"/>
      <c r="G511" s="987"/>
      <c r="H511" s="987"/>
      <c r="I511" s="987"/>
      <c r="J511" s="987"/>
      <c r="K511" s="987"/>
      <c r="L511" s="987"/>
      <c r="M511" s="1026"/>
      <c r="N511" s="987"/>
      <c r="O511" s="987"/>
      <c r="P511" s="987"/>
      <c r="Q511" s="987"/>
      <c r="R511" s="987"/>
      <c r="S511" s="987"/>
      <c r="T511" s="988"/>
      <c r="U511" s="1067" t="s">
        <v>1513</v>
      </c>
      <c r="V511" s="1068" t="s">
        <v>3871</v>
      </c>
      <c r="W511" s="1068" t="s">
        <v>2217</v>
      </c>
      <c r="X511" s="1069" t="s">
        <v>3886</v>
      </c>
      <c r="Y511" s="1070" t="s">
        <v>2089</v>
      </c>
      <c r="Z511" s="1071" t="s">
        <v>3887</v>
      </c>
      <c r="AA511" s="1072" t="s">
        <v>2260</v>
      </c>
      <c r="AB511" s="1073" t="s">
        <v>2260</v>
      </c>
      <c r="AC511" s="1073">
        <v>1</v>
      </c>
      <c r="AD511" s="1073" t="s">
        <v>2260</v>
      </c>
      <c r="AE511" s="1073" t="s">
        <v>2260</v>
      </c>
      <c r="AF511" s="1073" t="s">
        <v>2260</v>
      </c>
      <c r="AG511" s="1073" t="s">
        <v>2260</v>
      </c>
      <c r="AH511" s="1073" t="s">
        <v>2260</v>
      </c>
      <c r="AI511" s="1074">
        <f t="shared" si="7"/>
        <v>1</v>
      </c>
      <c r="AJ511" s="1075" t="s">
        <v>1852</v>
      </c>
      <c r="AK511" s="1075" t="s">
        <v>1826</v>
      </c>
      <c r="AL511" s="1075" t="s">
        <v>1837</v>
      </c>
      <c r="AM511" s="1076" t="s">
        <v>2387</v>
      </c>
      <c r="AN511" s="987" t="s">
        <v>1857</v>
      </c>
      <c r="AO511" s="987" t="s">
        <v>3888</v>
      </c>
      <c r="AP511" s="1243">
        <v>0</v>
      </c>
      <c r="AQ511" s="1045" t="s">
        <v>1828</v>
      </c>
      <c r="AR511" s="1078" t="s">
        <v>2260</v>
      </c>
      <c r="AS511" s="1079"/>
      <c r="AT511" s="1069"/>
      <c r="AU511" s="1069"/>
      <c r="AV511" s="1069"/>
      <c r="AW511" s="1080"/>
      <c r="AX511" s="1081"/>
      <c r="AY511" s="1044"/>
      <c r="AZ511" s="1045"/>
      <c r="BA511" s="1045"/>
      <c r="BB511" s="1045"/>
      <c r="BC511" s="1045"/>
      <c r="BD511" s="1045"/>
      <c r="BE511" s="1045"/>
      <c r="BF511" s="1045"/>
      <c r="BG511" s="1045"/>
      <c r="BH511" s="1045"/>
      <c r="BI511" s="1369"/>
      <c r="BJ511" s="1319"/>
      <c r="BK511" s="1319"/>
      <c r="BL511" s="1319"/>
      <c r="BM511" s="1319"/>
      <c r="BN511" s="1044"/>
      <c r="BO511" s="1045"/>
      <c r="BP511" s="1045"/>
      <c r="BQ511" s="1045"/>
      <c r="BR511" s="1045"/>
      <c r="BS511" s="1084"/>
      <c r="BT511" s="1045"/>
      <c r="BU511" s="1045"/>
      <c r="BV511" s="1045"/>
      <c r="BW511" s="1085"/>
      <c r="BX511" s="1084"/>
      <c r="BY511" s="1045"/>
      <c r="BZ511" s="1045"/>
      <c r="CA511" s="1045"/>
      <c r="CB511" s="1085"/>
      <c r="CC511" s="1086"/>
      <c r="CD511" s="1327"/>
      <c r="CE511" s="1328"/>
      <c r="CF511" s="1328"/>
      <c r="CG511" s="1328"/>
      <c r="CH511" s="1389"/>
      <c r="CI511" s="1369"/>
      <c r="CJ511" s="1319"/>
      <c r="CK511" s="1319"/>
      <c r="CL511" s="1319"/>
      <c r="CM511" s="1320"/>
      <c r="CN511" s="1369"/>
      <c r="CO511" s="1319"/>
      <c r="CP511" s="1319"/>
      <c r="CQ511" s="1319"/>
      <c r="CR511" s="1320"/>
      <c r="CS511" s="1369"/>
      <c r="CT511" s="1319"/>
      <c r="CU511" s="1319"/>
      <c r="CV511" s="1319"/>
      <c r="CW511" s="1320"/>
      <c r="CX511" s="1369"/>
      <c r="CY511" s="1319"/>
      <c r="CZ511" s="1319"/>
      <c r="DA511" s="1319"/>
      <c r="DB511" s="1320"/>
      <c r="DC511" s="1319"/>
      <c r="DD511" s="1319"/>
      <c r="DE511" s="1319"/>
      <c r="DF511" s="1319"/>
      <c r="DG511" s="1320"/>
      <c r="DH511" s="1369"/>
      <c r="DI511" s="1319"/>
      <c r="DJ511" s="1319"/>
      <c r="DK511" s="1319"/>
      <c r="DL511" s="1320"/>
      <c r="DM511" s="1743"/>
      <c r="DN511" s="1744"/>
      <c r="DO511" s="1744"/>
      <c r="DP511" s="1745"/>
      <c r="DQ511" s="1744"/>
      <c r="DR511" s="1744"/>
      <c r="DS511" s="1744"/>
      <c r="DT511" s="1745"/>
      <c r="DU511" s="1328"/>
      <c r="DV511" s="1664"/>
      <c r="DW511" s="1746"/>
    </row>
    <row r="512" spans="1:127" s="382" customFormat="1" ht="15.75" customHeight="1">
      <c r="A512" s="1066" t="s">
        <v>1213</v>
      </c>
      <c r="B512" s="1026">
        <v>503</v>
      </c>
      <c r="C512" s="987"/>
      <c r="D512" s="987"/>
      <c r="E512" s="987"/>
      <c r="F512" s="987"/>
      <c r="G512" s="987"/>
      <c r="H512" s="987"/>
      <c r="I512" s="987"/>
      <c r="J512" s="987"/>
      <c r="K512" s="987"/>
      <c r="L512" s="987"/>
      <c r="M512" s="1026"/>
      <c r="N512" s="987"/>
      <c r="O512" s="987"/>
      <c r="P512" s="987"/>
      <c r="Q512" s="987"/>
      <c r="R512" s="987"/>
      <c r="S512" s="987"/>
      <c r="T512" s="988"/>
      <c r="U512" s="1067" t="s">
        <v>1524</v>
      </c>
      <c r="V512" s="1068" t="s">
        <v>3871</v>
      </c>
      <c r="W512" s="1068" t="s">
        <v>2231</v>
      </c>
      <c r="X512" s="1069" t="s">
        <v>3889</v>
      </c>
      <c r="Y512" s="1070" t="s">
        <v>3890</v>
      </c>
      <c r="Z512" s="1071" t="s">
        <v>3891</v>
      </c>
      <c r="AA512" s="1072">
        <v>0.1</v>
      </c>
      <c r="AB512" s="1073">
        <v>0.05</v>
      </c>
      <c r="AC512" s="1073">
        <v>0.8</v>
      </c>
      <c r="AD512" s="1073">
        <v>0.05</v>
      </c>
      <c r="AE512" s="1073" t="s">
        <v>2260</v>
      </c>
      <c r="AF512" s="1073" t="s">
        <v>2260</v>
      </c>
      <c r="AG512" s="1073" t="s">
        <v>2260</v>
      </c>
      <c r="AH512" s="1073" t="s">
        <v>2260</v>
      </c>
      <c r="AI512" s="1074">
        <f t="shared" si="7"/>
        <v>1</v>
      </c>
      <c r="AJ512" s="1075" t="s">
        <v>1852</v>
      </c>
      <c r="AK512" s="1075" t="s">
        <v>1826</v>
      </c>
      <c r="AL512" s="1075" t="s">
        <v>1827</v>
      </c>
      <c r="AM512" s="1076" t="s">
        <v>2387</v>
      </c>
      <c r="AN512" s="987" t="s">
        <v>165</v>
      </c>
      <c r="AO512" s="987" t="s">
        <v>3892</v>
      </c>
      <c r="AP512" s="1243">
        <v>3</v>
      </c>
      <c r="AQ512" s="1045" t="s">
        <v>1828</v>
      </c>
      <c r="AR512" s="1078" t="s">
        <v>2260</v>
      </c>
      <c r="AS512" s="1079"/>
      <c r="AT512" s="1069"/>
      <c r="AU512" s="1069"/>
      <c r="AV512" s="1069"/>
      <c r="AW512" s="1080"/>
      <c r="AX512" s="1081"/>
      <c r="AY512" s="1044"/>
      <c r="AZ512" s="1045"/>
      <c r="BA512" s="1045"/>
      <c r="BB512" s="1045"/>
      <c r="BC512" s="1045"/>
      <c r="BD512" s="1045"/>
      <c r="BE512" s="1045"/>
      <c r="BF512" s="1045"/>
      <c r="BG512" s="1045"/>
      <c r="BH512" s="1045"/>
      <c r="BI512" s="1369"/>
      <c r="BJ512" s="1319"/>
      <c r="BK512" s="1319"/>
      <c r="BL512" s="1319"/>
      <c r="BM512" s="1319"/>
      <c r="BN512" s="1044"/>
      <c r="BO512" s="1045"/>
      <c r="BP512" s="1045"/>
      <c r="BQ512" s="1045"/>
      <c r="BR512" s="1045"/>
      <c r="BS512" s="1084"/>
      <c r="BT512" s="1045"/>
      <c r="BU512" s="1045"/>
      <c r="BV512" s="1045"/>
      <c r="BW512" s="1085"/>
      <c r="BX512" s="1084"/>
      <c r="BY512" s="1045"/>
      <c r="BZ512" s="1045"/>
      <c r="CA512" s="1045"/>
      <c r="CB512" s="1085"/>
      <c r="CC512" s="1086"/>
      <c r="CD512" s="1327"/>
      <c r="CE512" s="1328"/>
      <c r="CF512" s="1328"/>
      <c r="CG512" s="1328"/>
      <c r="CH512" s="1389"/>
      <c r="CI512" s="1369"/>
      <c r="CJ512" s="1319"/>
      <c r="CK512" s="1319"/>
      <c r="CL512" s="1319"/>
      <c r="CM512" s="1320"/>
      <c r="CN512" s="1369"/>
      <c r="CO512" s="1319"/>
      <c r="CP512" s="1319"/>
      <c r="CQ512" s="1319"/>
      <c r="CR512" s="1320"/>
      <c r="CS512" s="1369"/>
      <c r="CT512" s="1319"/>
      <c r="CU512" s="1319"/>
      <c r="CV512" s="1319"/>
      <c r="CW512" s="1320"/>
      <c r="CX512" s="1369"/>
      <c r="CY512" s="1319"/>
      <c r="CZ512" s="1319"/>
      <c r="DA512" s="1319"/>
      <c r="DB512" s="1320"/>
      <c r="DC512" s="1319"/>
      <c r="DD512" s="1319"/>
      <c r="DE512" s="1319"/>
      <c r="DF512" s="1319"/>
      <c r="DG512" s="1320"/>
      <c r="DH512" s="1369"/>
      <c r="DI512" s="1319"/>
      <c r="DJ512" s="1319"/>
      <c r="DK512" s="1319"/>
      <c r="DL512" s="1320"/>
      <c r="DM512" s="1743"/>
      <c r="DN512" s="1744"/>
      <c r="DO512" s="1744"/>
      <c r="DP512" s="1745"/>
      <c r="DQ512" s="1744"/>
      <c r="DR512" s="1744"/>
      <c r="DS512" s="1744"/>
      <c r="DT512" s="1745"/>
      <c r="DU512" s="1328"/>
      <c r="DV512" s="1664"/>
      <c r="DW512" s="1746"/>
    </row>
    <row r="513" spans="1:127" s="382" customFormat="1" ht="15.75" customHeight="1">
      <c r="A513" s="1066" t="s">
        <v>1213</v>
      </c>
      <c r="B513" s="1026">
        <v>504</v>
      </c>
      <c r="C513" s="987"/>
      <c r="D513" s="987"/>
      <c r="E513" s="987"/>
      <c r="F513" s="987"/>
      <c r="G513" s="987"/>
      <c r="H513" s="987"/>
      <c r="I513" s="987"/>
      <c r="J513" s="987"/>
      <c r="K513" s="987"/>
      <c r="L513" s="987"/>
      <c r="M513" s="1026"/>
      <c r="N513" s="987"/>
      <c r="O513" s="987"/>
      <c r="P513" s="987"/>
      <c r="Q513" s="987"/>
      <c r="R513" s="987"/>
      <c r="S513" s="987"/>
      <c r="T513" s="988"/>
      <c r="U513" s="1067" t="s">
        <v>1534</v>
      </c>
      <c r="V513" s="1068" t="s">
        <v>3871</v>
      </c>
      <c r="W513" s="1068" t="s">
        <v>2217</v>
      </c>
      <c r="X513" s="1069" t="s">
        <v>3893</v>
      </c>
      <c r="Y513" s="1070" t="s">
        <v>3894</v>
      </c>
      <c r="Z513" s="1071" t="s">
        <v>3895</v>
      </c>
      <c r="AA513" s="1072" t="s">
        <v>2260</v>
      </c>
      <c r="AB513" s="1073" t="s">
        <v>2260</v>
      </c>
      <c r="AC513" s="1073" t="s">
        <v>2260</v>
      </c>
      <c r="AD513" s="1073">
        <v>1</v>
      </c>
      <c r="AE513" s="1073" t="s">
        <v>2260</v>
      </c>
      <c r="AF513" s="1073" t="s">
        <v>2260</v>
      </c>
      <c r="AG513" s="1073" t="s">
        <v>2260</v>
      </c>
      <c r="AH513" s="1073" t="s">
        <v>2260</v>
      </c>
      <c r="AI513" s="1074">
        <f t="shared" si="7"/>
        <v>1</v>
      </c>
      <c r="AJ513" s="1075" t="s">
        <v>1852</v>
      </c>
      <c r="AK513" s="1075" t="s">
        <v>1826</v>
      </c>
      <c r="AL513" s="1075" t="s">
        <v>1827</v>
      </c>
      <c r="AM513" s="1076" t="s">
        <v>815</v>
      </c>
      <c r="AN513" s="987" t="s">
        <v>321</v>
      </c>
      <c r="AO513" s="987" t="s">
        <v>3896</v>
      </c>
      <c r="AP513" s="1243">
        <v>2</v>
      </c>
      <c r="AQ513" s="1045" t="s">
        <v>1828</v>
      </c>
      <c r="AR513" s="1078" t="s">
        <v>2260</v>
      </c>
      <c r="AS513" s="1079"/>
      <c r="AT513" s="1069"/>
      <c r="AU513" s="1069"/>
      <c r="AV513" s="1069"/>
      <c r="AW513" s="1080"/>
      <c r="AX513" s="1081"/>
      <c r="AY513" s="1044"/>
      <c r="AZ513" s="1045"/>
      <c r="BA513" s="1045"/>
      <c r="BB513" s="1045"/>
      <c r="BC513" s="1045"/>
      <c r="BD513" s="1045"/>
      <c r="BE513" s="1045"/>
      <c r="BF513" s="1045"/>
      <c r="BG513" s="1045"/>
      <c r="BH513" s="1045"/>
      <c r="BI513" s="1369"/>
      <c r="BJ513" s="1319"/>
      <c r="BK513" s="1319"/>
      <c r="BL513" s="1319"/>
      <c r="BM513" s="1319"/>
      <c r="BN513" s="1044"/>
      <c r="BO513" s="1045"/>
      <c r="BP513" s="1045"/>
      <c r="BQ513" s="1045"/>
      <c r="BR513" s="1045"/>
      <c r="BS513" s="1084"/>
      <c r="BT513" s="1045"/>
      <c r="BU513" s="1045"/>
      <c r="BV513" s="1045"/>
      <c r="BW513" s="1085"/>
      <c r="BX513" s="1084"/>
      <c r="BY513" s="1045"/>
      <c r="BZ513" s="1045"/>
      <c r="CA513" s="1045"/>
      <c r="CB513" s="1085"/>
      <c r="CC513" s="1086"/>
      <c r="CD513" s="1327"/>
      <c r="CE513" s="1328"/>
      <c r="CF513" s="1328"/>
      <c r="CG513" s="1328"/>
      <c r="CH513" s="1389"/>
      <c r="CI513" s="1369"/>
      <c r="CJ513" s="1319"/>
      <c r="CK513" s="1319"/>
      <c r="CL513" s="1319"/>
      <c r="CM513" s="1320"/>
      <c r="CN513" s="1369"/>
      <c r="CO513" s="1319"/>
      <c r="CP513" s="1319"/>
      <c r="CQ513" s="1319"/>
      <c r="CR513" s="1320"/>
      <c r="CS513" s="1369"/>
      <c r="CT513" s="1319"/>
      <c r="CU513" s="1319"/>
      <c r="CV513" s="1319"/>
      <c r="CW513" s="1320"/>
      <c r="CX513" s="1369"/>
      <c r="CY513" s="1319"/>
      <c r="CZ513" s="1319"/>
      <c r="DA513" s="1319"/>
      <c r="DB513" s="1320"/>
      <c r="DC513" s="1319"/>
      <c r="DD513" s="1319"/>
      <c r="DE513" s="1319"/>
      <c r="DF513" s="1319"/>
      <c r="DG513" s="1320"/>
      <c r="DH513" s="1369"/>
      <c r="DI513" s="1319"/>
      <c r="DJ513" s="1319"/>
      <c r="DK513" s="1319"/>
      <c r="DL513" s="1320"/>
      <c r="DM513" s="1743"/>
      <c r="DN513" s="1744"/>
      <c r="DO513" s="1744"/>
      <c r="DP513" s="1745"/>
      <c r="DQ513" s="1744"/>
      <c r="DR513" s="1744"/>
      <c r="DS513" s="1744"/>
      <c r="DT513" s="1745"/>
      <c r="DU513" s="1328"/>
      <c r="DV513" s="1664"/>
      <c r="DW513" s="1746"/>
    </row>
    <row r="514" spans="1:127" s="382" customFormat="1" ht="15.75" customHeight="1">
      <c r="A514" s="1066" t="s">
        <v>1213</v>
      </c>
      <c r="B514" s="1026">
        <v>505</v>
      </c>
      <c r="C514" s="987"/>
      <c r="D514" s="987"/>
      <c r="E514" s="987"/>
      <c r="F514" s="987"/>
      <c r="G514" s="987"/>
      <c r="H514" s="987"/>
      <c r="I514" s="987"/>
      <c r="J514" s="987"/>
      <c r="K514" s="987"/>
      <c r="L514" s="987"/>
      <c r="M514" s="1026"/>
      <c r="N514" s="987"/>
      <c r="O514" s="987"/>
      <c r="P514" s="987"/>
      <c r="Q514" s="987"/>
      <c r="R514" s="987"/>
      <c r="S514" s="987"/>
      <c r="T514" s="988"/>
      <c r="U514" s="1067" t="s">
        <v>1544</v>
      </c>
      <c r="V514" s="1068" t="s">
        <v>3871</v>
      </c>
      <c r="W514" s="1068" t="s">
        <v>2231</v>
      </c>
      <c r="X514" s="1069" t="s">
        <v>3897</v>
      </c>
      <c r="Y514" s="1070" t="s">
        <v>3898</v>
      </c>
      <c r="Z514" s="1071" t="s">
        <v>3899</v>
      </c>
      <c r="AA514" s="1072" t="s">
        <v>2260</v>
      </c>
      <c r="AB514" s="1073" t="s">
        <v>2260</v>
      </c>
      <c r="AC514" s="1073" t="s">
        <v>2260</v>
      </c>
      <c r="AD514" s="1073">
        <v>1</v>
      </c>
      <c r="AE514" s="1073" t="s">
        <v>2260</v>
      </c>
      <c r="AF514" s="1073" t="s">
        <v>2260</v>
      </c>
      <c r="AG514" s="1073" t="s">
        <v>2260</v>
      </c>
      <c r="AH514" s="1073" t="s">
        <v>2260</v>
      </c>
      <c r="AI514" s="1074">
        <f t="shared" si="7"/>
        <v>1</v>
      </c>
      <c r="AJ514" s="1075" t="s">
        <v>1852</v>
      </c>
      <c r="AK514" s="1075" t="s">
        <v>1826</v>
      </c>
      <c r="AL514" s="1075" t="s">
        <v>1827</v>
      </c>
      <c r="AM514" s="1076" t="s">
        <v>2408</v>
      </c>
      <c r="AN514" s="987" t="s">
        <v>1857</v>
      </c>
      <c r="AO514" s="987" t="s">
        <v>3900</v>
      </c>
      <c r="AP514" s="1243">
        <v>2</v>
      </c>
      <c r="AQ514" s="1045" t="s">
        <v>1838</v>
      </c>
      <c r="AR514" s="1078" t="s">
        <v>2260</v>
      </c>
      <c r="AS514" s="1079"/>
      <c r="AT514" s="1069"/>
      <c r="AU514" s="1069"/>
      <c r="AV514" s="1069"/>
      <c r="AW514" s="1080"/>
      <c r="AX514" s="1081"/>
      <c r="AY514" s="1044"/>
      <c r="AZ514" s="1045"/>
      <c r="BA514" s="1045"/>
      <c r="BB514" s="1045"/>
      <c r="BC514" s="1045"/>
      <c r="BD514" s="1045"/>
      <c r="BE514" s="1045"/>
      <c r="BF514" s="1045"/>
      <c r="BG514" s="1045"/>
      <c r="BH514" s="1045"/>
      <c r="BI514" s="1369"/>
      <c r="BJ514" s="1319"/>
      <c r="BK514" s="1319"/>
      <c r="BL514" s="1319"/>
      <c r="BM514" s="1319"/>
      <c r="BN514" s="1044"/>
      <c r="BO514" s="1045"/>
      <c r="BP514" s="1045"/>
      <c r="BQ514" s="1045"/>
      <c r="BR514" s="1045"/>
      <c r="BS514" s="1084"/>
      <c r="BT514" s="1045"/>
      <c r="BU514" s="1045"/>
      <c r="BV514" s="1045"/>
      <c r="BW514" s="1085"/>
      <c r="BX514" s="1084"/>
      <c r="BY514" s="1045"/>
      <c r="BZ514" s="1045"/>
      <c r="CA514" s="1045"/>
      <c r="CB514" s="1085"/>
      <c r="CC514" s="1086"/>
      <c r="CD514" s="1327"/>
      <c r="CE514" s="1328"/>
      <c r="CF514" s="1328"/>
      <c r="CG514" s="1328"/>
      <c r="CH514" s="1389"/>
      <c r="CI514" s="1369"/>
      <c r="CJ514" s="1319"/>
      <c r="CK514" s="1319"/>
      <c r="CL514" s="1319"/>
      <c r="CM514" s="1320"/>
      <c r="CN514" s="1369"/>
      <c r="CO514" s="1319"/>
      <c r="CP514" s="1319"/>
      <c r="CQ514" s="1319"/>
      <c r="CR514" s="1320"/>
      <c r="CS514" s="1369"/>
      <c r="CT514" s="1319"/>
      <c r="CU514" s="1319"/>
      <c r="CV514" s="1319"/>
      <c r="CW514" s="1320"/>
      <c r="CX514" s="1369"/>
      <c r="CY514" s="1319"/>
      <c r="CZ514" s="1319"/>
      <c r="DA514" s="1319"/>
      <c r="DB514" s="1320"/>
      <c r="DC514" s="1319"/>
      <c r="DD514" s="1319"/>
      <c r="DE514" s="1319"/>
      <c r="DF514" s="1319"/>
      <c r="DG514" s="1320"/>
      <c r="DH514" s="1369"/>
      <c r="DI514" s="1319"/>
      <c r="DJ514" s="1319"/>
      <c r="DK514" s="1319"/>
      <c r="DL514" s="1320"/>
      <c r="DM514" s="1743"/>
      <c r="DN514" s="1744"/>
      <c r="DO514" s="1744"/>
      <c r="DP514" s="1745"/>
      <c r="DQ514" s="1744"/>
      <c r="DR514" s="1744"/>
      <c r="DS514" s="1744"/>
      <c r="DT514" s="1745"/>
      <c r="DU514" s="1328"/>
      <c r="DV514" s="1664"/>
      <c r="DW514" s="1746"/>
    </row>
    <row r="515" spans="1:127" s="382" customFormat="1" ht="15.75" customHeight="1">
      <c r="A515" s="1066" t="s">
        <v>1213</v>
      </c>
      <c r="B515" s="1026">
        <v>506</v>
      </c>
      <c r="C515" s="987"/>
      <c r="D515" s="987"/>
      <c r="E515" s="987"/>
      <c r="F515" s="987"/>
      <c r="G515" s="987"/>
      <c r="H515" s="987"/>
      <c r="I515" s="987"/>
      <c r="J515" s="987"/>
      <c r="K515" s="987"/>
      <c r="L515" s="987"/>
      <c r="M515" s="1026"/>
      <c r="N515" s="987"/>
      <c r="O515" s="987"/>
      <c r="P515" s="987"/>
      <c r="Q515" s="987"/>
      <c r="R515" s="987"/>
      <c r="S515" s="987"/>
      <c r="T515" s="988"/>
      <c r="U515" s="1067" t="s">
        <v>1789</v>
      </c>
      <c r="V515" s="1068" t="s">
        <v>3902</v>
      </c>
      <c r="W515" s="1068" t="s">
        <v>2231</v>
      </c>
      <c r="X515" s="1069" t="s">
        <v>3903</v>
      </c>
      <c r="Y515" s="1070" t="s">
        <v>2251</v>
      </c>
      <c r="Z515" s="1071" t="s">
        <v>3819</v>
      </c>
      <c r="AA515" s="1072" t="s">
        <v>2260</v>
      </c>
      <c r="AB515" s="1073" t="s">
        <v>2260</v>
      </c>
      <c r="AC515" s="1073" t="s">
        <v>2260</v>
      </c>
      <c r="AD515" s="1073" t="s">
        <v>2260</v>
      </c>
      <c r="AE515" s="1073">
        <v>1</v>
      </c>
      <c r="AF515" s="1073" t="s">
        <v>2260</v>
      </c>
      <c r="AG515" s="1073" t="s">
        <v>2260</v>
      </c>
      <c r="AH515" s="1073" t="s">
        <v>2260</v>
      </c>
      <c r="AI515" s="1074">
        <f t="shared" si="7"/>
        <v>1</v>
      </c>
      <c r="AJ515" s="1075" t="s">
        <v>1852</v>
      </c>
      <c r="AK515" s="1075" t="s">
        <v>1826</v>
      </c>
      <c r="AL515" s="1075" t="s">
        <v>1827</v>
      </c>
      <c r="AM515" s="1076" t="s">
        <v>1888</v>
      </c>
      <c r="AN515" s="987" t="s">
        <v>1897</v>
      </c>
      <c r="AO515" s="987" t="s">
        <v>2337</v>
      </c>
      <c r="AP515" s="1243">
        <v>2</v>
      </c>
      <c r="AQ515" s="1045" t="s">
        <v>1828</v>
      </c>
      <c r="AR515" s="1078" t="s">
        <v>2251</v>
      </c>
      <c r="AS515" s="1079"/>
      <c r="AT515" s="1069"/>
      <c r="AU515" s="1069"/>
      <c r="AV515" s="1069"/>
      <c r="AW515" s="1080"/>
      <c r="AX515" s="1081"/>
      <c r="AY515" s="1044"/>
      <c r="AZ515" s="1045"/>
      <c r="BA515" s="1045"/>
      <c r="BB515" s="1045"/>
      <c r="BC515" s="1045"/>
      <c r="BD515" s="1045"/>
      <c r="BE515" s="1045"/>
      <c r="BF515" s="1045"/>
      <c r="BG515" s="1045"/>
      <c r="BH515" s="1045"/>
      <c r="BI515" s="1044" t="s">
        <v>2260</v>
      </c>
      <c r="BJ515" s="1045" t="s">
        <v>2260</v>
      </c>
      <c r="BK515" s="1045" t="s">
        <v>2260</v>
      </c>
      <c r="BL515" s="1045" t="s">
        <v>2260</v>
      </c>
      <c r="BM515" s="1045" t="s">
        <v>2260</v>
      </c>
      <c r="BN515" s="1044"/>
      <c r="BO515" s="1045"/>
      <c r="BP515" s="1045"/>
      <c r="BQ515" s="1045"/>
      <c r="BR515" s="1045"/>
      <c r="BS515" s="1084"/>
      <c r="BT515" s="1045"/>
      <c r="BU515" s="1045"/>
      <c r="BV515" s="1045"/>
      <c r="BW515" s="1085"/>
      <c r="BX515" s="1084"/>
      <c r="BY515" s="1045"/>
      <c r="BZ515" s="1045"/>
      <c r="CA515" s="1045"/>
      <c r="CB515" s="1085"/>
      <c r="CC515" s="1086"/>
      <c r="CD515" s="1087" t="s">
        <v>210</v>
      </c>
      <c r="CE515" s="1088" t="s">
        <v>210</v>
      </c>
      <c r="CF515" s="1088" t="s">
        <v>210</v>
      </c>
      <c r="CG515" s="1088" t="s">
        <v>210</v>
      </c>
      <c r="CH515" s="1089" t="s">
        <v>210</v>
      </c>
      <c r="CI515" s="1044" t="s">
        <v>2260</v>
      </c>
      <c r="CJ515" s="1045" t="s">
        <v>2260</v>
      </c>
      <c r="CK515" s="1045" t="s">
        <v>2260</v>
      </c>
      <c r="CL515" s="1045" t="s">
        <v>2260</v>
      </c>
      <c r="CM515" s="1086" t="s">
        <v>2260</v>
      </c>
      <c r="CN515" s="1044" t="s">
        <v>2260</v>
      </c>
      <c r="CO515" s="1045" t="s">
        <v>2260</v>
      </c>
      <c r="CP515" s="1045" t="s">
        <v>2260</v>
      </c>
      <c r="CQ515" s="1045" t="s">
        <v>2260</v>
      </c>
      <c r="CR515" s="1086" t="s">
        <v>2260</v>
      </c>
      <c r="CS515" s="1044" t="s">
        <v>2260</v>
      </c>
      <c r="CT515" s="1045" t="s">
        <v>2260</v>
      </c>
      <c r="CU515" s="1045" t="s">
        <v>2260</v>
      </c>
      <c r="CV515" s="1045" t="s">
        <v>2260</v>
      </c>
      <c r="CW515" s="1086" t="s">
        <v>2260</v>
      </c>
      <c r="CX515" s="1044" t="s">
        <v>2260</v>
      </c>
      <c r="CY515" s="1045" t="s">
        <v>2260</v>
      </c>
      <c r="CZ515" s="1045" t="s">
        <v>2260</v>
      </c>
      <c r="DA515" s="1045" t="s">
        <v>2260</v>
      </c>
      <c r="DB515" s="1086" t="s">
        <v>2260</v>
      </c>
      <c r="DC515" s="1045" t="s">
        <v>2260</v>
      </c>
      <c r="DD515" s="1045" t="s">
        <v>2260</v>
      </c>
      <c r="DE515" s="1045" t="s">
        <v>2260</v>
      </c>
      <c r="DF515" s="1045" t="s">
        <v>2260</v>
      </c>
      <c r="DG515" s="1086" t="s">
        <v>2260</v>
      </c>
      <c r="DH515" s="1044" t="s">
        <v>2260</v>
      </c>
      <c r="DI515" s="1045" t="s">
        <v>2260</v>
      </c>
      <c r="DJ515" s="1045" t="s">
        <v>2260</v>
      </c>
      <c r="DK515" s="1045" t="s">
        <v>2260</v>
      </c>
      <c r="DL515" s="1086" t="s">
        <v>2260</v>
      </c>
      <c r="DM515" s="1090" t="s">
        <v>2260</v>
      </c>
      <c r="DN515" s="1091" t="s">
        <v>2260</v>
      </c>
      <c r="DO515" s="1091" t="s">
        <v>2260</v>
      </c>
      <c r="DP515" s="1092" t="s">
        <v>2260</v>
      </c>
      <c r="DQ515" s="1091" t="s">
        <v>2260</v>
      </c>
      <c r="DR515" s="1091" t="s">
        <v>2260</v>
      </c>
      <c r="DS515" s="1091" t="s">
        <v>2260</v>
      </c>
      <c r="DT515" s="1092" t="s">
        <v>2260</v>
      </c>
      <c r="DU515" s="1088" t="s">
        <v>2260</v>
      </c>
      <c r="DV515" s="1093">
        <v>1</v>
      </c>
      <c r="DW515" s="1094" t="s">
        <v>2260</v>
      </c>
    </row>
    <row r="516" spans="1:127" s="382" customFormat="1" ht="15.75" customHeight="1">
      <c r="A516" s="1066" t="s">
        <v>1213</v>
      </c>
      <c r="B516" s="1026">
        <v>507</v>
      </c>
      <c r="C516" s="987"/>
      <c r="D516" s="987"/>
      <c r="E516" s="987"/>
      <c r="F516" s="987"/>
      <c r="G516" s="987"/>
      <c r="H516" s="987"/>
      <c r="I516" s="987"/>
      <c r="J516" s="987"/>
      <c r="K516" s="987"/>
      <c r="L516" s="987"/>
      <c r="M516" s="1026"/>
      <c r="N516" s="987"/>
      <c r="O516" s="987"/>
      <c r="P516" s="987"/>
      <c r="Q516" s="987"/>
      <c r="R516" s="987"/>
      <c r="S516" s="987"/>
      <c r="T516" s="988"/>
      <c r="U516" s="1067" t="s">
        <v>1772</v>
      </c>
      <c r="V516" s="1068" t="s">
        <v>3902</v>
      </c>
      <c r="W516" s="1068" t="s">
        <v>2231</v>
      </c>
      <c r="X516" s="1069" t="s">
        <v>3904</v>
      </c>
      <c r="Y516" s="1070" t="s">
        <v>2254</v>
      </c>
      <c r="Z516" s="1071" t="s">
        <v>3819</v>
      </c>
      <c r="AA516" s="1072" t="s">
        <v>2260</v>
      </c>
      <c r="AB516" s="1073">
        <v>0.23</v>
      </c>
      <c r="AC516" s="1073">
        <v>0.77</v>
      </c>
      <c r="AD516" s="1073" t="s">
        <v>2260</v>
      </c>
      <c r="AE516" s="1073" t="s">
        <v>2260</v>
      </c>
      <c r="AF516" s="1073" t="s">
        <v>2260</v>
      </c>
      <c r="AG516" s="1073" t="s">
        <v>2260</v>
      </c>
      <c r="AH516" s="1073" t="s">
        <v>2260</v>
      </c>
      <c r="AI516" s="1074">
        <f t="shared" si="7"/>
        <v>1</v>
      </c>
      <c r="AJ516" s="1075" t="s">
        <v>1852</v>
      </c>
      <c r="AK516" s="1075" t="s">
        <v>1826</v>
      </c>
      <c r="AL516" s="1075" t="s">
        <v>1827</v>
      </c>
      <c r="AM516" s="1076" t="s">
        <v>1891</v>
      </c>
      <c r="AN516" s="987" t="s">
        <v>1897</v>
      </c>
      <c r="AO516" s="987" t="s">
        <v>470</v>
      </c>
      <c r="AP516" s="1243">
        <v>2</v>
      </c>
      <c r="AQ516" s="1045" t="s">
        <v>1828</v>
      </c>
      <c r="AR516" s="1078" t="s">
        <v>2254</v>
      </c>
      <c r="AS516" s="1079"/>
      <c r="AT516" s="1069"/>
      <c r="AU516" s="1069"/>
      <c r="AV516" s="1069"/>
      <c r="AW516" s="1080"/>
      <c r="AX516" s="1081"/>
      <c r="AY516" s="1044"/>
      <c r="AZ516" s="1045"/>
      <c r="BA516" s="1045"/>
      <c r="BB516" s="1045"/>
      <c r="BC516" s="1045"/>
      <c r="BD516" s="1045"/>
      <c r="BE516" s="1045"/>
      <c r="BF516" s="1045"/>
      <c r="BG516" s="1045"/>
      <c r="BH516" s="1045"/>
      <c r="BI516" s="1044" t="s">
        <v>2260</v>
      </c>
      <c r="BJ516" s="1045" t="s">
        <v>2260</v>
      </c>
      <c r="BK516" s="1045" t="s">
        <v>2260</v>
      </c>
      <c r="BL516" s="1045" t="s">
        <v>2260</v>
      </c>
      <c r="BM516" s="1045" t="s">
        <v>2260</v>
      </c>
      <c r="BN516" s="1044"/>
      <c r="BO516" s="1045"/>
      <c r="BP516" s="1045"/>
      <c r="BQ516" s="1045"/>
      <c r="BR516" s="1045"/>
      <c r="BS516" s="1084"/>
      <c r="BT516" s="1045"/>
      <c r="BU516" s="1045"/>
      <c r="BV516" s="1045"/>
      <c r="BW516" s="1085"/>
      <c r="BX516" s="1084"/>
      <c r="BY516" s="1045"/>
      <c r="BZ516" s="1045"/>
      <c r="CA516" s="1045"/>
      <c r="CB516" s="1085"/>
      <c r="CC516" s="1086"/>
      <c r="CD516" s="1087" t="s">
        <v>210</v>
      </c>
      <c r="CE516" s="1088" t="s">
        <v>210</v>
      </c>
      <c r="CF516" s="1088" t="s">
        <v>210</v>
      </c>
      <c r="CG516" s="1088" t="s">
        <v>210</v>
      </c>
      <c r="CH516" s="1089" t="s">
        <v>210</v>
      </c>
      <c r="CI516" s="1044" t="s">
        <v>2260</v>
      </c>
      <c r="CJ516" s="1045" t="s">
        <v>2260</v>
      </c>
      <c r="CK516" s="1045" t="s">
        <v>2260</v>
      </c>
      <c r="CL516" s="1045" t="s">
        <v>2260</v>
      </c>
      <c r="CM516" s="1086" t="s">
        <v>2260</v>
      </c>
      <c r="CN516" s="1044" t="s">
        <v>2260</v>
      </c>
      <c r="CO516" s="1045" t="s">
        <v>2260</v>
      </c>
      <c r="CP516" s="1045" t="s">
        <v>2260</v>
      </c>
      <c r="CQ516" s="1045" t="s">
        <v>2260</v>
      </c>
      <c r="CR516" s="1086" t="s">
        <v>2260</v>
      </c>
      <c r="CS516" s="1044" t="s">
        <v>2260</v>
      </c>
      <c r="CT516" s="1045" t="s">
        <v>2260</v>
      </c>
      <c r="CU516" s="1045" t="s">
        <v>2260</v>
      </c>
      <c r="CV516" s="1045" t="s">
        <v>2260</v>
      </c>
      <c r="CW516" s="1086" t="s">
        <v>2260</v>
      </c>
      <c r="CX516" s="1044" t="s">
        <v>2260</v>
      </c>
      <c r="CY516" s="1045" t="s">
        <v>2260</v>
      </c>
      <c r="CZ516" s="1045" t="s">
        <v>2260</v>
      </c>
      <c r="DA516" s="1045" t="s">
        <v>2260</v>
      </c>
      <c r="DB516" s="1086" t="s">
        <v>2260</v>
      </c>
      <c r="DC516" s="1045" t="s">
        <v>2260</v>
      </c>
      <c r="DD516" s="1045" t="s">
        <v>2260</v>
      </c>
      <c r="DE516" s="1045" t="s">
        <v>2260</v>
      </c>
      <c r="DF516" s="1045" t="s">
        <v>2260</v>
      </c>
      <c r="DG516" s="1086" t="s">
        <v>2260</v>
      </c>
      <c r="DH516" s="1044" t="s">
        <v>2260</v>
      </c>
      <c r="DI516" s="1045" t="s">
        <v>2260</v>
      </c>
      <c r="DJ516" s="1045" t="s">
        <v>2260</v>
      </c>
      <c r="DK516" s="1045" t="s">
        <v>2260</v>
      </c>
      <c r="DL516" s="1086" t="s">
        <v>2260</v>
      </c>
      <c r="DM516" s="1090" t="s">
        <v>2260</v>
      </c>
      <c r="DN516" s="1091" t="s">
        <v>2260</v>
      </c>
      <c r="DO516" s="1091" t="s">
        <v>2260</v>
      </c>
      <c r="DP516" s="1092" t="s">
        <v>2260</v>
      </c>
      <c r="DQ516" s="1091" t="s">
        <v>2260</v>
      </c>
      <c r="DR516" s="1091" t="s">
        <v>2260</v>
      </c>
      <c r="DS516" s="1091" t="s">
        <v>2260</v>
      </c>
      <c r="DT516" s="1092" t="s">
        <v>2260</v>
      </c>
      <c r="DU516" s="1088" t="s">
        <v>2260</v>
      </c>
      <c r="DV516" s="1093">
        <v>1</v>
      </c>
      <c r="DW516" s="1094" t="s">
        <v>2260</v>
      </c>
    </row>
    <row r="517" spans="1:127" s="382" customFormat="1" ht="15.75" customHeight="1">
      <c r="A517" s="1066" t="s">
        <v>1213</v>
      </c>
      <c r="B517" s="1026">
        <v>508</v>
      </c>
      <c r="C517" s="987"/>
      <c r="D517" s="987"/>
      <c r="E517" s="987"/>
      <c r="F517" s="987"/>
      <c r="G517" s="987"/>
      <c r="H517" s="987"/>
      <c r="I517" s="987"/>
      <c r="J517" s="987"/>
      <c r="K517" s="987"/>
      <c r="L517" s="987"/>
      <c r="M517" s="1026"/>
      <c r="N517" s="987"/>
      <c r="O517" s="987"/>
      <c r="P517" s="987"/>
      <c r="Q517" s="987"/>
      <c r="R517" s="987"/>
      <c r="S517" s="987"/>
      <c r="T517" s="988"/>
      <c r="U517" s="1067" t="s">
        <v>1268</v>
      </c>
      <c r="V517" s="1068" t="s">
        <v>3902</v>
      </c>
      <c r="W517" s="1068" t="s">
        <v>2231</v>
      </c>
      <c r="X517" s="1069" t="s">
        <v>3905</v>
      </c>
      <c r="Y517" s="1070" t="s">
        <v>755</v>
      </c>
      <c r="Z517" s="1071" t="s">
        <v>3906</v>
      </c>
      <c r="AA517" s="1072" t="s">
        <v>2260</v>
      </c>
      <c r="AB517" s="1073" t="s">
        <v>2260</v>
      </c>
      <c r="AC517" s="1073" t="s">
        <v>2260</v>
      </c>
      <c r="AD517" s="1073" t="s">
        <v>2260</v>
      </c>
      <c r="AE517" s="1073">
        <v>1</v>
      </c>
      <c r="AF517" s="1073" t="s">
        <v>2260</v>
      </c>
      <c r="AG517" s="1073" t="s">
        <v>2260</v>
      </c>
      <c r="AH517" s="1073" t="s">
        <v>2260</v>
      </c>
      <c r="AI517" s="1074">
        <f t="shared" si="7"/>
        <v>1</v>
      </c>
      <c r="AJ517" s="1075" t="s">
        <v>1825</v>
      </c>
      <c r="AK517" s="1075" t="s">
        <v>2260</v>
      </c>
      <c r="AL517" s="1075" t="s">
        <v>2260</v>
      </c>
      <c r="AM517" s="1076" t="s">
        <v>2396</v>
      </c>
      <c r="AN517" s="987" t="s">
        <v>321</v>
      </c>
      <c r="AO517" s="987" t="s">
        <v>4424</v>
      </c>
      <c r="AP517" s="1276">
        <v>1</v>
      </c>
      <c r="AQ517" s="1045" t="s">
        <v>1828</v>
      </c>
      <c r="AR517" s="1078" t="s">
        <v>755</v>
      </c>
      <c r="AS517" s="1079"/>
      <c r="AT517" s="1069"/>
      <c r="AU517" s="1069"/>
      <c r="AV517" s="1069"/>
      <c r="AW517" s="1080"/>
      <c r="AX517" s="1081"/>
      <c r="AY517" s="1044"/>
      <c r="AZ517" s="1045"/>
      <c r="BA517" s="1045"/>
      <c r="BB517" s="1045"/>
      <c r="BC517" s="1045"/>
      <c r="BD517" s="1045"/>
      <c r="BE517" s="1045"/>
      <c r="BF517" s="1045"/>
      <c r="BG517" s="1045"/>
      <c r="BH517" s="1045"/>
      <c r="BI517" s="1044" t="s">
        <v>4495</v>
      </c>
      <c r="BJ517" s="1045" t="s">
        <v>4496</v>
      </c>
      <c r="BK517" s="1045" t="s">
        <v>4452</v>
      </c>
      <c r="BL517" s="1045" t="s">
        <v>4497</v>
      </c>
      <c r="BM517" s="1045" t="s">
        <v>4446</v>
      </c>
      <c r="BN517" s="1044"/>
      <c r="BO517" s="1045"/>
      <c r="BP517" s="1045"/>
      <c r="BQ517" s="1045"/>
      <c r="BR517" s="1045"/>
      <c r="BS517" s="1084"/>
      <c r="BT517" s="1045"/>
      <c r="BU517" s="1045"/>
      <c r="BV517" s="1045"/>
      <c r="BW517" s="1085"/>
      <c r="BX517" s="1084"/>
      <c r="BY517" s="1045"/>
      <c r="BZ517" s="1045"/>
      <c r="CA517" s="1045"/>
      <c r="CB517" s="1085"/>
      <c r="CC517" s="1086"/>
      <c r="CD517" s="1087" t="s">
        <v>2260</v>
      </c>
      <c r="CE517" s="1088" t="s">
        <v>2260</v>
      </c>
      <c r="CF517" s="1088" t="s">
        <v>2260</v>
      </c>
      <c r="CG517" s="1088" t="s">
        <v>2260</v>
      </c>
      <c r="CH517" s="1089" t="s">
        <v>2260</v>
      </c>
      <c r="CI517" s="1044" t="s">
        <v>2260</v>
      </c>
      <c r="CJ517" s="1045" t="s">
        <v>2260</v>
      </c>
      <c r="CK517" s="1045" t="s">
        <v>2260</v>
      </c>
      <c r="CL517" s="1045" t="s">
        <v>2260</v>
      </c>
      <c r="CM517" s="1086" t="s">
        <v>2260</v>
      </c>
      <c r="CN517" s="1044" t="s">
        <v>2260</v>
      </c>
      <c r="CO517" s="1045" t="s">
        <v>2260</v>
      </c>
      <c r="CP517" s="1045" t="s">
        <v>2260</v>
      </c>
      <c r="CQ517" s="1045" t="s">
        <v>2260</v>
      </c>
      <c r="CR517" s="1086" t="s">
        <v>2260</v>
      </c>
      <c r="CS517" s="1044" t="s">
        <v>2260</v>
      </c>
      <c r="CT517" s="1045" t="s">
        <v>2260</v>
      </c>
      <c r="CU517" s="1045" t="s">
        <v>2260</v>
      </c>
      <c r="CV517" s="1045" t="s">
        <v>2260</v>
      </c>
      <c r="CW517" s="1086" t="s">
        <v>2260</v>
      </c>
      <c r="CX517" s="1044" t="s">
        <v>2260</v>
      </c>
      <c r="CY517" s="1045" t="s">
        <v>2260</v>
      </c>
      <c r="CZ517" s="1045" t="s">
        <v>2260</v>
      </c>
      <c r="DA517" s="1045" t="s">
        <v>2260</v>
      </c>
      <c r="DB517" s="1086" t="s">
        <v>2260</v>
      </c>
      <c r="DC517" s="1045" t="s">
        <v>2260</v>
      </c>
      <c r="DD517" s="1045" t="s">
        <v>2260</v>
      </c>
      <c r="DE517" s="1045" t="s">
        <v>2260</v>
      </c>
      <c r="DF517" s="1045" t="s">
        <v>2260</v>
      </c>
      <c r="DG517" s="1086" t="s">
        <v>2260</v>
      </c>
      <c r="DH517" s="1044" t="s">
        <v>2260</v>
      </c>
      <c r="DI517" s="1045" t="s">
        <v>2260</v>
      </c>
      <c r="DJ517" s="1045" t="s">
        <v>2260</v>
      </c>
      <c r="DK517" s="1045" t="s">
        <v>2260</v>
      </c>
      <c r="DL517" s="1086" t="s">
        <v>2260</v>
      </c>
      <c r="DM517" s="1090" t="s">
        <v>2260</v>
      </c>
      <c r="DN517" s="1091" t="s">
        <v>2260</v>
      </c>
      <c r="DO517" s="1091" t="s">
        <v>2260</v>
      </c>
      <c r="DP517" s="1092" t="s">
        <v>2260</v>
      </c>
      <c r="DQ517" s="1091" t="s">
        <v>2260</v>
      </c>
      <c r="DR517" s="1091" t="s">
        <v>2260</v>
      </c>
      <c r="DS517" s="1091" t="s">
        <v>2260</v>
      </c>
      <c r="DT517" s="1092" t="s">
        <v>2260</v>
      </c>
      <c r="DU517" s="1088" t="s">
        <v>173</v>
      </c>
      <c r="DV517" s="1093">
        <v>1</v>
      </c>
      <c r="DW517" s="1094" t="s">
        <v>2260</v>
      </c>
    </row>
    <row r="518" spans="1:127" s="382" customFormat="1" ht="15.75" customHeight="1">
      <c r="A518" s="1066" t="s">
        <v>1213</v>
      </c>
      <c r="B518" s="1026">
        <v>509</v>
      </c>
      <c r="C518" s="987"/>
      <c r="D518" s="987" t="s">
        <v>2381</v>
      </c>
      <c r="E518" s="987"/>
      <c r="F518" s="987"/>
      <c r="G518" s="987"/>
      <c r="H518" s="987"/>
      <c r="I518" s="987"/>
      <c r="J518" s="987"/>
      <c r="K518" s="987"/>
      <c r="L518" s="987"/>
      <c r="M518" s="1026"/>
      <c r="N518" s="987"/>
      <c r="O518" s="987"/>
      <c r="P518" s="987"/>
      <c r="Q518" s="987"/>
      <c r="R518" s="987"/>
      <c r="S518" s="987"/>
      <c r="T518" s="988"/>
      <c r="U518" s="1067" t="s">
        <v>1600</v>
      </c>
      <c r="V518" s="1068" t="s">
        <v>3902</v>
      </c>
      <c r="W518" s="1068" t="s">
        <v>2231</v>
      </c>
      <c r="X518" s="1069" t="s">
        <v>3908</v>
      </c>
      <c r="Y518" s="1070" t="s">
        <v>3909</v>
      </c>
      <c r="Z518" s="1071" t="s">
        <v>3910</v>
      </c>
      <c r="AA518" s="1072" t="s">
        <v>2260</v>
      </c>
      <c r="AB518" s="1073">
        <v>0.91</v>
      </c>
      <c r="AC518" s="1073">
        <v>0.09</v>
      </c>
      <c r="AD518" s="1073" t="s">
        <v>2260</v>
      </c>
      <c r="AE518" s="1073" t="s">
        <v>2260</v>
      </c>
      <c r="AF518" s="1073" t="s">
        <v>2260</v>
      </c>
      <c r="AG518" s="1073" t="s">
        <v>2260</v>
      </c>
      <c r="AH518" s="1073" t="s">
        <v>2260</v>
      </c>
      <c r="AI518" s="1074">
        <f t="shared" si="7"/>
        <v>1</v>
      </c>
      <c r="AJ518" s="1075" t="s">
        <v>1825</v>
      </c>
      <c r="AK518" s="1075" t="s">
        <v>2260</v>
      </c>
      <c r="AL518" s="1075" t="s">
        <v>2260</v>
      </c>
      <c r="AM518" s="1076" t="s">
        <v>3911</v>
      </c>
      <c r="AN518" s="987" t="s">
        <v>321</v>
      </c>
      <c r="AO518" s="987" t="s">
        <v>3912</v>
      </c>
      <c r="AP518" s="1243">
        <v>2</v>
      </c>
      <c r="AQ518" s="1045" t="s">
        <v>1838</v>
      </c>
      <c r="AR518" s="1078" t="s">
        <v>2260</v>
      </c>
      <c r="AS518" s="1079"/>
      <c r="AT518" s="1069"/>
      <c r="AU518" s="1069"/>
      <c r="AV518" s="1069"/>
      <c r="AW518" s="1080"/>
      <c r="AX518" s="1081"/>
      <c r="AY518" s="1044"/>
      <c r="AZ518" s="1045"/>
      <c r="BA518" s="1045"/>
      <c r="BB518" s="1045"/>
      <c r="BC518" s="1045"/>
      <c r="BD518" s="1045"/>
      <c r="BE518" s="1045"/>
      <c r="BF518" s="1045"/>
      <c r="BG518" s="1045"/>
      <c r="BH518" s="1045"/>
      <c r="BI518" s="1369"/>
      <c r="BJ518" s="1319"/>
      <c r="BK518" s="1319"/>
      <c r="BL518" s="1319"/>
      <c r="BM518" s="1319"/>
      <c r="BN518" s="1044"/>
      <c r="BO518" s="1045"/>
      <c r="BP518" s="1045"/>
      <c r="BQ518" s="1045"/>
      <c r="BR518" s="1045"/>
      <c r="BS518" s="1084"/>
      <c r="BT518" s="1045"/>
      <c r="BU518" s="1045"/>
      <c r="BV518" s="1045"/>
      <c r="BW518" s="1085"/>
      <c r="BX518" s="1084"/>
      <c r="BY518" s="1045"/>
      <c r="BZ518" s="1045"/>
      <c r="CA518" s="1045"/>
      <c r="CB518" s="1085"/>
      <c r="CC518" s="1086"/>
      <c r="CD518" s="1327"/>
      <c r="CE518" s="1328"/>
      <c r="CF518" s="1328"/>
      <c r="CG518" s="1328"/>
      <c r="CH518" s="1389"/>
      <c r="CI518" s="1369"/>
      <c r="CJ518" s="1319"/>
      <c r="CK518" s="1319"/>
      <c r="CL518" s="1319"/>
      <c r="CM518" s="1320"/>
      <c r="CN518" s="1369"/>
      <c r="CO518" s="1319"/>
      <c r="CP518" s="1319"/>
      <c r="CQ518" s="1319"/>
      <c r="CR518" s="1320"/>
      <c r="CS518" s="1369"/>
      <c r="CT518" s="1319"/>
      <c r="CU518" s="1319"/>
      <c r="CV518" s="1319"/>
      <c r="CW518" s="1320"/>
      <c r="CX518" s="1369"/>
      <c r="CY518" s="1319"/>
      <c r="CZ518" s="1319"/>
      <c r="DA518" s="1319"/>
      <c r="DB518" s="1320"/>
      <c r="DC518" s="1319"/>
      <c r="DD518" s="1319"/>
      <c r="DE518" s="1319"/>
      <c r="DF518" s="1319"/>
      <c r="DG518" s="1320"/>
      <c r="DH518" s="1369"/>
      <c r="DI518" s="1319"/>
      <c r="DJ518" s="1319"/>
      <c r="DK518" s="1319"/>
      <c r="DL518" s="1320"/>
      <c r="DM518" s="1743"/>
      <c r="DN518" s="1744"/>
      <c r="DO518" s="1744"/>
      <c r="DP518" s="1745"/>
      <c r="DQ518" s="1744"/>
      <c r="DR518" s="1744"/>
      <c r="DS518" s="1744"/>
      <c r="DT518" s="1745"/>
      <c r="DU518" s="1328"/>
      <c r="DV518" s="1664"/>
      <c r="DW518" s="1746"/>
    </row>
    <row r="519" spans="1:127" s="382" customFormat="1" ht="15.75" customHeight="1">
      <c r="A519" s="1066" t="s">
        <v>1213</v>
      </c>
      <c r="B519" s="1026">
        <v>510</v>
      </c>
      <c r="C519" s="987"/>
      <c r="D519" s="987"/>
      <c r="E519" s="987"/>
      <c r="F519" s="987"/>
      <c r="G519" s="987"/>
      <c r="H519" s="987"/>
      <c r="I519" s="987"/>
      <c r="J519" s="987"/>
      <c r="K519" s="987"/>
      <c r="L519" s="987"/>
      <c r="M519" s="1026"/>
      <c r="N519" s="987"/>
      <c r="O519" s="987"/>
      <c r="P519" s="987"/>
      <c r="Q519" s="987"/>
      <c r="R519" s="987"/>
      <c r="S519" s="987"/>
      <c r="T519" s="988"/>
      <c r="U519" s="1067" t="s">
        <v>1617</v>
      </c>
      <c r="V519" s="1068" t="s">
        <v>3902</v>
      </c>
      <c r="W519" s="1068" t="s">
        <v>2231</v>
      </c>
      <c r="X519" s="1069" t="s">
        <v>3913</v>
      </c>
      <c r="Y519" s="1070" t="s">
        <v>3914</v>
      </c>
      <c r="Z519" s="1071" t="s">
        <v>3915</v>
      </c>
      <c r="AA519" s="1072" t="s">
        <v>2260</v>
      </c>
      <c r="AB519" s="1073" t="s">
        <v>2260</v>
      </c>
      <c r="AC519" s="1073" t="s">
        <v>2260</v>
      </c>
      <c r="AD519" s="1073" t="s">
        <v>2260</v>
      </c>
      <c r="AE519" s="1073">
        <v>1</v>
      </c>
      <c r="AF519" s="1073" t="s">
        <v>2260</v>
      </c>
      <c r="AG519" s="1073" t="s">
        <v>2260</v>
      </c>
      <c r="AH519" s="1073" t="s">
        <v>2260</v>
      </c>
      <c r="AI519" s="1074">
        <f t="shared" si="7"/>
        <v>1</v>
      </c>
      <c r="AJ519" s="1075" t="s">
        <v>1825</v>
      </c>
      <c r="AK519" s="1075" t="s">
        <v>2260</v>
      </c>
      <c r="AL519" s="1075" t="s">
        <v>2260</v>
      </c>
      <c r="AM519" s="1076" t="s">
        <v>2396</v>
      </c>
      <c r="AN519" s="987" t="s">
        <v>2007</v>
      </c>
      <c r="AO519" s="987" t="s">
        <v>2316</v>
      </c>
      <c r="AP519" s="1243">
        <v>0</v>
      </c>
      <c r="AQ519" s="1045" t="s">
        <v>1828</v>
      </c>
      <c r="AR519" s="1078" t="s">
        <v>2260</v>
      </c>
      <c r="AS519" s="1079"/>
      <c r="AT519" s="1069"/>
      <c r="AU519" s="1069"/>
      <c r="AV519" s="1069"/>
      <c r="AW519" s="1080"/>
      <c r="AX519" s="1081"/>
      <c r="AY519" s="1044"/>
      <c r="AZ519" s="1045"/>
      <c r="BA519" s="1045"/>
      <c r="BB519" s="1045"/>
      <c r="BC519" s="1045"/>
      <c r="BD519" s="1045"/>
      <c r="BE519" s="1045"/>
      <c r="BF519" s="1045"/>
      <c r="BG519" s="1045"/>
      <c r="BH519" s="1045"/>
      <c r="BI519" s="1369"/>
      <c r="BJ519" s="1319"/>
      <c r="BK519" s="1319"/>
      <c r="BL519" s="1319"/>
      <c r="BM519" s="1319"/>
      <c r="BN519" s="1044"/>
      <c r="BO519" s="1045"/>
      <c r="BP519" s="1045"/>
      <c r="BQ519" s="1045"/>
      <c r="BR519" s="1045"/>
      <c r="BS519" s="1084"/>
      <c r="BT519" s="1045"/>
      <c r="BU519" s="1045"/>
      <c r="BV519" s="1045"/>
      <c r="BW519" s="1085"/>
      <c r="BX519" s="1084"/>
      <c r="BY519" s="1045"/>
      <c r="BZ519" s="1045"/>
      <c r="CA519" s="1045"/>
      <c r="CB519" s="1085"/>
      <c r="CC519" s="1086"/>
      <c r="CD519" s="1327"/>
      <c r="CE519" s="1328"/>
      <c r="CF519" s="1328"/>
      <c r="CG519" s="1328"/>
      <c r="CH519" s="1389"/>
      <c r="CI519" s="1369"/>
      <c r="CJ519" s="1319"/>
      <c r="CK519" s="1319"/>
      <c r="CL519" s="1319"/>
      <c r="CM519" s="1320"/>
      <c r="CN519" s="1369"/>
      <c r="CO519" s="1319"/>
      <c r="CP519" s="1319"/>
      <c r="CQ519" s="1319"/>
      <c r="CR519" s="1320"/>
      <c r="CS519" s="1369"/>
      <c r="CT519" s="1319"/>
      <c r="CU519" s="1319"/>
      <c r="CV519" s="1319"/>
      <c r="CW519" s="1320"/>
      <c r="CX519" s="1369"/>
      <c r="CY519" s="1319"/>
      <c r="CZ519" s="1319"/>
      <c r="DA519" s="1319"/>
      <c r="DB519" s="1320"/>
      <c r="DC519" s="1319"/>
      <c r="DD519" s="1319"/>
      <c r="DE519" s="1319"/>
      <c r="DF519" s="1319"/>
      <c r="DG519" s="1320"/>
      <c r="DH519" s="1369"/>
      <c r="DI519" s="1319"/>
      <c r="DJ519" s="1319"/>
      <c r="DK519" s="1319"/>
      <c r="DL519" s="1320"/>
      <c r="DM519" s="1743"/>
      <c r="DN519" s="1744"/>
      <c r="DO519" s="1744"/>
      <c r="DP519" s="1745"/>
      <c r="DQ519" s="1744"/>
      <c r="DR519" s="1744"/>
      <c r="DS519" s="1744"/>
      <c r="DT519" s="1745"/>
      <c r="DU519" s="1328"/>
      <c r="DV519" s="1664"/>
      <c r="DW519" s="1746"/>
    </row>
    <row r="520" spans="1:127" s="382" customFormat="1" ht="15.75" customHeight="1">
      <c r="A520" s="1066" t="s">
        <v>1213</v>
      </c>
      <c r="B520" s="1026">
        <v>511</v>
      </c>
      <c r="C520" s="987"/>
      <c r="D520" s="987"/>
      <c r="E520" s="987"/>
      <c r="F520" s="987"/>
      <c r="G520" s="987"/>
      <c r="H520" s="987"/>
      <c r="I520" s="987"/>
      <c r="J520" s="987"/>
      <c r="K520" s="987"/>
      <c r="L520" s="987"/>
      <c r="M520" s="1026"/>
      <c r="N520" s="987"/>
      <c r="O520" s="987"/>
      <c r="P520" s="987"/>
      <c r="Q520" s="987"/>
      <c r="R520" s="987"/>
      <c r="S520" s="987"/>
      <c r="T520" s="988"/>
      <c r="U520" s="1067" t="s">
        <v>1477</v>
      </c>
      <c r="V520" s="1068" t="s">
        <v>3916</v>
      </c>
      <c r="W520" s="1068" t="s">
        <v>2231</v>
      </c>
      <c r="X520" s="1069" t="s">
        <v>3917</v>
      </c>
      <c r="Y520" s="1070" t="s">
        <v>3918</v>
      </c>
      <c r="Z520" s="1071" t="s">
        <v>3919</v>
      </c>
      <c r="AA520" s="1072" t="s">
        <v>2260</v>
      </c>
      <c r="AB520" s="1073" t="s">
        <v>2260</v>
      </c>
      <c r="AC520" s="1073" t="s">
        <v>2260</v>
      </c>
      <c r="AD520" s="1073" t="s">
        <v>2260</v>
      </c>
      <c r="AE520" s="1073">
        <v>1</v>
      </c>
      <c r="AF520" s="1073" t="s">
        <v>2260</v>
      </c>
      <c r="AG520" s="1073" t="s">
        <v>2260</v>
      </c>
      <c r="AH520" s="1073" t="s">
        <v>2260</v>
      </c>
      <c r="AI520" s="1074">
        <f t="shared" si="7"/>
        <v>1</v>
      </c>
      <c r="AJ520" s="1075" t="s">
        <v>1852</v>
      </c>
      <c r="AK520" s="1075" t="s">
        <v>1826</v>
      </c>
      <c r="AL520" s="1075" t="s">
        <v>1827</v>
      </c>
      <c r="AM520" s="1076" t="s">
        <v>2396</v>
      </c>
      <c r="AN520" s="987" t="s">
        <v>1857</v>
      </c>
      <c r="AO520" s="987" t="s">
        <v>3920</v>
      </c>
      <c r="AP520" s="1243">
        <v>0</v>
      </c>
      <c r="AQ520" s="1045" t="s">
        <v>1828</v>
      </c>
      <c r="AR520" s="1078" t="s">
        <v>2260</v>
      </c>
      <c r="AS520" s="1079"/>
      <c r="AT520" s="1069"/>
      <c r="AU520" s="1069"/>
      <c r="AV520" s="1069"/>
      <c r="AW520" s="1080"/>
      <c r="AX520" s="1081"/>
      <c r="AY520" s="1044"/>
      <c r="AZ520" s="1045"/>
      <c r="BA520" s="1045"/>
      <c r="BB520" s="1045"/>
      <c r="BC520" s="1045"/>
      <c r="BD520" s="1045"/>
      <c r="BE520" s="1045"/>
      <c r="BF520" s="1045"/>
      <c r="BG520" s="1045"/>
      <c r="BH520" s="1045"/>
      <c r="BI520" s="1369"/>
      <c r="BJ520" s="1319"/>
      <c r="BK520" s="1319"/>
      <c r="BL520" s="1319"/>
      <c r="BM520" s="1319"/>
      <c r="BN520" s="1044"/>
      <c r="BO520" s="1045"/>
      <c r="BP520" s="1045"/>
      <c r="BQ520" s="1045"/>
      <c r="BR520" s="1045"/>
      <c r="BS520" s="1084"/>
      <c r="BT520" s="1045"/>
      <c r="BU520" s="1045"/>
      <c r="BV520" s="1045"/>
      <c r="BW520" s="1085"/>
      <c r="BX520" s="1084"/>
      <c r="BY520" s="1045"/>
      <c r="BZ520" s="1045"/>
      <c r="CA520" s="1045"/>
      <c r="CB520" s="1085"/>
      <c r="CC520" s="1086"/>
      <c r="CD520" s="1327"/>
      <c r="CE520" s="1328"/>
      <c r="CF520" s="1328"/>
      <c r="CG520" s="1328"/>
      <c r="CH520" s="1389"/>
      <c r="CI520" s="1369"/>
      <c r="CJ520" s="1319"/>
      <c r="CK520" s="1319"/>
      <c r="CL520" s="1319"/>
      <c r="CM520" s="1320"/>
      <c r="CN520" s="1369"/>
      <c r="CO520" s="1319"/>
      <c r="CP520" s="1319"/>
      <c r="CQ520" s="1319"/>
      <c r="CR520" s="1320"/>
      <c r="CS520" s="1369"/>
      <c r="CT520" s="1319"/>
      <c r="CU520" s="1319"/>
      <c r="CV520" s="1319"/>
      <c r="CW520" s="1320"/>
      <c r="CX520" s="1369"/>
      <c r="CY520" s="1319"/>
      <c r="CZ520" s="1319"/>
      <c r="DA520" s="1319"/>
      <c r="DB520" s="1320"/>
      <c r="DC520" s="1319"/>
      <c r="DD520" s="1319"/>
      <c r="DE520" s="1319"/>
      <c r="DF520" s="1319"/>
      <c r="DG520" s="1320"/>
      <c r="DH520" s="1369"/>
      <c r="DI520" s="1319"/>
      <c r="DJ520" s="1319"/>
      <c r="DK520" s="1319"/>
      <c r="DL520" s="1320"/>
      <c r="DM520" s="1743"/>
      <c r="DN520" s="1744"/>
      <c r="DO520" s="1744"/>
      <c r="DP520" s="1745"/>
      <c r="DQ520" s="1744"/>
      <c r="DR520" s="1744"/>
      <c r="DS520" s="1744"/>
      <c r="DT520" s="1745"/>
      <c r="DU520" s="1328"/>
      <c r="DV520" s="1664"/>
      <c r="DW520" s="1746"/>
    </row>
    <row r="521" spans="1:127" s="382" customFormat="1" ht="15.75" customHeight="1">
      <c r="A521" s="1066" t="s">
        <v>1213</v>
      </c>
      <c r="B521" s="1026">
        <v>512</v>
      </c>
      <c r="C521" s="987"/>
      <c r="D521" s="987"/>
      <c r="E521" s="987"/>
      <c r="F521" s="987"/>
      <c r="G521" s="987"/>
      <c r="H521" s="987"/>
      <c r="I521" s="987"/>
      <c r="J521" s="987"/>
      <c r="K521" s="987"/>
      <c r="L521" s="987"/>
      <c r="M521" s="1026"/>
      <c r="N521" s="987"/>
      <c r="O521" s="987"/>
      <c r="P521" s="987"/>
      <c r="Q521" s="987"/>
      <c r="R521" s="987"/>
      <c r="S521" s="987"/>
      <c r="T521" s="988"/>
      <c r="U521" s="1067" t="s">
        <v>1483</v>
      </c>
      <c r="V521" s="1068" t="s">
        <v>2260</v>
      </c>
      <c r="W521" s="1068" t="s">
        <v>2260</v>
      </c>
      <c r="X521" s="1069" t="s">
        <v>3921</v>
      </c>
      <c r="Y521" s="1070" t="s">
        <v>2890</v>
      </c>
      <c r="Z521" s="1071" t="s">
        <v>2260</v>
      </c>
      <c r="AA521" s="1072" t="s">
        <v>2260</v>
      </c>
      <c r="AB521" s="1073" t="s">
        <v>2260</v>
      </c>
      <c r="AC521" s="1073" t="s">
        <v>2260</v>
      </c>
      <c r="AD521" s="1073" t="s">
        <v>2260</v>
      </c>
      <c r="AE521" s="1073">
        <v>1</v>
      </c>
      <c r="AF521" s="1073" t="s">
        <v>2260</v>
      </c>
      <c r="AG521" s="1073" t="s">
        <v>2260</v>
      </c>
      <c r="AH521" s="1073" t="s">
        <v>2260</v>
      </c>
      <c r="AI521" s="1074">
        <f t="shared" si="7"/>
        <v>1</v>
      </c>
      <c r="AJ521" s="1075" t="s">
        <v>1852</v>
      </c>
      <c r="AK521" s="1075" t="s">
        <v>1826</v>
      </c>
      <c r="AL521" s="1075" t="s">
        <v>1827</v>
      </c>
      <c r="AM521" s="1076" t="s">
        <v>2396</v>
      </c>
      <c r="AN521" s="987"/>
      <c r="AO521" s="987"/>
      <c r="AP521" s="1244">
        <v>2</v>
      </c>
      <c r="AQ521" s="1045"/>
      <c r="AR521" s="1078" t="s">
        <v>2260</v>
      </c>
      <c r="AS521" s="1079"/>
      <c r="AT521" s="1069"/>
      <c r="AU521" s="1069"/>
      <c r="AV521" s="1069"/>
      <c r="AW521" s="1080"/>
      <c r="AX521" s="1081"/>
      <c r="AY521" s="1044"/>
      <c r="AZ521" s="1045"/>
      <c r="BA521" s="1045"/>
      <c r="BB521" s="1045"/>
      <c r="BC521" s="1045"/>
      <c r="BD521" s="1045"/>
      <c r="BE521" s="1045"/>
      <c r="BF521" s="1045"/>
      <c r="BG521" s="1045"/>
      <c r="BH521" s="1045"/>
      <c r="BI521" s="1369"/>
      <c r="BJ521" s="1319"/>
      <c r="BK521" s="1319"/>
      <c r="BL521" s="1319"/>
      <c r="BM521" s="1319"/>
      <c r="BN521" s="1044"/>
      <c r="BO521" s="1045"/>
      <c r="BP521" s="1045"/>
      <c r="BQ521" s="1045"/>
      <c r="BR521" s="1045"/>
      <c r="BS521" s="1084"/>
      <c r="BT521" s="1045"/>
      <c r="BU521" s="1045"/>
      <c r="BV521" s="1045"/>
      <c r="BW521" s="1085"/>
      <c r="BX521" s="1084"/>
      <c r="BY521" s="1045"/>
      <c r="BZ521" s="1045"/>
      <c r="CA521" s="1045"/>
      <c r="CB521" s="1085"/>
      <c r="CC521" s="1086"/>
      <c r="CD521" s="1327"/>
      <c r="CE521" s="1328"/>
      <c r="CF521" s="1328"/>
      <c r="CG521" s="1328"/>
      <c r="CH521" s="1389"/>
      <c r="CI521" s="1369"/>
      <c r="CJ521" s="1319"/>
      <c r="CK521" s="1319"/>
      <c r="CL521" s="1319"/>
      <c r="CM521" s="1320"/>
      <c r="CN521" s="1369"/>
      <c r="CO521" s="1319"/>
      <c r="CP521" s="1319"/>
      <c r="CQ521" s="1319"/>
      <c r="CR521" s="1320"/>
      <c r="CS521" s="1369"/>
      <c r="CT521" s="1319"/>
      <c r="CU521" s="1319"/>
      <c r="CV521" s="1319"/>
      <c r="CW521" s="1320"/>
      <c r="CX521" s="1369"/>
      <c r="CY521" s="1319"/>
      <c r="CZ521" s="1319"/>
      <c r="DA521" s="1319"/>
      <c r="DB521" s="1320"/>
      <c r="DC521" s="1319"/>
      <c r="DD521" s="1319"/>
      <c r="DE521" s="1319"/>
      <c r="DF521" s="1319"/>
      <c r="DG521" s="1320"/>
      <c r="DH521" s="1369"/>
      <c r="DI521" s="1319"/>
      <c r="DJ521" s="1319"/>
      <c r="DK521" s="1319"/>
      <c r="DL521" s="1320"/>
      <c r="DM521" s="1743"/>
      <c r="DN521" s="1744"/>
      <c r="DO521" s="1744"/>
      <c r="DP521" s="1745"/>
      <c r="DQ521" s="1744"/>
      <c r="DR521" s="1744"/>
      <c r="DS521" s="1744"/>
      <c r="DT521" s="1745"/>
      <c r="DU521" s="1328"/>
      <c r="DV521" s="1664"/>
      <c r="DW521" s="1746"/>
    </row>
    <row r="522" spans="1:127" s="382" customFormat="1" ht="15.75" customHeight="1">
      <c r="A522" s="1066" t="s">
        <v>1213</v>
      </c>
      <c r="B522" s="1026">
        <v>513</v>
      </c>
      <c r="C522" s="987"/>
      <c r="D522" s="987"/>
      <c r="E522" s="987"/>
      <c r="F522" s="987"/>
      <c r="G522" s="987"/>
      <c r="H522" s="987"/>
      <c r="I522" s="987"/>
      <c r="J522" s="987"/>
      <c r="K522" s="987"/>
      <c r="L522" s="987"/>
      <c r="M522" s="1026"/>
      <c r="N522" s="987"/>
      <c r="O522" s="987"/>
      <c r="P522" s="987"/>
      <c r="Q522" s="987"/>
      <c r="R522" s="987"/>
      <c r="S522" s="987"/>
      <c r="T522" s="988"/>
      <c r="U522" s="1067" t="s">
        <v>1489</v>
      </c>
      <c r="V522" s="1068" t="s">
        <v>3916</v>
      </c>
      <c r="W522" s="1068" t="s">
        <v>2231</v>
      </c>
      <c r="X522" s="1069" t="s">
        <v>3923</v>
      </c>
      <c r="Y522" s="1070" t="s">
        <v>3924</v>
      </c>
      <c r="Z522" s="1071" t="s">
        <v>3925</v>
      </c>
      <c r="AA522" s="1072" t="s">
        <v>2260</v>
      </c>
      <c r="AB522" s="1073">
        <v>0.5</v>
      </c>
      <c r="AC522" s="1073">
        <v>0.5</v>
      </c>
      <c r="AD522" s="1073" t="s">
        <v>2260</v>
      </c>
      <c r="AE522" s="1073" t="s">
        <v>2260</v>
      </c>
      <c r="AF522" s="1073" t="s">
        <v>2260</v>
      </c>
      <c r="AG522" s="1073" t="s">
        <v>2260</v>
      </c>
      <c r="AH522" s="1073" t="s">
        <v>2260</v>
      </c>
      <c r="AI522" s="1074">
        <f t="shared" ref="AI522:AI585" si="8">SUM(AA522:AH522)</f>
        <v>1</v>
      </c>
      <c r="AJ522" s="1075" t="s">
        <v>1835</v>
      </c>
      <c r="AK522" s="1075" t="s">
        <v>1826</v>
      </c>
      <c r="AL522" s="1075" t="s">
        <v>1827</v>
      </c>
      <c r="AM522" s="1076" t="s">
        <v>2892</v>
      </c>
      <c r="AN522" s="987" t="s">
        <v>1857</v>
      </c>
      <c r="AO522" s="987" t="s">
        <v>3926</v>
      </c>
      <c r="AP522" s="1243">
        <v>0</v>
      </c>
      <c r="AQ522" s="1045" t="s">
        <v>1828</v>
      </c>
      <c r="AR522" s="1078" t="s">
        <v>2260</v>
      </c>
      <c r="AS522" s="1079"/>
      <c r="AT522" s="1069"/>
      <c r="AU522" s="1069"/>
      <c r="AV522" s="1069"/>
      <c r="AW522" s="1080"/>
      <c r="AX522" s="1081"/>
      <c r="AY522" s="1044"/>
      <c r="AZ522" s="1045"/>
      <c r="BA522" s="1045"/>
      <c r="BB522" s="1045"/>
      <c r="BC522" s="1045"/>
      <c r="BD522" s="1045"/>
      <c r="BE522" s="1045"/>
      <c r="BF522" s="1045"/>
      <c r="BG522" s="1045"/>
      <c r="BH522" s="1045"/>
      <c r="BI522" s="1369"/>
      <c r="BJ522" s="1319"/>
      <c r="BK522" s="1319"/>
      <c r="BL522" s="1319"/>
      <c r="BM522" s="1319"/>
      <c r="BN522" s="1044"/>
      <c r="BO522" s="1045"/>
      <c r="BP522" s="1045"/>
      <c r="BQ522" s="1045"/>
      <c r="BR522" s="1045"/>
      <c r="BS522" s="1084"/>
      <c r="BT522" s="1045"/>
      <c r="BU522" s="1045"/>
      <c r="BV522" s="1045"/>
      <c r="BW522" s="1085"/>
      <c r="BX522" s="1084"/>
      <c r="BY522" s="1045"/>
      <c r="BZ522" s="1045"/>
      <c r="CA522" s="1045"/>
      <c r="CB522" s="1085"/>
      <c r="CC522" s="1086"/>
      <c r="CD522" s="1327"/>
      <c r="CE522" s="1328"/>
      <c r="CF522" s="1328"/>
      <c r="CG522" s="1328"/>
      <c r="CH522" s="1389"/>
      <c r="CI522" s="1369"/>
      <c r="CJ522" s="1319"/>
      <c r="CK522" s="1319"/>
      <c r="CL522" s="1319"/>
      <c r="CM522" s="1320"/>
      <c r="CN522" s="1369"/>
      <c r="CO522" s="1319"/>
      <c r="CP522" s="1319"/>
      <c r="CQ522" s="1319"/>
      <c r="CR522" s="1320"/>
      <c r="CS522" s="1369"/>
      <c r="CT522" s="1319"/>
      <c r="CU522" s="1319"/>
      <c r="CV522" s="1319"/>
      <c r="CW522" s="1320"/>
      <c r="CX522" s="1369"/>
      <c r="CY522" s="1319"/>
      <c r="CZ522" s="1319"/>
      <c r="DA522" s="1319"/>
      <c r="DB522" s="1320"/>
      <c r="DC522" s="1319"/>
      <c r="DD522" s="1319"/>
      <c r="DE522" s="1319"/>
      <c r="DF522" s="1319"/>
      <c r="DG522" s="1320"/>
      <c r="DH522" s="1369"/>
      <c r="DI522" s="1319"/>
      <c r="DJ522" s="1319"/>
      <c r="DK522" s="1319"/>
      <c r="DL522" s="1320"/>
      <c r="DM522" s="1743"/>
      <c r="DN522" s="1744"/>
      <c r="DO522" s="1744"/>
      <c r="DP522" s="1745"/>
      <c r="DQ522" s="1744"/>
      <c r="DR522" s="1744"/>
      <c r="DS522" s="1744"/>
      <c r="DT522" s="1745"/>
      <c r="DU522" s="1328"/>
      <c r="DV522" s="1664"/>
      <c r="DW522" s="1746"/>
    </row>
    <row r="523" spans="1:127" s="382" customFormat="1" ht="15.75" customHeight="1">
      <c r="A523" s="1066" t="s">
        <v>1213</v>
      </c>
      <c r="B523" s="1026">
        <v>514</v>
      </c>
      <c r="C523" s="987"/>
      <c r="D523" s="987"/>
      <c r="E523" s="987"/>
      <c r="F523" s="987"/>
      <c r="G523" s="987"/>
      <c r="H523" s="987"/>
      <c r="I523" s="987"/>
      <c r="J523" s="987"/>
      <c r="K523" s="987"/>
      <c r="L523" s="987"/>
      <c r="M523" s="1026"/>
      <c r="N523" s="987"/>
      <c r="O523" s="987"/>
      <c r="P523" s="987"/>
      <c r="Q523" s="987"/>
      <c r="R523" s="987"/>
      <c r="S523" s="987"/>
      <c r="T523" s="988"/>
      <c r="U523" s="1067" t="s">
        <v>1491</v>
      </c>
      <c r="V523" s="1068" t="s">
        <v>3916</v>
      </c>
      <c r="W523" s="1068" t="s">
        <v>2231</v>
      </c>
      <c r="X523" s="1069" t="s">
        <v>3927</v>
      </c>
      <c r="Y523" s="1070" t="s">
        <v>3928</v>
      </c>
      <c r="Z523" s="1071" t="s">
        <v>3929</v>
      </c>
      <c r="AA523" s="1072" t="s">
        <v>2260</v>
      </c>
      <c r="AB523" s="1073">
        <v>0.5</v>
      </c>
      <c r="AC523" s="1073">
        <v>0.5</v>
      </c>
      <c r="AD523" s="1073" t="s">
        <v>2260</v>
      </c>
      <c r="AE523" s="1073" t="s">
        <v>2260</v>
      </c>
      <c r="AF523" s="1073" t="s">
        <v>2260</v>
      </c>
      <c r="AG523" s="1073" t="s">
        <v>2260</v>
      </c>
      <c r="AH523" s="1073" t="s">
        <v>2260</v>
      </c>
      <c r="AI523" s="1074">
        <f t="shared" si="8"/>
        <v>1</v>
      </c>
      <c r="AJ523" s="1075" t="s">
        <v>1835</v>
      </c>
      <c r="AK523" s="1075" t="s">
        <v>1826</v>
      </c>
      <c r="AL523" s="1075" t="s">
        <v>1827</v>
      </c>
      <c r="AM523" s="1076" t="s">
        <v>2396</v>
      </c>
      <c r="AN523" s="987" t="s">
        <v>1857</v>
      </c>
      <c r="AO523" s="987" t="s">
        <v>3930</v>
      </c>
      <c r="AP523" s="1243">
        <v>0</v>
      </c>
      <c r="AQ523" s="1045" t="s">
        <v>1828</v>
      </c>
      <c r="AR523" s="1078" t="s">
        <v>2260</v>
      </c>
      <c r="AS523" s="1079"/>
      <c r="AT523" s="1069"/>
      <c r="AU523" s="1069"/>
      <c r="AV523" s="1069"/>
      <c r="AW523" s="1080"/>
      <c r="AX523" s="1081"/>
      <c r="AY523" s="1044"/>
      <c r="AZ523" s="1045"/>
      <c r="BA523" s="1045"/>
      <c r="BB523" s="1045"/>
      <c r="BC523" s="1045"/>
      <c r="BD523" s="1045"/>
      <c r="BE523" s="1045"/>
      <c r="BF523" s="1045"/>
      <c r="BG523" s="1045"/>
      <c r="BH523" s="1045"/>
      <c r="BI523" s="1369"/>
      <c r="BJ523" s="1319"/>
      <c r="BK523" s="1319"/>
      <c r="BL523" s="1319"/>
      <c r="BM523" s="1319"/>
      <c r="BN523" s="1044"/>
      <c r="BO523" s="1045"/>
      <c r="BP523" s="1045"/>
      <c r="BQ523" s="1045"/>
      <c r="BR523" s="1045"/>
      <c r="BS523" s="1084"/>
      <c r="BT523" s="1045"/>
      <c r="BU523" s="1045"/>
      <c r="BV523" s="1045"/>
      <c r="BW523" s="1085"/>
      <c r="BX523" s="1084"/>
      <c r="BY523" s="1045"/>
      <c r="BZ523" s="1045"/>
      <c r="CA523" s="1045"/>
      <c r="CB523" s="1085"/>
      <c r="CC523" s="1086"/>
      <c r="CD523" s="1327"/>
      <c r="CE523" s="1328"/>
      <c r="CF523" s="1328"/>
      <c r="CG523" s="1328"/>
      <c r="CH523" s="1389"/>
      <c r="CI523" s="1369"/>
      <c r="CJ523" s="1319"/>
      <c r="CK523" s="1319"/>
      <c r="CL523" s="1319"/>
      <c r="CM523" s="1320"/>
      <c r="CN523" s="1369"/>
      <c r="CO523" s="1319"/>
      <c r="CP523" s="1319"/>
      <c r="CQ523" s="1319"/>
      <c r="CR523" s="1320"/>
      <c r="CS523" s="1369"/>
      <c r="CT523" s="1319"/>
      <c r="CU523" s="1319"/>
      <c r="CV523" s="1319"/>
      <c r="CW523" s="1320"/>
      <c r="CX523" s="1369"/>
      <c r="CY523" s="1319"/>
      <c r="CZ523" s="1319"/>
      <c r="DA523" s="1319"/>
      <c r="DB523" s="1320"/>
      <c r="DC523" s="1319"/>
      <c r="DD523" s="1319"/>
      <c r="DE523" s="1319"/>
      <c r="DF523" s="1319"/>
      <c r="DG523" s="1320"/>
      <c r="DH523" s="1369"/>
      <c r="DI523" s="1319"/>
      <c r="DJ523" s="1319"/>
      <c r="DK523" s="1319"/>
      <c r="DL523" s="1320"/>
      <c r="DM523" s="1743"/>
      <c r="DN523" s="1744"/>
      <c r="DO523" s="1744"/>
      <c r="DP523" s="1745"/>
      <c r="DQ523" s="1744"/>
      <c r="DR523" s="1744"/>
      <c r="DS523" s="1744"/>
      <c r="DT523" s="1745"/>
      <c r="DU523" s="1328"/>
      <c r="DV523" s="1664"/>
      <c r="DW523" s="1746"/>
    </row>
    <row r="524" spans="1:127" s="382" customFormat="1" ht="15.75" customHeight="1">
      <c r="A524" s="1066" t="s">
        <v>1213</v>
      </c>
      <c r="B524" s="1026">
        <v>515</v>
      </c>
      <c r="C524" s="987"/>
      <c r="D524" s="987"/>
      <c r="E524" s="987"/>
      <c r="F524" s="987"/>
      <c r="G524" s="987"/>
      <c r="H524" s="987"/>
      <c r="I524" s="987"/>
      <c r="J524" s="987"/>
      <c r="K524" s="987"/>
      <c r="L524" s="987"/>
      <c r="M524" s="1026"/>
      <c r="N524" s="987"/>
      <c r="O524" s="987"/>
      <c r="P524" s="987"/>
      <c r="Q524" s="987"/>
      <c r="R524" s="987"/>
      <c r="S524" s="987"/>
      <c r="T524" s="988"/>
      <c r="U524" s="1067" t="s">
        <v>1492</v>
      </c>
      <c r="V524" s="1068" t="s">
        <v>3916</v>
      </c>
      <c r="W524" s="1068" t="s">
        <v>2231</v>
      </c>
      <c r="X524" s="1069" t="s">
        <v>3931</v>
      </c>
      <c r="Y524" s="1070" t="s">
        <v>3932</v>
      </c>
      <c r="Z524" s="1071" t="s">
        <v>3933</v>
      </c>
      <c r="AA524" s="1072" t="s">
        <v>2260</v>
      </c>
      <c r="AB524" s="1073" t="s">
        <v>2260</v>
      </c>
      <c r="AC524" s="1073" t="s">
        <v>2260</v>
      </c>
      <c r="AD524" s="1073" t="s">
        <v>2260</v>
      </c>
      <c r="AE524" s="1073">
        <v>1</v>
      </c>
      <c r="AF524" s="1073" t="s">
        <v>2260</v>
      </c>
      <c r="AG524" s="1073" t="s">
        <v>2260</v>
      </c>
      <c r="AH524" s="1073" t="s">
        <v>2260</v>
      </c>
      <c r="AI524" s="1074">
        <f t="shared" si="8"/>
        <v>1</v>
      </c>
      <c r="AJ524" s="1075" t="s">
        <v>1835</v>
      </c>
      <c r="AK524" s="1075" t="s">
        <v>1826</v>
      </c>
      <c r="AL524" s="1075" t="s">
        <v>1827</v>
      </c>
      <c r="AM524" s="1076" t="s">
        <v>2396</v>
      </c>
      <c r="AN524" s="987" t="s">
        <v>1857</v>
      </c>
      <c r="AO524" s="987" t="s">
        <v>3934</v>
      </c>
      <c r="AP524" s="1243">
        <v>0</v>
      </c>
      <c r="AQ524" s="1045" t="s">
        <v>1828</v>
      </c>
      <c r="AR524" s="1078" t="s">
        <v>2260</v>
      </c>
      <c r="AS524" s="1079"/>
      <c r="AT524" s="1069"/>
      <c r="AU524" s="1069"/>
      <c r="AV524" s="1069"/>
      <c r="AW524" s="1080"/>
      <c r="AX524" s="1081"/>
      <c r="AY524" s="1044"/>
      <c r="AZ524" s="1045"/>
      <c r="BA524" s="1045"/>
      <c r="BB524" s="1045"/>
      <c r="BC524" s="1045"/>
      <c r="BD524" s="1045"/>
      <c r="BE524" s="1045"/>
      <c r="BF524" s="1045"/>
      <c r="BG524" s="1045"/>
      <c r="BH524" s="1045"/>
      <c r="BI524" s="1369"/>
      <c r="BJ524" s="1319"/>
      <c r="BK524" s="1319"/>
      <c r="BL524" s="1319"/>
      <c r="BM524" s="1319"/>
      <c r="BN524" s="1044"/>
      <c r="BO524" s="1045"/>
      <c r="BP524" s="1045"/>
      <c r="BQ524" s="1045"/>
      <c r="BR524" s="1045"/>
      <c r="BS524" s="1084"/>
      <c r="BT524" s="1045"/>
      <c r="BU524" s="1045"/>
      <c r="BV524" s="1045"/>
      <c r="BW524" s="1085"/>
      <c r="BX524" s="1084"/>
      <c r="BY524" s="1045"/>
      <c r="BZ524" s="1045"/>
      <c r="CA524" s="1045"/>
      <c r="CB524" s="1085"/>
      <c r="CC524" s="1086"/>
      <c r="CD524" s="1327"/>
      <c r="CE524" s="1328"/>
      <c r="CF524" s="1328"/>
      <c r="CG524" s="1328"/>
      <c r="CH524" s="1389"/>
      <c r="CI524" s="1369"/>
      <c r="CJ524" s="1319"/>
      <c r="CK524" s="1319"/>
      <c r="CL524" s="1319"/>
      <c r="CM524" s="1320"/>
      <c r="CN524" s="1369"/>
      <c r="CO524" s="1319"/>
      <c r="CP524" s="1319"/>
      <c r="CQ524" s="1319"/>
      <c r="CR524" s="1320"/>
      <c r="CS524" s="1369"/>
      <c r="CT524" s="1319"/>
      <c r="CU524" s="1319"/>
      <c r="CV524" s="1319"/>
      <c r="CW524" s="1320"/>
      <c r="CX524" s="1369"/>
      <c r="CY524" s="1319"/>
      <c r="CZ524" s="1319"/>
      <c r="DA524" s="1319"/>
      <c r="DB524" s="1320"/>
      <c r="DC524" s="1319"/>
      <c r="DD524" s="1319"/>
      <c r="DE524" s="1319"/>
      <c r="DF524" s="1319"/>
      <c r="DG524" s="1320"/>
      <c r="DH524" s="1369"/>
      <c r="DI524" s="1319"/>
      <c r="DJ524" s="1319"/>
      <c r="DK524" s="1319"/>
      <c r="DL524" s="1320"/>
      <c r="DM524" s="1743"/>
      <c r="DN524" s="1744"/>
      <c r="DO524" s="1744"/>
      <c r="DP524" s="1745"/>
      <c r="DQ524" s="1744"/>
      <c r="DR524" s="1744"/>
      <c r="DS524" s="1744"/>
      <c r="DT524" s="1745"/>
      <c r="DU524" s="1328"/>
      <c r="DV524" s="1664"/>
      <c r="DW524" s="1746"/>
    </row>
    <row r="525" spans="1:127" s="382" customFormat="1" ht="15.75" customHeight="1">
      <c r="A525" s="1066" t="s">
        <v>1213</v>
      </c>
      <c r="B525" s="1026">
        <v>516</v>
      </c>
      <c r="C525" s="987"/>
      <c r="D525" s="987"/>
      <c r="E525" s="987"/>
      <c r="F525" s="987"/>
      <c r="G525" s="987"/>
      <c r="H525" s="987"/>
      <c r="I525" s="987"/>
      <c r="J525" s="987"/>
      <c r="K525" s="987"/>
      <c r="L525" s="987"/>
      <c r="M525" s="1026"/>
      <c r="N525" s="987"/>
      <c r="O525" s="987"/>
      <c r="P525" s="987"/>
      <c r="Q525" s="987"/>
      <c r="R525" s="987"/>
      <c r="S525" s="987"/>
      <c r="T525" s="988"/>
      <c r="U525" s="1067" t="s">
        <v>1634</v>
      </c>
      <c r="V525" s="1068" t="s">
        <v>3916</v>
      </c>
      <c r="W525" s="1068" t="s">
        <v>2231</v>
      </c>
      <c r="X525" s="1069" t="s">
        <v>3935</v>
      </c>
      <c r="Y525" s="1070" t="s">
        <v>3936</v>
      </c>
      <c r="Z525" s="1071" t="s">
        <v>3937</v>
      </c>
      <c r="AA525" s="1072" t="s">
        <v>2260</v>
      </c>
      <c r="AB525" s="1073">
        <v>0.5</v>
      </c>
      <c r="AC525" s="1073">
        <v>0.5</v>
      </c>
      <c r="AD525" s="1073" t="s">
        <v>2260</v>
      </c>
      <c r="AE525" s="1073" t="s">
        <v>2260</v>
      </c>
      <c r="AF525" s="1073" t="s">
        <v>2260</v>
      </c>
      <c r="AG525" s="1073" t="s">
        <v>2260</v>
      </c>
      <c r="AH525" s="1073" t="s">
        <v>2260</v>
      </c>
      <c r="AI525" s="1074">
        <f t="shared" si="8"/>
        <v>1</v>
      </c>
      <c r="AJ525" s="1075" t="s">
        <v>1825</v>
      </c>
      <c r="AK525" s="1075" t="s">
        <v>2260</v>
      </c>
      <c r="AL525" s="1075" t="s">
        <v>2260</v>
      </c>
      <c r="AM525" s="1076" t="s">
        <v>2229</v>
      </c>
      <c r="AN525" s="987" t="s">
        <v>1857</v>
      </c>
      <c r="AO525" s="987" t="s">
        <v>3938</v>
      </c>
      <c r="AP525" s="1243">
        <v>0</v>
      </c>
      <c r="AQ525" s="1045" t="s">
        <v>1828</v>
      </c>
      <c r="AR525" s="1078" t="s">
        <v>2260</v>
      </c>
      <c r="AS525" s="1079"/>
      <c r="AT525" s="1069"/>
      <c r="AU525" s="1069"/>
      <c r="AV525" s="1069"/>
      <c r="AW525" s="1080"/>
      <c r="AX525" s="1081"/>
      <c r="AY525" s="1044"/>
      <c r="AZ525" s="1045"/>
      <c r="BA525" s="1045"/>
      <c r="BB525" s="1045"/>
      <c r="BC525" s="1045"/>
      <c r="BD525" s="1045"/>
      <c r="BE525" s="1045"/>
      <c r="BF525" s="1045"/>
      <c r="BG525" s="1045"/>
      <c r="BH525" s="1045"/>
      <c r="BI525" s="1369"/>
      <c r="BJ525" s="1319"/>
      <c r="BK525" s="1319"/>
      <c r="BL525" s="1319"/>
      <c r="BM525" s="1319"/>
      <c r="BN525" s="1044"/>
      <c r="BO525" s="1045"/>
      <c r="BP525" s="1045"/>
      <c r="BQ525" s="1045"/>
      <c r="BR525" s="1045"/>
      <c r="BS525" s="1084"/>
      <c r="BT525" s="1045"/>
      <c r="BU525" s="1045"/>
      <c r="BV525" s="1045"/>
      <c r="BW525" s="1085"/>
      <c r="BX525" s="1084"/>
      <c r="BY525" s="1045"/>
      <c r="BZ525" s="1045"/>
      <c r="CA525" s="1045"/>
      <c r="CB525" s="1085"/>
      <c r="CC525" s="1086"/>
      <c r="CD525" s="1327"/>
      <c r="CE525" s="1328"/>
      <c r="CF525" s="1328"/>
      <c r="CG525" s="1328"/>
      <c r="CH525" s="1389"/>
      <c r="CI525" s="1369"/>
      <c r="CJ525" s="1319"/>
      <c r="CK525" s="1319"/>
      <c r="CL525" s="1319"/>
      <c r="CM525" s="1320"/>
      <c r="CN525" s="1369"/>
      <c r="CO525" s="1319"/>
      <c r="CP525" s="1319"/>
      <c r="CQ525" s="1319"/>
      <c r="CR525" s="1320"/>
      <c r="CS525" s="1369"/>
      <c r="CT525" s="1319"/>
      <c r="CU525" s="1319"/>
      <c r="CV525" s="1319"/>
      <c r="CW525" s="1320"/>
      <c r="CX525" s="1369"/>
      <c r="CY525" s="1319"/>
      <c r="CZ525" s="1319"/>
      <c r="DA525" s="1319"/>
      <c r="DB525" s="1320"/>
      <c r="DC525" s="1319"/>
      <c r="DD525" s="1319"/>
      <c r="DE525" s="1319"/>
      <c r="DF525" s="1319"/>
      <c r="DG525" s="1320"/>
      <c r="DH525" s="1369"/>
      <c r="DI525" s="1319"/>
      <c r="DJ525" s="1319"/>
      <c r="DK525" s="1319"/>
      <c r="DL525" s="1320"/>
      <c r="DM525" s="1743"/>
      <c r="DN525" s="1744"/>
      <c r="DO525" s="1744"/>
      <c r="DP525" s="1745"/>
      <c r="DQ525" s="1744"/>
      <c r="DR525" s="1744"/>
      <c r="DS525" s="1744"/>
      <c r="DT525" s="1745"/>
      <c r="DU525" s="1328"/>
      <c r="DV525" s="1664"/>
      <c r="DW525" s="1746"/>
    </row>
    <row r="526" spans="1:127" s="382" customFormat="1" ht="15.75" customHeight="1">
      <c r="A526" s="1066" t="s">
        <v>1213</v>
      </c>
      <c r="B526" s="1026">
        <v>517</v>
      </c>
      <c r="C526" s="987"/>
      <c r="D526" s="987"/>
      <c r="E526" s="987"/>
      <c r="F526" s="987"/>
      <c r="G526" s="987"/>
      <c r="H526" s="987"/>
      <c r="I526" s="987"/>
      <c r="J526" s="987"/>
      <c r="K526" s="987"/>
      <c r="L526" s="987"/>
      <c r="M526" s="1026"/>
      <c r="N526" s="987"/>
      <c r="O526" s="987"/>
      <c r="P526" s="987"/>
      <c r="Q526" s="987"/>
      <c r="R526" s="987"/>
      <c r="S526" s="987"/>
      <c r="T526" s="988"/>
      <c r="U526" s="1067" t="s">
        <v>1493</v>
      </c>
      <c r="V526" s="1068" t="s">
        <v>3916</v>
      </c>
      <c r="W526" s="1068" t="s">
        <v>2231</v>
      </c>
      <c r="X526" s="1069" t="s">
        <v>3939</v>
      </c>
      <c r="Y526" s="1070" t="s">
        <v>2090</v>
      </c>
      <c r="Z526" s="1071" t="s">
        <v>3940</v>
      </c>
      <c r="AA526" s="1072" t="s">
        <v>2260</v>
      </c>
      <c r="AB526" s="1073">
        <v>1</v>
      </c>
      <c r="AC526" s="1073" t="s">
        <v>2260</v>
      </c>
      <c r="AD526" s="1073" t="s">
        <v>2260</v>
      </c>
      <c r="AE526" s="1073" t="s">
        <v>2260</v>
      </c>
      <c r="AF526" s="1073" t="s">
        <v>2260</v>
      </c>
      <c r="AG526" s="1073" t="s">
        <v>2260</v>
      </c>
      <c r="AH526" s="1073" t="s">
        <v>2260</v>
      </c>
      <c r="AI526" s="1074">
        <f t="shared" si="8"/>
        <v>1</v>
      </c>
      <c r="AJ526" s="1075" t="s">
        <v>1825</v>
      </c>
      <c r="AK526" s="1075" t="s">
        <v>2260</v>
      </c>
      <c r="AL526" s="1075" t="s">
        <v>2260</v>
      </c>
      <c r="AM526" s="1076" t="s">
        <v>2234</v>
      </c>
      <c r="AN526" s="987" t="s">
        <v>1857</v>
      </c>
      <c r="AO526" s="987" t="s">
        <v>3941</v>
      </c>
      <c r="AP526" s="1243">
        <v>0</v>
      </c>
      <c r="AQ526" s="1045" t="s">
        <v>1828</v>
      </c>
      <c r="AR526" s="1078" t="s">
        <v>2260</v>
      </c>
      <c r="AS526" s="1079"/>
      <c r="AT526" s="1069"/>
      <c r="AU526" s="1069"/>
      <c r="AV526" s="1069"/>
      <c r="AW526" s="1080"/>
      <c r="AX526" s="1081"/>
      <c r="AY526" s="1044"/>
      <c r="AZ526" s="1045"/>
      <c r="BA526" s="1045"/>
      <c r="BB526" s="1045"/>
      <c r="BC526" s="1045"/>
      <c r="BD526" s="1045"/>
      <c r="BE526" s="1045"/>
      <c r="BF526" s="1045"/>
      <c r="BG526" s="1045"/>
      <c r="BH526" s="1045"/>
      <c r="BI526" s="1369"/>
      <c r="BJ526" s="1319"/>
      <c r="BK526" s="1319"/>
      <c r="BL526" s="1319"/>
      <c r="BM526" s="1319"/>
      <c r="BN526" s="1044"/>
      <c r="BO526" s="1045"/>
      <c r="BP526" s="1045"/>
      <c r="BQ526" s="1045"/>
      <c r="BR526" s="1045"/>
      <c r="BS526" s="1084"/>
      <c r="BT526" s="1045"/>
      <c r="BU526" s="1045"/>
      <c r="BV526" s="1045"/>
      <c r="BW526" s="1085"/>
      <c r="BX526" s="1084"/>
      <c r="BY526" s="1045"/>
      <c r="BZ526" s="1045"/>
      <c r="CA526" s="1045"/>
      <c r="CB526" s="1085"/>
      <c r="CC526" s="1086"/>
      <c r="CD526" s="1327"/>
      <c r="CE526" s="1328"/>
      <c r="CF526" s="1328"/>
      <c r="CG526" s="1328"/>
      <c r="CH526" s="1389"/>
      <c r="CI526" s="1369"/>
      <c r="CJ526" s="1319"/>
      <c r="CK526" s="1319"/>
      <c r="CL526" s="1319"/>
      <c r="CM526" s="1320"/>
      <c r="CN526" s="1369"/>
      <c r="CO526" s="1319"/>
      <c r="CP526" s="1319"/>
      <c r="CQ526" s="1319"/>
      <c r="CR526" s="1320"/>
      <c r="CS526" s="1369"/>
      <c r="CT526" s="1319"/>
      <c r="CU526" s="1319"/>
      <c r="CV526" s="1319"/>
      <c r="CW526" s="1320"/>
      <c r="CX526" s="1369"/>
      <c r="CY526" s="1319"/>
      <c r="CZ526" s="1319"/>
      <c r="DA526" s="1319"/>
      <c r="DB526" s="1320"/>
      <c r="DC526" s="1319"/>
      <c r="DD526" s="1319"/>
      <c r="DE526" s="1319"/>
      <c r="DF526" s="1319"/>
      <c r="DG526" s="1320"/>
      <c r="DH526" s="1369"/>
      <c r="DI526" s="1319"/>
      <c r="DJ526" s="1319"/>
      <c r="DK526" s="1319"/>
      <c r="DL526" s="1320"/>
      <c r="DM526" s="1743"/>
      <c r="DN526" s="1744"/>
      <c r="DO526" s="1744"/>
      <c r="DP526" s="1745"/>
      <c r="DQ526" s="1744"/>
      <c r="DR526" s="1744"/>
      <c r="DS526" s="1744"/>
      <c r="DT526" s="1745"/>
      <c r="DU526" s="1328"/>
      <c r="DV526" s="1664"/>
      <c r="DW526" s="1746"/>
    </row>
    <row r="527" spans="1:127" s="382" customFormat="1" ht="15.75" customHeight="1">
      <c r="A527" s="1066" t="s">
        <v>1213</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4498</v>
      </c>
      <c r="V527" s="1068" t="s">
        <v>3916</v>
      </c>
      <c r="W527" s="1068" t="s">
        <v>2231</v>
      </c>
      <c r="X527" s="1069" t="s">
        <v>4499</v>
      </c>
      <c r="Y527" s="1070" t="s">
        <v>4500</v>
      </c>
      <c r="Z527" s="1071" t="s">
        <v>2260</v>
      </c>
      <c r="AA527" s="1072">
        <v>1</v>
      </c>
      <c r="AB527" s="1073" t="s">
        <v>2260</v>
      </c>
      <c r="AC527" s="1073" t="s">
        <v>2260</v>
      </c>
      <c r="AD527" s="1073" t="s">
        <v>2260</v>
      </c>
      <c r="AE527" s="1073" t="s">
        <v>2260</v>
      </c>
      <c r="AF527" s="1073" t="s">
        <v>2260</v>
      </c>
      <c r="AG527" s="1073" t="s">
        <v>2260</v>
      </c>
      <c r="AH527" s="1073" t="s">
        <v>2260</v>
      </c>
      <c r="AI527" s="1074">
        <f t="shared" si="8"/>
        <v>1</v>
      </c>
      <c r="AJ527" s="1075" t="s">
        <v>2260</v>
      </c>
      <c r="AK527" s="1075" t="s">
        <v>2260</v>
      </c>
      <c r="AL527" s="1075" t="s">
        <v>2260</v>
      </c>
      <c r="AM527" s="1076" t="s">
        <v>2260</v>
      </c>
      <c r="AN527" s="987"/>
      <c r="AO527" s="987"/>
      <c r="AP527" s="1244">
        <v>0</v>
      </c>
      <c r="AQ527" s="1045"/>
      <c r="AR527" s="1078" t="s">
        <v>2260</v>
      </c>
      <c r="AS527" s="1079"/>
      <c r="AT527" s="1069"/>
      <c r="AU527" s="1069"/>
      <c r="AV527" s="1069"/>
      <c r="AW527" s="1080"/>
      <c r="AX527" s="1081"/>
      <c r="AY527" s="1044"/>
      <c r="AZ527" s="1045"/>
      <c r="BA527" s="1045"/>
      <c r="BB527" s="1045"/>
      <c r="BC527" s="1045"/>
      <c r="BD527" s="1045"/>
      <c r="BE527" s="1045"/>
      <c r="BF527" s="1045"/>
      <c r="BG527" s="1045"/>
      <c r="BH527" s="1045"/>
      <c r="BI527" s="1369"/>
      <c r="BJ527" s="1319"/>
      <c r="BK527" s="1319"/>
      <c r="BL527" s="1319"/>
      <c r="BM527" s="1319"/>
      <c r="BN527" s="1044"/>
      <c r="BO527" s="1045"/>
      <c r="BP527" s="1045"/>
      <c r="BQ527" s="1045"/>
      <c r="BR527" s="1045"/>
      <c r="BS527" s="1084"/>
      <c r="BT527" s="1045"/>
      <c r="BU527" s="1045"/>
      <c r="BV527" s="1045"/>
      <c r="BW527" s="1085"/>
      <c r="BX527" s="1084"/>
      <c r="BY527" s="1045"/>
      <c r="BZ527" s="1045"/>
      <c r="CA527" s="1045"/>
      <c r="CB527" s="1085"/>
      <c r="CC527" s="1086"/>
      <c r="CD527" s="1327"/>
      <c r="CE527" s="1328"/>
      <c r="CF527" s="1328"/>
      <c r="CG527" s="1328"/>
      <c r="CH527" s="1389"/>
      <c r="CI527" s="1369"/>
      <c r="CJ527" s="1319"/>
      <c r="CK527" s="1319"/>
      <c r="CL527" s="1319"/>
      <c r="CM527" s="1320"/>
      <c r="CN527" s="1369"/>
      <c r="CO527" s="1319"/>
      <c r="CP527" s="1319"/>
      <c r="CQ527" s="1319"/>
      <c r="CR527" s="1320"/>
      <c r="CS527" s="1369"/>
      <c r="CT527" s="1319"/>
      <c r="CU527" s="1319"/>
      <c r="CV527" s="1319"/>
      <c r="CW527" s="1320"/>
      <c r="CX527" s="1369"/>
      <c r="CY527" s="1319"/>
      <c r="CZ527" s="1319"/>
      <c r="DA527" s="1319"/>
      <c r="DB527" s="1320"/>
      <c r="DC527" s="1319"/>
      <c r="DD527" s="1319"/>
      <c r="DE527" s="1319"/>
      <c r="DF527" s="1319"/>
      <c r="DG527" s="1320"/>
      <c r="DH527" s="1369"/>
      <c r="DI527" s="1319"/>
      <c r="DJ527" s="1319"/>
      <c r="DK527" s="1319"/>
      <c r="DL527" s="1320"/>
      <c r="DM527" s="1743"/>
      <c r="DN527" s="1744"/>
      <c r="DO527" s="1744"/>
      <c r="DP527" s="1745"/>
      <c r="DQ527" s="1744"/>
      <c r="DR527" s="1744"/>
      <c r="DS527" s="1744"/>
      <c r="DT527" s="1745"/>
      <c r="DU527" s="1328"/>
      <c r="DV527" s="1664"/>
      <c r="DW527" s="1746"/>
    </row>
    <row r="528" spans="1:127" s="382" customFormat="1" ht="15.75" customHeight="1">
      <c r="A528" s="1066" t="s">
        <v>1213</v>
      </c>
      <c r="B528" s="1026">
        <v>519</v>
      </c>
      <c r="C528" s="987"/>
      <c r="D528" s="987"/>
      <c r="E528" s="987"/>
      <c r="F528" s="987"/>
      <c r="G528" s="987"/>
      <c r="H528" s="987"/>
      <c r="I528" s="987"/>
      <c r="J528" s="987"/>
      <c r="K528" s="987"/>
      <c r="L528" s="987"/>
      <c r="M528" s="1026"/>
      <c r="N528" s="987"/>
      <c r="O528" s="987"/>
      <c r="P528" s="987"/>
      <c r="Q528" s="987"/>
      <c r="R528" s="987"/>
      <c r="S528" s="987"/>
      <c r="T528" s="988"/>
      <c r="U528" s="1067" t="s">
        <v>1650</v>
      </c>
      <c r="V528" s="1068" t="s">
        <v>3916</v>
      </c>
      <c r="W528" s="1068" t="s">
        <v>2223</v>
      </c>
      <c r="X528" s="1069" t="s">
        <v>3942</v>
      </c>
      <c r="Y528" s="1070" t="s">
        <v>3943</v>
      </c>
      <c r="Z528" s="1071" t="s">
        <v>3944</v>
      </c>
      <c r="AA528" s="1072" t="s">
        <v>2260</v>
      </c>
      <c r="AB528" s="1073" t="s">
        <v>2260</v>
      </c>
      <c r="AC528" s="1073" t="s">
        <v>2260</v>
      </c>
      <c r="AD528" s="1073" t="s">
        <v>2260</v>
      </c>
      <c r="AE528" s="1073">
        <v>1</v>
      </c>
      <c r="AF528" s="1073" t="s">
        <v>2260</v>
      </c>
      <c r="AG528" s="1073" t="s">
        <v>2260</v>
      </c>
      <c r="AH528" s="1073" t="s">
        <v>2260</v>
      </c>
      <c r="AI528" s="1074">
        <f t="shared" si="8"/>
        <v>1</v>
      </c>
      <c r="AJ528" s="1075" t="s">
        <v>1825</v>
      </c>
      <c r="AK528" s="1075" t="s">
        <v>2260</v>
      </c>
      <c r="AL528" s="1075" t="s">
        <v>2260</v>
      </c>
      <c r="AM528" s="1076" t="s">
        <v>2827</v>
      </c>
      <c r="AN528" s="987" t="s">
        <v>321</v>
      </c>
      <c r="AO528" s="987" t="s">
        <v>3945</v>
      </c>
      <c r="AP528" s="1243">
        <v>0</v>
      </c>
      <c r="AQ528" s="1045" t="s">
        <v>1828</v>
      </c>
      <c r="AR528" s="1078" t="s">
        <v>2260</v>
      </c>
      <c r="AS528" s="1079"/>
      <c r="AT528" s="1069"/>
      <c r="AU528" s="1069"/>
      <c r="AV528" s="1069"/>
      <c r="AW528" s="1080"/>
      <c r="AX528" s="1081"/>
      <c r="AY528" s="1044"/>
      <c r="AZ528" s="1045"/>
      <c r="BA528" s="1045"/>
      <c r="BB528" s="1045"/>
      <c r="BC528" s="1045"/>
      <c r="BD528" s="1045"/>
      <c r="BE528" s="1045"/>
      <c r="BF528" s="1045"/>
      <c r="BG528" s="1045"/>
      <c r="BH528" s="1045"/>
      <c r="BI528" s="1369"/>
      <c r="BJ528" s="1319"/>
      <c r="BK528" s="1319"/>
      <c r="BL528" s="1319"/>
      <c r="BM528" s="1319"/>
      <c r="BN528" s="1044"/>
      <c r="BO528" s="1045"/>
      <c r="BP528" s="1045"/>
      <c r="BQ528" s="1045"/>
      <c r="BR528" s="1045"/>
      <c r="BS528" s="1084"/>
      <c r="BT528" s="1045"/>
      <c r="BU528" s="1045"/>
      <c r="BV528" s="1045"/>
      <c r="BW528" s="1085"/>
      <c r="BX528" s="1084"/>
      <c r="BY528" s="1045"/>
      <c r="BZ528" s="1045"/>
      <c r="CA528" s="1045"/>
      <c r="CB528" s="1085"/>
      <c r="CC528" s="1086"/>
      <c r="CD528" s="1327"/>
      <c r="CE528" s="1328"/>
      <c r="CF528" s="1328"/>
      <c r="CG528" s="1328"/>
      <c r="CH528" s="1389"/>
      <c r="CI528" s="1369"/>
      <c r="CJ528" s="1319"/>
      <c r="CK528" s="1319"/>
      <c r="CL528" s="1319"/>
      <c r="CM528" s="1320"/>
      <c r="CN528" s="1369"/>
      <c r="CO528" s="1319"/>
      <c r="CP528" s="1319"/>
      <c r="CQ528" s="1319"/>
      <c r="CR528" s="1320"/>
      <c r="CS528" s="1369"/>
      <c r="CT528" s="1319"/>
      <c r="CU528" s="1319"/>
      <c r="CV528" s="1319"/>
      <c r="CW528" s="1320"/>
      <c r="CX528" s="1369"/>
      <c r="CY528" s="1319"/>
      <c r="CZ528" s="1319"/>
      <c r="DA528" s="1319"/>
      <c r="DB528" s="1320"/>
      <c r="DC528" s="1319"/>
      <c r="DD528" s="1319"/>
      <c r="DE528" s="1319"/>
      <c r="DF528" s="1319"/>
      <c r="DG528" s="1320"/>
      <c r="DH528" s="1369"/>
      <c r="DI528" s="1319"/>
      <c r="DJ528" s="1319"/>
      <c r="DK528" s="1319"/>
      <c r="DL528" s="1320"/>
      <c r="DM528" s="1743"/>
      <c r="DN528" s="1744"/>
      <c r="DO528" s="1744"/>
      <c r="DP528" s="1745"/>
      <c r="DQ528" s="1744"/>
      <c r="DR528" s="1744"/>
      <c r="DS528" s="1744"/>
      <c r="DT528" s="1745"/>
      <c r="DU528" s="1328"/>
      <c r="DV528" s="1664"/>
      <c r="DW528" s="1746"/>
    </row>
    <row r="529" spans="1:127" s="382" customFormat="1" ht="15.75" customHeight="1">
      <c r="A529" s="1066" t="s">
        <v>1213</v>
      </c>
      <c r="B529" s="1026">
        <v>520</v>
      </c>
      <c r="C529" s="987"/>
      <c r="D529" s="987"/>
      <c r="E529" s="987"/>
      <c r="F529" s="987"/>
      <c r="G529" s="987"/>
      <c r="H529" s="987"/>
      <c r="I529" s="987"/>
      <c r="J529" s="987"/>
      <c r="K529" s="987"/>
      <c r="L529" s="987"/>
      <c r="M529" s="1026"/>
      <c r="N529" s="987"/>
      <c r="O529" s="987"/>
      <c r="P529" s="987"/>
      <c r="Q529" s="987"/>
      <c r="R529" s="987"/>
      <c r="S529" s="987"/>
      <c r="T529" s="988"/>
      <c r="U529" s="1067" t="s">
        <v>1194</v>
      </c>
      <c r="V529" s="1068" t="s">
        <v>3946</v>
      </c>
      <c r="W529" s="1068" t="s">
        <v>2217</v>
      </c>
      <c r="X529" s="1069" t="s">
        <v>3947</v>
      </c>
      <c r="Y529" s="1070" t="s">
        <v>795</v>
      </c>
      <c r="Z529" s="1071" t="s">
        <v>3819</v>
      </c>
      <c r="AA529" s="1072" t="s">
        <v>2260</v>
      </c>
      <c r="AB529" s="1073" t="s">
        <v>2260</v>
      </c>
      <c r="AC529" s="1073">
        <v>1</v>
      </c>
      <c r="AD529" s="1073" t="s">
        <v>2260</v>
      </c>
      <c r="AE529" s="1073" t="s">
        <v>2260</v>
      </c>
      <c r="AF529" s="1073" t="s">
        <v>2260</v>
      </c>
      <c r="AG529" s="1073" t="s">
        <v>2260</v>
      </c>
      <c r="AH529" s="1073" t="s">
        <v>2260</v>
      </c>
      <c r="AI529" s="1074">
        <f t="shared" si="8"/>
        <v>1</v>
      </c>
      <c r="AJ529" s="1075" t="s">
        <v>1846</v>
      </c>
      <c r="AK529" s="1075" t="s">
        <v>1826</v>
      </c>
      <c r="AL529" s="1075" t="s">
        <v>1827</v>
      </c>
      <c r="AM529" s="1076" t="s">
        <v>2368</v>
      </c>
      <c r="AN529" s="987" t="s">
        <v>2439</v>
      </c>
      <c r="AO529" s="987" t="s">
        <v>4432</v>
      </c>
      <c r="AP529" s="1276">
        <v>2</v>
      </c>
      <c r="AQ529" s="1045" t="s">
        <v>1838</v>
      </c>
      <c r="AR529" s="1078" t="s">
        <v>795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210</v>
      </c>
      <c r="CE529" s="1088" t="s">
        <v>210</v>
      </c>
      <c r="CF529" s="1088" t="s">
        <v>210</v>
      </c>
      <c r="CG529" s="1088" t="s">
        <v>210</v>
      </c>
      <c r="CH529" s="1089" t="s">
        <v>210</v>
      </c>
      <c r="CI529" s="1044" t="s">
        <v>2260</v>
      </c>
      <c r="CJ529" s="1045" t="s">
        <v>2260</v>
      </c>
      <c r="CK529" s="1045" t="s">
        <v>2260</v>
      </c>
      <c r="CL529" s="1045" t="s">
        <v>2260</v>
      </c>
      <c r="CM529" s="1086" t="s">
        <v>2260</v>
      </c>
      <c r="CN529" s="1044" t="s">
        <v>2260</v>
      </c>
      <c r="CO529" s="1045" t="s">
        <v>2260</v>
      </c>
      <c r="CP529" s="1045" t="s">
        <v>2260</v>
      </c>
      <c r="CQ529" s="1045" t="s">
        <v>2260</v>
      </c>
      <c r="CR529" s="1086" t="s">
        <v>2260</v>
      </c>
      <c r="CS529" s="1044" t="s">
        <v>2260</v>
      </c>
      <c r="CT529" s="1045" t="s">
        <v>2260</v>
      </c>
      <c r="CU529" s="1045" t="s">
        <v>2260</v>
      </c>
      <c r="CV529" s="1045" t="s">
        <v>2260</v>
      </c>
      <c r="CW529" s="1086" t="s">
        <v>2260</v>
      </c>
      <c r="CX529" s="1044" t="s">
        <v>2260</v>
      </c>
      <c r="CY529" s="1045" t="s">
        <v>2260</v>
      </c>
      <c r="CZ529" s="1045" t="s">
        <v>2260</v>
      </c>
      <c r="DA529" s="1045" t="s">
        <v>2260</v>
      </c>
      <c r="DB529" s="1086" t="s">
        <v>2260</v>
      </c>
      <c r="DC529" s="1045" t="s">
        <v>2260</v>
      </c>
      <c r="DD529" s="1045" t="s">
        <v>2260</v>
      </c>
      <c r="DE529" s="1045" t="s">
        <v>2260</v>
      </c>
      <c r="DF529" s="1045" t="s">
        <v>2260</v>
      </c>
      <c r="DG529" s="1086" t="s">
        <v>2260</v>
      </c>
      <c r="DH529" s="1044" t="s">
        <v>2260</v>
      </c>
      <c r="DI529" s="1045" t="s">
        <v>2260</v>
      </c>
      <c r="DJ529" s="1045" t="s">
        <v>2260</v>
      </c>
      <c r="DK529" s="1045" t="s">
        <v>2260</v>
      </c>
      <c r="DL529" s="1086" t="s">
        <v>2260</v>
      </c>
      <c r="DM529" s="1090">
        <v>-0.311</v>
      </c>
      <c r="DN529" s="1091" t="s">
        <v>2260</v>
      </c>
      <c r="DO529" s="1091" t="s">
        <v>2260</v>
      </c>
      <c r="DP529" s="1092" t="s">
        <v>2260</v>
      </c>
      <c r="DQ529" s="1091" t="s">
        <v>2260</v>
      </c>
      <c r="DR529" s="1091" t="s">
        <v>2260</v>
      </c>
      <c r="DS529" s="1091" t="s">
        <v>2260</v>
      </c>
      <c r="DT529" s="1092" t="s">
        <v>2260</v>
      </c>
      <c r="DU529" s="1088" t="s">
        <v>173</v>
      </c>
      <c r="DV529" s="1093">
        <v>1</v>
      </c>
      <c r="DW529" s="1094" t="s">
        <v>2260</v>
      </c>
    </row>
    <row r="530" spans="1:127" s="382" customFormat="1" ht="15.75" customHeight="1">
      <c r="A530" s="1066" t="s">
        <v>1213</v>
      </c>
      <c r="B530" s="1026">
        <v>521</v>
      </c>
      <c r="C530" s="987"/>
      <c r="D530" s="987"/>
      <c r="E530" s="987"/>
      <c r="F530" s="987"/>
      <c r="G530" s="987"/>
      <c r="H530" s="987"/>
      <c r="I530" s="987"/>
      <c r="J530" s="987"/>
      <c r="K530" s="987"/>
      <c r="L530" s="987"/>
      <c r="M530" s="1026"/>
      <c r="N530" s="987"/>
      <c r="O530" s="987"/>
      <c r="P530" s="987"/>
      <c r="Q530" s="987"/>
      <c r="R530" s="987"/>
      <c r="S530" s="987"/>
      <c r="T530" s="988"/>
      <c r="U530" s="1067" t="s">
        <v>1553</v>
      </c>
      <c r="V530" s="1068" t="s">
        <v>3946</v>
      </c>
      <c r="W530" s="1068" t="s">
        <v>2217</v>
      </c>
      <c r="X530" s="1069" t="s">
        <v>3949</v>
      </c>
      <c r="Y530" s="1070" t="s">
        <v>2623</v>
      </c>
      <c r="Z530" s="1071" t="s">
        <v>3950</v>
      </c>
      <c r="AA530" s="1072" t="s">
        <v>2260</v>
      </c>
      <c r="AB530" s="1073" t="s">
        <v>2260</v>
      </c>
      <c r="AC530" s="1073">
        <v>1</v>
      </c>
      <c r="AD530" s="1073" t="s">
        <v>2260</v>
      </c>
      <c r="AE530" s="1073" t="s">
        <v>2260</v>
      </c>
      <c r="AF530" s="1073" t="s">
        <v>2260</v>
      </c>
      <c r="AG530" s="1073" t="s">
        <v>2260</v>
      </c>
      <c r="AH530" s="1073" t="s">
        <v>2260</v>
      </c>
      <c r="AI530" s="1074">
        <f t="shared" si="8"/>
        <v>1</v>
      </c>
      <c r="AJ530" s="1075" t="s">
        <v>1852</v>
      </c>
      <c r="AK530" s="1075" t="s">
        <v>1826</v>
      </c>
      <c r="AL530" s="1075" t="s">
        <v>1827</v>
      </c>
      <c r="AM530" s="1076" t="s">
        <v>2368</v>
      </c>
      <c r="AN530" s="987" t="s">
        <v>2439</v>
      </c>
      <c r="AO530" s="987" t="s">
        <v>4447</v>
      </c>
      <c r="AP530" s="1243">
        <v>0</v>
      </c>
      <c r="AQ530" s="1045" t="s">
        <v>1838</v>
      </c>
      <c r="AR530" s="1078"/>
      <c r="AS530" s="1079"/>
      <c r="AT530" s="1069"/>
      <c r="AU530" s="1069"/>
      <c r="AV530" s="1069"/>
      <c r="AW530" s="1080"/>
      <c r="AX530" s="1081"/>
      <c r="AY530" s="1044"/>
      <c r="AZ530" s="1045"/>
      <c r="BA530" s="1045"/>
      <c r="BB530" s="1045"/>
      <c r="BC530" s="1045"/>
      <c r="BD530" s="1045"/>
      <c r="BE530" s="1045"/>
      <c r="BF530" s="1045"/>
      <c r="BG530" s="1095"/>
      <c r="BH530" s="1095"/>
      <c r="BI530" s="1660"/>
      <c r="BJ530" s="1661"/>
      <c r="BK530" s="1661"/>
      <c r="BL530" s="1661"/>
      <c r="BM530" s="1661"/>
      <c r="BN530" s="1044"/>
      <c r="BO530" s="1045"/>
      <c r="BP530" s="1045"/>
      <c r="BQ530" s="1045"/>
      <c r="BR530" s="1045"/>
      <c r="BS530" s="1084"/>
      <c r="BT530" s="1045"/>
      <c r="BU530" s="1045"/>
      <c r="BV530" s="1045"/>
      <c r="BW530" s="1085"/>
      <c r="BX530" s="1084"/>
      <c r="BY530" s="1045"/>
      <c r="BZ530" s="1045"/>
      <c r="CA530" s="1045"/>
      <c r="CB530" s="1085"/>
      <c r="CC530" s="1086"/>
      <c r="CD530" s="1327"/>
      <c r="CE530" s="1328"/>
      <c r="CF530" s="1328"/>
      <c r="CG530" s="1328"/>
      <c r="CH530" s="1389"/>
      <c r="CI530" s="1369"/>
      <c r="CJ530" s="1319"/>
      <c r="CK530" s="1319"/>
      <c r="CL530" s="1319"/>
      <c r="CM530" s="1320"/>
      <c r="CN530" s="1369"/>
      <c r="CO530" s="1319"/>
      <c r="CP530" s="1319"/>
      <c r="CQ530" s="1319"/>
      <c r="CR530" s="1320"/>
      <c r="CS530" s="1369"/>
      <c r="CT530" s="1319"/>
      <c r="CU530" s="1319"/>
      <c r="CV530" s="1319"/>
      <c r="CW530" s="1320"/>
      <c r="CX530" s="1369"/>
      <c r="CY530" s="1319"/>
      <c r="CZ530" s="1319"/>
      <c r="DA530" s="1319"/>
      <c r="DB530" s="1320"/>
      <c r="DC530" s="1319"/>
      <c r="DD530" s="1319"/>
      <c r="DE530" s="1319"/>
      <c r="DF530" s="1319"/>
      <c r="DG530" s="1320"/>
      <c r="DH530" s="1369"/>
      <c r="DI530" s="1319"/>
      <c r="DJ530" s="1319"/>
      <c r="DK530" s="1319"/>
      <c r="DL530" s="1320"/>
      <c r="DM530" s="1743"/>
      <c r="DN530" s="1744"/>
      <c r="DO530" s="1744"/>
      <c r="DP530" s="1745"/>
      <c r="DQ530" s="1744"/>
      <c r="DR530" s="1744"/>
      <c r="DS530" s="1744"/>
      <c r="DT530" s="1745"/>
      <c r="DU530" s="1328"/>
      <c r="DV530" s="1664"/>
      <c r="DW530" s="1746"/>
    </row>
    <row r="531" spans="1:127" s="382" customFormat="1" ht="15.75" customHeight="1">
      <c r="A531" s="1066" t="s">
        <v>1213</v>
      </c>
      <c r="B531" s="1026">
        <v>522</v>
      </c>
      <c r="C531" s="987"/>
      <c r="D531" s="987"/>
      <c r="E531" s="987"/>
      <c r="F531" s="987"/>
      <c r="G531" s="987"/>
      <c r="H531" s="987"/>
      <c r="I531" s="987"/>
      <c r="J531" s="987"/>
      <c r="K531" s="987"/>
      <c r="L531" s="987"/>
      <c r="M531" s="1026"/>
      <c r="N531" s="987"/>
      <c r="O531" s="987"/>
      <c r="P531" s="987"/>
      <c r="Q531" s="987"/>
      <c r="R531" s="987"/>
      <c r="S531" s="987"/>
      <c r="T531" s="988"/>
      <c r="U531" s="1067" t="s">
        <v>1198</v>
      </c>
      <c r="V531" s="1068" t="s">
        <v>3952</v>
      </c>
      <c r="W531" s="1068" t="s">
        <v>2231</v>
      </c>
      <c r="X531" s="1069" t="s">
        <v>3953</v>
      </c>
      <c r="Y531" s="1070" t="s">
        <v>891</v>
      </c>
      <c r="Z531" s="1071" t="s">
        <v>3819</v>
      </c>
      <c r="AA531" s="1072" t="s">
        <v>2260</v>
      </c>
      <c r="AB531" s="1073" t="s">
        <v>2260</v>
      </c>
      <c r="AC531" s="1073">
        <v>1</v>
      </c>
      <c r="AD531" s="1073" t="s">
        <v>2260</v>
      </c>
      <c r="AE531" s="1073" t="s">
        <v>2260</v>
      </c>
      <c r="AF531" s="1073" t="s">
        <v>2260</v>
      </c>
      <c r="AG531" s="1073" t="s">
        <v>2260</v>
      </c>
      <c r="AH531" s="1073" t="s">
        <v>2260</v>
      </c>
      <c r="AI531" s="1074">
        <f t="shared" si="8"/>
        <v>1</v>
      </c>
      <c r="AJ531" s="1075" t="s">
        <v>1825</v>
      </c>
      <c r="AK531" s="1075" t="s">
        <v>2260</v>
      </c>
      <c r="AL531" s="1075" t="s">
        <v>2260</v>
      </c>
      <c r="AM531" s="1076" t="s">
        <v>2351</v>
      </c>
      <c r="AN531" s="987" t="s">
        <v>321</v>
      </c>
      <c r="AO531" s="987" t="s">
        <v>4417</v>
      </c>
      <c r="AP531" s="1276">
        <v>2</v>
      </c>
      <c r="AQ531" s="1045" t="s">
        <v>1838</v>
      </c>
      <c r="AR531" s="1078" t="s">
        <v>891</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2260</v>
      </c>
      <c r="CE531" s="1088" t="s">
        <v>2260</v>
      </c>
      <c r="CF531" s="1088" t="s">
        <v>2260</v>
      </c>
      <c r="CG531" s="1088" t="s">
        <v>2260</v>
      </c>
      <c r="CH531" s="1089" t="s">
        <v>2260</v>
      </c>
      <c r="CI531" s="1044" t="s">
        <v>2260</v>
      </c>
      <c r="CJ531" s="1045" t="s">
        <v>2260</v>
      </c>
      <c r="CK531" s="1045" t="s">
        <v>2260</v>
      </c>
      <c r="CL531" s="1045" t="s">
        <v>2260</v>
      </c>
      <c r="CM531" s="1086" t="s">
        <v>2260</v>
      </c>
      <c r="CN531" s="1044" t="s">
        <v>2260</v>
      </c>
      <c r="CO531" s="1045" t="s">
        <v>2260</v>
      </c>
      <c r="CP531" s="1045" t="s">
        <v>2260</v>
      </c>
      <c r="CQ531" s="1045" t="s">
        <v>2260</v>
      </c>
      <c r="CR531" s="1086" t="s">
        <v>2260</v>
      </c>
      <c r="CS531" s="1044" t="s">
        <v>2260</v>
      </c>
      <c r="CT531" s="1045" t="s">
        <v>2260</v>
      </c>
      <c r="CU531" s="1045" t="s">
        <v>2260</v>
      </c>
      <c r="CV531" s="1045" t="s">
        <v>2260</v>
      </c>
      <c r="CW531" s="1086" t="s">
        <v>2260</v>
      </c>
      <c r="CX531" s="1044" t="s">
        <v>2260</v>
      </c>
      <c r="CY531" s="1045" t="s">
        <v>2260</v>
      </c>
      <c r="CZ531" s="1045" t="s">
        <v>2260</v>
      </c>
      <c r="DA531" s="1045" t="s">
        <v>2260</v>
      </c>
      <c r="DB531" s="1086" t="s">
        <v>2260</v>
      </c>
      <c r="DC531" s="1045" t="s">
        <v>2260</v>
      </c>
      <c r="DD531" s="1045" t="s">
        <v>2260</v>
      </c>
      <c r="DE531" s="1045" t="s">
        <v>2260</v>
      </c>
      <c r="DF531" s="1045" t="s">
        <v>2260</v>
      </c>
      <c r="DG531" s="1086" t="s">
        <v>2260</v>
      </c>
      <c r="DH531" s="1044" t="s">
        <v>2260</v>
      </c>
      <c r="DI531" s="1045" t="s">
        <v>2260</v>
      </c>
      <c r="DJ531" s="1045" t="s">
        <v>2260</v>
      </c>
      <c r="DK531" s="1045" t="s">
        <v>2260</v>
      </c>
      <c r="DL531" s="1086" t="s">
        <v>2260</v>
      </c>
      <c r="DM531" s="1090" t="s">
        <v>2260</v>
      </c>
      <c r="DN531" s="1091" t="s">
        <v>2260</v>
      </c>
      <c r="DO531" s="1091" t="s">
        <v>2260</v>
      </c>
      <c r="DP531" s="1092" t="s">
        <v>2260</v>
      </c>
      <c r="DQ531" s="1091" t="s">
        <v>2260</v>
      </c>
      <c r="DR531" s="1091" t="s">
        <v>2260</v>
      </c>
      <c r="DS531" s="1091" t="s">
        <v>2260</v>
      </c>
      <c r="DT531" s="1092" t="s">
        <v>2260</v>
      </c>
      <c r="DU531" s="1088" t="s">
        <v>2260</v>
      </c>
      <c r="DV531" s="1093">
        <v>1</v>
      </c>
      <c r="DW531" s="1094" t="s">
        <v>2260</v>
      </c>
    </row>
    <row r="532" spans="1:127" s="382" customFormat="1" ht="15.75" customHeight="1">
      <c r="A532" s="1023" t="s">
        <v>1213</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1192</v>
      </c>
      <c r="V532" s="1029" t="s">
        <v>3952</v>
      </c>
      <c r="W532" s="1029" t="s">
        <v>2217</v>
      </c>
      <c r="X532" s="1030" t="s">
        <v>3955</v>
      </c>
      <c r="Y532" s="1031" t="s">
        <v>784</v>
      </c>
      <c r="Z532" s="1032" t="s">
        <v>3819</v>
      </c>
      <c r="AA532" s="1033" t="s">
        <v>2260</v>
      </c>
      <c r="AB532" s="1034" t="s">
        <v>2260</v>
      </c>
      <c r="AC532" s="1034">
        <v>1</v>
      </c>
      <c r="AD532" s="1034" t="s">
        <v>2260</v>
      </c>
      <c r="AE532" s="1034" t="s">
        <v>2260</v>
      </c>
      <c r="AF532" s="1034" t="s">
        <v>2260</v>
      </c>
      <c r="AG532" s="1034" t="s">
        <v>2260</v>
      </c>
      <c r="AH532" s="1034" t="s">
        <v>2260</v>
      </c>
      <c r="AI532" s="1035">
        <f t="shared" si="8"/>
        <v>1</v>
      </c>
      <c r="AJ532" s="1036" t="s">
        <v>1852</v>
      </c>
      <c r="AK532" s="1036" t="s">
        <v>1826</v>
      </c>
      <c r="AL532" s="1036" t="s">
        <v>1827</v>
      </c>
      <c r="AM532" s="1037" t="s">
        <v>2351</v>
      </c>
      <c r="AN532" s="1031" t="s">
        <v>2439</v>
      </c>
      <c r="AO532" s="1031" t="s">
        <v>4197</v>
      </c>
      <c r="AP532" s="1275">
        <v>2</v>
      </c>
      <c r="AQ532" s="1049" t="s">
        <v>1838</v>
      </c>
      <c r="AR532" s="1040" t="s">
        <v>784</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210</v>
      </c>
      <c r="CE532" s="1054" t="s">
        <v>210</v>
      </c>
      <c r="CF532" s="1054" t="s">
        <v>210</v>
      </c>
      <c r="CG532" s="1054" t="s">
        <v>210</v>
      </c>
      <c r="CH532" s="1055" t="s">
        <v>210</v>
      </c>
      <c r="CI532" s="1058" t="s">
        <v>2260</v>
      </c>
      <c r="CJ532" s="1056" t="s">
        <v>2260</v>
      </c>
      <c r="CK532" s="1056" t="s">
        <v>2260</v>
      </c>
      <c r="CL532" s="1056" t="s">
        <v>2260</v>
      </c>
      <c r="CM532" s="1057" t="s">
        <v>2260</v>
      </c>
      <c r="CN532" s="1058">
        <v>2.75</v>
      </c>
      <c r="CO532" s="1056">
        <v>3</v>
      </c>
      <c r="CP532" s="1056">
        <v>3.4</v>
      </c>
      <c r="CQ532" s="1056">
        <v>3.6</v>
      </c>
      <c r="CR532" s="1057">
        <v>4</v>
      </c>
      <c r="CS532" s="1048" t="s">
        <v>2260</v>
      </c>
      <c r="CT532" s="1049" t="s">
        <v>2260</v>
      </c>
      <c r="CU532" s="1049" t="s">
        <v>2260</v>
      </c>
      <c r="CV532" s="1049" t="s">
        <v>2260</v>
      </c>
      <c r="CW532" s="1052" t="s">
        <v>2260</v>
      </c>
      <c r="CX532" s="1048" t="s">
        <v>2260</v>
      </c>
      <c r="CY532" s="1049" t="s">
        <v>2260</v>
      </c>
      <c r="CZ532" s="1049" t="s">
        <v>2260</v>
      </c>
      <c r="DA532" s="1049" t="s">
        <v>2260</v>
      </c>
      <c r="DB532" s="1052" t="s">
        <v>2260</v>
      </c>
      <c r="DC532" s="1049">
        <v>1.48</v>
      </c>
      <c r="DD532" s="1049">
        <v>1.42</v>
      </c>
      <c r="DE532" s="1049">
        <v>1.36</v>
      </c>
      <c r="DF532" s="1049">
        <v>1.25</v>
      </c>
      <c r="DG532" s="1052">
        <v>1.1599999999999999</v>
      </c>
      <c r="DH532" s="1058" t="s">
        <v>2260</v>
      </c>
      <c r="DI532" s="1049" t="s">
        <v>2260</v>
      </c>
      <c r="DJ532" s="1049" t="s">
        <v>2260</v>
      </c>
      <c r="DK532" s="1049" t="s">
        <v>2260</v>
      </c>
      <c r="DL532" s="1052" t="s">
        <v>2260</v>
      </c>
      <c r="DM532" s="1060">
        <v>-6.7510000000000003</v>
      </c>
      <c r="DN532" s="1061" t="s">
        <v>2260</v>
      </c>
      <c r="DO532" s="1061" t="s">
        <v>2260</v>
      </c>
      <c r="DP532" s="1062" t="s">
        <v>2260</v>
      </c>
      <c r="DQ532" s="1061">
        <v>6.7510000000000003</v>
      </c>
      <c r="DR532" s="1061" t="s">
        <v>2260</v>
      </c>
      <c r="DS532" s="1061" t="s">
        <v>2260</v>
      </c>
      <c r="DT532" s="1062" t="s">
        <v>2260</v>
      </c>
      <c r="DU532" s="1054" t="s">
        <v>2260</v>
      </c>
      <c r="DV532" s="1063">
        <v>1</v>
      </c>
      <c r="DW532" s="1064" t="s">
        <v>2260</v>
      </c>
    </row>
    <row r="533" spans="1:127" s="382" customFormat="1" ht="15.75" customHeight="1">
      <c r="A533" s="1066" t="s">
        <v>1213</v>
      </c>
      <c r="B533" s="1026">
        <v>524</v>
      </c>
      <c r="C533" s="987"/>
      <c r="D533" s="987"/>
      <c r="E533" s="987"/>
      <c r="F533" s="987"/>
      <c r="G533" s="987"/>
      <c r="H533" s="987"/>
      <c r="I533" s="987"/>
      <c r="J533" s="987"/>
      <c r="K533" s="987"/>
      <c r="L533" s="987"/>
      <c r="M533" s="1026"/>
      <c r="N533" s="987"/>
      <c r="O533" s="987"/>
      <c r="P533" s="987"/>
      <c r="Q533" s="987"/>
      <c r="R533" s="987"/>
      <c r="S533" s="987"/>
      <c r="T533" s="988"/>
      <c r="U533" s="1067" t="s">
        <v>1562</v>
      </c>
      <c r="V533" s="1068" t="s">
        <v>3952</v>
      </c>
      <c r="W533" s="1068" t="s">
        <v>2217</v>
      </c>
      <c r="X533" s="1069" t="s">
        <v>3957</v>
      </c>
      <c r="Y533" s="1070" t="s">
        <v>3958</v>
      </c>
      <c r="Z533" s="1071" t="s">
        <v>3959</v>
      </c>
      <c r="AA533" s="1072" t="s">
        <v>2260</v>
      </c>
      <c r="AB533" s="1073" t="s">
        <v>2260</v>
      </c>
      <c r="AC533" s="1073">
        <v>1</v>
      </c>
      <c r="AD533" s="1073" t="s">
        <v>2260</v>
      </c>
      <c r="AE533" s="1073" t="s">
        <v>2260</v>
      </c>
      <c r="AF533" s="1073" t="s">
        <v>2260</v>
      </c>
      <c r="AG533" s="1073" t="s">
        <v>2260</v>
      </c>
      <c r="AH533" s="1073" t="s">
        <v>2260</v>
      </c>
      <c r="AI533" s="1074">
        <f t="shared" si="8"/>
        <v>1</v>
      </c>
      <c r="AJ533" s="1075" t="s">
        <v>1852</v>
      </c>
      <c r="AK533" s="1075" t="s">
        <v>1826</v>
      </c>
      <c r="AL533" s="1075" t="s">
        <v>1827</v>
      </c>
      <c r="AM533" s="1076" t="s">
        <v>2351</v>
      </c>
      <c r="AN533" s="987" t="s">
        <v>2439</v>
      </c>
      <c r="AO533" s="987" t="s">
        <v>4197</v>
      </c>
      <c r="AP533" s="1243">
        <v>0</v>
      </c>
      <c r="AQ533" s="1045" t="s">
        <v>1838</v>
      </c>
      <c r="AR533" s="1078"/>
      <c r="AS533" s="1079"/>
      <c r="AT533" s="1069"/>
      <c r="AU533" s="1069"/>
      <c r="AV533" s="1069"/>
      <c r="AW533" s="1080"/>
      <c r="AX533" s="1081"/>
      <c r="AY533" s="1044"/>
      <c r="AZ533" s="1045"/>
      <c r="BA533" s="1045"/>
      <c r="BB533" s="1045"/>
      <c r="BC533" s="1045"/>
      <c r="BD533" s="1045"/>
      <c r="BE533" s="1045"/>
      <c r="BF533" s="1045"/>
      <c r="BG533" s="1095"/>
      <c r="BH533" s="1095"/>
      <c r="BI533" s="1660"/>
      <c r="BJ533" s="1661"/>
      <c r="BK533" s="1661"/>
      <c r="BL533" s="1661"/>
      <c r="BM533" s="1661"/>
      <c r="BN533" s="1044"/>
      <c r="BO533" s="1045"/>
      <c r="BP533" s="1045"/>
      <c r="BQ533" s="1045"/>
      <c r="BR533" s="1045"/>
      <c r="BS533" s="1084"/>
      <c r="BT533" s="1045"/>
      <c r="BU533" s="1045"/>
      <c r="BV533" s="1045"/>
      <c r="BW533" s="1085"/>
      <c r="BX533" s="1084"/>
      <c r="BY533" s="1045"/>
      <c r="BZ533" s="1045"/>
      <c r="CA533" s="1045"/>
      <c r="CB533" s="1085"/>
      <c r="CC533" s="1086"/>
      <c r="CD533" s="1327"/>
      <c r="CE533" s="1328"/>
      <c r="CF533" s="1328"/>
      <c r="CG533" s="1328"/>
      <c r="CH533" s="1389"/>
      <c r="CI533" s="1369"/>
      <c r="CJ533" s="1319"/>
      <c r="CK533" s="1319"/>
      <c r="CL533" s="1319"/>
      <c r="CM533" s="1320"/>
      <c r="CN533" s="1369"/>
      <c r="CO533" s="1319"/>
      <c r="CP533" s="1319"/>
      <c r="CQ533" s="1319"/>
      <c r="CR533" s="1320"/>
      <c r="CS533" s="1369"/>
      <c r="CT533" s="1319"/>
      <c r="CU533" s="1319"/>
      <c r="CV533" s="1319"/>
      <c r="CW533" s="1320"/>
      <c r="CX533" s="1369"/>
      <c r="CY533" s="1319"/>
      <c r="CZ533" s="1319"/>
      <c r="DA533" s="1319"/>
      <c r="DB533" s="1320"/>
      <c r="DC533" s="1319"/>
      <c r="DD533" s="1319"/>
      <c r="DE533" s="1319"/>
      <c r="DF533" s="1319"/>
      <c r="DG533" s="1320"/>
      <c r="DH533" s="1369"/>
      <c r="DI533" s="1319"/>
      <c r="DJ533" s="1319"/>
      <c r="DK533" s="1319"/>
      <c r="DL533" s="1320"/>
      <c r="DM533" s="1743"/>
      <c r="DN533" s="1744"/>
      <c r="DO533" s="1744"/>
      <c r="DP533" s="1745"/>
      <c r="DQ533" s="1744"/>
      <c r="DR533" s="1744"/>
      <c r="DS533" s="1744"/>
      <c r="DT533" s="1745"/>
      <c r="DU533" s="1328"/>
      <c r="DV533" s="1664"/>
      <c r="DW533" s="1746"/>
    </row>
    <row r="534" spans="1:127" s="382" customFormat="1" ht="15.75" customHeight="1">
      <c r="A534" s="1066" t="s">
        <v>1213</v>
      </c>
      <c r="B534" s="1026">
        <v>525</v>
      </c>
      <c r="C534" s="987"/>
      <c r="D534" s="987"/>
      <c r="E534" s="987"/>
      <c r="F534" s="987"/>
      <c r="G534" s="987"/>
      <c r="H534" s="987"/>
      <c r="I534" s="987"/>
      <c r="J534" s="987"/>
      <c r="K534" s="987"/>
      <c r="L534" s="987"/>
      <c r="M534" s="1026"/>
      <c r="N534" s="987"/>
      <c r="O534" s="987"/>
      <c r="P534" s="987"/>
      <c r="Q534" s="987"/>
      <c r="R534" s="987"/>
      <c r="S534" s="987"/>
      <c r="T534" s="988"/>
      <c r="U534" s="1067" t="s">
        <v>1570</v>
      </c>
      <c r="V534" s="1068" t="s">
        <v>3952</v>
      </c>
      <c r="W534" s="1068" t="s">
        <v>2231</v>
      </c>
      <c r="X534" s="1069" t="s">
        <v>3961</v>
      </c>
      <c r="Y534" s="1070" t="s">
        <v>3962</v>
      </c>
      <c r="Z534" s="1071" t="s">
        <v>3963</v>
      </c>
      <c r="AA534" s="1072" t="s">
        <v>2260</v>
      </c>
      <c r="AB534" s="1073" t="s">
        <v>2260</v>
      </c>
      <c r="AC534" s="1073">
        <v>1</v>
      </c>
      <c r="AD534" s="1073" t="s">
        <v>2260</v>
      </c>
      <c r="AE534" s="1073" t="s">
        <v>2260</v>
      </c>
      <c r="AF534" s="1073" t="s">
        <v>2260</v>
      </c>
      <c r="AG534" s="1073" t="s">
        <v>2260</v>
      </c>
      <c r="AH534" s="1073" t="s">
        <v>2260</v>
      </c>
      <c r="AI534" s="1074">
        <f t="shared" si="8"/>
        <v>1</v>
      </c>
      <c r="AJ534" s="1075" t="s">
        <v>1852</v>
      </c>
      <c r="AK534" s="1075" t="s">
        <v>1826</v>
      </c>
      <c r="AL534" s="1075" t="s">
        <v>1827</v>
      </c>
      <c r="AM534" s="1076" t="s">
        <v>2610</v>
      </c>
      <c r="AN534" s="987" t="s">
        <v>321</v>
      </c>
      <c r="AO534" s="987" t="s">
        <v>3964</v>
      </c>
      <c r="AP534" s="1243">
        <v>1</v>
      </c>
      <c r="AQ534" s="1045" t="s">
        <v>1828</v>
      </c>
      <c r="AR534" s="1078" t="s">
        <v>2260</v>
      </c>
      <c r="AS534" s="1079"/>
      <c r="AT534" s="1069"/>
      <c r="AU534" s="1069"/>
      <c r="AV534" s="1069"/>
      <c r="AW534" s="1080"/>
      <c r="AX534" s="1081"/>
      <c r="AY534" s="1044"/>
      <c r="AZ534" s="1045"/>
      <c r="BA534" s="1045"/>
      <c r="BB534" s="1045"/>
      <c r="BC534" s="1045"/>
      <c r="BD534" s="1045"/>
      <c r="BE534" s="1045"/>
      <c r="BF534" s="1045"/>
      <c r="BG534" s="1045"/>
      <c r="BH534" s="1045"/>
      <c r="BI534" s="1369"/>
      <c r="BJ534" s="1319"/>
      <c r="BK534" s="1319"/>
      <c r="BL534" s="1319"/>
      <c r="BM534" s="1319"/>
      <c r="BN534" s="1044"/>
      <c r="BO534" s="1045"/>
      <c r="BP534" s="1045"/>
      <c r="BQ534" s="1045"/>
      <c r="BR534" s="1045"/>
      <c r="BS534" s="1084"/>
      <c r="BT534" s="1045"/>
      <c r="BU534" s="1045"/>
      <c r="BV534" s="1045"/>
      <c r="BW534" s="1085"/>
      <c r="BX534" s="1084"/>
      <c r="BY534" s="1045"/>
      <c r="BZ534" s="1045"/>
      <c r="CA534" s="1045"/>
      <c r="CB534" s="1085"/>
      <c r="CC534" s="1086"/>
      <c r="CD534" s="1327"/>
      <c r="CE534" s="1328"/>
      <c r="CF534" s="1328"/>
      <c r="CG534" s="1328"/>
      <c r="CH534" s="1389"/>
      <c r="CI534" s="1369"/>
      <c r="CJ534" s="1319"/>
      <c r="CK534" s="1319"/>
      <c r="CL534" s="1319"/>
      <c r="CM534" s="1320"/>
      <c r="CN534" s="1369"/>
      <c r="CO534" s="1319"/>
      <c r="CP534" s="1319"/>
      <c r="CQ534" s="1319"/>
      <c r="CR534" s="1320"/>
      <c r="CS534" s="1369"/>
      <c r="CT534" s="1319"/>
      <c r="CU534" s="1319"/>
      <c r="CV534" s="1319"/>
      <c r="CW534" s="1320"/>
      <c r="CX534" s="1369"/>
      <c r="CY534" s="1319"/>
      <c r="CZ534" s="1319"/>
      <c r="DA534" s="1319"/>
      <c r="DB534" s="1320"/>
      <c r="DC534" s="1319"/>
      <c r="DD534" s="1319"/>
      <c r="DE534" s="1319"/>
      <c r="DF534" s="1319"/>
      <c r="DG534" s="1320"/>
      <c r="DH534" s="1369"/>
      <c r="DI534" s="1319"/>
      <c r="DJ534" s="1319"/>
      <c r="DK534" s="1319"/>
      <c r="DL534" s="1320"/>
      <c r="DM534" s="1743"/>
      <c r="DN534" s="1744"/>
      <c r="DO534" s="1744"/>
      <c r="DP534" s="1745"/>
      <c r="DQ534" s="1744"/>
      <c r="DR534" s="1744"/>
      <c r="DS534" s="1744"/>
      <c r="DT534" s="1745"/>
      <c r="DU534" s="1328"/>
      <c r="DV534" s="1664"/>
      <c r="DW534" s="1746"/>
    </row>
    <row r="535" spans="1:127" s="382" customFormat="1" ht="15.75" customHeight="1">
      <c r="A535" s="1066" t="s">
        <v>1213</v>
      </c>
      <c r="B535" s="1026">
        <v>526</v>
      </c>
      <c r="C535" s="987"/>
      <c r="D535" s="987"/>
      <c r="E535" s="987"/>
      <c r="F535" s="987"/>
      <c r="G535" s="987"/>
      <c r="H535" s="987"/>
      <c r="I535" s="987"/>
      <c r="J535" s="987"/>
      <c r="K535" s="987"/>
      <c r="L535" s="987"/>
      <c r="M535" s="1026"/>
      <c r="N535" s="987"/>
      <c r="O535" s="987"/>
      <c r="P535" s="987"/>
      <c r="Q535" s="987"/>
      <c r="R535" s="987"/>
      <c r="S535" s="987"/>
      <c r="T535" s="988"/>
      <c r="U535" s="1067" t="s">
        <v>1578</v>
      </c>
      <c r="V535" s="1068" t="s">
        <v>3952</v>
      </c>
      <c r="W535" s="1068" t="s">
        <v>2231</v>
      </c>
      <c r="X535" s="1069" t="s">
        <v>3965</v>
      </c>
      <c r="Y535" s="1070" t="s">
        <v>3966</v>
      </c>
      <c r="Z535" s="1071" t="s">
        <v>3967</v>
      </c>
      <c r="AA535" s="1072" t="s">
        <v>2260</v>
      </c>
      <c r="AB535" s="1073" t="s">
        <v>2260</v>
      </c>
      <c r="AC535" s="1073">
        <v>1</v>
      </c>
      <c r="AD535" s="1073" t="s">
        <v>2260</v>
      </c>
      <c r="AE535" s="1073" t="s">
        <v>2260</v>
      </c>
      <c r="AF535" s="1073" t="s">
        <v>2260</v>
      </c>
      <c r="AG535" s="1073" t="s">
        <v>2260</v>
      </c>
      <c r="AH535" s="1073" t="s">
        <v>2260</v>
      </c>
      <c r="AI535" s="1074">
        <f t="shared" si="8"/>
        <v>1</v>
      </c>
      <c r="AJ535" s="1075" t="s">
        <v>1852</v>
      </c>
      <c r="AK535" s="1075" t="s">
        <v>1826</v>
      </c>
      <c r="AL535" s="1075" t="s">
        <v>1827</v>
      </c>
      <c r="AM535" s="1076" t="s">
        <v>2351</v>
      </c>
      <c r="AN535" s="987" t="s">
        <v>1857</v>
      </c>
      <c r="AO535" s="987" t="s">
        <v>3968</v>
      </c>
      <c r="AP535" s="1243">
        <v>2</v>
      </c>
      <c r="AQ535" s="1045" t="s">
        <v>1838</v>
      </c>
      <c r="AR535" s="1078" t="s">
        <v>2260</v>
      </c>
      <c r="AS535" s="1079"/>
      <c r="AT535" s="1069"/>
      <c r="AU535" s="1069"/>
      <c r="AV535" s="1069"/>
      <c r="AW535" s="1080"/>
      <c r="AX535" s="1081"/>
      <c r="AY535" s="1044"/>
      <c r="AZ535" s="1045"/>
      <c r="BA535" s="1045"/>
      <c r="BB535" s="1045"/>
      <c r="BC535" s="1045"/>
      <c r="BD535" s="1045"/>
      <c r="BE535" s="1045"/>
      <c r="BF535" s="1045"/>
      <c r="BG535" s="1045"/>
      <c r="BH535" s="1045"/>
      <c r="BI535" s="1369"/>
      <c r="BJ535" s="1319"/>
      <c r="BK535" s="1319"/>
      <c r="BL535" s="1319"/>
      <c r="BM535" s="1319"/>
      <c r="BN535" s="1044"/>
      <c r="BO535" s="1045"/>
      <c r="BP535" s="1045"/>
      <c r="BQ535" s="1045"/>
      <c r="BR535" s="1045"/>
      <c r="BS535" s="1084"/>
      <c r="BT535" s="1045"/>
      <c r="BU535" s="1045"/>
      <c r="BV535" s="1045"/>
      <c r="BW535" s="1085"/>
      <c r="BX535" s="1084"/>
      <c r="BY535" s="1045"/>
      <c r="BZ535" s="1045"/>
      <c r="CA535" s="1045"/>
      <c r="CB535" s="1085"/>
      <c r="CC535" s="1086"/>
      <c r="CD535" s="1327"/>
      <c r="CE535" s="1328"/>
      <c r="CF535" s="1328"/>
      <c r="CG535" s="1328"/>
      <c r="CH535" s="1389"/>
      <c r="CI535" s="1369"/>
      <c r="CJ535" s="1319"/>
      <c r="CK535" s="1319"/>
      <c r="CL535" s="1319"/>
      <c r="CM535" s="1320"/>
      <c r="CN535" s="1369"/>
      <c r="CO535" s="1319"/>
      <c r="CP535" s="1319"/>
      <c r="CQ535" s="1319"/>
      <c r="CR535" s="1320"/>
      <c r="CS535" s="1369"/>
      <c r="CT535" s="1319"/>
      <c r="CU535" s="1319"/>
      <c r="CV535" s="1319"/>
      <c r="CW535" s="1320"/>
      <c r="CX535" s="1369"/>
      <c r="CY535" s="1319"/>
      <c r="CZ535" s="1319"/>
      <c r="DA535" s="1319"/>
      <c r="DB535" s="1320"/>
      <c r="DC535" s="1319"/>
      <c r="DD535" s="1319"/>
      <c r="DE535" s="1319"/>
      <c r="DF535" s="1319"/>
      <c r="DG535" s="1320"/>
      <c r="DH535" s="1369"/>
      <c r="DI535" s="1319"/>
      <c r="DJ535" s="1319"/>
      <c r="DK535" s="1319"/>
      <c r="DL535" s="1320"/>
      <c r="DM535" s="1743"/>
      <c r="DN535" s="1744"/>
      <c r="DO535" s="1744"/>
      <c r="DP535" s="1745"/>
      <c r="DQ535" s="1744"/>
      <c r="DR535" s="1744"/>
      <c r="DS535" s="1744"/>
      <c r="DT535" s="1745"/>
      <c r="DU535" s="1328"/>
      <c r="DV535" s="1664"/>
      <c r="DW535" s="1746"/>
    </row>
    <row r="536" spans="1:127" s="382" customFormat="1" ht="15.75" customHeight="1">
      <c r="A536" s="1066" t="s">
        <v>1213</v>
      </c>
      <c r="B536" s="1026">
        <v>527</v>
      </c>
      <c r="C536" s="987"/>
      <c r="D536" s="987"/>
      <c r="E536" s="987"/>
      <c r="F536" s="987"/>
      <c r="G536" s="987"/>
      <c r="H536" s="987"/>
      <c r="I536" s="987"/>
      <c r="J536" s="987"/>
      <c r="K536" s="987"/>
      <c r="L536" s="987"/>
      <c r="M536" s="1026"/>
      <c r="N536" s="987"/>
      <c r="O536" s="987"/>
      <c r="P536" s="987"/>
      <c r="Q536" s="987"/>
      <c r="R536" s="987"/>
      <c r="S536" s="987"/>
      <c r="T536" s="988"/>
      <c r="U536" s="1067" t="s">
        <v>1582</v>
      </c>
      <c r="V536" s="1068" t="s">
        <v>3952</v>
      </c>
      <c r="W536" s="1068" t="s">
        <v>2231</v>
      </c>
      <c r="X536" s="1069" t="s">
        <v>3969</v>
      </c>
      <c r="Y536" s="1070" t="s">
        <v>3970</v>
      </c>
      <c r="Z536" s="1071" t="s">
        <v>3971</v>
      </c>
      <c r="AA536" s="1072" t="s">
        <v>2260</v>
      </c>
      <c r="AB536" s="1073" t="s">
        <v>2260</v>
      </c>
      <c r="AC536" s="1073">
        <v>1</v>
      </c>
      <c r="AD536" s="1073" t="s">
        <v>2260</v>
      </c>
      <c r="AE536" s="1073" t="s">
        <v>2260</v>
      </c>
      <c r="AF536" s="1073" t="s">
        <v>2260</v>
      </c>
      <c r="AG536" s="1073" t="s">
        <v>2260</v>
      </c>
      <c r="AH536" s="1073" t="s">
        <v>2260</v>
      </c>
      <c r="AI536" s="1074">
        <f t="shared" si="8"/>
        <v>1</v>
      </c>
      <c r="AJ536" s="1075" t="s">
        <v>1852</v>
      </c>
      <c r="AK536" s="1075" t="s">
        <v>1826</v>
      </c>
      <c r="AL536" s="1075" t="s">
        <v>1827</v>
      </c>
      <c r="AM536" s="1076" t="s">
        <v>2351</v>
      </c>
      <c r="AN536" s="987" t="s">
        <v>1857</v>
      </c>
      <c r="AO536" s="987" t="s">
        <v>3968</v>
      </c>
      <c r="AP536" s="1243">
        <v>2</v>
      </c>
      <c r="AQ536" s="1045" t="s">
        <v>1838</v>
      </c>
      <c r="AR536" s="1078" t="s">
        <v>2260</v>
      </c>
      <c r="AS536" s="1079"/>
      <c r="AT536" s="1069"/>
      <c r="AU536" s="1069"/>
      <c r="AV536" s="1069"/>
      <c r="AW536" s="1080"/>
      <c r="AX536" s="1081"/>
      <c r="AY536" s="1044"/>
      <c r="AZ536" s="1045"/>
      <c r="BA536" s="1045"/>
      <c r="BB536" s="1045"/>
      <c r="BC536" s="1045"/>
      <c r="BD536" s="1045"/>
      <c r="BE536" s="1045"/>
      <c r="BF536" s="1045"/>
      <c r="BG536" s="1045"/>
      <c r="BH536" s="1045"/>
      <c r="BI536" s="1369"/>
      <c r="BJ536" s="1319"/>
      <c r="BK536" s="1319"/>
      <c r="BL536" s="1319"/>
      <c r="BM536" s="1319"/>
      <c r="BN536" s="1044"/>
      <c r="BO536" s="1045"/>
      <c r="BP536" s="1045"/>
      <c r="BQ536" s="1045"/>
      <c r="BR536" s="1045"/>
      <c r="BS536" s="1084"/>
      <c r="BT536" s="1045"/>
      <c r="BU536" s="1045"/>
      <c r="BV536" s="1045"/>
      <c r="BW536" s="1085"/>
      <c r="BX536" s="1084"/>
      <c r="BY536" s="1045"/>
      <c r="BZ536" s="1045"/>
      <c r="CA536" s="1045"/>
      <c r="CB536" s="1085"/>
      <c r="CC536" s="1086"/>
      <c r="CD536" s="1327"/>
      <c r="CE536" s="1328"/>
      <c r="CF536" s="1328"/>
      <c r="CG536" s="1328"/>
      <c r="CH536" s="1389"/>
      <c r="CI536" s="1369"/>
      <c r="CJ536" s="1319"/>
      <c r="CK536" s="1319"/>
      <c r="CL536" s="1319"/>
      <c r="CM536" s="1320"/>
      <c r="CN536" s="1369"/>
      <c r="CO536" s="1319"/>
      <c r="CP536" s="1319"/>
      <c r="CQ536" s="1319"/>
      <c r="CR536" s="1320"/>
      <c r="CS536" s="1369"/>
      <c r="CT536" s="1319"/>
      <c r="CU536" s="1319"/>
      <c r="CV536" s="1319"/>
      <c r="CW536" s="1320"/>
      <c r="CX536" s="1369"/>
      <c r="CY536" s="1319"/>
      <c r="CZ536" s="1319"/>
      <c r="DA536" s="1319"/>
      <c r="DB536" s="1320"/>
      <c r="DC536" s="1319"/>
      <c r="DD536" s="1319"/>
      <c r="DE536" s="1319"/>
      <c r="DF536" s="1319"/>
      <c r="DG536" s="1320"/>
      <c r="DH536" s="1369"/>
      <c r="DI536" s="1319"/>
      <c r="DJ536" s="1319"/>
      <c r="DK536" s="1319"/>
      <c r="DL536" s="1320"/>
      <c r="DM536" s="1743"/>
      <c r="DN536" s="1744"/>
      <c r="DO536" s="1744"/>
      <c r="DP536" s="1745"/>
      <c r="DQ536" s="1744"/>
      <c r="DR536" s="1744"/>
      <c r="DS536" s="1744"/>
      <c r="DT536" s="1745"/>
      <c r="DU536" s="1328"/>
      <c r="DV536" s="1664"/>
      <c r="DW536" s="1746"/>
    </row>
    <row r="537" spans="1:127" s="382" customFormat="1" ht="15.75" customHeight="1">
      <c r="A537" s="1066" t="s">
        <v>1116</v>
      </c>
      <c r="B537" s="1026">
        <v>528</v>
      </c>
      <c r="C537" s="987"/>
      <c r="D537" s="987"/>
      <c r="E537" s="987"/>
      <c r="F537" s="987"/>
      <c r="G537" s="987"/>
      <c r="H537" s="987"/>
      <c r="I537" s="987"/>
      <c r="J537" s="987"/>
      <c r="K537" s="987"/>
      <c r="L537" s="987"/>
      <c r="M537" s="1026"/>
      <c r="N537" s="987"/>
      <c r="O537" s="987"/>
      <c r="P537" s="987"/>
      <c r="Q537" s="987"/>
      <c r="R537" s="987"/>
      <c r="S537" s="987"/>
      <c r="T537" s="988"/>
      <c r="U537" s="1067" t="s">
        <v>1270</v>
      </c>
      <c r="V537" s="1068" t="s">
        <v>3972</v>
      </c>
      <c r="W537" s="1068" t="s">
        <v>2231</v>
      </c>
      <c r="X537" s="1069" t="s">
        <v>3973</v>
      </c>
      <c r="Y537" s="1070" t="s">
        <v>172</v>
      </c>
      <c r="Z537" s="1071" t="s">
        <v>3974</v>
      </c>
      <c r="AA537" s="1072" t="s">
        <v>2260</v>
      </c>
      <c r="AB537" s="1073">
        <v>1</v>
      </c>
      <c r="AC537" s="1073" t="s">
        <v>2260</v>
      </c>
      <c r="AD537" s="1073" t="s">
        <v>2260</v>
      </c>
      <c r="AE537" s="1073" t="s">
        <v>2260</v>
      </c>
      <c r="AF537" s="1073" t="s">
        <v>2260</v>
      </c>
      <c r="AG537" s="1073" t="s">
        <v>2260</v>
      </c>
      <c r="AH537" s="1073" t="s">
        <v>2260</v>
      </c>
      <c r="AI537" s="1074">
        <f t="shared" si="8"/>
        <v>1</v>
      </c>
      <c r="AJ537" s="1075" t="s">
        <v>1846</v>
      </c>
      <c r="AK537" s="1075" t="s">
        <v>1826</v>
      </c>
      <c r="AL537" s="1075" t="s">
        <v>1827</v>
      </c>
      <c r="AM537" s="1076" t="s">
        <v>2247</v>
      </c>
      <c r="AN537" s="987" t="s">
        <v>2439</v>
      </c>
      <c r="AO537" s="987" t="s">
        <v>4420</v>
      </c>
      <c r="AP537" s="1276">
        <v>2</v>
      </c>
      <c r="AQ537" s="1045" t="s">
        <v>1838</v>
      </c>
      <c r="AR537" s="1078" t="s">
        <v>172</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210</v>
      </c>
      <c r="CE537" s="1088" t="s">
        <v>210</v>
      </c>
      <c r="CF537" s="1088" t="s">
        <v>210</v>
      </c>
      <c r="CG537" s="1088" t="s">
        <v>210</v>
      </c>
      <c r="CH537" s="1089" t="s">
        <v>210</v>
      </c>
      <c r="CI537" s="1044" t="s">
        <v>2260</v>
      </c>
      <c r="CJ537" s="1045" t="s">
        <v>2260</v>
      </c>
      <c r="CK537" s="1045" t="s">
        <v>2260</v>
      </c>
      <c r="CL537" s="1045" t="s">
        <v>2260</v>
      </c>
      <c r="CM537" s="1086" t="s">
        <v>2260</v>
      </c>
      <c r="CN537" s="1044">
        <v>9.5</v>
      </c>
      <c r="CO537" s="1045">
        <v>9.5</v>
      </c>
      <c r="CP537" s="1045">
        <v>9.5</v>
      </c>
      <c r="CQ537" s="1045">
        <v>9.5</v>
      </c>
      <c r="CR537" s="1086">
        <v>9.5</v>
      </c>
      <c r="CS537" s="1044">
        <v>2</v>
      </c>
      <c r="CT537" s="1045">
        <v>2</v>
      </c>
      <c r="CU537" s="1045">
        <v>2</v>
      </c>
      <c r="CV537" s="1045">
        <v>2</v>
      </c>
      <c r="CW537" s="1086">
        <v>2</v>
      </c>
      <c r="CX537" s="1044" t="s">
        <v>2260</v>
      </c>
      <c r="CY537" s="1045" t="s">
        <v>2260</v>
      </c>
      <c r="CZ537" s="1045" t="s">
        <v>2260</v>
      </c>
      <c r="DA537" s="1045" t="s">
        <v>2260</v>
      </c>
      <c r="DB537" s="1086" t="s">
        <v>2260</v>
      </c>
      <c r="DC537" s="1045" t="s">
        <v>2260</v>
      </c>
      <c r="DD537" s="1045" t="s">
        <v>2260</v>
      </c>
      <c r="DE537" s="1045" t="s">
        <v>2260</v>
      </c>
      <c r="DF537" s="1045" t="s">
        <v>2260</v>
      </c>
      <c r="DG537" s="1086" t="s">
        <v>2260</v>
      </c>
      <c r="DH537" s="1044" t="s">
        <v>2260</v>
      </c>
      <c r="DI537" s="1045" t="s">
        <v>2260</v>
      </c>
      <c r="DJ537" s="1045" t="s">
        <v>2260</v>
      </c>
      <c r="DK537" s="1045" t="s">
        <v>2260</v>
      </c>
      <c r="DL537" s="1086" t="s">
        <v>2260</v>
      </c>
      <c r="DM537" s="1090">
        <v>-0.48799999999999999</v>
      </c>
      <c r="DN537" s="1091" t="s">
        <v>2260</v>
      </c>
      <c r="DO537" s="1091" t="s">
        <v>2260</v>
      </c>
      <c r="DP537" s="1092" t="s">
        <v>2260</v>
      </c>
      <c r="DQ537" s="1091">
        <v>0</v>
      </c>
      <c r="DR537" s="1091" t="s">
        <v>2260</v>
      </c>
      <c r="DS537" s="1091" t="s">
        <v>2260</v>
      </c>
      <c r="DT537" s="1092" t="s">
        <v>2260</v>
      </c>
      <c r="DU537" s="1088" t="s">
        <v>2260</v>
      </c>
      <c r="DV537" s="1093">
        <v>1</v>
      </c>
      <c r="DW537" s="1094" t="s">
        <v>2260</v>
      </c>
    </row>
    <row r="538" spans="1:127" s="382" customFormat="1" ht="15.75" customHeight="1">
      <c r="A538" s="1023" t="s">
        <v>1116</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1271</v>
      </c>
      <c r="V538" s="1029" t="s">
        <v>3972</v>
      </c>
      <c r="W538" s="1029" t="s">
        <v>2223</v>
      </c>
      <c r="X538" s="1030" t="s">
        <v>3975</v>
      </c>
      <c r="Y538" s="1031" t="s">
        <v>179</v>
      </c>
      <c r="Z538" s="1032" t="s">
        <v>3976</v>
      </c>
      <c r="AA538" s="1033" t="s">
        <v>2260</v>
      </c>
      <c r="AB538" s="1034">
        <v>1</v>
      </c>
      <c r="AC538" s="1034" t="s">
        <v>2260</v>
      </c>
      <c r="AD538" s="1034" t="s">
        <v>2260</v>
      </c>
      <c r="AE538" s="1034" t="s">
        <v>2260</v>
      </c>
      <c r="AF538" s="1034" t="s">
        <v>2260</v>
      </c>
      <c r="AG538" s="1034" t="s">
        <v>2260</v>
      </c>
      <c r="AH538" s="1034" t="s">
        <v>2260</v>
      </c>
      <c r="AI538" s="1035">
        <f t="shared" si="8"/>
        <v>1</v>
      </c>
      <c r="AJ538" s="1036" t="s">
        <v>1852</v>
      </c>
      <c r="AK538" s="1036" t="s">
        <v>1826</v>
      </c>
      <c r="AL538" s="1036" t="s">
        <v>1827</v>
      </c>
      <c r="AM538" s="1037" t="s">
        <v>2220</v>
      </c>
      <c r="AN538" s="1031" t="s">
        <v>4414</v>
      </c>
      <c r="AO538" s="1031" t="s">
        <v>4415</v>
      </c>
      <c r="AP538" s="1275">
        <v>0</v>
      </c>
      <c r="AQ538" s="1049" t="s">
        <v>1838</v>
      </c>
      <c r="AR538" s="1040" t="s">
        <v>179</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210</v>
      </c>
      <c r="CE538" s="1054" t="s">
        <v>210</v>
      </c>
      <c r="CF538" s="1054" t="s">
        <v>210</v>
      </c>
      <c r="CG538" s="1054" t="s">
        <v>210</v>
      </c>
      <c r="CH538" s="1055" t="s">
        <v>210</v>
      </c>
      <c r="CI538" s="1105" t="s">
        <v>2260</v>
      </c>
      <c r="CJ538" s="1104" t="s">
        <v>2260</v>
      </c>
      <c r="CK538" s="1104" t="s">
        <v>2260</v>
      </c>
      <c r="CL538" s="1104" t="s">
        <v>2260</v>
      </c>
      <c r="CM538" s="1108" t="s">
        <v>2260</v>
      </c>
      <c r="CN538" s="1105">
        <v>1.5798611111111114E-2</v>
      </c>
      <c r="CO538" s="1104">
        <v>1.5798611111111114E-2</v>
      </c>
      <c r="CP538" s="1104">
        <v>1.5798611111111114E-2</v>
      </c>
      <c r="CQ538" s="1104">
        <v>1.5798611111111114E-2</v>
      </c>
      <c r="CR538" s="1108">
        <v>1.5798611111111114E-2</v>
      </c>
      <c r="CS538" s="1310"/>
      <c r="CT538" s="1311"/>
      <c r="CU538" s="1311"/>
      <c r="CV538" s="1311"/>
      <c r="CW538" s="1312"/>
      <c r="CX538" s="1310"/>
      <c r="CY538" s="1311"/>
      <c r="CZ538" s="1311"/>
      <c r="DA538" s="1311"/>
      <c r="DB538" s="1312"/>
      <c r="DC538" s="1267">
        <v>3.4606481481481485E-3</v>
      </c>
      <c r="DD538" s="1267">
        <v>3.0092592592592588E-3</v>
      </c>
      <c r="DE538" s="1267">
        <v>2.615740740740741E-3</v>
      </c>
      <c r="DF538" s="1267">
        <v>2.1990740740740742E-3</v>
      </c>
      <c r="DG538" s="1268">
        <v>1.8865740740740742E-3</v>
      </c>
      <c r="DH538" s="1105" t="s">
        <v>2260</v>
      </c>
      <c r="DI538" s="1104" t="s">
        <v>2260</v>
      </c>
      <c r="DJ538" s="1104"/>
      <c r="DK538" s="1104" t="s">
        <v>2260</v>
      </c>
      <c r="DL538" s="1108" t="s">
        <v>2260</v>
      </c>
      <c r="DM538" s="1060">
        <v>-0.61</v>
      </c>
      <c r="DN538" s="1061" t="s">
        <v>2260</v>
      </c>
      <c r="DO538" s="1061" t="s">
        <v>2260</v>
      </c>
      <c r="DP538" s="1062" t="s">
        <v>2260</v>
      </c>
      <c r="DQ538" s="1061">
        <v>0.61</v>
      </c>
      <c r="DR538" s="1061" t="s">
        <v>2260</v>
      </c>
      <c r="DS538" s="1061" t="s">
        <v>2260</v>
      </c>
      <c r="DT538" s="1062" t="s">
        <v>2260</v>
      </c>
      <c r="DU538" s="1054" t="s">
        <v>2260</v>
      </c>
      <c r="DV538" s="1063">
        <v>1</v>
      </c>
      <c r="DW538" s="1064" t="s">
        <v>2260</v>
      </c>
    </row>
    <row r="539" spans="1:127" s="382" customFormat="1" ht="15.75" customHeight="1">
      <c r="A539" s="1066" t="s">
        <v>1116</v>
      </c>
      <c r="B539" s="1026">
        <v>530</v>
      </c>
      <c r="C539" s="987"/>
      <c r="D539" s="987"/>
      <c r="E539" s="987"/>
      <c r="F539" s="987"/>
      <c r="G539" s="987"/>
      <c r="H539" s="987"/>
      <c r="I539" s="987"/>
      <c r="J539" s="987"/>
      <c r="K539" s="987"/>
      <c r="L539" s="987"/>
      <c r="M539" s="1026"/>
      <c r="N539" s="987"/>
      <c r="O539" s="987"/>
      <c r="P539" s="987"/>
      <c r="Q539" s="987"/>
      <c r="R539" s="987"/>
      <c r="S539" s="987"/>
      <c r="T539" s="988"/>
      <c r="U539" s="1067" t="s">
        <v>1318</v>
      </c>
      <c r="V539" s="1068" t="s">
        <v>3972</v>
      </c>
      <c r="W539" s="1068" t="s">
        <v>2217</v>
      </c>
      <c r="X539" s="1069" t="s">
        <v>3977</v>
      </c>
      <c r="Y539" s="1070" t="s">
        <v>3978</v>
      </c>
      <c r="Z539" s="1071" t="s">
        <v>3979</v>
      </c>
      <c r="AA539" s="1072" t="s">
        <v>2260</v>
      </c>
      <c r="AB539" s="1073">
        <v>1</v>
      </c>
      <c r="AC539" s="1073" t="s">
        <v>2260</v>
      </c>
      <c r="AD539" s="1073" t="s">
        <v>2260</v>
      </c>
      <c r="AE539" s="1073" t="s">
        <v>2260</v>
      </c>
      <c r="AF539" s="1073" t="s">
        <v>2260</v>
      </c>
      <c r="AG539" s="1073" t="s">
        <v>2260</v>
      </c>
      <c r="AH539" s="1073" t="s">
        <v>2260</v>
      </c>
      <c r="AI539" s="1074">
        <f t="shared" si="8"/>
        <v>1</v>
      </c>
      <c r="AJ539" s="1075" t="s">
        <v>1852</v>
      </c>
      <c r="AK539" s="1075" t="s">
        <v>1826</v>
      </c>
      <c r="AL539" s="1075" t="s">
        <v>1827</v>
      </c>
      <c r="AM539" s="1076" t="s">
        <v>2421</v>
      </c>
      <c r="AN539" s="987" t="s">
        <v>439</v>
      </c>
      <c r="AO539" s="987" t="s">
        <v>4423</v>
      </c>
      <c r="AP539" s="1276">
        <v>2</v>
      </c>
      <c r="AQ539" s="1045" t="s">
        <v>1838</v>
      </c>
      <c r="AR539" s="1078"/>
      <c r="AS539" s="1079"/>
      <c r="AT539" s="1069"/>
      <c r="AU539" s="1069"/>
      <c r="AV539" s="1069"/>
      <c r="AW539" s="1080"/>
      <c r="AX539" s="1081"/>
      <c r="AY539" s="1044"/>
      <c r="AZ539" s="1045"/>
      <c r="BA539" s="1045"/>
      <c r="BB539" s="1045"/>
      <c r="BC539" s="1045"/>
      <c r="BD539" s="1045"/>
      <c r="BE539" s="1045"/>
      <c r="BF539" s="1045"/>
      <c r="BG539" s="1045"/>
      <c r="BH539" s="1045"/>
      <c r="BI539" s="1369"/>
      <c r="BJ539" s="1319"/>
      <c r="BK539" s="1319"/>
      <c r="BL539" s="1319"/>
      <c r="BM539" s="1319"/>
      <c r="BN539" s="1044"/>
      <c r="BO539" s="1045"/>
      <c r="BP539" s="1045"/>
      <c r="BQ539" s="1045"/>
      <c r="BR539" s="1045"/>
      <c r="BS539" s="1084"/>
      <c r="BT539" s="1045"/>
      <c r="BU539" s="1045"/>
      <c r="BV539" s="1045"/>
      <c r="BW539" s="1085"/>
      <c r="BX539" s="1084"/>
      <c r="BY539" s="1045"/>
      <c r="BZ539" s="1045"/>
      <c r="CA539" s="1045"/>
      <c r="CB539" s="1085"/>
      <c r="CC539" s="1086"/>
      <c r="CD539" s="1327"/>
      <c r="CE539" s="1328"/>
      <c r="CF539" s="1328"/>
      <c r="CG539" s="1328"/>
      <c r="CH539" s="1389"/>
      <c r="CI539" s="1369"/>
      <c r="CJ539" s="1319"/>
      <c r="CK539" s="1319"/>
      <c r="CL539" s="1319"/>
      <c r="CM539" s="1320"/>
      <c r="CN539" s="1369"/>
      <c r="CO539" s="1319"/>
      <c r="CP539" s="1319"/>
      <c r="CQ539" s="1319"/>
      <c r="CR539" s="1320"/>
      <c r="CS539" s="1369"/>
      <c r="CT539" s="1319"/>
      <c r="CU539" s="1319"/>
      <c r="CV539" s="1319"/>
      <c r="CW539" s="1320"/>
      <c r="CX539" s="1369"/>
      <c r="CY539" s="1319"/>
      <c r="CZ539" s="1319"/>
      <c r="DA539" s="1319"/>
      <c r="DB539" s="1320"/>
      <c r="DC539" s="1319"/>
      <c r="DD539" s="1319"/>
      <c r="DE539" s="1319"/>
      <c r="DF539" s="1319"/>
      <c r="DG539" s="1320"/>
      <c r="DH539" s="1369"/>
      <c r="DI539" s="1319"/>
      <c r="DJ539" s="1319"/>
      <c r="DK539" s="1319"/>
      <c r="DL539" s="1320"/>
      <c r="DM539" s="1743"/>
      <c r="DN539" s="1744"/>
      <c r="DO539" s="1744"/>
      <c r="DP539" s="1745"/>
      <c r="DQ539" s="1744"/>
      <c r="DR539" s="1744"/>
      <c r="DS539" s="1744"/>
      <c r="DT539" s="1745"/>
      <c r="DU539" s="1328"/>
      <c r="DV539" s="1664"/>
      <c r="DW539" s="1746"/>
    </row>
    <row r="540" spans="1:127" s="382" customFormat="1" ht="15.75" customHeight="1">
      <c r="A540" s="1066" t="s">
        <v>1116</v>
      </c>
      <c r="B540" s="1026">
        <v>531</v>
      </c>
      <c r="C540" s="987"/>
      <c r="D540" s="987"/>
      <c r="E540" s="987"/>
      <c r="F540" s="987"/>
      <c r="G540" s="987"/>
      <c r="H540" s="987"/>
      <c r="I540" s="987"/>
      <c r="J540" s="987"/>
      <c r="K540" s="987"/>
      <c r="L540" s="987"/>
      <c r="M540" s="1026"/>
      <c r="N540" s="987"/>
      <c r="O540" s="987"/>
      <c r="P540" s="987"/>
      <c r="Q540" s="987"/>
      <c r="R540" s="987"/>
      <c r="S540" s="987"/>
      <c r="T540" s="988"/>
      <c r="U540" s="1067" t="s">
        <v>1274</v>
      </c>
      <c r="V540" s="1068" t="s">
        <v>3972</v>
      </c>
      <c r="W540" s="1068" t="s">
        <v>2231</v>
      </c>
      <c r="X540" s="1069" t="s">
        <v>3981</v>
      </c>
      <c r="Y540" s="1070" t="s">
        <v>203</v>
      </c>
      <c r="Z540" s="1071" t="s">
        <v>3982</v>
      </c>
      <c r="AA540" s="1072" t="s">
        <v>2260</v>
      </c>
      <c r="AB540" s="1073">
        <v>1</v>
      </c>
      <c r="AC540" s="1073" t="s">
        <v>2260</v>
      </c>
      <c r="AD540" s="1073" t="s">
        <v>2260</v>
      </c>
      <c r="AE540" s="1073" t="s">
        <v>2260</v>
      </c>
      <c r="AF540" s="1073" t="s">
        <v>2260</v>
      </c>
      <c r="AG540" s="1073" t="s">
        <v>2260</v>
      </c>
      <c r="AH540" s="1073" t="s">
        <v>2260</v>
      </c>
      <c r="AI540" s="1074">
        <f t="shared" si="8"/>
        <v>1</v>
      </c>
      <c r="AJ540" s="1075" t="s">
        <v>1846</v>
      </c>
      <c r="AK540" s="1075" t="s">
        <v>1826</v>
      </c>
      <c r="AL540" s="1075" t="s">
        <v>1827</v>
      </c>
      <c r="AM540" s="1076" t="s">
        <v>2363</v>
      </c>
      <c r="AN540" s="987" t="s">
        <v>2439</v>
      </c>
      <c r="AO540" s="987" t="s">
        <v>4419</v>
      </c>
      <c r="AP540" s="1276">
        <v>1</v>
      </c>
      <c r="AQ540" s="1045" t="s">
        <v>1838</v>
      </c>
      <c r="AR540" s="1078" t="s">
        <v>203</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210</v>
      </c>
      <c r="CE540" s="1088" t="s">
        <v>210</v>
      </c>
      <c r="CF540" s="1088" t="s">
        <v>210</v>
      </c>
      <c r="CG540" s="1088" t="s">
        <v>210</v>
      </c>
      <c r="CH540" s="1089" t="s">
        <v>210</v>
      </c>
      <c r="CI540" s="1044" t="s">
        <v>2260</v>
      </c>
      <c r="CJ540" s="1045" t="s">
        <v>2260</v>
      </c>
      <c r="CK540" s="1045" t="s">
        <v>2260</v>
      </c>
      <c r="CL540" s="1045" t="s">
        <v>2260</v>
      </c>
      <c r="CM540" s="1086" t="s">
        <v>2260</v>
      </c>
      <c r="CN540" s="1044">
        <v>194.5</v>
      </c>
      <c r="CO540" s="1045">
        <v>194.5</v>
      </c>
      <c r="CP540" s="1045">
        <v>194.5</v>
      </c>
      <c r="CQ540" s="1045">
        <v>194.5</v>
      </c>
      <c r="CR540" s="1086">
        <v>194.5</v>
      </c>
      <c r="CS540" s="1044" t="s">
        <v>2260</v>
      </c>
      <c r="CT540" s="1045" t="s">
        <v>2260</v>
      </c>
      <c r="CU540" s="1045" t="s">
        <v>2260</v>
      </c>
      <c r="CV540" s="1045" t="s">
        <v>2260</v>
      </c>
      <c r="CW540" s="1086" t="s">
        <v>2260</v>
      </c>
      <c r="CX540" s="1044" t="s">
        <v>2260</v>
      </c>
      <c r="CY540" s="1045" t="s">
        <v>2260</v>
      </c>
      <c r="CZ540" s="1045" t="s">
        <v>2260</v>
      </c>
      <c r="DA540" s="1045" t="s">
        <v>2260</v>
      </c>
      <c r="DB540" s="1086" t="s">
        <v>2260</v>
      </c>
      <c r="DC540" s="1045" t="s">
        <v>2260</v>
      </c>
      <c r="DD540" s="1045" t="s">
        <v>2260</v>
      </c>
      <c r="DE540" s="1045" t="s">
        <v>2260</v>
      </c>
      <c r="DF540" s="1045" t="s">
        <v>2260</v>
      </c>
      <c r="DG540" s="1086" t="s">
        <v>2260</v>
      </c>
      <c r="DH540" s="1044" t="s">
        <v>2260</v>
      </c>
      <c r="DI540" s="1045" t="s">
        <v>2260</v>
      </c>
      <c r="DJ540" s="1045" t="s">
        <v>2260</v>
      </c>
      <c r="DK540" s="1045" t="s">
        <v>2260</v>
      </c>
      <c r="DL540" s="1086" t="s">
        <v>2260</v>
      </c>
      <c r="DM540" s="1090">
        <v>-0.10199999999999999</v>
      </c>
      <c r="DN540" s="1091" t="s">
        <v>2260</v>
      </c>
      <c r="DO540" s="1091" t="s">
        <v>2260</v>
      </c>
      <c r="DP540" s="1092" t="s">
        <v>2260</v>
      </c>
      <c r="DQ540" s="1091" t="s">
        <v>2260</v>
      </c>
      <c r="DR540" s="1091" t="s">
        <v>2260</v>
      </c>
      <c r="DS540" s="1091" t="s">
        <v>2260</v>
      </c>
      <c r="DT540" s="1092" t="s">
        <v>2260</v>
      </c>
      <c r="DU540" s="1088" t="s">
        <v>2260</v>
      </c>
      <c r="DV540" s="1093">
        <v>1</v>
      </c>
      <c r="DW540" s="1094" t="s">
        <v>2260</v>
      </c>
    </row>
    <row r="541" spans="1:127" s="382" customFormat="1" ht="15.75" customHeight="1">
      <c r="A541" s="1066" t="s">
        <v>1116</v>
      </c>
      <c r="B541" s="1026">
        <v>532</v>
      </c>
      <c r="C541" s="987"/>
      <c r="D541" s="987"/>
      <c r="E541" s="987"/>
      <c r="F541" s="987"/>
      <c r="G541" s="987"/>
      <c r="H541" s="987"/>
      <c r="I541" s="987"/>
      <c r="J541" s="987"/>
      <c r="K541" s="987"/>
      <c r="L541" s="987"/>
      <c r="M541" s="1026"/>
      <c r="N541" s="987"/>
      <c r="O541" s="987"/>
      <c r="P541" s="987"/>
      <c r="Q541" s="987"/>
      <c r="R541" s="987"/>
      <c r="S541" s="987"/>
      <c r="T541" s="988"/>
      <c r="U541" s="1067" t="s">
        <v>1275</v>
      </c>
      <c r="V541" s="1068" t="s">
        <v>3972</v>
      </c>
      <c r="W541" s="1068" t="s">
        <v>2231</v>
      </c>
      <c r="X541" s="1069" t="s">
        <v>3984</v>
      </c>
      <c r="Y541" s="1070" t="s">
        <v>209</v>
      </c>
      <c r="Z541" s="1071" t="s">
        <v>3985</v>
      </c>
      <c r="AA541" s="1072" t="s">
        <v>2260</v>
      </c>
      <c r="AB541" s="1073">
        <v>1</v>
      </c>
      <c r="AC541" s="1073" t="s">
        <v>2260</v>
      </c>
      <c r="AD541" s="1073" t="s">
        <v>2260</v>
      </c>
      <c r="AE541" s="1073" t="s">
        <v>2260</v>
      </c>
      <c r="AF541" s="1073" t="s">
        <v>2260</v>
      </c>
      <c r="AG541" s="1073" t="s">
        <v>2260</v>
      </c>
      <c r="AH541" s="1073" t="s">
        <v>2260</v>
      </c>
      <c r="AI541" s="1074">
        <f t="shared" si="8"/>
        <v>1</v>
      </c>
      <c r="AJ541" s="1075" t="s">
        <v>1846</v>
      </c>
      <c r="AK541" s="1075" t="s">
        <v>1826</v>
      </c>
      <c r="AL541" s="1075" t="s">
        <v>1827</v>
      </c>
      <c r="AM541" s="1076" t="s">
        <v>2238</v>
      </c>
      <c r="AN541" s="987" t="s">
        <v>321</v>
      </c>
      <c r="AO541" s="987" t="s">
        <v>4418</v>
      </c>
      <c r="AP541" s="1276">
        <v>2</v>
      </c>
      <c r="AQ541" s="1045" t="s">
        <v>1838</v>
      </c>
      <c r="AR541" s="1078" t="s">
        <v>209</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210</v>
      </c>
      <c r="CE541" s="1088" t="s">
        <v>210</v>
      </c>
      <c r="CF541" s="1088" t="s">
        <v>210</v>
      </c>
      <c r="CG541" s="1088" t="s">
        <v>210</v>
      </c>
      <c r="CH541" s="1089" t="s">
        <v>210</v>
      </c>
      <c r="CI541" s="1044" t="s">
        <v>2260</v>
      </c>
      <c r="CJ541" s="1045" t="s">
        <v>2260</v>
      </c>
      <c r="CK541" s="1045" t="s">
        <v>2260</v>
      </c>
      <c r="CL541" s="1045" t="s">
        <v>2260</v>
      </c>
      <c r="CM541" s="1086" t="s">
        <v>2260</v>
      </c>
      <c r="CN541" s="1044">
        <v>4.68</v>
      </c>
      <c r="CO541" s="1045">
        <v>4.68</v>
      </c>
      <c r="CP541" s="1045">
        <v>4.68</v>
      </c>
      <c r="CQ541" s="1045">
        <v>4.68</v>
      </c>
      <c r="CR541" s="1086">
        <v>4.68</v>
      </c>
      <c r="CS541" s="1044" t="s">
        <v>2260</v>
      </c>
      <c r="CT541" s="1045" t="s">
        <v>2260</v>
      </c>
      <c r="CU541" s="1045" t="s">
        <v>2260</v>
      </c>
      <c r="CV541" s="1045" t="s">
        <v>2260</v>
      </c>
      <c r="CW541" s="1086" t="s">
        <v>2260</v>
      </c>
      <c r="CX541" s="1044" t="s">
        <v>2260</v>
      </c>
      <c r="CY541" s="1045" t="s">
        <v>2260</v>
      </c>
      <c r="CZ541" s="1045" t="s">
        <v>2260</v>
      </c>
      <c r="DA541" s="1045" t="s">
        <v>2260</v>
      </c>
      <c r="DB541" s="1086" t="s">
        <v>2260</v>
      </c>
      <c r="DC541" s="1045" t="s">
        <v>2260</v>
      </c>
      <c r="DD541" s="1045" t="s">
        <v>2260</v>
      </c>
      <c r="DE541" s="1045" t="s">
        <v>2260</v>
      </c>
      <c r="DF541" s="1045" t="s">
        <v>2260</v>
      </c>
      <c r="DG541" s="1086" t="s">
        <v>2260</v>
      </c>
      <c r="DH541" s="1044" t="s">
        <v>2260</v>
      </c>
      <c r="DI541" s="1045" t="s">
        <v>2260</v>
      </c>
      <c r="DJ541" s="1045" t="s">
        <v>2260</v>
      </c>
      <c r="DK541" s="1045" t="s">
        <v>2260</v>
      </c>
      <c r="DL541" s="1086" t="s">
        <v>2260</v>
      </c>
      <c r="DM541" s="1090">
        <v>-0.81899999999999995</v>
      </c>
      <c r="DN541" s="1091" t="s">
        <v>2260</v>
      </c>
      <c r="DO541" s="1091" t="s">
        <v>2260</v>
      </c>
      <c r="DP541" s="1092" t="s">
        <v>2260</v>
      </c>
      <c r="DQ541" s="1091" t="s">
        <v>2260</v>
      </c>
      <c r="DR541" s="1091" t="s">
        <v>2260</v>
      </c>
      <c r="DS541" s="1091" t="s">
        <v>2260</v>
      </c>
      <c r="DT541" s="1092" t="s">
        <v>2260</v>
      </c>
      <c r="DU541" s="1088" t="s">
        <v>2260</v>
      </c>
      <c r="DV541" s="1093">
        <v>1</v>
      </c>
      <c r="DW541" s="1094" t="s">
        <v>2260</v>
      </c>
    </row>
    <row r="542" spans="1:127" s="382" customFormat="1" ht="15.75" customHeight="1">
      <c r="A542" s="1066" t="s">
        <v>1116</v>
      </c>
      <c r="B542" s="1026">
        <v>533</v>
      </c>
      <c r="C542" s="987"/>
      <c r="D542" s="987"/>
      <c r="E542" s="987"/>
      <c r="F542" s="987"/>
      <c r="G542" s="987"/>
      <c r="H542" s="987"/>
      <c r="I542" s="987"/>
      <c r="J542" s="987"/>
      <c r="K542" s="987"/>
      <c r="L542" s="987"/>
      <c r="M542" s="1026"/>
      <c r="N542" s="987"/>
      <c r="O542" s="987"/>
      <c r="P542" s="987"/>
      <c r="Q542" s="987"/>
      <c r="R542" s="987"/>
      <c r="S542" s="987"/>
      <c r="T542" s="988"/>
      <c r="U542" s="1067" t="s">
        <v>1601</v>
      </c>
      <c r="V542" s="1068" t="s">
        <v>3972</v>
      </c>
      <c r="W542" s="1068" t="s">
        <v>2231</v>
      </c>
      <c r="X542" s="1069" t="s">
        <v>3986</v>
      </c>
      <c r="Y542" s="1070" t="s">
        <v>3987</v>
      </c>
      <c r="Z542" s="1071" t="s">
        <v>3988</v>
      </c>
      <c r="AA542" s="1072" t="s">
        <v>2260</v>
      </c>
      <c r="AB542" s="1073">
        <v>1</v>
      </c>
      <c r="AC542" s="1073" t="s">
        <v>2260</v>
      </c>
      <c r="AD542" s="1073" t="s">
        <v>2260</v>
      </c>
      <c r="AE542" s="1073" t="s">
        <v>2260</v>
      </c>
      <c r="AF542" s="1073" t="s">
        <v>2260</v>
      </c>
      <c r="AG542" s="1073" t="s">
        <v>2260</v>
      </c>
      <c r="AH542" s="1073" t="s">
        <v>2260</v>
      </c>
      <c r="AI542" s="1074">
        <f t="shared" si="8"/>
        <v>1</v>
      </c>
      <c r="AJ542" s="1075" t="s">
        <v>1825</v>
      </c>
      <c r="AK542" s="1075" t="s">
        <v>2260</v>
      </c>
      <c r="AL542" s="1075" t="s">
        <v>2260</v>
      </c>
      <c r="AM542" s="1076" t="s">
        <v>2247</v>
      </c>
      <c r="AN542" s="987" t="s">
        <v>1857</v>
      </c>
      <c r="AO542" s="987" t="s">
        <v>2260</v>
      </c>
      <c r="AP542" s="1243">
        <v>3</v>
      </c>
      <c r="AQ542" s="1045" t="s">
        <v>1838</v>
      </c>
      <c r="AR542" s="1078" t="s">
        <v>2260</v>
      </c>
      <c r="AS542" s="1079"/>
      <c r="AT542" s="1069"/>
      <c r="AU542" s="1069"/>
      <c r="AV542" s="1069"/>
      <c r="AW542" s="1080"/>
      <c r="AX542" s="1081"/>
      <c r="AY542" s="1044"/>
      <c r="AZ542" s="1045"/>
      <c r="BA542" s="1045"/>
      <c r="BB542" s="1045"/>
      <c r="BC542" s="1045"/>
      <c r="BD542" s="1045"/>
      <c r="BE542" s="1045"/>
      <c r="BF542" s="1045"/>
      <c r="BG542" s="1045"/>
      <c r="BH542" s="1045"/>
      <c r="BI542" s="1369"/>
      <c r="BJ542" s="1319"/>
      <c r="BK542" s="1319"/>
      <c r="BL542" s="1319"/>
      <c r="BM542" s="1319"/>
      <c r="BN542" s="1044"/>
      <c r="BO542" s="1045"/>
      <c r="BP542" s="1045"/>
      <c r="BQ542" s="1045"/>
      <c r="BR542" s="1045"/>
      <c r="BS542" s="1084"/>
      <c r="BT542" s="1045"/>
      <c r="BU542" s="1045"/>
      <c r="BV542" s="1045"/>
      <c r="BW542" s="1085"/>
      <c r="BX542" s="1084"/>
      <c r="BY542" s="1045"/>
      <c r="BZ542" s="1045"/>
      <c r="CA542" s="1045"/>
      <c r="CB542" s="1085"/>
      <c r="CC542" s="1086"/>
      <c r="CD542" s="1327"/>
      <c r="CE542" s="1328"/>
      <c r="CF542" s="1328"/>
      <c r="CG542" s="1328"/>
      <c r="CH542" s="1389"/>
      <c r="CI542" s="1369"/>
      <c r="CJ542" s="1319"/>
      <c r="CK542" s="1319"/>
      <c r="CL542" s="1319"/>
      <c r="CM542" s="1320"/>
      <c r="CN542" s="1369"/>
      <c r="CO542" s="1319"/>
      <c r="CP542" s="1319"/>
      <c r="CQ542" s="1319"/>
      <c r="CR542" s="1320"/>
      <c r="CS542" s="1369"/>
      <c r="CT542" s="1319"/>
      <c r="CU542" s="1319"/>
      <c r="CV542" s="1319"/>
      <c r="CW542" s="1320"/>
      <c r="CX542" s="1369"/>
      <c r="CY542" s="1319"/>
      <c r="CZ542" s="1319"/>
      <c r="DA542" s="1319"/>
      <c r="DB542" s="1320"/>
      <c r="DC542" s="1319"/>
      <c r="DD542" s="1319"/>
      <c r="DE542" s="1319"/>
      <c r="DF542" s="1319"/>
      <c r="DG542" s="1320"/>
      <c r="DH542" s="1369"/>
      <c r="DI542" s="1319"/>
      <c r="DJ542" s="1319"/>
      <c r="DK542" s="1319"/>
      <c r="DL542" s="1320"/>
      <c r="DM542" s="1743"/>
      <c r="DN542" s="1744"/>
      <c r="DO542" s="1744"/>
      <c r="DP542" s="1745"/>
      <c r="DQ542" s="1744"/>
      <c r="DR542" s="1744"/>
      <c r="DS542" s="1744"/>
      <c r="DT542" s="1745"/>
      <c r="DU542" s="1328"/>
      <c r="DV542" s="1664"/>
      <c r="DW542" s="1746"/>
    </row>
    <row r="543" spans="1:127" s="382" customFormat="1" ht="15.75" customHeight="1">
      <c r="A543" s="1066" t="s">
        <v>1116</v>
      </c>
      <c r="B543" s="1026">
        <v>534</v>
      </c>
      <c r="C543" s="987"/>
      <c r="D543" s="987"/>
      <c r="E543" s="987"/>
      <c r="F543" s="987"/>
      <c r="G543" s="987"/>
      <c r="H543" s="987"/>
      <c r="I543" s="987"/>
      <c r="J543" s="987"/>
      <c r="K543" s="987"/>
      <c r="L543" s="987"/>
      <c r="M543" s="1026"/>
      <c r="N543" s="987"/>
      <c r="O543" s="987"/>
      <c r="P543" s="987"/>
      <c r="Q543" s="987"/>
      <c r="R543" s="987"/>
      <c r="S543" s="987"/>
      <c r="T543" s="988"/>
      <c r="U543" s="1067" t="s">
        <v>1618</v>
      </c>
      <c r="V543" s="1068" t="s">
        <v>3972</v>
      </c>
      <c r="W543" s="1068" t="s">
        <v>2231</v>
      </c>
      <c r="X543" s="1069" t="s">
        <v>3989</v>
      </c>
      <c r="Y543" s="1070" t="s">
        <v>3990</v>
      </c>
      <c r="Z543" s="1071" t="s">
        <v>3991</v>
      </c>
      <c r="AA543" s="1072">
        <v>1</v>
      </c>
      <c r="AB543" s="1073" t="s">
        <v>2260</v>
      </c>
      <c r="AC543" s="1073" t="s">
        <v>2260</v>
      </c>
      <c r="AD543" s="1073" t="s">
        <v>2260</v>
      </c>
      <c r="AE543" s="1073" t="s">
        <v>2260</v>
      </c>
      <c r="AF543" s="1073" t="s">
        <v>2260</v>
      </c>
      <c r="AG543" s="1073" t="s">
        <v>2260</v>
      </c>
      <c r="AH543" s="1073" t="s">
        <v>2260</v>
      </c>
      <c r="AI543" s="1074">
        <f t="shared" si="8"/>
        <v>1</v>
      </c>
      <c r="AJ543" s="1075" t="s">
        <v>1825</v>
      </c>
      <c r="AK543" s="1075" t="s">
        <v>2260</v>
      </c>
      <c r="AL543" s="1075" t="s">
        <v>2260</v>
      </c>
      <c r="AM543" s="1076" t="s">
        <v>2280</v>
      </c>
      <c r="AN543" s="987" t="s">
        <v>1857</v>
      </c>
      <c r="AO543" s="987" t="s">
        <v>2260</v>
      </c>
      <c r="AP543" s="1243">
        <v>0</v>
      </c>
      <c r="AQ543" s="1045" t="s">
        <v>1838</v>
      </c>
      <c r="AR543" s="1078" t="s">
        <v>2260</v>
      </c>
      <c r="AS543" s="1079"/>
      <c r="AT543" s="1069"/>
      <c r="AU543" s="1069"/>
      <c r="AV543" s="1069"/>
      <c r="AW543" s="1080"/>
      <c r="AX543" s="1081"/>
      <c r="AY543" s="1044"/>
      <c r="AZ543" s="1045"/>
      <c r="BA543" s="1045"/>
      <c r="BB543" s="1045"/>
      <c r="BC543" s="1045"/>
      <c r="BD543" s="1045"/>
      <c r="BE543" s="1045"/>
      <c r="BF543" s="1045"/>
      <c r="BG543" s="1045"/>
      <c r="BH543" s="1045"/>
      <c r="BI543" s="1369"/>
      <c r="BJ543" s="1319"/>
      <c r="BK543" s="1319"/>
      <c r="BL543" s="1319"/>
      <c r="BM543" s="1319"/>
      <c r="BN543" s="1044"/>
      <c r="BO543" s="1045"/>
      <c r="BP543" s="1045"/>
      <c r="BQ543" s="1045"/>
      <c r="BR543" s="1045"/>
      <c r="BS543" s="1084"/>
      <c r="BT543" s="1045"/>
      <c r="BU543" s="1045"/>
      <c r="BV543" s="1045"/>
      <c r="BW543" s="1085"/>
      <c r="BX543" s="1084"/>
      <c r="BY543" s="1045"/>
      <c r="BZ543" s="1045"/>
      <c r="CA543" s="1045"/>
      <c r="CB543" s="1085"/>
      <c r="CC543" s="1086"/>
      <c r="CD543" s="1327"/>
      <c r="CE543" s="1328"/>
      <c r="CF543" s="1328"/>
      <c r="CG543" s="1328"/>
      <c r="CH543" s="1389"/>
      <c r="CI543" s="1369"/>
      <c r="CJ543" s="1319"/>
      <c r="CK543" s="1319"/>
      <c r="CL543" s="1319"/>
      <c r="CM543" s="1320"/>
      <c r="CN543" s="1369"/>
      <c r="CO543" s="1319"/>
      <c r="CP543" s="1319"/>
      <c r="CQ543" s="1319"/>
      <c r="CR543" s="1320"/>
      <c r="CS543" s="1369"/>
      <c r="CT543" s="1319"/>
      <c r="CU543" s="1319"/>
      <c r="CV543" s="1319"/>
      <c r="CW543" s="1320"/>
      <c r="CX543" s="1369"/>
      <c r="CY543" s="1319"/>
      <c r="CZ543" s="1319"/>
      <c r="DA543" s="1319"/>
      <c r="DB543" s="1320"/>
      <c r="DC543" s="1319"/>
      <c r="DD543" s="1319"/>
      <c r="DE543" s="1319"/>
      <c r="DF543" s="1319"/>
      <c r="DG543" s="1320"/>
      <c r="DH543" s="1369"/>
      <c r="DI543" s="1319"/>
      <c r="DJ543" s="1319"/>
      <c r="DK543" s="1319"/>
      <c r="DL543" s="1320"/>
      <c r="DM543" s="1743"/>
      <c r="DN543" s="1744"/>
      <c r="DO543" s="1744"/>
      <c r="DP543" s="1745"/>
      <c r="DQ543" s="1744"/>
      <c r="DR543" s="1744"/>
      <c r="DS543" s="1744"/>
      <c r="DT543" s="1745"/>
      <c r="DU543" s="1328"/>
      <c r="DV543" s="1664"/>
      <c r="DW543" s="1746"/>
    </row>
    <row r="544" spans="1:127" s="382" customFormat="1" ht="15.75" customHeight="1">
      <c r="A544" s="1066" t="s">
        <v>1116</v>
      </c>
      <c r="B544" s="1026">
        <v>535</v>
      </c>
      <c r="C544" s="987"/>
      <c r="D544" s="987"/>
      <c r="E544" s="987"/>
      <c r="F544" s="987"/>
      <c r="G544" s="987"/>
      <c r="H544" s="987"/>
      <c r="I544" s="987"/>
      <c r="J544" s="987"/>
      <c r="K544" s="987"/>
      <c r="L544" s="987"/>
      <c r="M544" s="1026"/>
      <c r="N544" s="987"/>
      <c r="O544" s="987"/>
      <c r="P544" s="987"/>
      <c r="Q544" s="987"/>
      <c r="R544" s="987"/>
      <c r="S544" s="987"/>
      <c r="T544" s="988"/>
      <c r="U544" s="1067" t="s">
        <v>1335</v>
      </c>
      <c r="V544" s="1068" t="s">
        <v>3972</v>
      </c>
      <c r="W544" s="1068" t="s">
        <v>2231</v>
      </c>
      <c r="X544" s="1069" t="s">
        <v>3992</v>
      </c>
      <c r="Y544" s="1070" t="s">
        <v>3993</v>
      </c>
      <c r="Z544" s="1071" t="s">
        <v>3994</v>
      </c>
      <c r="AA544" s="1072" t="s">
        <v>2260</v>
      </c>
      <c r="AB544" s="1073">
        <v>1</v>
      </c>
      <c r="AC544" s="1073" t="s">
        <v>2260</v>
      </c>
      <c r="AD544" s="1073" t="s">
        <v>2260</v>
      </c>
      <c r="AE544" s="1073" t="s">
        <v>2260</v>
      </c>
      <c r="AF544" s="1073" t="s">
        <v>2260</v>
      </c>
      <c r="AG544" s="1073" t="s">
        <v>2260</v>
      </c>
      <c r="AH544" s="1073" t="s">
        <v>2260</v>
      </c>
      <c r="AI544" s="1074">
        <f t="shared" si="8"/>
        <v>1</v>
      </c>
      <c r="AJ544" s="1075" t="s">
        <v>1852</v>
      </c>
      <c r="AK544" s="1075" t="s">
        <v>1826</v>
      </c>
      <c r="AL544" s="1075" t="s">
        <v>1827</v>
      </c>
      <c r="AM544" s="1076" t="s">
        <v>2247</v>
      </c>
      <c r="AN544" s="987" t="s">
        <v>1857</v>
      </c>
      <c r="AO544" s="987" t="s">
        <v>2260</v>
      </c>
      <c r="AP544" s="1243">
        <v>0</v>
      </c>
      <c r="AQ544" s="1045" t="s">
        <v>1828</v>
      </c>
      <c r="AR544" s="1078" t="s">
        <v>2260</v>
      </c>
      <c r="AS544" s="1079"/>
      <c r="AT544" s="1069"/>
      <c r="AU544" s="1069"/>
      <c r="AV544" s="1069"/>
      <c r="AW544" s="1080"/>
      <c r="AX544" s="1081"/>
      <c r="AY544" s="1044"/>
      <c r="AZ544" s="1045"/>
      <c r="BA544" s="1045"/>
      <c r="BB544" s="1045"/>
      <c r="BC544" s="1045"/>
      <c r="BD544" s="1045"/>
      <c r="BE544" s="1045"/>
      <c r="BF544" s="1045"/>
      <c r="BG544" s="1045"/>
      <c r="BH544" s="1045"/>
      <c r="BI544" s="1369"/>
      <c r="BJ544" s="1319"/>
      <c r="BK544" s="1319"/>
      <c r="BL544" s="1319"/>
      <c r="BM544" s="1319"/>
      <c r="BN544" s="1044"/>
      <c r="BO544" s="1045"/>
      <c r="BP544" s="1045"/>
      <c r="BQ544" s="1045"/>
      <c r="BR544" s="1045"/>
      <c r="BS544" s="1084"/>
      <c r="BT544" s="1045"/>
      <c r="BU544" s="1045"/>
      <c r="BV544" s="1045"/>
      <c r="BW544" s="1085"/>
      <c r="BX544" s="1084"/>
      <c r="BY544" s="1045"/>
      <c r="BZ544" s="1045"/>
      <c r="CA544" s="1045"/>
      <c r="CB544" s="1085"/>
      <c r="CC544" s="1086"/>
      <c r="CD544" s="1327"/>
      <c r="CE544" s="1328"/>
      <c r="CF544" s="1328"/>
      <c r="CG544" s="1328"/>
      <c r="CH544" s="1389"/>
      <c r="CI544" s="1369"/>
      <c r="CJ544" s="1319"/>
      <c r="CK544" s="1319"/>
      <c r="CL544" s="1319"/>
      <c r="CM544" s="1320"/>
      <c r="CN544" s="1369"/>
      <c r="CO544" s="1319"/>
      <c r="CP544" s="1319"/>
      <c r="CQ544" s="1319"/>
      <c r="CR544" s="1320"/>
      <c r="CS544" s="1369"/>
      <c r="CT544" s="1319"/>
      <c r="CU544" s="1319"/>
      <c r="CV544" s="1319"/>
      <c r="CW544" s="1320"/>
      <c r="CX544" s="1369"/>
      <c r="CY544" s="1319"/>
      <c r="CZ544" s="1319"/>
      <c r="DA544" s="1319"/>
      <c r="DB544" s="1320"/>
      <c r="DC544" s="1319"/>
      <c r="DD544" s="1319"/>
      <c r="DE544" s="1319"/>
      <c r="DF544" s="1319"/>
      <c r="DG544" s="1320"/>
      <c r="DH544" s="1369"/>
      <c r="DI544" s="1319"/>
      <c r="DJ544" s="1319"/>
      <c r="DK544" s="1319"/>
      <c r="DL544" s="1320"/>
      <c r="DM544" s="1743"/>
      <c r="DN544" s="1744"/>
      <c r="DO544" s="1744"/>
      <c r="DP544" s="1745"/>
      <c r="DQ544" s="1744"/>
      <c r="DR544" s="1744"/>
      <c r="DS544" s="1744"/>
      <c r="DT544" s="1745"/>
      <c r="DU544" s="1328"/>
      <c r="DV544" s="1664"/>
      <c r="DW544" s="1746"/>
    </row>
    <row r="545" spans="1:127" s="382" customFormat="1" ht="15.75" customHeight="1">
      <c r="A545" s="1066" t="s">
        <v>1116</v>
      </c>
      <c r="B545" s="1026">
        <v>536</v>
      </c>
      <c r="C545" s="987"/>
      <c r="D545" s="987" t="s">
        <v>2381</v>
      </c>
      <c r="E545" s="987"/>
      <c r="F545" s="987"/>
      <c r="G545" s="987"/>
      <c r="H545" s="987"/>
      <c r="I545" s="987"/>
      <c r="J545" s="987"/>
      <c r="K545" s="987"/>
      <c r="L545" s="987"/>
      <c r="M545" s="1026"/>
      <c r="N545" s="987"/>
      <c r="O545" s="987"/>
      <c r="P545" s="987"/>
      <c r="Q545" s="987"/>
      <c r="R545" s="987"/>
      <c r="S545" s="987"/>
      <c r="T545" s="988"/>
      <c r="U545" s="1067" t="s">
        <v>1209</v>
      </c>
      <c r="V545" s="1068" t="s">
        <v>3995</v>
      </c>
      <c r="W545" s="1068" t="s">
        <v>2217</v>
      </c>
      <c r="X545" s="1069" t="s">
        <v>3996</v>
      </c>
      <c r="Y545" s="1070" t="s">
        <v>1085</v>
      </c>
      <c r="Z545" s="1071" t="s">
        <v>3997</v>
      </c>
      <c r="AA545" s="1072" t="s">
        <v>2260</v>
      </c>
      <c r="AB545" s="1073" t="s">
        <v>2260</v>
      </c>
      <c r="AC545" s="1073">
        <v>1</v>
      </c>
      <c r="AD545" s="1073" t="s">
        <v>2260</v>
      </c>
      <c r="AE545" s="1073" t="s">
        <v>2260</v>
      </c>
      <c r="AF545" s="1073" t="s">
        <v>2260</v>
      </c>
      <c r="AG545" s="1073" t="s">
        <v>2260</v>
      </c>
      <c r="AH545" s="1073" t="s">
        <v>2260</v>
      </c>
      <c r="AI545" s="1074">
        <f t="shared" si="8"/>
        <v>1</v>
      </c>
      <c r="AJ545" s="1075" t="s">
        <v>1846</v>
      </c>
      <c r="AK545" s="1075" t="s">
        <v>1826</v>
      </c>
      <c r="AL545" s="1075" t="s">
        <v>1827</v>
      </c>
      <c r="AM545" s="1076" t="s">
        <v>3552</v>
      </c>
      <c r="AN545" s="987" t="s">
        <v>321</v>
      </c>
      <c r="AO545" s="987" t="s">
        <v>2649</v>
      </c>
      <c r="AP545" s="1276">
        <v>2</v>
      </c>
      <c r="AQ545" s="1045" t="s">
        <v>1828</v>
      </c>
      <c r="AR545" s="1078" t="s">
        <v>1085</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210</v>
      </c>
      <c r="CE545" s="1088" t="s">
        <v>210</v>
      </c>
      <c r="CF545" s="1088" t="s">
        <v>210</v>
      </c>
      <c r="CG545" s="1088" t="s">
        <v>210</v>
      </c>
      <c r="CH545" s="1089" t="s">
        <v>210</v>
      </c>
      <c r="CI545" s="1044" t="s">
        <v>2260</v>
      </c>
      <c r="CJ545" s="1045" t="s">
        <v>2260</v>
      </c>
      <c r="CK545" s="1045" t="s">
        <v>2260</v>
      </c>
      <c r="CL545" s="1045" t="s">
        <v>2260</v>
      </c>
      <c r="CM545" s="1086" t="s">
        <v>2260</v>
      </c>
      <c r="CN545" s="1044">
        <v>95</v>
      </c>
      <c r="CO545" s="1045">
        <v>95</v>
      </c>
      <c r="CP545" s="1045">
        <v>95</v>
      </c>
      <c r="CQ545" s="1045">
        <v>95</v>
      </c>
      <c r="CR545" s="1086">
        <v>95</v>
      </c>
      <c r="CS545" s="1044">
        <v>99</v>
      </c>
      <c r="CT545" s="1045">
        <v>99</v>
      </c>
      <c r="CU545" s="1045">
        <v>99</v>
      </c>
      <c r="CV545" s="1045">
        <v>99</v>
      </c>
      <c r="CW545" s="1086">
        <v>99</v>
      </c>
      <c r="CX545" s="1044" t="s">
        <v>2260</v>
      </c>
      <c r="CY545" s="1045" t="s">
        <v>2260</v>
      </c>
      <c r="CZ545" s="1045" t="s">
        <v>2260</v>
      </c>
      <c r="DA545" s="1045" t="s">
        <v>2260</v>
      </c>
      <c r="DB545" s="1086" t="s">
        <v>2260</v>
      </c>
      <c r="DC545" s="1045" t="s">
        <v>2260</v>
      </c>
      <c r="DD545" s="1045" t="s">
        <v>2260</v>
      </c>
      <c r="DE545" s="1045" t="s">
        <v>2260</v>
      </c>
      <c r="DF545" s="1045" t="s">
        <v>2260</v>
      </c>
      <c r="DG545" s="1086" t="s">
        <v>2260</v>
      </c>
      <c r="DH545" s="1044" t="s">
        <v>2260</v>
      </c>
      <c r="DI545" s="1045" t="s">
        <v>2260</v>
      </c>
      <c r="DJ545" s="1045" t="s">
        <v>2260</v>
      </c>
      <c r="DK545" s="1045" t="s">
        <v>2260</v>
      </c>
      <c r="DL545" s="1086" t="s">
        <v>2260</v>
      </c>
      <c r="DM545" s="1090">
        <v>-0.7</v>
      </c>
      <c r="DN545" s="1091" t="s">
        <v>2260</v>
      </c>
      <c r="DO545" s="1091" t="s">
        <v>2260</v>
      </c>
      <c r="DP545" s="1092" t="s">
        <v>2260</v>
      </c>
      <c r="DQ545" s="1091" t="s">
        <v>2260</v>
      </c>
      <c r="DR545" s="1091" t="s">
        <v>2260</v>
      </c>
      <c r="DS545" s="1091" t="s">
        <v>2260</v>
      </c>
      <c r="DT545" s="1092" t="s">
        <v>2260</v>
      </c>
      <c r="DU545" s="1088" t="s">
        <v>2260</v>
      </c>
      <c r="DV545" s="1093">
        <v>1</v>
      </c>
      <c r="DW545" s="1094" t="s">
        <v>2260</v>
      </c>
    </row>
    <row r="546" spans="1:127" s="382" customFormat="1" ht="15.75" customHeight="1">
      <c r="A546" s="1066" t="s">
        <v>1116</v>
      </c>
      <c r="B546" s="1026">
        <v>537</v>
      </c>
      <c r="C546" s="987"/>
      <c r="D546" s="987"/>
      <c r="E546" s="987"/>
      <c r="F546" s="987"/>
      <c r="G546" s="987"/>
      <c r="H546" s="987"/>
      <c r="I546" s="987"/>
      <c r="J546" s="987"/>
      <c r="K546" s="987"/>
      <c r="L546" s="987"/>
      <c r="M546" s="1026"/>
      <c r="N546" s="987"/>
      <c r="O546" s="987"/>
      <c r="P546" s="987"/>
      <c r="Q546" s="987"/>
      <c r="R546" s="987"/>
      <c r="S546" s="987"/>
      <c r="T546" s="988"/>
      <c r="U546" s="1067" t="s">
        <v>1635</v>
      </c>
      <c r="V546" s="1068" t="s">
        <v>2260</v>
      </c>
      <c r="W546" s="1068" t="s">
        <v>2260</v>
      </c>
      <c r="X546" s="1069" t="s">
        <v>3998</v>
      </c>
      <c r="Y546" s="1070" t="s">
        <v>3999</v>
      </c>
      <c r="Z546" s="1071" t="s">
        <v>2260</v>
      </c>
      <c r="AA546" s="1072" t="s">
        <v>2260</v>
      </c>
      <c r="AB546" s="1073" t="s">
        <v>2260</v>
      </c>
      <c r="AC546" s="1073" t="s">
        <v>2260</v>
      </c>
      <c r="AD546" s="1073" t="s">
        <v>2260</v>
      </c>
      <c r="AE546" s="1073" t="s">
        <v>2260</v>
      </c>
      <c r="AF546" s="1073" t="s">
        <v>2260</v>
      </c>
      <c r="AG546" s="1073" t="s">
        <v>2260</v>
      </c>
      <c r="AH546" s="1073" t="s">
        <v>2260</v>
      </c>
      <c r="AI546" s="1074">
        <f t="shared" si="8"/>
        <v>0</v>
      </c>
      <c r="AJ546" s="1075" t="s">
        <v>1825</v>
      </c>
      <c r="AK546" s="1075" t="s">
        <v>2260</v>
      </c>
      <c r="AL546" s="1075" t="s">
        <v>2260</v>
      </c>
      <c r="AM546" s="1076" t="s">
        <v>2260</v>
      </c>
      <c r="AN546" s="987" t="s">
        <v>2260</v>
      </c>
      <c r="AO546" s="987" t="s">
        <v>2260</v>
      </c>
      <c r="AP546" s="1243">
        <v>2</v>
      </c>
      <c r="AQ546" s="1045" t="s">
        <v>1828</v>
      </c>
      <c r="AR546" s="1078" t="s">
        <v>2260</v>
      </c>
      <c r="AS546" s="1079"/>
      <c r="AT546" s="1069"/>
      <c r="AU546" s="1069"/>
      <c r="AV546" s="1069"/>
      <c r="AW546" s="1080"/>
      <c r="AX546" s="1081"/>
      <c r="AY546" s="1044"/>
      <c r="AZ546" s="1045"/>
      <c r="BA546" s="1045"/>
      <c r="BB546" s="1045"/>
      <c r="BC546" s="1045"/>
      <c r="BD546" s="1045"/>
      <c r="BE546" s="1045"/>
      <c r="BF546" s="1045"/>
      <c r="BG546" s="1045"/>
      <c r="BH546" s="1045"/>
      <c r="BI546" s="1369"/>
      <c r="BJ546" s="1319"/>
      <c r="BK546" s="1319"/>
      <c r="BL546" s="1319"/>
      <c r="BM546" s="1319"/>
      <c r="BN546" s="1044"/>
      <c r="BO546" s="1045"/>
      <c r="BP546" s="1045"/>
      <c r="BQ546" s="1045"/>
      <c r="BR546" s="1045"/>
      <c r="BS546" s="1084"/>
      <c r="BT546" s="1045"/>
      <c r="BU546" s="1045"/>
      <c r="BV546" s="1045"/>
      <c r="BW546" s="1085"/>
      <c r="BX546" s="1084"/>
      <c r="BY546" s="1045"/>
      <c r="BZ546" s="1045"/>
      <c r="CA546" s="1045"/>
      <c r="CB546" s="1085"/>
      <c r="CC546" s="1086"/>
      <c r="CD546" s="1327"/>
      <c r="CE546" s="1328"/>
      <c r="CF546" s="1328"/>
      <c r="CG546" s="1328"/>
      <c r="CH546" s="1389"/>
      <c r="CI546" s="1369"/>
      <c r="CJ546" s="1319"/>
      <c r="CK546" s="1319"/>
      <c r="CL546" s="1319"/>
      <c r="CM546" s="1320"/>
      <c r="CN546" s="1369"/>
      <c r="CO546" s="1319"/>
      <c r="CP546" s="1319"/>
      <c r="CQ546" s="1319"/>
      <c r="CR546" s="1320"/>
      <c r="CS546" s="1369"/>
      <c r="CT546" s="1319"/>
      <c r="CU546" s="1319"/>
      <c r="CV546" s="1319"/>
      <c r="CW546" s="1320"/>
      <c r="CX546" s="1369"/>
      <c r="CY546" s="1319"/>
      <c r="CZ546" s="1319"/>
      <c r="DA546" s="1319"/>
      <c r="DB546" s="1320"/>
      <c r="DC546" s="1319"/>
      <c r="DD546" s="1319"/>
      <c r="DE546" s="1319"/>
      <c r="DF546" s="1319"/>
      <c r="DG546" s="1320"/>
      <c r="DH546" s="1369"/>
      <c r="DI546" s="1319"/>
      <c r="DJ546" s="1319"/>
      <c r="DK546" s="1319"/>
      <c r="DL546" s="1320"/>
      <c r="DM546" s="1743"/>
      <c r="DN546" s="1744"/>
      <c r="DO546" s="1744"/>
      <c r="DP546" s="1745"/>
      <c r="DQ546" s="1744"/>
      <c r="DR546" s="1744"/>
      <c r="DS546" s="1744"/>
      <c r="DT546" s="1745"/>
      <c r="DU546" s="1328"/>
      <c r="DV546" s="1664"/>
      <c r="DW546" s="1746"/>
    </row>
    <row r="547" spans="1:127" s="382" customFormat="1" ht="15.75" customHeight="1">
      <c r="A547" s="1066" t="s">
        <v>1116</v>
      </c>
      <c r="B547" s="1026">
        <v>538</v>
      </c>
      <c r="C547" s="987"/>
      <c r="D547" s="987"/>
      <c r="E547" s="987"/>
      <c r="F547" s="987"/>
      <c r="G547" s="987"/>
      <c r="H547" s="987"/>
      <c r="I547" s="987"/>
      <c r="J547" s="987"/>
      <c r="K547" s="987"/>
      <c r="L547" s="987"/>
      <c r="M547" s="1026"/>
      <c r="N547" s="987"/>
      <c r="O547" s="987"/>
      <c r="P547" s="987"/>
      <c r="Q547" s="987"/>
      <c r="R547" s="987"/>
      <c r="S547" s="987"/>
      <c r="T547" s="988"/>
      <c r="U547" s="1067" t="s">
        <v>1221</v>
      </c>
      <c r="V547" s="1068" t="s">
        <v>3995</v>
      </c>
      <c r="W547" s="1068" t="s">
        <v>2217</v>
      </c>
      <c r="X547" s="1069" t="s">
        <v>4000</v>
      </c>
      <c r="Y547" s="1070" t="s">
        <v>788</v>
      </c>
      <c r="Z547" s="1071" t="s">
        <v>4001</v>
      </c>
      <c r="AA547" s="1072" t="s">
        <v>2260</v>
      </c>
      <c r="AB547" s="1073">
        <v>0</v>
      </c>
      <c r="AC547" s="1073">
        <v>1</v>
      </c>
      <c r="AD547" s="1073" t="s">
        <v>2260</v>
      </c>
      <c r="AE547" s="1073" t="s">
        <v>2260</v>
      </c>
      <c r="AF547" s="1073" t="s">
        <v>2260</v>
      </c>
      <c r="AG547" s="1073" t="s">
        <v>2260</v>
      </c>
      <c r="AH547" s="1073" t="s">
        <v>2260</v>
      </c>
      <c r="AI547" s="1074">
        <f t="shared" si="8"/>
        <v>1</v>
      </c>
      <c r="AJ547" s="1075" t="s">
        <v>1852</v>
      </c>
      <c r="AK547" s="1075" t="s">
        <v>1826</v>
      </c>
      <c r="AL547" s="1075" t="s">
        <v>1827</v>
      </c>
      <c r="AM547" s="1076" t="s">
        <v>788</v>
      </c>
      <c r="AN547" s="987" t="s">
        <v>2439</v>
      </c>
      <c r="AO547" s="987" t="s">
        <v>4431</v>
      </c>
      <c r="AP547" s="1276">
        <v>2</v>
      </c>
      <c r="AQ547" s="1045" t="s">
        <v>1838</v>
      </c>
      <c r="AR547" s="1078" t="s">
        <v>788</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210</v>
      </c>
      <c r="CE547" s="1088" t="s">
        <v>210</v>
      </c>
      <c r="CF547" s="1088" t="s">
        <v>210</v>
      </c>
      <c r="CG547" s="1088" t="s">
        <v>210</v>
      </c>
      <c r="CH547" s="1089" t="s">
        <v>210</v>
      </c>
      <c r="CI547" s="1044" t="s">
        <v>2260</v>
      </c>
      <c r="CJ547" s="1045" t="s">
        <v>2260</v>
      </c>
      <c r="CK547" s="1045" t="s">
        <v>2260</v>
      </c>
      <c r="CL547" s="1045" t="s">
        <v>2260</v>
      </c>
      <c r="CM547" s="1086" t="s">
        <v>2260</v>
      </c>
      <c r="CN547" s="1044">
        <v>36.76</v>
      </c>
      <c r="CO547" s="1045">
        <v>36.76</v>
      </c>
      <c r="CP547" s="1045">
        <v>36.76</v>
      </c>
      <c r="CQ547" s="1045">
        <v>36.76</v>
      </c>
      <c r="CR547" s="1086">
        <v>36.76</v>
      </c>
      <c r="CS547" s="1044" t="s">
        <v>2260</v>
      </c>
      <c r="CT547" s="1045" t="s">
        <v>2260</v>
      </c>
      <c r="CU547" s="1045" t="s">
        <v>2260</v>
      </c>
      <c r="CV547" s="1045" t="s">
        <v>2260</v>
      </c>
      <c r="CW547" s="1086" t="s">
        <v>2260</v>
      </c>
      <c r="CX547" s="1044" t="s">
        <v>2260</v>
      </c>
      <c r="CY547" s="1045" t="s">
        <v>2260</v>
      </c>
      <c r="CZ547" s="1045" t="s">
        <v>2260</v>
      </c>
      <c r="DA547" s="1045" t="s">
        <v>2260</v>
      </c>
      <c r="DB547" s="1086" t="s">
        <v>2260</v>
      </c>
      <c r="DC547" s="1045">
        <v>18.510000000000002</v>
      </c>
      <c r="DD547" s="1045">
        <v>14.74</v>
      </c>
      <c r="DE547" s="1045">
        <v>14</v>
      </c>
      <c r="DF547" s="1045">
        <v>12.4</v>
      </c>
      <c r="DG547" s="1086">
        <v>10.5</v>
      </c>
      <c r="DH547" s="1044" t="s">
        <v>2260</v>
      </c>
      <c r="DI547" s="1045" t="s">
        <v>2260</v>
      </c>
      <c r="DJ547" s="1045" t="s">
        <v>2260</v>
      </c>
      <c r="DK547" s="1045" t="s">
        <v>2260</v>
      </c>
      <c r="DL547" s="1086" t="s">
        <v>2260</v>
      </c>
      <c r="DM547" s="1090">
        <v>-0.215</v>
      </c>
      <c r="DN547" s="1091" t="s">
        <v>2260</v>
      </c>
      <c r="DO547" s="1091" t="s">
        <v>2260</v>
      </c>
      <c r="DP547" s="1092" t="s">
        <v>2260</v>
      </c>
      <c r="DQ547" s="1091">
        <v>0.17799999999999999</v>
      </c>
      <c r="DR547" s="1091" t="s">
        <v>2260</v>
      </c>
      <c r="DS547" s="1091" t="s">
        <v>2260</v>
      </c>
      <c r="DT547" s="1092" t="s">
        <v>2260</v>
      </c>
      <c r="DU547" s="1088" t="s">
        <v>173</v>
      </c>
      <c r="DV547" s="1093">
        <v>1</v>
      </c>
      <c r="DW547" s="1094" t="s">
        <v>2260</v>
      </c>
    </row>
    <row r="548" spans="1:127" s="382" customFormat="1" ht="15.75" customHeight="1">
      <c r="A548" s="1023" t="s">
        <v>1116</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1290</v>
      </c>
      <c r="V548" s="1029" t="s">
        <v>3995</v>
      </c>
      <c r="W548" s="1029" t="s">
        <v>2217</v>
      </c>
      <c r="X548" s="1030" t="s">
        <v>4003</v>
      </c>
      <c r="Y548" s="1031" t="s">
        <v>705</v>
      </c>
      <c r="Z548" s="1032" t="s">
        <v>4004</v>
      </c>
      <c r="AA548" s="1033" t="s">
        <v>2260</v>
      </c>
      <c r="AB548" s="1034">
        <v>1</v>
      </c>
      <c r="AC548" s="1034" t="s">
        <v>2260</v>
      </c>
      <c r="AD548" s="1034" t="s">
        <v>2260</v>
      </c>
      <c r="AE548" s="1034" t="s">
        <v>2260</v>
      </c>
      <c r="AF548" s="1034" t="s">
        <v>2260</v>
      </c>
      <c r="AG548" s="1034" t="s">
        <v>2260</v>
      </c>
      <c r="AH548" s="1034" t="s">
        <v>2260</v>
      </c>
      <c r="AI548" s="1035">
        <f t="shared" si="8"/>
        <v>1</v>
      </c>
      <c r="AJ548" s="1036" t="s">
        <v>1852</v>
      </c>
      <c r="AK548" s="1036" t="s">
        <v>1826</v>
      </c>
      <c r="AL548" s="1036" t="s">
        <v>1827</v>
      </c>
      <c r="AM548" s="1037" t="s">
        <v>705</v>
      </c>
      <c r="AN548" s="1031" t="s">
        <v>321</v>
      </c>
      <c r="AO548" s="1031" t="s">
        <v>4416</v>
      </c>
      <c r="AP548" s="1275">
        <v>1</v>
      </c>
      <c r="AQ548" s="802" t="s">
        <v>1828</v>
      </c>
      <c r="AR548" s="1040" t="s">
        <v>705</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210</v>
      </c>
      <c r="CE548" s="1054" t="s">
        <v>210</v>
      </c>
      <c r="CF548" s="1054" t="s">
        <v>210</v>
      </c>
      <c r="CG548" s="1054" t="s">
        <v>210</v>
      </c>
      <c r="CH548" s="1055" t="s">
        <v>210</v>
      </c>
      <c r="CI548" s="1058" t="s">
        <v>2260</v>
      </c>
      <c r="CJ548" s="1056" t="s">
        <v>2260</v>
      </c>
      <c r="CK548" s="1056" t="s">
        <v>2260</v>
      </c>
      <c r="CL548" s="1056" t="s">
        <v>2260</v>
      </c>
      <c r="CM548" s="1057" t="s">
        <v>2260</v>
      </c>
      <c r="CN548" s="1058">
        <v>-5</v>
      </c>
      <c r="CO548" s="1056">
        <v>-5</v>
      </c>
      <c r="CP548" s="1056">
        <v>-5</v>
      </c>
      <c r="CQ548" s="1056">
        <v>-5</v>
      </c>
      <c r="CR548" s="1057">
        <v>-5</v>
      </c>
      <c r="CS548" s="1048" t="s">
        <v>2260</v>
      </c>
      <c r="CT548" s="1049" t="s">
        <v>2260</v>
      </c>
      <c r="CU548" s="1049" t="s">
        <v>2260</v>
      </c>
      <c r="CV548" s="1049" t="s">
        <v>2260</v>
      </c>
      <c r="CW548" s="1052" t="s">
        <v>2260</v>
      </c>
      <c r="CX548" s="1048" t="s">
        <v>2260</v>
      </c>
      <c r="CY548" s="1049" t="s">
        <v>2260</v>
      </c>
      <c r="CZ548" s="1049" t="s">
        <v>2260</v>
      </c>
      <c r="DA548" s="1049" t="s">
        <v>2260</v>
      </c>
      <c r="DB548" s="1052" t="s">
        <v>2260</v>
      </c>
      <c r="DC548" s="848">
        <v>11.5</v>
      </c>
      <c r="DD548" s="848">
        <v>13.7</v>
      </c>
      <c r="DE548" s="848">
        <v>16.5</v>
      </c>
      <c r="DF548" s="848">
        <v>19.3</v>
      </c>
      <c r="DG548" s="903">
        <v>22.1</v>
      </c>
      <c r="DH548" s="1058" t="s">
        <v>2260</v>
      </c>
      <c r="DI548" s="1049" t="s">
        <v>2260</v>
      </c>
      <c r="DJ548" s="1049" t="s">
        <v>2260</v>
      </c>
      <c r="DK548" s="1049" t="s">
        <v>2260</v>
      </c>
      <c r="DL548" s="1052" t="s">
        <v>2260</v>
      </c>
      <c r="DM548" s="1060">
        <v>-0.16800000000000001</v>
      </c>
      <c r="DN548" s="1061" t="s">
        <v>2260</v>
      </c>
      <c r="DO548" s="1061" t="s">
        <v>2260</v>
      </c>
      <c r="DP548" s="1062" t="s">
        <v>2260</v>
      </c>
      <c r="DQ548" s="1061">
        <v>0.14299999999999999</v>
      </c>
      <c r="DR548" s="1061" t="s">
        <v>2260</v>
      </c>
      <c r="DS548" s="1061" t="s">
        <v>2260</v>
      </c>
      <c r="DT548" s="1062" t="s">
        <v>2260</v>
      </c>
      <c r="DU548" s="1054" t="s">
        <v>2260</v>
      </c>
      <c r="DV548" s="1063">
        <v>1</v>
      </c>
      <c r="DW548" s="1064" t="s">
        <v>2260</v>
      </c>
    </row>
    <row r="549" spans="1:127" s="382" customFormat="1" ht="15.75" customHeight="1">
      <c r="A549" s="1023" t="s">
        <v>1116</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1282</v>
      </c>
      <c r="V549" s="1029" t="s">
        <v>3995</v>
      </c>
      <c r="W549" s="1029" t="s">
        <v>2231</v>
      </c>
      <c r="X549" s="1030" t="s">
        <v>4006</v>
      </c>
      <c r="Y549" s="1031" t="s">
        <v>1084</v>
      </c>
      <c r="Z549" s="1032" t="s">
        <v>4007</v>
      </c>
      <c r="AA549" s="1033" t="s">
        <v>2260</v>
      </c>
      <c r="AB549" s="1034">
        <v>1</v>
      </c>
      <c r="AC549" s="1034" t="s">
        <v>2260</v>
      </c>
      <c r="AD549" s="1034" t="s">
        <v>2260</v>
      </c>
      <c r="AE549" s="1034" t="s">
        <v>2260</v>
      </c>
      <c r="AF549" s="1034" t="s">
        <v>2260</v>
      </c>
      <c r="AG549" s="1034" t="s">
        <v>2260</v>
      </c>
      <c r="AH549" s="1034" t="s">
        <v>2260</v>
      </c>
      <c r="AI549" s="1035">
        <f t="shared" si="8"/>
        <v>1</v>
      </c>
      <c r="AJ549" s="1036" t="s">
        <v>1846</v>
      </c>
      <c r="AK549" s="1036" t="s">
        <v>1826</v>
      </c>
      <c r="AL549" s="1389" t="s">
        <v>1837</v>
      </c>
      <c r="AM549" s="1037" t="s">
        <v>2348</v>
      </c>
      <c r="AN549" s="1031" t="s">
        <v>2397</v>
      </c>
      <c r="AO549" s="1031" t="s">
        <v>4416</v>
      </c>
      <c r="AP549" s="1275">
        <v>1</v>
      </c>
      <c r="AQ549" s="802" t="s">
        <v>1828</v>
      </c>
      <c r="AR549" s="1040" t="s">
        <v>1084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210</v>
      </c>
      <c r="CE549" s="1054" t="s">
        <v>210</v>
      </c>
      <c r="CF549" s="1054" t="s">
        <v>210</v>
      </c>
      <c r="CG549" s="1054" t="s">
        <v>210</v>
      </c>
      <c r="CH549" s="1055" t="s">
        <v>210</v>
      </c>
      <c r="CI549" s="1058" t="s">
        <v>2260</v>
      </c>
      <c r="CJ549" s="1056" t="s">
        <v>2260</v>
      </c>
      <c r="CK549" s="1056" t="s">
        <v>2260</v>
      </c>
      <c r="CL549" s="1056" t="s">
        <v>2260</v>
      </c>
      <c r="CM549" s="1057" t="s">
        <v>2260</v>
      </c>
      <c r="CN549" s="1058" t="s">
        <v>2260</v>
      </c>
      <c r="CO549" s="1056" t="s">
        <v>2260</v>
      </c>
      <c r="CP549" s="1056" t="s">
        <v>2260</v>
      </c>
      <c r="CQ549" s="1056" t="s">
        <v>2260</v>
      </c>
      <c r="CR549" s="1057" t="s">
        <v>2260</v>
      </c>
      <c r="CS549" s="1048" t="s">
        <v>2260</v>
      </c>
      <c r="CT549" s="1049" t="s">
        <v>2260</v>
      </c>
      <c r="CU549" s="1049" t="s">
        <v>2260</v>
      </c>
      <c r="CV549" s="1049" t="s">
        <v>2260</v>
      </c>
      <c r="CW549" s="1052" t="s">
        <v>2260</v>
      </c>
      <c r="CX549" s="1048" t="s">
        <v>2260</v>
      </c>
      <c r="CY549" s="1049" t="s">
        <v>2260</v>
      </c>
      <c r="CZ549" s="1049" t="s">
        <v>2260</v>
      </c>
      <c r="DA549" s="1049" t="s">
        <v>2260</v>
      </c>
      <c r="DB549" s="1052" t="s">
        <v>2260</v>
      </c>
      <c r="DC549" s="1056" t="s">
        <v>2260</v>
      </c>
      <c r="DD549" s="1056" t="s">
        <v>2260</v>
      </c>
      <c r="DE549" s="1056" t="s">
        <v>2260</v>
      </c>
      <c r="DF549" s="1056" t="s">
        <v>2260</v>
      </c>
      <c r="DG549" s="1057" t="s">
        <v>2260</v>
      </c>
      <c r="DH549" s="1058" t="s">
        <v>2260</v>
      </c>
      <c r="DI549" s="1049" t="s">
        <v>2260</v>
      </c>
      <c r="DJ549" s="1049" t="s">
        <v>2260</v>
      </c>
      <c r="DK549" s="1049" t="s">
        <v>2260</v>
      </c>
      <c r="DL549" s="1052" t="s">
        <v>2260</v>
      </c>
      <c r="DM549" s="1060">
        <v>-0.13500000000000001</v>
      </c>
      <c r="DN549" s="1061" t="s">
        <v>2260</v>
      </c>
      <c r="DO549" s="1061" t="s">
        <v>2260</v>
      </c>
      <c r="DP549" s="1062" t="s">
        <v>2260</v>
      </c>
      <c r="DQ549" s="1061" t="s">
        <v>2260</v>
      </c>
      <c r="DR549" s="1061" t="s">
        <v>2260</v>
      </c>
      <c r="DS549" s="1061" t="s">
        <v>2260</v>
      </c>
      <c r="DT549" s="1062" t="s">
        <v>2260</v>
      </c>
      <c r="DU549" s="1054" t="s">
        <v>2260</v>
      </c>
      <c r="DV549" s="1063">
        <v>1</v>
      </c>
      <c r="DW549" s="1064" t="s">
        <v>2260</v>
      </c>
    </row>
    <row r="550" spans="1:127" s="382" customFormat="1" ht="15.75" customHeight="1">
      <c r="A550" s="1066" t="s">
        <v>1116</v>
      </c>
      <c r="B550" s="1026">
        <v>541</v>
      </c>
      <c r="C550" s="987"/>
      <c r="D550" s="987"/>
      <c r="E550" s="987"/>
      <c r="F550" s="987"/>
      <c r="G550" s="987"/>
      <c r="H550" s="987"/>
      <c r="I550" s="987"/>
      <c r="J550" s="987"/>
      <c r="K550" s="987"/>
      <c r="L550" s="987"/>
      <c r="M550" s="1026"/>
      <c r="N550" s="987"/>
      <c r="O550" s="987"/>
      <c r="P550" s="987"/>
      <c r="Q550" s="987"/>
      <c r="R550" s="987"/>
      <c r="S550" s="987"/>
      <c r="T550" s="988"/>
      <c r="U550" s="1067" t="s">
        <v>1503</v>
      </c>
      <c r="V550" s="1068" t="s">
        <v>3995</v>
      </c>
      <c r="W550" s="1068" t="s">
        <v>2231</v>
      </c>
      <c r="X550" s="1069" t="s">
        <v>4008</v>
      </c>
      <c r="Y550" s="1070" t="s">
        <v>2079</v>
      </c>
      <c r="Z550" s="1071" t="s">
        <v>4009</v>
      </c>
      <c r="AA550" s="1072">
        <v>0.28999999999999998</v>
      </c>
      <c r="AB550" s="1073" t="s">
        <v>2260</v>
      </c>
      <c r="AC550" s="1073">
        <v>0.71</v>
      </c>
      <c r="AD550" s="1073" t="s">
        <v>2260</v>
      </c>
      <c r="AE550" s="1073" t="s">
        <v>2260</v>
      </c>
      <c r="AF550" s="1073" t="s">
        <v>2260</v>
      </c>
      <c r="AG550" s="1073" t="s">
        <v>2260</v>
      </c>
      <c r="AH550" s="1073" t="s">
        <v>2260</v>
      </c>
      <c r="AI550" s="1074">
        <f t="shared" si="8"/>
        <v>1</v>
      </c>
      <c r="AJ550" s="1075" t="s">
        <v>1852</v>
      </c>
      <c r="AK550" s="1075" t="s">
        <v>1826</v>
      </c>
      <c r="AL550" s="1075" t="s">
        <v>1837</v>
      </c>
      <c r="AM550" s="1076" t="s">
        <v>2387</v>
      </c>
      <c r="AN550" s="987" t="s">
        <v>1860</v>
      </c>
      <c r="AO550" s="987" t="s">
        <v>4010</v>
      </c>
      <c r="AP550" s="1243">
        <v>0</v>
      </c>
      <c r="AQ550" s="1045" t="s">
        <v>1828</v>
      </c>
      <c r="AR550" s="1078" t="s">
        <v>2260</v>
      </c>
      <c r="AS550" s="1079"/>
      <c r="AT550" s="1069"/>
      <c r="AU550" s="1069"/>
      <c r="AV550" s="1069"/>
      <c r="AW550" s="1080"/>
      <c r="AX550" s="1081"/>
      <c r="AY550" s="1044"/>
      <c r="AZ550" s="1045"/>
      <c r="BA550" s="1045"/>
      <c r="BB550" s="1045"/>
      <c r="BC550" s="1045"/>
      <c r="BD550" s="1045"/>
      <c r="BE550" s="1045"/>
      <c r="BF550" s="1045"/>
      <c r="BG550" s="1045"/>
      <c r="BH550" s="1045"/>
      <c r="BI550" s="1369"/>
      <c r="BJ550" s="1319"/>
      <c r="BK550" s="1319"/>
      <c r="BL550" s="1319"/>
      <c r="BM550" s="1319"/>
      <c r="BN550" s="1044"/>
      <c r="BO550" s="1045"/>
      <c r="BP550" s="1045"/>
      <c r="BQ550" s="1045"/>
      <c r="BR550" s="1045"/>
      <c r="BS550" s="1084"/>
      <c r="BT550" s="1045"/>
      <c r="BU550" s="1045"/>
      <c r="BV550" s="1045"/>
      <c r="BW550" s="1085"/>
      <c r="BX550" s="1084"/>
      <c r="BY550" s="1045"/>
      <c r="BZ550" s="1045"/>
      <c r="CA550" s="1045"/>
      <c r="CB550" s="1085"/>
      <c r="CC550" s="1086"/>
      <c r="CD550" s="1327"/>
      <c r="CE550" s="1328"/>
      <c r="CF550" s="1328"/>
      <c r="CG550" s="1328"/>
      <c r="CH550" s="1389"/>
      <c r="CI550" s="1369"/>
      <c r="CJ550" s="1319"/>
      <c r="CK550" s="1319"/>
      <c r="CL550" s="1319"/>
      <c r="CM550" s="1320"/>
      <c r="CN550" s="1369"/>
      <c r="CO550" s="1319"/>
      <c r="CP550" s="1319"/>
      <c r="CQ550" s="1319"/>
      <c r="CR550" s="1320"/>
      <c r="CS550" s="1369"/>
      <c r="CT550" s="1319"/>
      <c r="CU550" s="1319"/>
      <c r="CV550" s="1319"/>
      <c r="CW550" s="1320"/>
      <c r="CX550" s="1369"/>
      <c r="CY550" s="1319"/>
      <c r="CZ550" s="1319"/>
      <c r="DA550" s="1319"/>
      <c r="DB550" s="1320"/>
      <c r="DC550" s="1319"/>
      <c r="DD550" s="1319"/>
      <c r="DE550" s="1319"/>
      <c r="DF550" s="1319"/>
      <c r="DG550" s="1320"/>
      <c r="DH550" s="1369"/>
      <c r="DI550" s="1319"/>
      <c r="DJ550" s="1319"/>
      <c r="DK550" s="1319"/>
      <c r="DL550" s="1320"/>
      <c r="DM550" s="1743"/>
      <c r="DN550" s="1744"/>
      <c r="DO550" s="1744"/>
      <c r="DP550" s="1745"/>
      <c r="DQ550" s="1744"/>
      <c r="DR550" s="1744"/>
      <c r="DS550" s="1744"/>
      <c r="DT550" s="1745"/>
      <c r="DU550" s="1328"/>
      <c r="DV550" s="1664"/>
      <c r="DW550" s="1746"/>
    </row>
    <row r="551" spans="1:127" s="382" customFormat="1" ht="15.75" customHeight="1">
      <c r="A551" s="1066" t="s">
        <v>1116</v>
      </c>
      <c r="B551" s="1026">
        <v>542</v>
      </c>
      <c r="C551" s="987"/>
      <c r="D551" s="987"/>
      <c r="E551" s="987"/>
      <c r="F551" s="987"/>
      <c r="G551" s="987"/>
      <c r="H551" s="987"/>
      <c r="I551" s="987"/>
      <c r="J551" s="987"/>
      <c r="K551" s="987"/>
      <c r="L551" s="987"/>
      <c r="M551" s="1026"/>
      <c r="N551" s="987"/>
      <c r="O551" s="987"/>
      <c r="P551" s="987"/>
      <c r="Q551" s="987"/>
      <c r="R551" s="987"/>
      <c r="S551" s="987"/>
      <c r="T551" s="988"/>
      <c r="U551" s="1067" t="s">
        <v>1514</v>
      </c>
      <c r="V551" s="1068" t="s">
        <v>3995</v>
      </c>
      <c r="W551" s="1068" t="s">
        <v>2231</v>
      </c>
      <c r="X551" s="1069" t="s">
        <v>4011</v>
      </c>
      <c r="Y551" s="1070" t="s">
        <v>4012</v>
      </c>
      <c r="Z551" s="1071" t="s">
        <v>4013</v>
      </c>
      <c r="AA551" s="1072" t="s">
        <v>2260</v>
      </c>
      <c r="AB551" s="1073" t="s">
        <v>2260</v>
      </c>
      <c r="AC551" s="1073" t="s">
        <v>2260</v>
      </c>
      <c r="AD551" s="1073">
        <v>1</v>
      </c>
      <c r="AE551" s="1073" t="s">
        <v>2260</v>
      </c>
      <c r="AF551" s="1073" t="s">
        <v>2260</v>
      </c>
      <c r="AG551" s="1073" t="s">
        <v>2260</v>
      </c>
      <c r="AH551" s="1073" t="s">
        <v>2260</v>
      </c>
      <c r="AI551" s="1074">
        <f t="shared" si="8"/>
        <v>1</v>
      </c>
      <c r="AJ551" s="1075" t="s">
        <v>1852</v>
      </c>
      <c r="AK551" s="1075" t="s">
        <v>1826</v>
      </c>
      <c r="AL551" s="1075" t="s">
        <v>1827</v>
      </c>
      <c r="AM551" s="1076" t="s">
        <v>815</v>
      </c>
      <c r="AN551" s="987" t="s">
        <v>321</v>
      </c>
      <c r="AO551" s="987" t="s">
        <v>2260</v>
      </c>
      <c r="AP551" s="1243">
        <v>1</v>
      </c>
      <c r="AQ551" s="1045" t="s">
        <v>1828</v>
      </c>
      <c r="AR551" s="1078" t="s">
        <v>2260</v>
      </c>
      <c r="AS551" s="1079"/>
      <c r="AT551" s="1069"/>
      <c r="AU551" s="1069"/>
      <c r="AV551" s="1069"/>
      <c r="AW551" s="1080"/>
      <c r="AX551" s="1081"/>
      <c r="AY551" s="1044"/>
      <c r="AZ551" s="1045"/>
      <c r="BA551" s="1045"/>
      <c r="BB551" s="1045"/>
      <c r="BC551" s="1045"/>
      <c r="BD551" s="1045"/>
      <c r="BE551" s="1045"/>
      <c r="BF551" s="1045"/>
      <c r="BG551" s="1045"/>
      <c r="BH551" s="1045"/>
      <c r="BI551" s="1369"/>
      <c r="BJ551" s="1319"/>
      <c r="BK551" s="1319"/>
      <c r="BL551" s="1319"/>
      <c r="BM551" s="1319"/>
      <c r="BN551" s="1044"/>
      <c r="BO551" s="1045"/>
      <c r="BP551" s="1045"/>
      <c r="BQ551" s="1045"/>
      <c r="BR551" s="1045"/>
      <c r="BS551" s="1084"/>
      <c r="BT551" s="1045"/>
      <c r="BU551" s="1045"/>
      <c r="BV551" s="1045"/>
      <c r="BW551" s="1085"/>
      <c r="BX551" s="1084"/>
      <c r="BY551" s="1045"/>
      <c r="BZ551" s="1045"/>
      <c r="CA551" s="1045"/>
      <c r="CB551" s="1085"/>
      <c r="CC551" s="1086"/>
      <c r="CD551" s="1327"/>
      <c r="CE551" s="1328"/>
      <c r="CF551" s="1328"/>
      <c r="CG551" s="1328"/>
      <c r="CH551" s="1389"/>
      <c r="CI551" s="1369"/>
      <c r="CJ551" s="1319"/>
      <c r="CK551" s="1319"/>
      <c r="CL551" s="1319"/>
      <c r="CM551" s="1320"/>
      <c r="CN551" s="1369"/>
      <c r="CO551" s="1319"/>
      <c r="CP551" s="1319"/>
      <c r="CQ551" s="1319"/>
      <c r="CR551" s="1320"/>
      <c r="CS551" s="1369"/>
      <c r="CT551" s="1319"/>
      <c r="CU551" s="1319"/>
      <c r="CV551" s="1319"/>
      <c r="CW551" s="1320"/>
      <c r="CX551" s="1369"/>
      <c r="CY551" s="1319"/>
      <c r="CZ551" s="1319"/>
      <c r="DA551" s="1319"/>
      <c r="DB551" s="1320"/>
      <c r="DC551" s="1319"/>
      <c r="DD551" s="1319"/>
      <c r="DE551" s="1319"/>
      <c r="DF551" s="1319"/>
      <c r="DG551" s="1320"/>
      <c r="DH551" s="1369"/>
      <c r="DI551" s="1319"/>
      <c r="DJ551" s="1319"/>
      <c r="DK551" s="1319"/>
      <c r="DL551" s="1320"/>
      <c r="DM551" s="1743"/>
      <c r="DN551" s="1744"/>
      <c r="DO551" s="1744"/>
      <c r="DP551" s="1745"/>
      <c r="DQ551" s="1744"/>
      <c r="DR551" s="1744"/>
      <c r="DS551" s="1744"/>
      <c r="DT551" s="1745"/>
      <c r="DU551" s="1328"/>
      <c r="DV551" s="1664"/>
      <c r="DW551" s="1746"/>
    </row>
    <row r="552" spans="1:127" s="382" customFormat="1" ht="15.75" customHeight="1">
      <c r="A552" s="1066" t="s">
        <v>1116</v>
      </c>
      <c r="B552" s="1026">
        <v>543</v>
      </c>
      <c r="C552" s="987"/>
      <c r="D552" s="987"/>
      <c r="E552" s="987"/>
      <c r="F552" s="987"/>
      <c r="G552" s="987"/>
      <c r="H552" s="987"/>
      <c r="I552" s="987"/>
      <c r="J552" s="987"/>
      <c r="K552" s="987"/>
      <c r="L552" s="987"/>
      <c r="M552" s="1026"/>
      <c r="N552" s="987"/>
      <c r="O552" s="987"/>
      <c r="P552" s="987"/>
      <c r="Q552" s="987"/>
      <c r="R552" s="987"/>
      <c r="S552" s="987"/>
      <c r="T552" s="988"/>
      <c r="U552" s="1067" t="s">
        <v>1525</v>
      </c>
      <c r="V552" s="1068" t="s">
        <v>3995</v>
      </c>
      <c r="W552" s="1068" t="s">
        <v>2231</v>
      </c>
      <c r="X552" s="1069" t="s">
        <v>4014</v>
      </c>
      <c r="Y552" s="1070" t="s">
        <v>4015</v>
      </c>
      <c r="Z552" s="1071" t="s">
        <v>4016</v>
      </c>
      <c r="AA552" s="1072" t="s">
        <v>2260</v>
      </c>
      <c r="AB552" s="1073" t="s">
        <v>2260</v>
      </c>
      <c r="AC552" s="1073" t="s">
        <v>2260</v>
      </c>
      <c r="AD552" s="1073">
        <v>1</v>
      </c>
      <c r="AE552" s="1073" t="s">
        <v>2260</v>
      </c>
      <c r="AF552" s="1073" t="s">
        <v>2260</v>
      </c>
      <c r="AG552" s="1073" t="s">
        <v>2260</v>
      </c>
      <c r="AH552" s="1073" t="s">
        <v>2260</v>
      </c>
      <c r="AI552" s="1074">
        <f t="shared" si="8"/>
        <v>1</v>
      </c>
      <c r="AJ552" s="1075" t="s">
        <v>1846</v>
      </c>
      <c r="AK552" s="1075" t="s">
        <v>1826</v>
      </c>
      <c r="AL552" s="1075" t="s">
        <v>1827</v>
      </c>
      <c r="AM552" s="1076" t="s">
        <v>815</v>
      </c>
      <c r="AN552" s="987" t="s">
        <v>321</v>
      </c>
      <c r="AO552" s="987" t="s">
        <v>2260</v>
      </c>
      <c r="AP552" s="1243">
        <v>2</v>
      </c>
      <c r="AQ552" s="1045" t="s">
        <v>1828</v>
      </c>
      <c r="AR552" s="1078" t="s">
        <v>2260</v>
      </c>
      <c r="AS552" s="1079"/>
      <c r="AT552" s="1069"/>
      <c r="AU552" s="1069"/>
      <c r="AV552" s="1069"/>
      <c r="AW552" s="1080"/>
      <c r="AX552" s="1081"/>
      <c r="AY552" s="1044"/>
      <c r="AZ552" s="1045"/>
      <c r="BA552" s="1045"/>
      <c r="BB552" s="1045"/>
      <c r="BC552" s="1045"/>
      <c r="BD552" s="1045"/>
      <c r="BE552" s="1045"/>
      <c r="BF552" s="1045"/>
      <c r="BG552" s="1045"/>
      <c r="BH552" s="1045"/>
      <c r="BI552" s="1369"/>
      <c r="BJ552" s="1319"/>
      <c r="BK552" s="1319"/>
      <c r="BL552" s="1319"/>
      <c r="BM552" s="1319"/>
      <c r="BN552" s="1044"/>
      <c r="BO552" s="1045"/>
      <c r="BP552" s="1045"/>
      <c r="BQ552" s="1045"/>
      <c r="BR552" s="1045"/>
      <c r="BS552" s="1084"/>
      <c r="BT552" s="1045"/>
      <c r="BU552" s="1045"/>
      <c r="BV552" s="1045"/>
      <c r="BW552" s="1085"/>
      <c r="BX552" s="1084"/>
      <c r="BY552" s="1045"/>
      <c r="BZ552" s="1045"/>
      <c r="CA552" s="1045"/>
      <c r="CB552" s="1085"/>
      <c r="CC552" s="1086"/>
      <c r="CD552" s="1327"/>
      <c r="CE552" s="1328"/>
      <c r="CF552" s="1328"/>
      <c r="CG552" s="1328"/>
      <c r="CH552" s="1389"/>
      <c r="CI552" s="1369"/>
      <c r="CJ552" s="1319"/>
      <c r="CK552" s="1319"/>
      <c r="CL552" s="1319"/>
      <c r="CM552" s="1320"/>
      <c r="CN552" s="1369"/>
      <c r="CO552" s="1319"/>
      <c r="CP552" s="1319"/>
      <c r="CQ552" s="1319"/>
      <c r="CR552" s="1320"/>
      <c r="CS552" s="1369"/>
      <c r="CT552" s="1319"/>
      <c r="CU552" s="1319"/>
      <c r="CV552" s="1319"/>
      <c r="CW552" s="1320"/>
      <c r="CX552" s="1369"/>
      <c r="CY552" s="1319"/>
      <c r="CZ552" s="1319"/>
      <c r="DA552" s="1319"/>
      <c r="DB552" s="1320"/>
      <c r="DC552" s="1319"/>
      <c r="DD552" s="1319"/>
      <c r="DE552" s="1319"/>
      <c r="DF552" s="1319"/>
      <c r="DG552" s="1320"/>
      <c r="DH552" s="1369"/>
      <c r="DI552" s="1319"/>
      <c r="DJ552" s="1319"/>
      <c r="DK552" s="1319"/>
      <c r="DL552" s="1320"/>
      <c r="DM552" s="1743"/>
      <c r="DN552" s="1744"/>
      <c r="DO552" s="1744"/>
      <c r="DP552" s="1745"/>
      <c r="DQ552" s="1744"/>
      <c r="DR552" s="1744"/>
      <c r="DS552" s="1744"/>
      <c r="DT552" s="1745"/>
      <c r="DU552" s="1328"/>
      <c r="DV552" s="1664"/>
      <c r="DW552" s="1746"/>
    </row>
    <row r="553" spans="1:127" s="382" customFormat="1" ht="15.75" customHeight="1">
      <c r="A553" s="1066" t="s">
        <v>1116</v>
      </c>
      <c r="B553" s="1026">
        <v>544</v>
      </c>
      <c r="C553" s="987"/>
      <c r="D553" s="987"/>
      <c r="E553" s="987"/>
      <c r="F553" s="987"/>
      <c r="G553" s="987"/>
      <c r="H553" s="987"/>
      <c r="I553" s="987"/>
      <c r="J553" s="987"/>
      <c r="K553" s="987"/>
      <c r="L553" s="987"/>
      <c r="M553" s="1026"/>
      <c r="N553" s="987"/>
      <c r="O553" s="987"/>
      <c r="P553" s="987"/>
      <c r="Q553" s="987"/>
      <c r="R553" s="987"/>
      <c r="S553" s="987"/>
      <c r="T553" s="988"/>
      <c r="U553" s="1067" t="s">
        <v>1773</v>
      </c>
      <c r="V553" s="1068" t="s">
        <v>4017</v>
      </c>
      <c r="W553" s="1068" t="s">
        <v>2231</v>
      </c>
      <c r="X553" s="1069" t="s">
        <v>4018</v>
      </c>
      <c r="Y553" s="1070" t="s">
        <v>2251</v>
      </c>
      <c r="Z553" s="1071" t="s">
        <v>4019</v>
      </c>
      <c r="AA553" s="1072" t="s">
        <v>2260</v>
      </c>
      <c r="AB553" s="1073" t="s">
        <v>2260</v>
      </c>
      <c r="AC553" s="1073" t="s">
        <v>2260</v>
      </c>
      <c r="AD553" s="1073" t="s">
        <v>2260</v>
      </c>
      <c r="AE553" s="1073">
        <v>1</v>
      </c>
      <c r="AF553" s="1073" t="s">
        <v>2260</v>
      </c>
      <c r="AG553" s="1073" t="s">
        <v>2260</v>
      </c>
      <c r="AH553" s="1073" t="s">
        <v>2260</v>
      </c>
      <c r="AI553" s="1074">
        <f t="shared" si="8"/>
        <v>1</v>
      </c>
      <c r="AJ553" s="1075" t="s">
        <v>1852</v>
      </c>
      <c r="AK553" s="1075" t="s">
        <v>1826</v>
      </c>
      <c r="AL553" s="1075" t="s">
        <v>1827</v>
      </c>
      <c r="AM553" s="1076" t="s">
        <v>1888</v>
      </c>
      <c r="AN553" s="987" t="s">
        <v>1897</v>
      </c>
      <c r="AO553" s="987" t="s">
        <v>2337</v>
      </c>
      <c r="AP553" s="1243">
        <v>2</v>
      </c>
      <c r="AQ553" s="1045" t="s">
        <v>1828</v>
      </c>
      <c r="AR553" s="1078" t="s">
        <v>2251</v>
      </c>
      <c r="AS553" s="1079"/>
      <c r="AT553" s="1069"/>
      <c r="AU553" s="1069"/>
      <c r="AV553" s="1069"/>
      <c r="AW553" s="1080"/>
      <c r="AX553" s="1081"/>
      <c r="AY553" s="1044"/>
      <c r="AZ553" s="1045"/>
      <c r="BA553" s="1045"/>
      <c r="BB553" s="1045"/>
      <c r="BC553" s="1045"/>
      <c r="BD553" s="1045"/>
      <c r="BE553" s="1045"/>
      <c r="BF553" s="1045"/>
      <c r="BG553" s="1045"/>
      <c r="BH553" s="1045"/>
      <c r="BI553" s="1044" t="s">
        <v>4501</v>
      </c>
      <c r="BJ553" s="1045" t="s">
        <v>4501</v>
      </c>
      <c r="BK553" s="1045" t="s">
        <v>4501</v>
      </c>
      <c r="BL553" s="1045" t="s">
        <v>4501</v>
      </c>
      <c r="BM553" s="1045" t="s">
        <v>4501</v>
      </c>
      <c r="BN553" s="1044"/>
      <c r="BO553" s="1045"/>
      <c r="BP553" s="1045"/>
      <c r="BQ553" s="1045"/>
      <c r="BR553" s="1045"/>
      <c r="BS553" s="1084"/>
      <c r="BT553" s="1045"/>
      <c r="BU553" s="1045"/>
      <c r="BV553" s="1045"/>
      <c r="BW553" s="1085"/>
      <c r="BX553" s="1084"/>
      <c r="BY553" s="1045"/>
      <c r="BZ553" s="1045"/>
      <c r="CA553" s="1045"/>
      <c r="CB553" s="1085"/>
      <c r="CC553" s="1086"/>
      <c r="CD553" s="1087" t="s">
        <v>210</v>
      </c>
      <c r="CE553" s="1088" t="s">
        <v>210</v>
      </c>
      <c r="CF553" s="1088" t="s">
        <v>210</v>
      </c>
      <c r="CG553" s="1088" t="s">
        <v>210</v>
      </c>
      <c r="CH553" s="1089" t="s">
        <v>210</v>
      </c>
      <c r="CI553" s="1044" t="s">
        <v>2260</v>
      </c>
      <c r="CJ553" s="1045" t="s">
        <v>2260</v>
      </c>
      <c r="CK553" s="1045" t="s">
        <v>2260</v>
      </c>
      <c r="CL553" s="1045" t="s">
        <v>2260</v>
      </c>
      <c r="CM553" s="1086" t="s">
        <v>2260</v>
      </c>
      <c r="CN553" s="1044" t="s">
        <v>2260</v>
      </c>
      <c r="CO553" s="1045" t="s">
        <v>2260</v>
      </c>
      <c r="CP553" s="1045" t="s">
        <v>2260</v>
      </c>
      <c r="CQ553" s="1045" t="s">
        <v>2260</v>
      </c>
      <c r="CR553" s="1086" t="s">
        <v>2260</v>
      </c>
      <c r="CS553" s="1044" t="s">
        <v>2260</v>
      </c>
      <c r="CT553" s="1045" t="s">
        <v>2260</v>
      </c>
      <c r="CU553" s="1045" t="s">
        <v>2260</v>
      </c>
      <c r="CV553" s="1045" t="s">
        <v>2260</v>
      </c>
      <c r="CW553" s="1086" t="s">
        <v>2260</v>
      </c>
      <c r="CX553" s="1044" t="s">
        <v>2260</v>
      </c>
      <c r="CY553" s="1045" t="s">
        <v>2260</v>
      </c>
      <c r="CZ553" s="1045" t="s">
        <v>2260</v>
      </c>
      <c r="DA553" s="1045" t="s">
        <v>2260</v>
      </c>
      <c r="DB553" s="1086" t="s">
        <v>2260</v>
      </c>
      <c r="DC553" s="1045" t="s">
        <v>2260</v>
      </c>
      <c r="DD553" s="1045" t="s">
        <v>2260</v>
      </c>
      <c r="DE553" s="1045" t="s">
        <v>2260</v>
      </c>
      <c r="DF553" s="1045" t="s">
        <v>2260</v>
      </c>
      <c r="DG553" s="1086" t="s">
        <v>2260</v>
      </c>
      <c r="DH553" s="1044" t="s">
        <v>2260</v>
      </c>
      <c r="DI553" s="1045" t="s">
        <v>2260</v>
      </c>
      <c r="DJ553" s="1045" t="s">
        <v>2260</v>
      </c>
      <c r="DK553" s="1045" t="s">
        <v>2260</v>
      </c>
      <c r="DL553" s="1086" t="s">
        <v>2260</v>
      </c>
      <c r="DM553" s="1090" t="s">
        <v>2260</v>
      </c>
      <c r="DN553" s="1091" t="s">
        <v>2260</v>
      </c>
      <c r="DO553" s="1091" t="s">
        <v>2260</v>
      </c>
      <c r="DP553" s="1092" t="s">
        <v>2260</v>
      </c>
      <c r="DQ553" s="1091" t="s">
        <v>2260</v>
      </c>
      <c r="DR553" s="1091" t="s">
        <v>2260</v>
      </c>
      <c r="DS553" s="1091" t="s">
        <v>2260</v>
      </c>
      <c r="DT553" s="1092" t="s">
        <v>2260</v>
      </c>
      <c r="DU553" s="1088" t="s">
        <v>2260</v>
      </c>
      <c r="DV553" s="1093">
        <v>1</v>
      </c>
      <c r="DW553" s="1094" t="s">
        <v>2260</v>
      </c>
    </row>
    <row r="554" spans="1:127" s="382" customFormat="1" ht="15.75" customHeight="1">
      <c r="A554" s="1066" t="s">
        <v>1116</v>
      </c>
      <c r="B554" s="1026">
        <v>545</v>
      </c>
      <c r="C554" s="987"/>
      <c r="D554" s="987"/>
      <c r="E554" s="987"/>
      <c r="F554" s="987"/>
      <c r="G554" s="987"/>
      <c r="H554" s="987"/>
      <c r="I554" s="987"/>
      <c r="J554" s="987"/>
      <c r="K554" s="987"/>
      <c r="L554" s="987"/>
      <c r="M554" s="1026"/>
      <c r="N554" s="987"/>
      <c r="O554" s="987"/>
      <c r="P554" s="987"/>
      <c r="Q554" s="987"/>
      <c r="R554" s="987"/>
      <c r="S554" s="987"/>
      <c r="T554" s="988"/>
      <c r="U554" s="1067" t="s">
        <v>1790</v>
      </c>
      <c r="V554" s="1068" t="s">
        <v>4017</v>
      </c>
      <c r="W554" s="1068" t="s">
        <v>2231</v>
      </c>
      <c r="X554" s="1069" t="s">
        <v>4020</v>
      </c>
      <c r="Y554" s="1070" t="s">
        <v>2254</v>
      </c>
      <c r="Z554" s="1071" t="s">
        <v>4021</v>
      </c>
      <c r="AA554" s="1072" t="s">
        <v>2260</v>
      </c>
      <c r="AB554" s="1073">
        <v>0.6</v>
      </c>
      <c r="AC554" s="1073">
        <v>0.4</v>
      </c>
      <c r="AD554" s="1073" t="s">
        <v>2260</v>
      </c>
      <c r="AE554" s="1073" t="s">
        <v>2260</v>
      </c>
      <c r="AF554" s="1073" t="s">
        <v>2260</v>
      </c>
      <c r="AG554" s="1073" t="s">
        <v>2260</v>
      </c>
      <c r="AH554" s="1073" t="s">
        <v>2260</v>
      </c>
      <c r="AI554" s="1074">
        <f t="shared" si="8"/>
        <v>1</v>
      </c>
      <c r="AJ554" s="1075" t="s">
        <v>1852</v>
      </c>
      <c r="AK554" s="1075" t="s">
        <v>1826</v>
      </c>
      <c r="AL554" s="1075" t="s">
        <v>1827</v>
      </c>
      <c r="AM554" s="1076" t="s">
        <v>1891</v>
      </c>
      <c r="AN554" s="987" t="s">
        <v>1897</v>
      </c>
      <c r="AO554" s="987" t="s">
        <v>470</v>
      </c>
      <c r="AP554" s="1243">
        <v>2</v>
      </c>
      <c r="AQ554" s="1045" t="s">
        <v>1828</v>
      </c>
      <c r="AR554" s="1078" t="s">
        <v>2254</v>
      </c>
      <c r="AS554" s="1079"/>
      <c r="AT554" s="1069"/>
      <c r="AU554" s="1069"/>
      <c r="AV554" s="1069"/>
      <c r="AW554" s="1080"/>
      <c r="AX554" s="1081"/>
      <c r="AY554" s="1044"/>
      <c r="AZ554" s="1045"/>
      <c r="BA554" s="1045"/>
      <c r="BB554" s="1045"/>
      <c r="BC554" s="1045"/>
      <c r="BD554" s="1045"/>
      <c r="BE554" s="1045"/>
      <c r="BF554" s="1045"/>
      <c r="BG554" s="1045"/>
      <c r="BH554" s="1045"/>
      <c r="BI554" s="1044" t="s">
        <v>4501</v>
      </c>
      <c r="BJ554" s="1045" t="s">
        <v>4501</v>
      </c>
      <c r="BK554" s="1045" t="s">
        <v>4501</v>
      </c>
      <c r="BL554" s="1045" t="s">
        <v>4501</v>
      </c>
      <c r="BM554" s="1045" t="s">
        <v>4501</v>
      </c>
      <c r="BN554" s="1044"/>
      <c r="BO554" s="1045"/>
      <c r="BP554" s="1045"/>
      <c r="BQ554" s="1045"/>
      <c r="BR554" s="1045"/>
      <c r="BS554" s="1084"/>
      <c r="BT554" s="1045"/>
      <c r="BU554" s="1045"/>
      <c r="BV554" s="1045"/>
      <c r="BW554" s="1085"/>
      <c r="BX554" s="1084"/>
      <c r="BY554" s="1045"/>
      <c r="BZ554" s="1045"/>
      <c r="CA554" s="1045"/>
      <c r="CB554" s="1085"/>
      <c r="CC554" s="1086"/>
      <c r="CD554" s="1087" t="s">
        <v>210</v>
      </c>
      <c r="CE554" s="1088" t="s">
        <v>210</v>
      </c>
      <c r="CF554" s="1088" t="s">
        <v>210</v>
      </c>
      <c r="CG554" s="1088" t="s">
        <v>210</v>
      </c>
      <c r="CH554" s="1089" t="s">
        <v>210</v>
      </c>
      <c r="CI554" s="1044" t="s">
        <v>2260</v>
      </c>
      <c r="CJ554" s="1045" t="s">
        <v>2260</v>
      </c>
      <c r="CK554" s="1045" t="s">
        <v>2260</v>
      </c>
      <c r="CL554" s="1045" t="s">
        <v>2260</v>
      </c>
      <c r="CM554" s="1086" t="s">
        <v>2260</v>
      </c>
      <c r="CN554" s="1044" t="s">
        <v>2260</v>
      </c>
      <c r="CO554" s="1045" t="s">
        <v>2260</v>
      </c>
      <c r="CP554" s="1045" t="s">
        <v>2260</v>
      </c>
      <c r="CQ554" s="1045" t="s">
        <v>2260</v>
      </c>
      <c r="CR554" s="1086" t="s">
        <v>2260</v>
      </c>
      <c r="CS554" s="1044" t="s">
        <v>2260</v>
      </c>
      <c r="CT554" s="1045" t="s">
        <v>2260</v>
      </c>
      <c r="CU554" s="1045" t="s">
        <v>2260</v>
      </c>
      <c r="CV554" s="1045" t="s">
        <v>2260</v>
      </c>
      <c r="CW554" s="1086" t="s">
        <v>2260</v>
      </c>
      <c r="CX554" s="1044" t="s">
        <v>2260</v>
      </c>
      <c r="CY554" s="1045" t="s">
        <v>2260</v>
      </c>
      <c r="CZ554" s="1045" t="s">
        <v>2260</v>
      </c>
      <c r="DA554" s="1045" t="s">
        <v>2260</v>
      </c>
      <c r="DB554" s="1086" t="s">
        <v>2260</v>
      </c>
      <c r="DC554" s="1045" t="s">
        <v>2260</v>
      </c>
      <c r="DD554" s="1045" t="s">
        <v>2260</v>
      </c>
      <c r="DE554" s="1045" t="s">
        <v>2260</v>
      </c>
      <c r="DF554" s="1045" t="s">
        <v>2260</v>
      </c>
      <c r="DG554" s="1086" t="s">
        <v>2260</v>
      </c>
      <c r="DH554" s="1044" t="s">
        <v>2260</v>
      </c>
      <c r="DI554" s="1045" t="s">
        <v>2260</v>
      </c>
      <c r="DJ554" s="1045" t="s">
        <v>2260</v>
      </c>
      <c r="DK554" s="1045" t="s">
        <v>2260</v>
      </c>
      <c r="DL554" s="1086" t="s">
        <v>2260</v>
      </c>
      <c r="DM554" s="1090" t="s">
        <v>2260</v>
      </c>
      <c r="DN554" s="1091" t="s">
        <v>2260</v>
      </c>
      <c r="DO554" s="1091" t="s">
        <v>2260</v>
      </c>
      <c r="DP554" s="1092" t="s">
        <v>2260</v>
      </c>
      <c r="DQ554" s="1091" t="s">
        <v>2260</v>
      </c>
      <c r="DR554" s="1091" t="s">
        <v>2260</v>
      </c>
      <c r="DS554" s="1091" t="s">
        <v>2260</v>
      </c>
      <c r="DT554" s="1092" t="s">
        <v>2260</v>
      </c>
      <c r="DU554" s="1088" t="s">
        <v>2260</v>
      </c>
      <c r="DV554" s="1093">
        <v>1</v>
      </c>
      <c r="DW554" s="1094" t="s">
        <v>2260</v>
      </c>
    </row>
    <row r="555" spans="1:127" s="382" customFormat="1" ht="15.75" customHeight="1">
      <c r="A555" s="1066" t="s">
        <v>1116</v>
      </c>
      <c r="B555" s="1026">
        <v>546</v>
      </c>
      <c r="C555" s="987"/>
      <c r="D555" s="987"/>
      <c r="E555" s="987"/>
      <c r="F555" s="987"/>
      <c r="G555" s="987"/>
      <c r="H555" s="987"/>
      <c r="I555" s="987"/>
      <c r="J555" s="987"/>
      <c r="K555" s="987"/>
      <c r="L555" s="987"/>
      <c r="M555" s="1026"/>
      <c r="N555" s="987"/>
      <c r="O555" s="987"/>
      <c r="P555" s="987"/>
      <c r="Q555" s="987"/>
      <c r="R555" s="987"/>
      <c r="S555" s="987"/>
      <c r="T555" s="988"/>
      <c r="U555" s="1067" t="s">
        <v>1651</v>
      </c>
      <c r="V555" s="1068" t="s">
        <v>4017</v>
      </c>
      <c r="W555" s="1068" t="s">
        <v>2217</v>
      </c>
      <c r="X555" s="1069" t="s">
        <v>4022</v>
      </c>
      <c r="Y555" s="1070" t="s">
        <v>2442</v>
      </c>
      <c r="Z555" s="1071" t="s">
        <v>4023</v>
      </c>
      <c r="AA555" s="1072">
        <v>4.3999999999999997E-2</v>
      </c>
      <c r="AB555" s="1073">
        <v>0.34200000000000003</v>
      </c>
      <c r="AC555" s="1073">
        <v>0.48399999999999999</v>
      </c>
      <c r="AD555" s="1073">
        <v>4.4999999999999998E-2</v>
      </c>
      <c r="AE555" s="1073">
        <v>8.5000000000000006E-2</v>
      </c>
      <c r="AF555" s="1073" t="s">
        <v>2260</v>
      </c>
      <c r="AG555" s="1073" t="s">
        <v>2260</v>
      </c>
      <c r="AH555" s="1073" t="s">
        <v>2260</v>
      </c>
      <c r="AI555" s="1074">
        <f t="shared" si="8"/>
        <v>1</v>
      </c>
      <c r="AJ555" s="1075" t="s">
        <v>1825</v>
      </c>
      <c r="AK555" s="1075" t="s">
        <v>2260</v>
      </c>
      <c r="AL555" s="1075" t="s">
        <v>2260</v>
      </c>
      <c r="AM555" s="1076" t="s">
        <v>2264</v>
      </c>
      <c r="AN555" s="987" t="s">
        <v>1897</v>
      </c>
      <c r="AO555" s="987" t="s">
        <v>2330</v>
      </c>
      <c r="AP555" s="1243">
        <v>2</v>
      </c>
      <c r="AQ555" s="1045" t="s">
        <v>1828</v>
      </c>
      <c r="AR555" s="1078" t="s">
        <v>2260</v>
      </c>
      <c r="AS555" s="1079"/>
      <c r="AT555" s="1069"/>
      <c r="AU555" s="1069"/>
      <c r="AV555" s="1069"/>
      <c r="AW555" s="1080"/>
      <c r="AX555" s="1081"/>
      <c r="AY555" s="1044"/>
      <c r="AZ555" s="1045"/>
      <c r="BA555" s="1045"/>
      <c r="BB555" s="1045"/>
      <c r="BC555" s="1045"/>
      <c r="BD555" s="1045"/>
      <c r="BE555" s="1045"/>
      <c r="BF555" s="1045"/>
      <c r="BG555" s="1045"/>
      <c r="BH555" s="1045"/>
      <c r="BI555" s="1369"/>
      <c r="BJ555" s="1319"/>
      <c r="BK555" s="1319"/>
      <c r="BL555" s="1319"/>
      <c r="BM555" s="1319"/>
      <c r="BN555" s="1044"/>
      <c r="BO555" s="1045"/>
      <c r="BP555" s="1045"/>
      <c r="BQ555" s="1045"/>
      <c r="BR555" s="1045"/>
      <c r="BS555" s="1084"/>
      <c r="BT555" s="1045"/>
      <c r="BU555" s="1045"/>
      <c r="BV555" s="1045"/>
      <c r="BW555" s="1085"/>
      <c r="BX555" s="1084"/>
      <c r="BY555" s="1045"/>
      <c r="BZ555" s="1045"/>
      <c r="CA555" s="1045"/>
      <c r="CB555" s="1085"/>
      <c r="CC555" s="1086"/>
      <c r="CD555" s="1327"/>
      <c r="CE555" s="1328"/>
      <c r="CF555" s="1328"/>
      <c r="CG555" s="1328"/>
      <c r="CH555" s="1389"/>
      <c r="CI555" s="1369"/>
      <c r="CJ555" s="1319"/>
      <c r="CK555" s="1319"/>
      <c r="CL555" s="1319"/>
      <c r="CM555" s="1320"/>
      <c r="CN555" s="1369"/>
      <c r="CO555" s="1319"/>
      <c r="CP555" s="1319"/>
      <c r="CQ555" s="1319"/>
      <c r="CR555" s="1320"/>
      <c r="CS555" s="1369"/>
      <c r="CT555" s="1319"/>
      <c r="CU555" s="1319"/>
      <c r="CV555" s="1319"/>
      <c r="CW555" s="1320"/>
      <c r="CX555" s="1369"/>
      <c r="CY555" s="1319"/>
      <c r="CZ555" s="1319"/>
      <c r="DA555" s="1319"/>
      <c r="DB555" s="1320"/>
      <c r="DC555" s="1319"/>
      <c r="DD555" s="1319"/>
      <c r="DE555" s="1319"/>
      <c r="DF555" s="1319"/>
      <c r="DG555" s="1320"/>
      <c r="DH555" s="1369"/>
      <c r="DI555" s="1319"/>
      <c r="DJ555" s="1319"/>
      <c r="DK555" s="1319"/>
      <c r="DL555" s="1320"/>
      <c r="DM555" s="1743"/>
      <c r="DN555" s="1744"/>
      <c r="DO555" s="1744"/>
      <c r="DP555" s="1745"/>
      <c r="DQ555" s="1744"/>
      <c r="DR555" s="1744"/>
      <c r="DS555" s="1744"/>
      <c r="DT555" s="1745"/>
      <c r="DU555" s="1328"/>
      <c r="DV555" s="1664"/>
      <c r="DW555" s="1746"/>
    </row>
    <row r="556" spans="1:127" s="382" customFormat="1" ht="15.75" customHeight="1">
      <c r="A556" s="1066" t="s">
        <v>1116</v>
      </c>
      <c r="B556" s="1026">
        <v>547</v>
      </c>
      <c r="C556" s="987"/>
      <c r="D556" s="987"/>
      <c r="E556" s="987"/>
      <c r="F556" s="987"/>
      <c r="G556" s="987"/>
      <c r="H556" s="987"/>
      <c r="I556" s="987"/>
      <c r="J556" s="987"/>
      <c r="K556" s="987"/>
      <c r="L556" s="987"/>
      <c r="M556" s="1026"/>
      <c r="N556" s="987"/>
      <c r="O556" s="987"/>
      <c r="P556" s="987"/>
      <c r="Q556" s="987"/>
      <c r="R556" s="987"/>
      <c r="S556" s="987"/>
      <c r="T556" s="988"/>
      <c r="U556" s="1067" t="s">
        <v>1352</v>
      </c>
      <c r="V556" s="1068" t="s">
        <v>4017</v>
      </c>
      <c r="W556" s="1068" t="s">
        <v>2217</v>
      </c>
      <c r="X556" s="1069" t="s">
        <v>4024</v>
      </c>
      <c r="Y556" s="1070" t="s">
        <v>4025</v>
      </c>
      <c r="Z556" s="1071" t="s">
        <v>4026</v>
      </c>
      <c r="AA556" s="1072" t="s">
        <v>2260</v>
      </c>
      <c r="AB556" s="1073" t="s">
        <v>2260</v>
      </c>
      <c r="AC556" s="1073" t="s">
        <v>2260</v>
      </c>
      <c r="AD556" s="1073" t="s">
        <v>2260</v>
      </c>
      <c r="AE556" s="1073" t="s">
        <v>2260</v>
      </c>
      <c r="AF556" s="1073">
        <v>1</v>
      </c>
      <c r="AG556" s="1073" t="s">
        <v>2260</v>
      </c>
      <c r="AH556" s="1073" t="s">
        <v>2260</v>
      </c>
      <c r="AI556" s="1074">
        <f t="shared" si="8"/>
        <v>1</v>
      </c>
      <c r="AJ556" s="1075" t="s">
        <v>1852</v>
      </c>
      <c r="AK556" s="1075" t="s">
        <v>1826</v>
      </c>
      <c r="AL556" s="1075" t="s">
        <v>1827</v>
      </c>
      <c r="AM556" s="1076" t="s">
        <v>2264</v>
      </c>
      <c r="AN556" s="987" t="s">
        <v>1897</v>
      </c>
      <c r="AO556" s="987" t="s">
        <v>4027</v>
      </c>
      <c r="AP556" s="1243">
        <v>1</v>
      </c>
      <c r="AQ556" s="1045" t="s">
        <v>1828</v>
      </c>
      <c r="AR556" s="1078" t="s">
        <v>2260</v>
      </c>
      <c r="AS556" s="1079"/>
      <c r="AT556" s="1069"/>
      <c r="AU556" s="1069"/>
      <c r="AV556" s="1069"/>
      <c r="AW556" s="1080"/>
      <c r="AX556" s="1081"/>
      <c r="AY556" s="1044"/>
      <c r="AZ556" s="1045"/>
      <c r="BA556" s="1045"/>
      <c r="BB556" s="1045"/>
      <c r="BC556" s="1045"/>
      <c r="BD556" s="1045"/>
      <c r="BE556" s="1045"/>
      <c r="BF556" s="1045"/>
      <c r="BG556" s="1045"/>
      <c r="BH556" s="1045"/>
      <c r="BI556" s="1369"/>
      <c r="BJ556" s="1319"/>
      <c r="BK556" s="1319"/>
      <c r="BL556" s="1319"/>
      <c r="BM556" s="1319"/>
      <c r="BN556" s="1044"/>
      <c r="BO556" s="1045"/>
      <c r="BP556" s="1045"/>
      <c r="BQ556" s="1045"/>
      <c r="BR556" s="1045"/>
      <c r="BS556" s="1084"/>
      <c r="BT556" s="1045"/>
      <c r="BU556" s="1045"/>
      <c r="BV556" s="1045"/>
      <c r="BW556" s="1085"/>
      <c r="BX556" s="1084"/>
      <c r="BY556" s="1045"/>
      <c r="BZ556" s="1045"/>
      <c r="CA556" s="1045"/>
      <c r="CB556" s="1085"/>
      <c r="CC556" s="1086"/>
      <c r="CD556" s="1327"/>
      <c r="CE556" s="1328"/>
      <c r="CF556" s="1328"/>
      <c r="CG556" s="1328"/>
      <c r="CH556" s="1389"/>
      <c r="CI556" s="1369"/>
      <c r="CJ556" s="1319"/>
      <c r="CK556" s="1319"/>
      <c r="CL556" s="1319"/>
      <c r="CM556" s="1320"/>
      <c r="CN556" s="1369"/>
      <c r="CO556" s="1319"/>
      <c r="CP556" s="1319"/>
      <c r="CQ556" s="1319"/>
      <c r="CR556" s="1320"/>
      <c r="CS556" s="1369"/>
      <c r="CT556" s="1319"/>
      <c r="CU556" s="1319"/>
      <c r="CV556" s="1319"/>
      <c r="CW556" s="1320"/>
      <c r="CX556" s="1369"/>
      <c r="CY556" s="1319"/>
      <c r="CZ556" s="1319"/>
      <c r="DA556" s="1319"/>
      <c r="DB556" s="1320"/>
      <c r="DC556" s="1319"/>
      <c r="DD556" s="1319"/>
      <c r="DE556" s="1319"/>
      <c r="DF556" s="1319"/>
      <c r="DG556" s="1320"/>
      <c r="DH556" s="1369"/>
      <c r="DI556" s="1319"/>
      <c r="DJ556" s="1319"/>
      <c r="DK556" s="1319"/>
      <c r="DL556" s="1320"/>
      <c r="DM556" s="1743"/>
      <c r="DN556" s="1744"/>
      <c r="DO556" s="1744"/>
      <c r="DP556" s="1745"/>
      <c r="DQ556" s="1744"/>
      <c r="DR556" s="1744"/>
      <c r="DS556" s="1744"/>
      <c r="DT556" s="1745"/>
      <c r="DU556" s="1328"/>
      <c r="DV556" s="1664"/>
      <c r="DW556" s="1746"/>
    </row>
    <row r="557" spans="1:127" s="382" customFormat="1" ht="15.75" customHeight="1">
      <c r="A557" s="1066" t="s">
        <v>1116</v>
      </c>
      <c r="B557" s="1026">
        <v>548</v>
      </c>
      <c r="C557" s="987"/>
      <c r="D557" s="987"/>
      <c r="E557" s="987"/>
      <c r="F557" s="987"/>
      <c r="G557" s="987"/>
      <c r="H557" s="987"/>
      <c r="I557" s="987"/>
      <c r="J557" s="987"/>
      <c r="K557" s="987"/>
      <c r="L557" s="987"/>
      <c r="M557" s="1026"/>
      <c r="N557" s="987"/>
      <c r="O557" s="987"/>
      <c r="P557" s="987"/>
      <c r="Q557" s="987"/>
      <c r="R557" s="987"/>
      <c r="S557" s="987"/>
      <c r="T557" s="988"/>
      <c r="U557" s="1067" t="s">
        <v>1277</v>
      </c>
      <c r="V557" s="1068" t="s">
        <v>2260</v>
      </c>
      <c r="W557" s="1068" t="s">
        <v>2260</v>
      </c>
      <c r="X557" s="1069" t="s">
        <v>4028</v>
      </c>
      <c r="Y557" s="1070" t="s">
        <v>755</v>
      </c>
      <c r="Z557" s="1071" t="s">
        <v>2260</v>
      </c>
      <c r="AA557" s="1072" t="s">
        <v>2260</v>
      </c>
      <c r="AB557" s="1073" t="s">
        <v>2260</v>
      </c>
      <c r="AC557" s="1073" t="s">
        <v>2260</v>
      </c>
      <c r="AD557" s="1073" t="s">
        <v>2260</v>
      </c>
      <c r="AE557" s="1073" t="s">
        <v>2260</v>
      </c>
      <c r="AF557" s="1073" t="s">
        <v>2260</v>
      </c>
      <c r="AG557" s="1073" t="s">
        <v>2260</v>
      </c>
      <c r="AH557" s="1073" t="s">
        <v>2260</v>
      </c>
      <c r="AI557" s="1074">
        <f t="shared" si="8"/>
        <v>0</v>
      </c>
      <c r="AJ557" s="1075" t="s">
        <v>1825</v>
      </c>
      <c r="AK557" s="1075" t="s">
        <v>2260</v>
      </c>
      <c r="AL557" s="1075" t="s">
        <v>2260</v>
      </c>
      <c r="AM557" s="1076" t="s">
        <v>2260</v>
      </c>
      <c r="AN557" s="987" t="s">
        <v>321</v>
      </c>
      <c r="AO557" s="987" t="s">
        <v>4424</v>
      </c>
      <c r="AP557" s="1276">
        <v>1</v>
      </c>
      <c r="AQ557" s="1045" t="s">
        <v>2260</v>
      </c>
      <c r="AR557" s="1078" t="s">
        <v>755</v>
      </c>
      <c r="AS557" s="1079"/>
      <c r="AT557" s="1069"/>
      <c r="AU557" s="1069"/>
      <c r="AV557" s="1069"/>
      <c r="AW557" s="1080"/>
      <c r="AX557" s="1081"/>
      <c r="AY557" s="1044"/>
      <c r="AZ557" s="1045"/>
      <c r="BA557" s="1045"/>
      <c r="BB557" s="1045"/>
      <c r="BC557" s="1045"/>
      <c r="BD557" s="1045"/>
      <c r="BE557" s="1045"/>
      <c r="BF557" s="1045"/>
      <c r="BG557" s="1045"/>
      <c r="BH557" s="1045"/>
      <c r="BI557" s="1044" t="s">
        <v>4502</v>
      </c>
      <c r="BJ557" s="1045" t="s">
        <v>4470</v>
      </c>
      <c r="BK557" s="1045" t="s">
        <v>4428</v>
      </c>
      <c r="BL557" s="1045" t="s">
        <v>4497</v>
      </c>
      <c r="BM557" s="1045" t="s">
        <v>4446</v>
      </c>
      <c r="BN557" s="1044"/>
      <c r="BO557" s="1045"/>
      <c r="BP557" s="1045"/>
      <c r="BQ557" s="1045"/>
      <c r="BR557" s="1045"/>
      <c r="BS557" s="1084"/>
      <c r="BT557" s="1045"/>
      <c r="BU557" s="1045"/>
      <c r="BV557" s="1045"/>
      <c r="BW557" s="1085"/>
      <c r="BX557" s="1084"/>
      <c r="BY557" s="1045"/>
      <c r="BZ557" s="1045"/>
      <c r="CA557" s="1045"/>
      <c r="CB557" s="1085"/>
      <c r="CC557" s="1086"/>
      <c r="CD557" s="1087" t="s">
        <v>2260</v>
      </c>
      <c r="CE557" s="1088" t="s">
        <v>2260</v>
      </c>
      <c r="CF557" s="1088" t="s">
        <v>2260</v>
      </c>
      <c r="CG557" s="1088" t="s">
        <v>2260</v>
      </c>
      <c r="CH557" s="1089" t="s">
        <v>2260</v>
      </c>
      <c r="CI557" s="1044" t="s">
        <v>2260</v>
      </c>
      <c r="CJ557" s="1045" t="s">
        <v>2260</v>
      </c>
      <c r="CK557" s="1045" t="s">
        <v>2260</v>
      </c>
      <c r="CL557" s="1045" t="s">
        <v>2260</v>
      </c>
      <c r="CM557" s="1086" t="s">
        <v>2260</v>
      </c>
      <c r="CN557" s="1044" t="s">
        <v>2260</v>
      </c>
      <c r="CO557" s="1045" t="s">
        <v>2260</v>
      </c>
      <c r="CP557" s="1045" t="s">
        <v>2260</v>
      </c>
      <c r="CQ557" s="1045" t="s">
        <v>2260</v>
      </c>
      <c r="CR557" s="1086" t="s">
        <v>2260</v>
      </c>
      <c r="CS557" s="1044" t="s">
        <v>2260</v>
      </c>
      <c r="CT557" s="1045" t="s">
        <v>2260</v>
      </c>
      <c r="CU557" s="1045" t="s">
        <v>2260</v>
      </c>
      <c r="CV557" s="1045" t="s">
        <v>2260</v>
      </c>
      <c r="CW557" s="1086" t="s">
        <v>2260</v>
      </c>
      <c r="CX557" s="1044" t="s">
        <v>2260</v>
      </c>
      <c r="CY557" s="1045" t="s">
        <v>2260</v>
      </c>
      <c r="CZ557" s="1045" t="s">
        <v>2260</v>
      </c>
      <c r="DA557" s="1045" t="s">
        <v>2260</v>
      </c>
      <c r="DB557" s="1086" t="s">
        <v>2260</v>
      </c>
      <c r="DC557" s="1045" t="s">
        <v>2260</v>
      </c>
      <c r="DD557" s="1045" t="s">
        <v>2260</v>
      </c>
      <c r="DE557" s="1045" t="s">
        <v>2260</v>
      </c>
      <c r="DF557" s="1045" t="s">
        <v>2260</v>
      </c>
      <c r="DG557" s="1086" t="s">
        <v>2260</v>
      </c>
      <c r="DH557" s="1044" t="s">
        <v>2260</v>
      </c>
      <c r="DI557" s="1045" t="s">
        <v>2260</v>
      </c>
      <c r="DJ557" s="1045" t="s">
        <v>2260</v>
      </c>
      <c r="DK557" s="1045" t="s">
        <v>2260</v>
      </c>
      <c r="DL557" s="1086" t="s">
        <v>2260</v>
      </c>
      <c r="DM557" s="1090" t="s">
        <v>2260</v>
      </c>
      <c r="DN557" s="1091" t="s">
        <v>2260</v>
      </c>
      <c r="DO557" s="1091" t="s">
        <v>2260</v>
      </c>
      <c r="DP557" s="1092" t="s">
        <v>2260</v>
      </c>
      <c r="DQ557" s="1091" t="s">
        <v>2260</v>
      </c>
      <c r="DR557" s="1091" t="s">
        <v>2260</v>
      </c>
      <c r="DS557" s="1091" t="s">
        <v>2260</v>
      </c>
      <c r="DT557" s="1092" t="s">
        <v>2260</v>
      </c>
      <c r="DU557" s="1088" t="s">
        <v>2260</v>
      </c>
      <c r="DV557" s="1093">
        <v>1</v>
      </c>
      <c r="DW557" s="1094" t="s">
        <v>2260</v>
      </c>
    </row>
    <row r="558" spans="1:127" s="382" customFormat="1" ht="15.75" customHeight="1">
      <c r="A558" s="1066" t="s">
        <v>1116</v>
      </c>
      <c r="B558" s="1026">
        <v>549</v>
      </c>
      <c r="C558" s="987"/>
      <c r="D558" s="987"/>
      <c r="E558" s="987"/>
      <c r="F558" s="987"/>
      <c r="G558" s="987"/>
      <c r="H558" s="987"/>
      <c r="I558" s="987"/>
      <c r="J558" s="987"/>
      <c r="K558" s="987"/>
      <c r="L558" s="987"/>
      <c r="M558" s="1026"/>
      <c r="N558" s="987"/>
      <c r="O558" s="987"/>
      <c r="P558" s="987"/>
      <c r="Q558" s="987"/>
      <c r="R558" s="987"/>
      <c r="S558" s="987"/>
      <c r="T558" s="988"/>
      <c r="U558" s="1067" t="s">
        <v>1666</v>
      </c>
      <c r="V558" s="1068" t="s">
        <v>4017</v>
      </c>
      <c r="W558" s="1068" t="s">
        <v>2231</v>
      </c>
      <c r="X558" s="1069" t="s">
        <v>4029</v>
      </c>
      <c r="Y558" s="1070" t="s">
        <v>4030</v>
      </c>
      <c r="Z558" s="1071" t="s">
        <v>4031</v>
      </c>
      <c r="AA558" s="1072" t="s">
        <v>2260</v>
      </c>
      <c r="AB558" s="1073" t="s">
        <v>2260</v>
      </c>
      <c r="AC558" s="1073" t="s">
        <v>2260</v>
      </c>
      <c r="AD558" s="1073" t="s">
        <v>2260</v>
      </c>
      <c r="AE558" s="1073">
        <v>1</v>
      </c>
      <c r="AF558" s="1073" t="s">
        <v>2260</v>
      </c>
      <c r="AG558" s="1073" t="s">
        <v>2260</v>
      </c>
      <c r="AH558" s="1073" t="s">
        <v>2260</v>
      </c>
      <c r="AI558" s="1074">
        <f t="shared" si="8"/>
        <v>1</v>
      </c>
      <c r="AJ558" s="1075" t="s">
        <v>1825</v>
      </c>
      <c r="AK558" s="1075" t="s">
        <v>2260</v>
      </c>
      <c r="AL558" s="1075" t="s">
        <v>2260</v>
      </c>
      <c r="AM558" s="1076" t="s">
        <v>2537</v>
      </c>
      <c r="AN558" s="987" t="s">
        <v>1857</v>
      </c>
      <c r="AO558" s="987" t="s">
        <v>2260</v>
      </c>
      <c r="AP558" s="1243">
        <v>0</v>
      </c>
      <c r="AQ558" s="1045" t="s">
        <v>1828</v>
      </c>
      <c r="AR558" s="1078" t="s">
        <v>2260</v>
      </c>
      <c r="AS558" s="1079"/>
      <c r="AT558" s="1069"/>
      <c r="AU558" s="1069"/>
      <c r="AV558" s="1069"/>
      <c r="AW558" s="1080"/>
      <c r="AX558" s="1081"/>
      <c r="AY558" s="1044"/>
      <c r="AZ558" s="1045"/>
      <c r="BA558" s="1045"/>
      <c r="BB558" s="1045"/>
      <c r="BC558" s="1045"/>
      <c r="BD558" s="1045"/>
      <c r="BE558" s="1045"/>
      <c r="BF558" s="1045"/>
      <c r="BG558" s="1045"/>
      <c r="BH558" s="1045"/>
      <c r="BI558" s="1369"/>
      <c r="BJ558" s="1319"/>
      <c r="BK558" s="1319"/>
      <c r="BL558" s="1319"/>
      <c r="BM558" s="1319"/>
      <c r="BN558" s="1044"/>
      <c r="BO558" s="1045"/>
      <c r="BP558" s="1045"/>
      <c r="BQ558" s="1045"/>
      <c r="BR558" s="1045"/>
      <c r="BS558" s="1084"/>
      <c r="BT558" s="1045"/>
      <c r="BU558" s="1045"/>
      <c r="BV558" s="1045"/>
      <c r="BW558" s="1085"/>
      <c r="BX558" s="1084"/>
      <c r="BY558" s="1045"/>
      <c r="BZ558" s="1045"/>
      <c r="CA558" s="1045"/>
      <c r="CB558" s="1085"/>
      <c r="CC558" s="1086"/>
      <c r="CD558" s="1327"/>
      <c r="CE558" s="1328"/>
      <c r="CF558" s="1328"/>
      <c r="CG558" s="1328"/>
      <c r="CH558" s="1389"/>
      <c r="CI558" s="1369"/>
      <c r="CJ558" s="1319"/>
      <c r="CK558" s="1319"/>
      <c r="CL558" s="1319"/>
      <c r="CM558" s="1320"/>
      <c r="CN558" s="1369"/>
      <c r="CO558" s="1319"/>
      <c r="CP558" s="1319"/>
      <c r="CQ558" s="1319"/>
      <c r="CR558" s="1320"/>
      <c r="CS558" s="1369"/>
      <c r="CT558" s="1319"/>
      <c r="CU558" s="1319"/>
      <c r="CV558" s="1319"/>
      <c r="CW558" s="1320"/>
      <c r="CX558" s="1369"/>
      <c r="CY558" s="1319"/>
      <c r="CZ558" s="1319"/>
      <c r="DA558" s="1319"/>
      <c r="DB558" s="1320"/>
      <c r="DC558" s="1319"/>
      <c r="DD558" s="1319"/>
      <c r="DE558" s="1319"/>
      <c r="DF558" s="1319"/>
      <c r="DG558" s="1320"/>
      <c r="DH558" s="1369"/>
      <c r="DI558" s="1319"/>
      <c r="DJ558" s="1319"/>
      <c r="DK558" s="1319"/>
      <c r="DL558" s="1320"/>
      <c r="DM558" s="1743"/>
      <c r="DN558" s="1744"/>
      <c r="DO558" s="1744"/>
      <c r="DP558" s="1745"/>
      <c r="DQ558" s="1744"/>
      <c r="DR558" s="1744"/>
      <c r="DS558" s="1744"/>
      <c r="DT558" s="1745"/>
      <c r="DU558" s="1328"/>
      <c r="DV558" s="1664"/>
      <c r="DW558" s="1746"/>
    </row>
    <row r="559" spans="1:127" s="382" customFormat="1" ht="15.75" customHeight="1">
      <c r="A559" s="1066" t="s">
        <v>1116</v>
      </c>
      <c r="B559" s="1026">
        <v>550</v>
      </c>
      <c r="C559" s="987"/>
      <c r="D559" s="987"/>
      <c r="E559" s="987"/>
      <c r="F559" s="987"/>
      <c r="G559" s="987"/>
      <c r="H559" s="987"/>
      <c r="I559" s="987"/>
      <c r="J559" s="987"/>
      <c r="K559" s="987"/>
      <c r="L559" s="987"/>
      <c r="M559" s="1026"/>
      <c r="N559" s="987"/>
      <c r="O559" s="987"/>
      <c r="P559" s="987"/>
      <c r="Q559" s="987"/>
      <c r="R559" s="987"/>
      <c r="S559" s="987"/>
      <c r="T559" s="988"/>
      <c r="U559" s="1067" t="s">
        <v>1206</v>
      </c>
      <c r="V559" s="1068" t="s">
        <v>4032</v>
      </c>
      <c r="W559" s="1068" t="s">
        <v>2217</v>
      </c>
      <c r="X559" s="1069" t="s">
        <v>4033</v>
      </c>
      <c r="Y559" s="1070" t="s">
        <v>784</v>
      </c>
      <c r="Z559" s="1071" t="s">
        <v>4034</v>
      </c>
      <c r="AA559" s="1072" t="s">
        <v>2260</v>
      </c>
      <c r="AB559" s="1073" t="s">
        <v>2260</v>
      </c>
      <c r="AC559" s="1073">
        <v>1</v>
      </c>
      <c r="AD559" s="1073" t="s">
        <v>2260</v>
      </c>
      <c r="AE559" s="1073" t="s">
        <v>2260</v>
      </c>
      <c r="AF559" s="1073" t="s">
        <v>2260</v>
      </c>
      <c r="AG559" s="1073" t="s">
        <v>2260</v>
      </c>
      <c r="AH559" s="1073" t="s">
        <v>2260</v>
      </c>
      <c r="AI559" s="1074">
        <f t="shared" si="8"/>
        <v>1</v>
      </c>
      <c r="AJ559" s="1075" t="s">
        <v>1852</v>
      </c>
      <c r="AK559" s="1075" t="s">
        <v>1826</v>
      </c>
      <c r="AL559" s="1075" t="s">
        <v>1827</v>
      </c>
      <c r="AM559" s="1076" t="s">
        <v>2351</v>
      </c>
      <c r="AN559" s="987" t="s">
        <v>2439</v>
      </c>
      <c r="AO559" s="987" t="s">
        <v>4197</v>
      </c>
      <c r="AP559" s="1276">
        <v>2</v>
      </c>
      <c r="AQ559" s="1045" t="s">
        <v>1838</v>
      </c>
      <c r="AR559" s="1078" t="s">
        <v>784</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210</v>
      </c>
      <c r="CE559" s="1088" t="s">
        <v>210</v>
      </c>
      <c r="CF559" s="1088" t="s">
        <v>210</v>
      </c>
      <c r="CG559" s="1088" t="s">
        <v>210</v>
      </c>
      <c r="CH559" s="1089" t="s">
        <v>210</v>
      </c>
      <c r="CI559" s="1044" t="s">
        <v>2260</v>
      </c>
      <c r="CJ559" s="1045" t="s">
        <v>2260</v>
      </c>
      <c r="CK559" s="1045" t="s">
        <v>2260</v>
      </c>
      <c r="CL559" s="1045" t="s">
        <v>2260</v>
      </c>
      <c r="CM559" s="1086" t="s">
        <v>2260</v>
      </c>
      <c r="CN559" s="1044">
        <v>3.35</v>
      </c>
      <c r="CO559" s="1045">
        <v>3.35</v>
      </c>
      <c r="CP559" s="1045">
        <v>3.35</v>
      </c>
      <c r="CQ559" s="1045">
        <v>3.35</v>
      </c>
      <c r="CR559" s="1086">
        <v>3.35</v>
      </c>
      <c r="CS559" s="1044" t="s">
        <v>2260</v>
      </c>
      <c r="CT559" s="1045" t="s">
        <v>2260</v>
      </c>
      <c r="CU559" s="1045" t="s">
        <v>2260</v>
      </c>
      <c r="CV559" s="1045" t="s">
        <v>2260</v>
      </c>
      <c r="CW559" s="1086" t="s">
        <v>2260</v>
      </c>
      <c r="CX559" s="1044" t="s">
        <v>2260</v>
      </c>
      <c r="CY559" s="1045" t="s">
        <v>2260</v>
      </c>
      <c r="CZ559" s="1045" t="s">
        <v>2260</v>
      </c>
      <c r="DA559" s="1045" t="s">
        <v>2260</v>
      </c>
      <c r="DB559" s="1086" t="s">
        <v>2260</v>
      </c>
      <c r="DC559" s="1045">
        <v>1.21</v>
      </c>
      <c r="DD559" s="1045">
        <v>1.17</v>
      </c>
      <c r="DE559" s="1045">
        <v>1.1100000000000001</v>
      </c>
      <c r="DF559" s="1045">
        <v>0.95</v>
      </c>
      <c r="DG559" s="1086">
        <v>0.87</v>
      </c>
      <c r="DH559" s="1044" t="s">
        <v>2260</v>
      </c>
      <c r="DI559" s="1045" t="s">
        <v>2260</v>
      </c>
      <c r="DJ559" s="1045" t="s">
        <v>2260</v>
      </c>
      <c r="DK559" s="1045" t="s">
        <v>2260</v>
      </c>
      <c r="DL559" s="1086" t="s">
        <v>2260</v>
      </c>
      <c r="DM559" s="1090">
        <v>-4.2729999999999997</v>
      </c>
      <c r="DN559" s="1091" t="s">
        <v>2260</v>
      </c>
      <c r="DO559" s="1091" t="s">
        <v>2260</v>
      </c>
      <c r="DP559" s="1092" t="s">
        <v>2260</v>
      </c>
      <c r="DQ559" s="1091">
        <v>4.2729999999999997</v>
      </c>
      <c r="DR559" s="1091" t="s">
        <v>2260</v>
      </c>
      <c r="DS559" s="1091" t="s">
        <v>2260</v>
      </c>
      <c r="DT559" s="1092" t="s">
        <v>2260</v>
      </c>
      <c r="DU559" s="1088" t="s">
        <v>2260</v>
      </c>
      <c r="DV559" s="1093">
        <v>1</v>
      </c>
      <c r="DW559" s="1094" t="s">
        <v>2260</v>
      </c>
    </row>
    <row r="560" spans="1:127" s="382" customFormat="1" ht="15.75" customHeight="1">
      <c r="A560" s="1066" t="s">
        <v>1116</v>
      </c>
      <c r="B560" s="1026">
        <v>551</v>
      </c>
      <c r="C560" s="987"/>
      <c r="D560" s="987"/>
      <c r="E560" s="987"/>
      <c r="F560" s="987"/>
      <c r="G560" s="987"/>
      <c r="H560" s="987"/>
      <c r="I560" s="987"/>
      <c r="J560" s="987"/>
      <c r="K560" s="987"/>
      <c r="L560" s="987"/>
      <c r="M560" s="1026"/>
      <c r="N560" s="987"/>
      <c r="O560" s="987"/>
      <c r="P560" s="987"/>
      <c r="Q560" s="987"/>
      <c r="R560" s="987"/>
      <c r="S560" s="987"/>
      <c r="T560" s="988"/>
      <c r="U560" s="1067" t="s">
        <v>1535</v>
      </c>
      <c r="V560" s="1068" t="s">
        <v>4032</v>
      </c>
      <c r="W560" s="1068" t="s">
        <v>2231</v>
      </c>
      <c r="X560" s="1069" t="s">
        <v>4035</v>
      </c>
      <c r="Y560" s="1070" t="s">
        <v>4036</v>
      </c>
      <c r="Z560" s="1071" t="s">
        <v>4037</v>
      </c>
      <c r="AA560" s="1072" t="s">
        <v>2260</v>
      </c>
      <c r="AB560" s="1073" t="s">
        <v>2260</v>
      </c>
      <c r="AC560" s="1073">
        <v>1</v>
      </c>
      <c r="AD560" s="1073" t="s">
        <v>2260</v>
      </c>
      <c r="AE560" s="1073" t="s">
        <v>2260</v>
      </c>
      <c r="AF560" s="1073" t="s">
        <v>2260</v>
      </c>
      <c r="AG560" s="1073" t="s">
        <v>2260</v>
      </c>
      <c r="AH560" s="1073" t="s">
        <v>2260</v>
      </c>
      <c r="AI560" s="1074">
        <f t="shared" si="8"/>
        <v>1</v>
      </c>
      <c r="AJ560" s="1075" t="s">
        <v>1852</v>
      </c>
      <c r="AK560" s="1075" t="s">
        <v>1826</v>
      </c>
      <c r="AL560" s="1075" t="s">
        <v>1827</v>
      </c>
      <c r="AM560" s="1076" t="s">
        <v>2351</v>
      </c>
      <c r="AN560" s="987" t="s">
        <v>2439</v>
      </c>
      <c r="AO560" s="987" t="s">
        <v>4197</v>
      </c>
      <c r="AP560" s="1276">
        <v>2</v>
      </c>
      <c r="AQ560" s="1045" t="s">
        <v>1838</v>
      </c>
      <c r="AR560" s="1078"/>
      <c r="AS560" s="1079"/>
      <c r="AT560" s="1069"/>
      <c r="AU560" s="1069"/>
      <c r="AV560" s="1069"/>
      <c r="AW560" s="1080"/>
      <c r="AX560" s="1081"/>
      <c r="AY560" s="1044"/>
      <c r="AZ560" s="1045"/>
      <c r="BA560" s="1045"/>
      <c r="BB560" s="1045"/>
      <c r="BC560" s="1045"/>
      <c r="BD560" s="1045"/>
      <c r="BE560" s="1045"/>
      <c r="BF560" s="1045"/>
      <c r="BG560" s="1095"/>
      <c r="BH560" s="1095"/>
      <c r="BI560" s="1660"/>
      <c r="BJ560" s="1661"/>
      <c r="BK560" s="1661"/>
      <c r="BL560" s="1661"/>
      <c r="BM560" s="1661"/>
      <c r="BN560" s="1044"/>
      <c r="BO560" s="1045"/>
      <c r="BP560" s="1045"/>
      <c r="BQ560" s="1045"/>
      <c r="BR560" s="1045"/>
      <c r="BS560" s="1084"/>
      <c r="BT560" s="1045"/>
      <c r="BU560" s="1045"/>
      <c r="BV560" s="1045"/>
      <c r="BW560" s="1085"/>
      <c r="BX560" s="1084"/>
      <c r="BY560" s="1045"/>
      <c r="BZ560" s="1045"/>
      <c r="CA560" s="1045"/>
      <c r="CB560" s="1085"/>
      <c r="CC560" s="1086"/>
      <c r="CD560" s="1327"/>
      <c r="CE560" s="1328"/>
      <c r="CF560" s="1328"/>
      <c r="CG560" s="1328"/>
      <c r="CH560" s="1389"/>
      <c r="CI560" s="1369"/>
      <c r="CJ560" s="1319"/>
      <c r="CK560" s="1319"/>
      <c r="CL560" s="1319"/>
      <c r="CM560" s="1320"/>
      <c r="CN560" s="1369"/>
      <c r="CO560" s="1319"/>
      <c r="CP560" s="1319"/>
      <c r="CQ560" s="1319"/>
      <c r="CR560" s="1320"/>
      <c r="CS560" s="1369"/>
      <c r="CT560" s="1319"/>
      <c r="CU560" s="1319"/>
      <c r="CV560" s="1319"/>
      <c r="CW560" s="1320"/>
      <c r="CX560" s="1369"/>
      <c r="CY560" s="1319"/>
      <c r="CZ560" s="1319"/>
      <c r="DA560" s="1319"/>
      <c r="DB560" s="1320"/>
      <c r="DC560" s="1319"/>
      <c r="DD560" s="1319"/>
      <c r="DE560" s="1319"/>
      <c r="DF560" s="1319"/>
      <c r="DG560" s="1320"/>
      <c r="DH560" s="1369"/>
      <c r="DI560" s="1319"/>
      <c r="DJ560" s="1319"/>
      <c r="DK560" s="1319"/>
      <c r="DL560" s="1320"/>
      <c r="DM560" s="1743"/>
      <c r="DN560" s="1744"/>
      <c r="DO560" s="1744"/>
      <c r="DP560" s="1745"/>
      <c r="DQ560" s="1744"/>
      <c r="DR560" s="1744"/>
      <c r="DS560" s="1744"/>
      <c r="DT560" s="1745"/>
      <c r="DU560" s="1328"/>
      <c r="DV560" s="1664"/>
      <c r="DW560" s="1746"/>
    </row>
    <row r="561" spans="1:127" s="382" customFormat="1" ht="15.75" customHeight="1">
      <c r="A561" s="1066" t="s">
        <v>1116</v>
      </c>
      <c r="B561" s="1026">
        <v>552</v>
      </c>
      <c r="C561" s="987"/>
      <c r="D561" s="987"/>
      <c r="E561" s="987"/>
      <c r="F561" s="987"/>
      <c r="G561" s="987"/>
      <c r="H561" s="987"/>
      <c r="I561" s="987"/>
      <c r="J561" s="987"/>
      <c r="K561" s="987"/>
      <c r="L561" s="987"/>
      <c r="M561" s="1026"/>
      <c r="N561" s="987"/>
      <c r="O561" s="987"/>
      <c r="P561" s="987"/>
      <c r="Q561" s="987"/>
      <c r="R561" s="987"/>
      <c r="S561" s="987"/>
      <c r="T561" s="988"/>
      <c r="U561" s="1067" t="s">
        <v>1208</v>
      </c>
      <c r="V561" s="1068" t="s">
        <v>4032</v>
      </c>
      <c r="W561" s="1068" t="s">
        <v>2231</v>
      </c>
      <c r="X561" s="1069" t="s">
        <v>4038</v>
      </c>
      <c r="Y561" s="1070" t="s">
        <v>795</v>
      </c>
      <c r="Z561" s="1071" t="s">
        <v>4039</v>
      </c>
      <c r="AA561" s="1072" t="s">
        <v>2260</v>
      </c>
      <c r="AB561" s="1073" t="s">
        <v>2260</v>
      </c>
      <c r="AC561" s="1073">
        <v>1</v>
      </c>
      <c r="AD561" s="1073" t="s">
        <v>2260</v>
      </c>
      <c r="AE561" s="1073" t="s">
        <v>2260</v>
      </c>
      <c r="AF561" s="1073" t="s">
        <v>2260</v>
      </c>
      <c r="AG561" s="1073" t="s">
        <v>2260</v>
      </c>
      <c r="AH561" s="1073" t="s">
        <v>2260</v>
      </c>
      <c r="AI561" s="1074">
        <f t="shared" si="8"/>
        <v>1</v>
      </c>
      <c r="AJ561" s="1075" t="s">
        <v>1846</v>
      </c>
      <c r="AK561" s="1075" t="s">
        <v>1826</v>
      </c>
      <c r="AL561" s="1075" t="s">
        <v>1827</v>
      </c>
      <c r="AM561" s="1076" t="s">
        <v>2242</v>
      </c>
      <c r="AN561" s="987" t="s">
        <v>2439</v>
      </c>
      <c r="AO561" s="987" t="s">
        <v>4432</v>
      </c>
      <c r="AP561" s="1276">
        <v>2</v>
      </c>
      <c r="AQ561" s="1045" t="s">
        <v>1838</v>
      </c>
      <c r="AR561" s="1078" t="s">
        <v>795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210</v>
      </c>
      <c r="CE561" s="1088" t="s">
        <v>210</v>
      </c>
      <c r="CF561" s="1088" t="s">
        <v>210</v>
      </c>
      <c r="CG561" s="1088" t="s">
        <v>210</v>
      </c>
      <c r="CH561" s="1089" t="s">
        <v>210</v>
      </c>
      <c r="CI561" s="1044" t="s">
        <v>2260</v>
      </c>
      <c r="CJ561" s="1045" t="s">
        <v>2260</v>
      </c>
      <c r="CK561" s="1045" t="s">
        <v>2260</v>
      </c>
      <c r="CL561" s="1045" t="s">
        <v>2260</v>
      </c>
      <c r="CM561" s="1086" t="s">
        <v>2260</v>
      </c>
      <c r="CN561" s="1044">
        <v>10.8</v>
      </c>
      <c r="CO561" s="1045">
        <v>10.8</v>
      </c>
      <c r="CP561" s="1045">
        <v>10.8</v>
      </c>
      <c r="CQ561" s="1045">
        <v>10.8</v>
      </c>
      <c r="CR561" s="1086">
        <v>10.8</v>
      </c>
      <c r="CS561" s="1044" t="s">
        <v>2260</v>
      </c>
      <c r="CT561" s="1045" t="s">
        <v>2260</v>
      </c>
      <c r="CU561" s="1045" t="s">
        <v>2260</v>
      </c>
      <c r="CV561" s="1045" t="s">
        <v>2260</v>
      </c>
      <c r="CW561" s="1086" t="s">
        <v>2260</v>
      </c>
      <c r="CX561" s="1044" t="s">
        <v>2260</v>
      </c>
      <c r="CY561" s="1045" t="s">
        <v>2260</v>
      </c>
      <c r="CZ561" s="1045" t="s">
        <v>2260</v>
      </c>
      <c r="DA561" s="1045" t="s">
        <v>2260</v>
      </c>
      <c r="DB561" s="1086" t="s">
        <v>2260</v>
      </c>
      <c r="DC561" s="1045" t="s">
        <v>2260</v>
      </c>
      <c r="DD561" s="1045" t="s">
        <v>2260</v>
      </c>
      <c r="DE561" s="1045" t="s">
        <v>2260</v>
      </c>
      <c r="DF561" s="1045" t="s">
        <v>2260</v>
      </c>
      <c r="DG561" s="1086" t="s">
        <v>2260</v>
      </c>
      <c r="DH561" s="1044" t="s">
        <v>2260</v>
      </c>
      <c r="DI561" s="1045" t="s">
        <v>2260</v>
      </c>
      <c r="DJ561" s="1045" t="s">
        <v>2260</v>
      </c>
      <c r="DK561" s="1045" t="s">
        <v>2260</v>
      </c>
      <c r="DL561" s="1086" t="s">
        <v>2260</v>
      </c>
      <c r="DM561" s="1090">
        <v>-0.14000000000000001</v>
      </c>
      <c r="DN561" s="1091" t="s">
        <v>2260</v>
      </c>
      <c r="DO561" s="1091" t="s">
        <v>2260</v>
      </c>
      <c r="DP561" s="1092" t="s">
        <v>2260</v>
      </c>
      <c r="DQ561" s="1091" t="s">
        <v>2260</v>
      </c>
      <c r="DR561" s="1091" t="s">
        <v>2260</v>
      </c>
      <c r="DS561" s="1091" t="s">
        <v>2260</v>
      </c>
      <c r="DT561" s="1092" t="s">
        <v>2260</v>
      </c>
      <c r="DU561" s="1088" t="s">
        <v>2260</v>
      </c>
      <c r="DV561" s="1093">
        <v>1</v>
      </c>
      <c r="DW561" s="1094" t="s">
        <v>2260</v>
      </c>
    </row>
    <row r="562" spans="1:127" s="382" customFormat="1" ht="15.75" customHeight="1">
      <c r="A562" s="1066" t="s">
        <v>1116</v>
      </c>
      <c r="B562" s="1026">
        <v>553</v>
      </c>
      <c r="C562" s="987"/>
      <c r="D562" s="987"/>
      <c r="E562" s="987"/>
      <c r="F562" s="987"/>
      <c r="G562" s="987"/>
      <c r="H562" s="987"/>
      <c r="I562" s="987"/>
      <c r="J562" s="987"/>
      <c r="K562" s="987"/>
      <c r="L562" s="987"/>
      <c r="M562" s="1026"/>
      <c r="N562" s="987"/>
      <c r="O562" s="987"/>
      <c r="P562" s="987"/>
      <c r="Q562" s="987"/>
      <c r="R562" s="987"/>
      <c r="S562" s="987"/>
      <c r="T562" s="988"/>
      <c r="U562" s="1067" t="s">
        <v>1545</v>
      </c>
      <c r="V562" s="1068" t="s">
        <v>4032</v>
      </c>
      <c r="W562" s="1068" t="s">
        <v>2231</v>
      </c>
      <c r="X562" s="1069" t="s">
        <v>4041</v>
      </c>
      <c r="Y562" s="1070" t="s">
        <v>4042</v>
      </c>
      <c r="Z562" s="1071" t="s">
        <v>4043</v>
      </c>
      <c r="AA562" s="1072" t="s">
        <v>2260</v>
      </c>
      <c r="AB562" s="1073">
        <v>0.375</v>
      </c>
      <c r="AC562" s="1073">
        <v>0.53200000000000003</v>
      </c>
      <c r="AD562" s="1073" t="s">
        <v>2260</v>
      </c>
      <c r="AE562" s="1073">
        <v>9.2999999999999999E-2</v>
      </c>
      <c r="AF562" s="1073" t="s">
        <v>2260</v>
      </c>
      <c r="AG562" s="1073" t="s">
        <v>2260</v>
      </c>
      <c r="AH562" s="1073" t="s">
        <v>2260</v>
      </c>
      <c r="AI562" s="1074">
        <f t="shared" si="8"/>
        <v>1</v>
      </c>
      <c r="AJ562" s="1075" t="s">
        <v>1852</v>
      </c>
      <c r="AK562" s="1075" t="s">
        <v>1826</v>
      </c>
      <c r="AL562" s="1075" t="s">
        <v>1827</v>
      </c>
      <c r="AM562" s="1076" t="s">
        <v>3582</v>
      </c>
      <c r="AN562" s="987" t="s">
        <v>1857</v>
      </c>
      <c r="AO562" s="987" t="s">
        <v>4044</v>
      </c>
      <c r="AP562" s="1243">
        <v>1</v>
      </c>
      <c r="AQ562" s="1045" t="s">
        <v>1838</v>
      </c>
      <c r="AR562" s="1078" t="s">
        <v>2260</v>
      </c>
      <c r="AS562" s="1079"/>
      <c r="AT562" s="1069"/>
      <c r="AU562" s="1069"/>
      <c r="AV562" s="1069"/>
      <c r="AW562" s="1080"/>
      <c r="AX562" s="1081"/>
      <c r="AY562" s="1044"/>
      <c r="AZ562" s="1045"/>
      <c r="BA562" s="1045"/>
      <c r="BB562" s="1045"/>
      <c r="BC562" s="1045"/>
      <c r="BD562" s="1045"/>
      <c r="BE562" s="1045"/>
      <c r="BF562" s="1045"/>
      <c r="BG562" s="1045"/>
      <c r="BH562" s="1045"/>
      <c r="BI562" s="1369"/>
      <c r="BJ562" s="1319"/>
      <c r="BK562" s="1319"/>
      <c r="BL562" s="1319"/>
      <c r="BM562" s="1319"/>
      <c r="BN562" s="1044"/>
      <c r="BO562" s="1045"/>
      <c r="BP562" s="1045"/>
      <c r="BQ562" s="1045"/>
      <c r="BR562" s="1045"/>
      <c r="BS562" s="1084"/>
      <c r="BT562" s="1045"/>
      <c r="BU562" s="1045"/>
      <c r="BV562" s="1045"/>
      <c r="BW562" s="1085"/>
      <c r="BX562" s="1084"/>
      <c r="BY562" s="1045"/>
      <c r="BZ562" s="1045"/>
      <c r="CA562" s="1045"/>
      <c r="CB562" s="1085"/>
      <c r="CC562" s="1086"/>
      <c r="CD562" s="1327"/>
      <c r="CE562" s="1328"/>
      <c r="CF562" s="1328"/>
      <c r="CG562" s="1328"/>
      <c r="CH562" s="1389"/>
      <c r="CI562" s="1369"/>
      <c r="CJ562" s="1319"/>
      <c r="CK562" s="1319"/>
      <c r="CL562" s="1319"/>
      <c r="CM562" s="1320"/>
      <c r="CN562" s="1369"/>
      <c r="CO562" s="1319"/>
      <c r="CP562" s="1319"/>
      <c r="CQ562" s="1319"/>
      <c r="CR562" s="1320"/>
      <c r="CS562" s="1369"/>
      <c r="CT562" s="1319"/>
      <c r="CU562" s="1319"/>
      <c r="CV562" s="1319"/>
      <c r="CW562" s="1320"/>
      <c r="CX562" s="1369"/>
      <c r="CY562" s="1319"/>
      <c r="CZ562" s="1319"/>
      <c r="DA562" s="1319"/>
      <c r="DB562" s="1320"/>
      <c r="DC562" s="1319"/>
      <c r="DD562" s="1319"/>
      <c r="DE562" s="1319"/>
      <c r="DF562" s="1319"/>
      <c r="DG562" s="1320"/>
      <c r="DH562" s="1369"/>
      <c r="DI562" s="1319"/>
      <c r="DJ562" s="1319"/>
      <c r="DK562" s="1319"/>
      <c r="DL562" s="1320"/>
      <c r="DM562" s="1743"/>
      <c r="DN562" s="1744"/>
      <c r="DO562" s="1744"/>
      <c r="DP562" s="1745"/>
      <c r="DQ562" s="1744"/>
      <c r="DR562" s="1744"/>
      <c r="DS562" s="1744"/>
      <c r="DT562" s="1745"/>
      <c r="DU562" s="1328"/>
      <c r="DV562" s="1664"/>
      <c r="DW562" s="1746"/>
    </row>
    <row r="563" spans="1:127" s="382" customFormat="1" ht="15.75" customHeight="1">
      <c r="A563" s="1066" t="s">
        <v>1116</v>
      </c>
      <c r="B563" s="1026">
        <v>554</v>
      </c>
      <c r="C563" s="987"/>
      <c r="D563" s="987"/>
      <c r="E563" s="987"/>
      <c r="F563" s="987"/>
      <c r="G563" s="987"/>
      <c r="H563" s="987"/>
      <c r="I563" s="987"/>
      <c r="J563" s="987"/>
      <c r="K563" s="987"/>
      <c r="L563" s="987"/>
      <c r="M563" s="1026"/>
      <c r="N563" s="987"/>
      <c r="O563" s="987"/>
      <c r="P563" s="987"/>
      <c r="Q563" s="987"/>
      <c r="R563" s="987"/>
      <c r="S563" s="987"/>
      <c r="T563" s="988"/>
      <c r="U563" s="1067" t="s">
        <v>1680</v>
      </c>
      <c r="V563" s="1068" t="s">
        <v>4032</v>
      </c>
      <c r="W563" s="1068" t="s">
        <v>2217</v>
      </c>
      <c r="X563" s="1069" t="s">
        <v>4045</v>
      </c>
      <c r="Y563" s="1070" t="s">
        <v>4046</v>
      </c>
      <c r="Z563" s="1071" t="s">
        <v>4047</v>
      </c>
      <c r="AA563" s="1072" t="s">
        <v>2260</v>
      </c>
      <c r="AB563" s="1073">
        <v>1</v>
      </c>
      <c r="AC563" s="1073" t="s">
        <v>2260</v>
      </c>
      <c r="AD563" s="1073" t="s">
        <v>2260</v>
      </c>
      <c r="AE563" s="1073" t="s">
        <v>2260</v>
      </c>
      <c r="AF563" s="1073" t="s">
        <v>2260</v>
      </c>
      <c r="AG563" s="1073" t="s">
        <v>2260</v>
      </c>
      <c r="AH563" s="1073" t="s">
        <v>2260</v>
      </c>
      <c r="AI563" s="1074">
        <f t="shared" si="8"/>
        <v>1</v>
      </c>
      <c r="AJ563" s="1075" t="s">
        <v>1825</v>
      </c>
      <c r="AK563" s="1075" t="s">
        <v>2260</v>
      </c>
      <c r="AL563" s="1075" t="s">
        <v>2260</v>
      </c>
      <c r="AM563" s="1076" t="s">
        <v>2220</v>
      </c>
      <c r="AN563" s="987" t="s">
        <v>1857</v>
      </c>
      <c r="AO563" s="987" t="s">
        <v>2950</v>
      </c>
      <c r="AP563" s="1243">
        <v>0</v>
      </c>
      <c r="AQ563" s="1045" t="s">
        <v>1838</v>
      </c>
      <c r="AR563" s="1078" t="s">
        <v>2260</v>
      </c>
      <c r="AS563" s="1079"/>
      <c r="AT563" s="1069"/>
      <c r="AU563" s="1069"/>
      <c r="AV563" s="1069"/>
      <c r="AW563" s="1080"/>
      <c r="AX563" s="1081"/>
      <c r="AY563" s="1044"/>
      <c r="AZ563" s="1045"/>
      <c r="BA563" s="1045"/>
      <c r="BB563" s="1045"/>
      <c r="BC563" s="1045"/>
      <c r="BD563" s="1045"/>
      <c r="BE563" s="1045"/>
      <c r="BF563" s="1045"/>
      <c r="BG563" s="1045"/>
      <c r="BH563" s="1045"/>
      <c r="BI563" s="1369"/>
      <c r="BJ563" s="1319"/>
      <c r="BK563" s="1319"/>
      <c r="BL563" s="1319"/>
      <c r="BM563" s="1319"/>
      <c r="BN563" s="1044"/>
      <c r="BO563" s="1045"/>
      <c r="BP563" s="1045"/>
      <c r="BQ563" s="1045"/>
      <c r="BR563" s="1045"/>
      <c r="BS563" s="1084"/>
      <c r="BT563" s="1045"/>
      <c r="BU563" s="1045"/>
      <c r="BV563" s="1045"/>
      <c r="BW563" s="1085"/>
      <c r="BX563" s="1084"/>
      <c r="BY563" s="1045"/>
      <c r="BZ563" s="1045"/>
      <c r="CA563" s="1045"/>
      <c r="CB563" s="1085"/>
      <c r="CC563" s="1086"/>
      <c r="CD563" s="1327"/>
      <c r="CE563" s="1328"/>
      <c r="CF563" s="1328"/>
      <c r="CG563" s="1328"/>
      <c r="CH563" s="1389"/>
      <c r="CI563" s="1369"/>
      <c r="CJ563" s="1319"/>
      <c r="CK563" s="1319"/>
      <c r="CL563" s="1319"/>
      <c r="CM563" s="1320"/>
      <c r="CN563" s="1369"/>
      <c r="CO563" s="1319"/>
      <c r="CP563" s="1319"/>
      <c r="CQ563" s="1319"/>
      <c r="CR563" s="1320"/>
      <c r="CS563" s="1369"/>
      <c r="CT563" s="1319"/>
      <c r="CU563" s="1319"/>
      <c r="CV563" s="1319"/>
      <c r="CW563" s="1320"/>
      <c r="CX563" s="1369"/>
      <c r="CY563" s="1319"/>
      <c r="CZ563" s="1319"/>
      <c r="DA563" s="1319"/>
      <c r="DB563" s="1320"/>
      <c r="DC563" s="1319"/>
      <c r="DD563" s="1319"/>
      <c r="DE563" s="1319"/>
      <c r="DF563" s="1319"/>
      <c r="DG563" s="1320"/>
      <c r="DH563" s="1369"/>
      <c r="DI563" s="1319"/>
      <c r="DJ563" s="1319"/>
      <c r="DK563" s="1319"/>
      <c r="DL563" s="1320"/>
      <c r="DM563" s="1743"/>
      <c r="DN563" s="1744"/>
      <c r="DO563" s="1744"/>
      <c r="DP563" s="1745"/>
      <c r="DQ563" s="1744"/>
      <c r="DR563" s="1744"/>
      <c r="DS563" s="1744"/>
      <c r="DT563" s="1745"/>
      <c r="DU563" s="1328"/>
      <c r="DV563" s="1664"/>
      <c r="DW563" s="1746"/>
    </row>
    <row r="564" spans="1:127" s="382" customFormat="1" ht="15.75" customHeight="1">
      <c r="A564" s="1066" t="s">
        <v>1116</v>
      </c>
      <c r="B564" s="1026">
        <v>555</v>
      </c>
      <c r="C564" s="987"/>
      <c r="D564" s="987"/>
      <c r="E564" s="987"/>
      <c r="F564" s="987"/>
      <c r="G564" s="987"/>
      <c r="H564" s="987"/>
      <c r="I564" s="987"/>
      <c r="J564" s="987"/>
      <c r="K564" s="987"/>
      <c r="L564" s="987"/>
      <c r="M564" s="1026"/>
      <c r="N564" s="987"/>
      <c r="O564" s="987"/>
      <c r="P564" s="987"/>
      <c r="Q564" s="987"/>
      <c r="R564" s="987"/>
      <c r="S564" s="987"/>
      <c r="T564" s="988"/>
      <c r="U564" s="1067" t="s">
        <v>1692</v>
      </c>
      <c r="V564" s="1068" t="s">
        <v>4032</v>
      </c>
      <c r="W564" s="1068" t="s">
        <v>2217</v>
      </c>
      <c r="X564" s="1069" t="s">
        <v>4048</v>
      </c>
      <c r="Y564" s="1070" t="s">
        <v>4049</v>
      </c>
      <c r="Z564" s="1071" t="s">
        <v>4050</v>
      </c>
      <c r="AA564" s="1072" t="s">
        <v>2260</v>
      </c>
      <c r="AB564" s="1073" t="s">
        <v>2260</v>
      </c>
      <c r="AC564" s="1073">
        <v>1</v>
      </c>
      <c r="AD564" s="1073" t="s">
        <v>2260</v>
      </c>
      <c r="AE564" s="1073" t="s">
        <v>2260</v>
      </c>
      <c r="AF564" s="1073" t="s">
        <v>2260</v>
      </c>
      <c r="AG564" s="1073" t="s">
        <v>2260</v>
      </c>
      <c r="AH564" s="1073" t="s">
        <v>2260</v>
      </c>
      <c r="AI564" s="1074">
        <f t="shared" si="8"/>
        <v>1</v>
      </c>
      <c r="AJ564" s="1075" t="s">
        <v>1825</v>
      </c>
      <c r="AK564" s="1075" t="s">
        <v>2260</v>
      </c>
      <c r="AL564" s="1075" t="s">
        <v>2260</v>
      </c>
      <c r="AM564" s="1076" t="s">
        <v>2351</v>
      </c>
      <c r="AN564" s="987" t="s">
        <v>1857</v>
      </c>
      <c r="AO564" s="987" t="s">
        <v>2260</v>
      </c>
      <c r="AP564" s="1243">
        <v>0</v>
      </c>
      <c r="AQ564" s="1045" t="s">
        <v>1838</v>
      </c>
      <c r="AR564" s="1078" t="s">
        <v>2260</v>
      </c>
      <c r="AS564" s="1079"/>
      <c r="AT564" s="1069"/>
      <c r="AU564" s="1069"/>
      <c r="AV564" s="1069"/>
      <c r="AW564" s="1080"/>
      <c r="AX564" s="1081"/>
      <c r="AY564" s="1044"/>
      <c r="AZ564" s="1045"/>
      <c r="BA564" s="1045"/>
      <c r="BB564" s="1045"/>
      <c r="BC564" s="1045"/>
      <c r="BD564" s="1045"/>
      <c r="BE564" s="1045"/>
      <c r="BF564" s="1045"/>
      <c r="BG564" s="1045"/>
      <c r="BH564" s="1045"/>
      <c r="BI564" s="1369"/>
      <c r="BJ564" s="1319"/>
      <c r="BK564" s="1319"/>
      <c r="BL564" s="1319"/>
      <c r="BM564" s="1319"/>
      <c r="BN564" s="1044"/>
      <c r="BO564" s="1045"/>
      <c r="BP564" s="1045"/>
      <c r="BQ564" s="1045"/>
      <c r="BR564" s="1045"/>
      <c r="BS564" s="1084"/>
      <c r="BT564" s="1045"/>
      <c r="BU564" s="1045"/>
      <c r="BV564" s="1045"/>
      <c r="BW564" s="1085"/>
      <c r="BX564" s="1084"/>
      <c r="BY564" s="1045"/>
      <c r="BZ564" s="1045"/>
      <c r="CA564" s="1045"/>
      <c r="CB564" s="1085"/>
      <c r="CC564" s="1086"/>
      <c r="CD564" s="1327"/>
      <c r="CE564" s="1328"/>
      <c r="CF564" s="1328"/>
      <c r="CG564" s="1328"/>
      <c r="CH564" s="1389"/>
      <c r="CI564" s="1369"/>
      <c r="CJ564" s="1319"/>
      <c r="CK564" s="1319"/>
      <c r="CL564" s="1319"/>
      <c r="CM564" s="1320"/>
      <c r="CN564" s="1369"/>
      <c r="CO564" s="1319"/>
      <c r="CP564" s="1319"/>
      <c r="CQ564" s="1319"/>
      <c r="CR564" s="1320"/>
      <c r="CS564" s="1369"/>
      <c r="CT564" s="1319"/>
      <c r="CU564" s="1319"/>
      <c r="CV564" s="1319"/>
      <c r="CW564" s="1320"/>
      <c r="CX564" s="1369"/>
      <c r="CY564" s="1319"/>
      <c r="CZ564" s="1319"/>
      <c r="DA564" s="1319"/>
      <c r="DB564" s="1320"/>
      <c r="DC564" s="1319"/>
      <c r="DD564" s="1319"/>
      <c r="DE564" s="1319"/>
      <c r="DF564" s="1319"/>
      <c r="DG564" s="1320"/>
      <c r="DH564" s="1369"/>
      <c r="DI564" s="1319"/>
      <c r="DJ564" s="1319"/>
      <c r="DK564" s="1319"/>
      <c r="DL564" s="1320"/>
      <c r="DM564" s="1743"/>
      <c r="DN564" s="1744"/>
      <c r="DO564" s="1744"/>
      <c r="DP564" s="1745"/>
      <c r="DQ564" s="1744"/>
      <c r="DR564" s="1744"/>
      <c r="DS564" s="1744"/>
      <c r="DT564" s="1745"/>
      <c r="DU564" s="1328"/>
      <c r="DV564" s="1664"/>
      <c r="DW564" s="1746"/>
    </row>
    <row r="565" spans="1:127" s="382" customFormat="1" ht="15.75" customHeight="1">
      <c r="A565" s="1066" t="s">
        <v>1116</v>
      </c>
      <c r="B565" s="1026">
        <v>556</v>
      </c>
      <c r="C565" s="987"/>
      <c r="D565" s="987"/>
      <c r="E565" s="987"/>
      <c r="F565" s="987"/>
      <c r="G565" s="987"/>
      <c r="H565" s="987"/>
      <c r="I565" s="987"/>
      <c r="J565" s="987"/>
      <c r="K565" s="987"/>
      <c r="L565" s="987"/>
      <c r="M565" s="1026"/>
      <c r="N565" s="987"/>
      <c r="O565" s="987"/>
      <c r="P565" s="987"/>
      <c r="Q565" s="987"/>
      <c r="R565" s="987"/>
      <c r="S565" s="987"/>
      <c r="T565" s="988"/>
      <c r="U565" s="1067" t="s">
        <v>1703</v>
      </c>
      <c r="V565" s="1068" t="s">
        <v>4051</v>
      </c>
      <c r="W565" s="1068" t="s">
        <v>2223</v>
      </c>
      <c r="X565" s="1069" t="s">
        <v>4052</v>
      </c>
      <c r="Y565" s="1070" t="s">
        <v>4053</v>
      </c>
      <c r="Z565" s="1071" t="s">
        <v>4054</v>
      </c>
      <c r="AA565" s="1072" t="s">
        <v>2260</v>
      </c>
      <c r="AB565" s="1073" t="s">
        <v>2260</v>
      </c>
      <c r="AC565" s="1073" t="s">
        <v>2260</v>
      </c>
      <c r="AD565" s="1073" t="s">
        <v>2260</v>
      </c>
      <c r="AE565" s="1073">
        <v>1</v>
      </c>
      <c r="AF565" s="1073" t="s">
        <v>2260</v>
      </c>
      <c r="AG565" s="1073" t="s">
        <v>2260</v>
      </c>
      <c r="AH565" s="1073" t="s">
        <v>2260</v>
      </c>
      <c r="AI565" s="1074">
        <f t="shared" si="8"/>
        <v>1</v>
      </c>
      <c r="AJ565" s="1075" t="s">
        <v>1825</v>
      </c>
      <c r="AK565" s="1075" t="s">
        <v>2260</v>
      </c>
      <c r="AL565" s="1075" t="s">
        <v>2260</v>
      </c>
      <c r="AM565" s="1076" t="s">
        <v>2396</v>
      </c>
      <c r="AN565" s="987" t="s">
        <v>321</v>
      </c>
      <c r="AO565" s="987" t="s">
        <v>2260</v>
      </c>
      <c r="AP565" s="1243">
        <v>1</v>
      </c>
      <c r="AQ565" s="1045" t="s">
        <v>1838</v>
      </c>
      <c r="AR565" s="1078" t="s">
        <v>2260</v>
      </c>
      <c r="AS565" s="1079"/>
      <c r="AT565" s="1069"/>
      <c r="AU565" s="1069"/>
      <c r="AV565" s="1069"/>
      <c r="AW565" s="1080"/>
      <c r="AX565" s="1081"/>
      <c r="AY565" s="1044"/>
      <c r="AZ565" s="1045"/>
      <c r="BA565" s="1045"/>
      <c r="BB565" s="1045"/>
      <c r="BC565" s="1045"/>
      <c r="BD565" s="1045"/>
      <c r="BE565" s="1045"/>
      <c r="BF565" s="1045"/>
      <c r="BG565" s="1045"/>
      <c r="BH565" s="1045"/>
      <c r="BI565" s="1369"/>
      <c r="BJ565" s="1319"/>
      <c r="BK565" s="1319"/>
      <c r="BL565" s="1319"/>
      <c r="BM565" s="1319"/>
      <c r="BN565" s="1044"/>
      <c r="BO565" s="1045"/>
      <c r="BP565" s="1045"/>
      <c r="BQ565" s="1045"/>
      <c r="BR565" s="1045"/>
      <c r="BS565" s="1084"/>
      <c r="BT565" s="1045"/>
      <c r="BU565" s="1045"/>
      <c r="BV565" s="1045"/>
      <c r="BW565" s="1085"/>
      <c r="BX565" s="1084"/>
      <c r="BY565" s="1045"/>
      <c r="BZ565" s="1045"/>
      <c r="CA565" s="1045"/>
      <c r="CB565" s="1085"/>
      <c r="CC565" s="1086"/>
      <c r="CD565" s="1327"/>
      <c r="CE565" s="1328"/>
      <c r="CF565" s="1328"/>
      <c r="CG565" s="1328"/>
      <c r="CH565" s="1389"/>
      <c r="CI565" s="1369"/>
      <c r="CJ565" s="1319"/>
      <c r="CK565" s="1319"/>
      <c r="CL565" s="1319"/>
      <c r="CM565" s="1320"/>
      <c r="CN565" s="1369"/>
      <c r="CO565" s="1319"/>
      <c r="CP565" s="1319"/>
      <c r="CQ565" s="1319"/>
      <c r="CR565" s="1320"/>
      <c r="CS565" s="1369"/>
      <c r="CT565" s="1319"/>
      <c r="CU565" s="1319"/>
      <c r="CV565" s="1319"/>
      <c r="CW565" s="1320"/>
      <c r="CX565" s="1369"/>
      <c r="CY565" s="1319"/>
      <c r="CZ565" s="1319"/>
      <c r="DA565" s="1319"/>
      <c r="DB565" s="1320"/>
      <c r="DC565" s="1319"/>
      <c r="DD565" s="1319"/>
      <c r="DE565" s="1319"/>
      <c r="DF565" s="1319"/>
      <c r="DG565" s="1320"/>
      <c r="DH565" s="1369"/>
      <c r="DI565" s="1319"/>
      <c r="DJ565" s="1319"/>
      <c r="DK565" s="1319"/>
      <c r="DL565" s="1320"/>
      <c r="DM565" s="1743"/>
      <c r="DN565" s="1744"/>
      <c r="DO565" s="1744"/>
      <c r="DP565" s="1745"/>
      <c r="DQ565" s="1744"/>
      <c r="DR565" s="1744"/>
      <c r="DS565" s="1744"/>
      <c r="DT565" s="1745"/>
      <c r="DU565" s="1328"/>
      <c r="DV565" s="1664"/>
      <c r="DW565" s="1746"/>
    </row>
    <row r="566" spans="1:127" s="382" customFormat="1" ht="15.75" customHeight="1">
      <c r="A566" s="1066" t="s">
        <v>1116</v>
      </c>
      <c r="B566" s="1026">
        <v>557</v>
      </c>
      <c r="C566" s="987"/>
      <c r="D566" s="987"/>
      <c r="E566" s="987"/>
      <c r="F566" s="987"/>
      <c r="G566" s="987"/>
      <c r="H566" s="987"/>
      <c r="I566" s="987"/>
      <c r="J566" s="987"/>
      <c r="K566" s="987"/>
      <c r="L566" s="987"/>
      <c r="M566" s="1026"/>
      <c r="N566" s="987"/>
      <c r="O566" s="987"/>
      <c r="P566" s="987"/>
      <c r="Q566" s="987"/>
      <c r="R566" s="987"/>
      <c r="S566" s="987"/>
      <c r="T566" s="988"/>
      <c r="U566" s="1067" t="s">
        <v>1713</v>
      </c>
      <c r="V566" s="1068" t="s">
        <v>4051</v>
      </c>
      <c r="W566" s="1068" t="s">
        <v>2217</v>
      </c>
      <c r="X566" s="1069" t="s">
        <v>4056</v>
      </c>
      <c r="Y566" s="1070" t="s">
        <v>4057</v>
      </c>
      <c r="Z566" s="1071" t="s">
        <v>4058</v>
      </c>
      <c r="AA566" s="1072" t="s">
        <v>2260</v>
      </c>
      <c r="AB566" s="1073" t="s">
        <v>2260</v>
      </c>
      <c r="AC566" s="1073" t="s">
        <v>2260</v>
      </c>
      <c r="AD566" s="1073" t="s">
        <v>2260</v>
      </c>
      <c r="AE566" s="1073">
        <v>1</v>
      </c>
      <c r="AF566" s="1073" t="s">
        <v>2260</v>
      </c>
      <c r="AG566" s="1073" t="s">
        <v>2260</v>
      </c>
      <c r="AH566" s="1073" t="s">
        <v>2260</v>
      </c>
      <c r="AI566" s="1074">
        <f t="shared" si="8"/>
        <v>1</v>
      </c>
      <c r="AJ566" s="1075" t="s">
        <v>1825</v>
      </c>
      <c r="AK566" s="1075" t="s">
        <v>2260</v>
      </c>
      <c r="AL566" s="1075" t="s">
        <v>2260</v>
      </c>
      <c r="AM566" s="1076" t="s">
        <v>2396</v>
      </c>
      <c r="AN566" s="987" t="s">
        <v>1857</v>
      </c>
      <c r="AO566" s="987" t="s">
        <v>2260</v>
      </c>
      <c r="AP566" s="1243">
        <v>0</v>
      </c>
      <c r="AQ566" s="1045" t="s">
        <v>1828</v>
      </c>
      <c r="AR566" s="1078" t="s">
        <v>2260</v>
      </c>
      <c r="AS566" s="1079"/>
      <c r="AT566" s="1069"/>
      <c r="AU566" s="1069"/>
      <c r="AV566" s="1069"/>
      <c r="AW566" s="1080"/>
      <c r="AX566" s="1081"/>
      <c r="AY566" s="1044"/>
      <c r="AZ566" s="1045"/>
      <c r="BA566" s="1045"/>
      <c r="BB566" s="1045"/>
      <c r="BC566" s="1045"/>
      <c r="BD566" s="1045"/>
      <c r="BE566" s="1045"/>
      <c r="BF566" s="1045"/>
      <c r="BG566" s="1045"/>
      <c r="BH566" s="1045"/>
      <c r="BI566" s="1369"/>
      <c r="BJ566" s="1319"/>
      <c r="BK566" s="1319"/>
      <c r="BL566" s="1319"/>
      <c r="BM566" s="1319"/>
      <c r="BN566" s="1044"/>
      <c r="BO566" s="1045"/>
      <c r="BP566" s="1045"/>
      <c r="BQ566" s="1045"/>
      <c r="BR566" s="1045"/>
      <c r="BS566" s="1084"/>
      <c r="BT566" s="1045"/>
      <c r="BU566" s="1045"/>
      <c r="BV566" s="1045"/>
      <c r="BW566" s="1085"/>
      <c r="BX566" s="1084"/>
      <c r="BY566" s="1045"/>
      <c r="BZ566" s="1045"/>
      <c r="CA566" s="1045"/>
      <c r="CB566" s="1085"/>
      <c r="CC566" s="1086"/>
      <c r="CD566" s="1327"/>
      <c r="CE566" s="1328"/>
      <c r="CF566" s="1328"/>
      <c r="CG566" s="1328"/>
      <c r="CH566" s="1389"/>
      <c r="CI566" s="1369"/>
      <c r="CJ566" s="1319"/>
      <c r="CK566" s="1319"/>
      <c r="CL566" s="1319"/>
      <c r="CM566" s="1320"/>
      <c r="CN566" s="1369"/>
      <c r="CO566" s="1319"/>
      <c r="CP566" s="1319"/>
      <c r="CQ566" s="1319"/>
      <c r="CR566" s="1320"/>
      <c r="CS566" s="1369"/>
      <c r="CT566" s="1319"/>
      <c r="CU566" s="1319"/>
      <c r="CV566" s="1319"/>
      <c r="CW566" s="1320"/>
      <c r="CX566" s="1369"/>
      <c r="CY566" s="1319"/>
      <c r="CZ566" s="1319"/>
      <c r="DA566" s="1319"/>
      <c r="DB566" s="1320"/>
      <c r="DC566" s="1319"/>
      <c r="DD566" s="1319"/>
      <c r="DE566" s="1319"/>
      <c r="DF566" s="1319"/>
      <c r="DG566" s="1320"/>
      <c r="DH566" s="1369"/>
      <c r="DI566" s="1319"/>
      <c r="DJ566" s="1319"/>
      <c r="DK566" s="1319"/>
      <c r="DL566" s="1320"/>
      <c r="DM566" s="1743"/>
      <c r="DN566" s="1744"/>
      <c r="DO566" s="1744"/>
      <c r="DP566" s="1745"/>
      <c r="DQ566" s="1744"/>
      <c r="DR566" s="1744"/>
      <c r="DS566" s="1744"/>
      <c r="DT566" s="1745"/>
      <c r="DU566" s="1328"/>
      <c r="DV566" s="1664"/>
      <c r="DW566" s="1746"/>
    </row>
    <row r="567" spans="1:127" s="382" customFormat="1" ht="15.75" customHeight="1">
      <c r="A567" s="1066" t="s">
        <v>1116</v>
      </c>
      <c r="B567" s="1026">
        <v>558</v>
      </c>
      <c r="C567" s="987"/>
      <c r="D567" s="987"/>
      <c r="E567" s="987"/>
      <c r="F567" s="987"/>
      <c r="G567" s="987"/>
      <c r="H567" s="987"/>
      <c r="I567" s="987"/>
      <c r="J567" s="987"/>
      <c r="K567" s="987"/>
      <c r="L567" s="987"/>
      <c r="M567" s="1026"/>
      <c r="N567" s="987"/>
      <c r="O567" s="987"/>
      <c r="P567" s="987"/>
      <c r="Q567" s="987"/>
      <c r="R567" s="987"/>
      <c r="S567" s="987"/>
      <c r="T567" s="988"/>
      <c r="U567" s="1067" t="s">
        <v>1721</v>
      </c>
      <c r="V567" s="1068" t="s">
        <v>4051</v>
      </c>
      <c r="W567" s="1068" t="s">
        <v>2231</v>
      </c>
      <c r="X567" s="1069" t="s">
        <v>4059</v>
      </c>
      <c r="Y567" s="1070" t="s">
        <v>4060</v>
      </c>
      <c r="Z567" s="1071" t="s">
        <v>4061</v>
      </c>
      <c r="AA567" s="1072" t="s">
        <v>2260</v>
      </c>
      <c r="AB567" s="1073" t="s">
        <v>2260</v>
      </c>
      <c r="AC567" s="1073" t="s">
        <v>2260</v>
      </c>
      <c r="AD567" s="1073" t="s">
        <v>2260</v>
      </c>
      <c r="AE567" s="1073">
        <v>0.89200000000000002</v>
      </c>
      <c r="AF567" s="1073">
        <v>0.108</v>
      </c>
      <c r="AG567" s="1073" t="s">
        <v>2260</v>
      </c>
      <c r="AH567" s="1073" t="s">
        <v>2260</v>
      </c>
      <c r="AI567" s="1074">
        <f t="shared" si="8"/>
        <v>1</v>
      </c>
      <c r="AJ567" s="1075" t="s">
        <v>1825</v>
      </c>
      <c r="AK567" s="1075" t="s">
        <v>2260</v>
      </c>
      <c r="AL567" s="1075" t="s">
        <v>2260</v>
      </c>
      <c r="AM567" s="1076" t="s">
        <v>2396</v>
      </c>
      <c r="AN567" s="987" t="s">
        <v>321</v>
      </c>
      <c r="AO567" s="987" t="s">
        <v>2260</v>
      </c>
      <c r="AP567" s="1243">
        <v>1</v>
      </c>
      <c r="AQ567" s="1045" t="s">
        <v>1838</v>
      </c>
      <c r="AR567" s="1078" t="s">
        <v>2260</v>
      </c>
      <c r="AS567" s="1079"/>
      <c r="AT567" s="1069"/>
      <c r="AU567" s="1069"/>
      <c r="AV567" s="1069"/>
      <c r="AW567" s="1080"/>
      <c r="AX567" s="1081"/>
      <c r="AY567" s="1044"/>
      <c r="AZ567" s="1045"/>
      <c r="BA567" s="1045"/>
      <c r="BB567" s="1045"/>
      <c r="BC567" s="1045"/>
      <c r="BD567" s="1045"/>
      <c r="BE567" s="1045"/>
      <c r="BF567" s="1045"/>
      <c r="BG567" s="1045"/>
      <c r="BH567" s="1045"/>
      <c r="BI567" s="1369"/>
      <c r="BJ567" s="1319"/>
      <c r="BK567" s="1319"/>
      <c r="BL567" s="1319"/>
      <c r="BM567" s="1319"/>
      <c r="BN567" s="1044"/>
      <c r="BO567" s="1045"/>
      <c r="BP567" s="1045"/>
      <c r="BQ567" s="1045"/>
      <c r="BR567" s="1045"/>
      <c r="BS567" s="1084"/>
      <c r="BT567" s="1045"/>
      <c r="BU567" s="1045"/>
      <c r="BV567" s="1045"/>
      <c r="BW567" s="1085"/>
      <c r="BX567" s="1084"/>
      <c r="BY567" s="1045"/>
      <c r="BZ567" s="1045"/>
      <c r="CA567" s="1045"/>
      <c r="CB567" s="1085"/>
      <c r="CC567" s="1086"/>
      <c r="CD567" s="1327"/>
      <c r="CE567" s="1328"/>
      <c r="CF567" s="1328"/>
      <c r="CG567" s="1328"/>
      <c r="CH567" s="1389"/>
      <c r="CI567" s="1369"/>
      <c r="CJ567" s="1319"/>
      <c r="CK567" s="1319"/>
      <c r="CL567" s="1319"/>
      <c r="CM567" s="1320"/>
      <c r="CN567" s="1369"/>
      <c r="CO567" s="1319"/>
      <c r="CP567" s="1319"/>
      <c r="CQ567" s="1319"/>
      <c r="CR567" s="1320"/>
      <c r="CS567" s="1369"/>
      <c r="CT567" s="1319"/>
      <c r="CU567" s="1319"/>
      <c r="CV567" s="1319"/>
      <c r="CW567" s="1320"/>
      <c r="CX567" s="1369"/>
      <c r="CY567" s="1319"/>
      <c r="CZ567" s="1319"/>
      <c r="DA567" s="1319"/>
      <c r="DB567" s="1320"/>
      <c r="DC567" s="1319"/>
      <c r="DD567" s="1319"/>
      <c r="DE567" s="1319"/>
      <c r="DF567" s="1319"/>
      <c r="DG567" s="1320"/>
      <c r="DH567" s="1369"/>
      <c r="DI567" s="1319"/>
      <c r="DJ567" s="1319"/>
      <c r="DK567" s="1319"/>
      <c r="DL567" s="1320"/>
      <c r="DM567" s="1743"/>
      <c r="DN567" s="1744"/>
      <c r="DO567" s="1744"/>
      <c r="DP567" s="1745"/>
      <c r="DQ567" s="1744"/>
      <c r="DR567" s="1744"/>
      <c r="DS567" s="1744"/>
      <c r="DT567" s="1745"/>
      <c r="DU567" s="1328"/>
      <c r="DV567" s="1664"/>
      <c r="DW567" s="1746"/>
    </row>
    <row r="568" spans="1:127" s="382" customFormat="1" ht="15.75" customHeight="1">
      <c r="A568" s="1066" t="s">
        <v>1116</v>
      </c>
      <c r="B568" s="1026">
        <v>559</v>
      </c>
      <c r="C568" s="987"/>
      <c r="D568" s="987"/>
      <c r="E568" s="987"/>
      <c r="F568" s="987"/>
      <c r="G568" s="987"/>
      <c r="H568" s="987"/>
      <c r="I568" s="987"/>
      <c r="J568" s="987"/>
      <c r="K568" s="987"/>
      <c r="L568" s="987"/>
      <c r="M568" s="1026"/>
      <c r="N568" s="987"/>
      <c r="O568" s="987"/>
      <c r="P568" s="987"/>
      <c r="Q568" s="987"/>
      <c r="R568" s="987"/>
      <c r="S568" s="987"/>
      <c r="T568" s="988"/>
      <c r="U568" s="1067" t="s">
        <v>1369</v>
      </c>
      <c r="V568" s="1068" t="s">
        <v>4051</v>
      </c>
      <c r="W568" s="1068" t="s">
        <v>2231</v>
      </c>
      <c r="X568" s="1069" t="s">
        <v>4062</v>
      </c>
      <c r="Y568" s="1070" t="s">
        <v>4063</v>
      </c>
      <c r="Z568" s="1071" t="s">
        <v>4064</v>
      </c>
      <c r="AA568" s="1072" t="s">
        <v>2260</v>
      </c>
      <c r="AB568" s="1073" t="s">
        <v>2260</v>
      </c>
      <c r="AC568" s="1073" t="s">
        <v>2260</v>
      </c>
      <c r="AD568" s="1073" t="s">
        <v>2260</v>
      </c>
      <c r="AE568" s="1073">
        <v>0.89200000000000002</v>
      </c>
      <c r="AF568" s="1073">
        <v>0.108</v>
      </c>
      <c r="AG568" s="1073" t="s">
        <v>2260</v>
      </c>
      <c r="AH568" s="1073" t="s">
        <v>2260</v>
      </c>
      <c r="AI568" s="1074">
        <f t="shared" si="8"/>
        <v>1</v>
      </c>
      <c r="AJ568" s="1075" t="s">
        <v>1852</v>
      </c>
      <c r="AK568" s="1075" t="s">
        <v>1826</v>
      </c>
      <c r="AL568" s="1075" t="s">
        <v>1827</v>
      </c>
      <c r="AM568" s="1076" t="s">
        <v>2396</v>
      </c>
      <c r="AN568" s="987" t="s">
        <v>321</v>
      </c>
      <c r="AO568" s="987" t="s">
        <v>2260</v>
      </c>
      <c r="AP568" s="1243">
        <v>2</v>
      </c>
      <c r="AQ568" s="1045" t="s">
        <v>1838</v>
      </c>
      <c r="AR568" s="1078" t="s">
        <v>2260</v>
      </c>
      <c r="AS568" s="1079"/>
      <c r="AT568" s="1069"/>
      <c r="AU568" s="1069"/>
      <c r="AV568" s="1069"/>
      <c r="AW568" s="1080"/>
      <c r="AX568" s="1081"/>
      <c r="AY568" s="1044"/>
      <c r="AZ568" s="1045"/>
      <c r="BA568" s="1045"/>
      <c r="BB568" s="1045"/>
      <c r="BC568" s="1045"/>
      <c r="BD568" s="1045"/>
      <c r="BE568" s="1045"/>
      <c r="BF568" s="1045"/>
      <c r="BG568" s="1045"/>
      <c r="BH568" s="1045"/>
      <c r="BI568" s="1369"/>
      <c r="BJ568" s="1319"/>
      <c r="BK568" s="1319"/>
      <c r="BL568" s="1319"/>
      <c r="BM568" s="1319"/>
      <c r="BN568" s="1044"/>
      <c r="BO568" s="1045"/>
      <c r="BP568" s="1045"/>
      <c r="BQ568" s="1045"/>
      <c r="BR568" s="1045"/>
      <c r="BS568" s="1084"/>
      <c r="BT568" s="1045"/>
      <c r="BU568" s="1045"/>
      <c r="BV568" s="1045"/>
      <c r="BW568" s="1085"/>
      <c r="BX568" s="1084"/>
      <c r="BY568" s="1045"/>
      <c r="BZ568" s="1045"/>
      <c r="CA568" s="1045"/>
      <c r="CB568" s="1085"/>
      <c r="CC568" s="1086"/>
      <c r="CD568" s="1327"/>
      <c r="CE568" s="1328"/>
      <c r="CF568" s="1328"/>
      <c r="CG568" s="1328"/>
      <c r="CH568" s="1389"/>
      <c r="CI568" s="1369"/>
      <c r="CJ568" s="1319"/>
      <c r="CK568" s="1319"/>
      <c r="CL568" s="1319"/>
      <c r="CM568" s="1320"/>
      <c r="CN568" s="1369"/>
      <c r="CO568" s="1319"/>
      <c r="CP568" s="1319"/>
      <c r="CQ568" s="1319"/>
      <c r="CR568" s="1320"/>
      <c r="CS568" s="1369"/>
      <c r="CT568" s="1319"/>
      <c r="CU568" s="1319"/>
      <c r="CV568" s="1319"/>
      <c r="CW568" s="1320"/>
      <c r="CX568" s="1369"/>
      <c r="CY568" s="1319"/>
      <c r="CZ568" s="1319"/>
      <c r="DA568" s="1319"/>
      <c r="DB568" s="1320"/>
      <c r="DC568" s="1319"/>
      <c r="DD568" s="1319"/>
      <c r="DE568" s="1319"/>
      <c r="DF568" s="1319"/>
      <c r="DG568" s="1320"/>
      <c r="DH568" s="1369"/>
      <c r="DI568" s="1319"/>
      <c r="DJ568" s="1319"/>
      <c r="DK568" s="1319"/>
      <c r="DL568" s="1320"/>
      <c r="DM568" s="1743"/>
      <c r="DN568" s="1744"/>
      <c r="DO568" s="1744"/>
      <c r="DP568" s="1745"/>
      <c r="DQ568" s="1744"/>
      <c r="DR568" s="1744"/>
      <c r="DS568" s="1744"/>
      <c r="DT568" s="1745"/>
      <c r="DU568" s="1328"/>
      <c r="DV568" s="1664"/>
      <c r="DW568" s="1746"/>
    </row>
    <row r="569" spans="1:127" s="382" customFormat="1" ht="15.75" customHeight="1">
      <c r="A569" s="1066" t="s">
        <v>1116</v>
      </c>
      <c r="B569" s="1026">
        <v>560</v>
      </c>
      <c r="C569" s="987"/>
      <c r="D569" s="987"/>
      <c r="E569" s="987"/>
      <c r="F569" s="987"/>
      <c r="G569" s="987"/>
      <c r="H569" s="987"/>
      <c r="I569" s="987"/>
      <c r="J569" s="987"/>
      <c r="K569" s="987"/>
      <c r="L569" s="987"/>
      <c r="M569" s="1026"/>
      <c r="N569" s="987"/>
      <c r="O569" s="987"/>
      <c r="P569" s="987"/>
      <c r="Q569" s="987"/>
      <c r="R569" s="987"/>
      <c r="S569" s="987"/>
      <c r="T569" s="988"/>
      <c r="U569" s="1067" t="s">
        <v>1728</v>
      </c>
      <c r="V569" s="1068" t="s">
        <v>4051</v>
      </c>
      <c r="W569" s="1068" t="s">
        <v>2231</v>
      </c>
      <c r="X569" s="1069" t="s">
        <v>4065</v>
      </c>
      <c r="Y569" s="1070" t="s">
        <v>4066</v>
      </c>
      <c r="Z569" s="1071" t="s">
        <v>4067</v>
      </c>
      <c r="AA569" s="1072">
        <v>4.3999999999999997E-2</v>
      </c>
      <c r="AB569" s="1073">
        <v>0.33800000000000002</v>
      </c>
      <c r="AC569" s="1073">
        <v>0.48</v>
      </c>
      <c r="AD569" s="1073">
        <v>4.3999999999999997E-2</v>
      </c>
      <c r="AE569" s="1073">
        <v>8.4000000000000005E-2</v>
      </c>
      <c r="AF569" s="1073">
        <v>0.01</v>
      </c>
      <c r="AG569" s="1073" t="s">
        <v>2260</v>
      </c>
      <c r="AH569" s="1073" t="s">
        <v>2260</v>
      </c>
      <c r="AI569" s="1074">
        <f t="shared" si="8"/>
        <v>1</v>
      </c>
      <c r="AJ569" s="1075" t="s">
        <v>1825</v>
      </c>
      <c r="AK569" s="1075" t="s">
        <v>2260</v>
      </c>
      <c r="AL569" s="1075" t="s">
        <v>2260</v>
      </c>
      <c r="AM569" s="1076" t="s">
        <v>2234</v>
      </c>
      <c r="AN569" s="987" t="s">
        <v>1899</v>
      </c>
      <c r="AO569" s="987" t="s">
        <v>2260</v>
      </c>
      <c r="AP569" s="1243">
        <v>0</v>
      </c>
      <c r="AQ569" s="1045" t="s">
        <v>1828</v>
      </c>
      <c r="AR569" s="1078" t="s">
        <v>2260</v>
      </c>
      <c r="AS569" s="1079"/>
      <c r="AT569" s="1069"/>
      <c r="AU569" s="1069"/>
      <c r="AV569" s="1069"/>
      <c r="AW569" s="1080"/>
      <c r="AX569" s="1081"/>
      <c r="AY569" s="1044"/>
      <c r="AZ569" s="1045"/>
      <c r="BA569" s="1045"/>
      <c r="BB569" s="1045"/>
      <c r="BC569" s="1045"/>
      <c r="BD569" s="1045"/>
      <c r="BE569" s="1045"/>
      <c r="BF569" s="1045"/>
      <c r="BG569" s="1045"/>
      <c r="BH569" s="1045"/>
      <c r="BI569" s="1369"/>
      <c r="BJ569" s="1319"/>
      <c r="BK569" s="1319"/>
      <c r="BL569" s="1319"/>
      <c r="BM569" s="1319"/>
      <c r="BN569" s="1044"/>
      <c r="BO569" s="1045"/>
      <c r="BP569" s="1045"/>
      <c r="BQ569" s="1045"/>
      <c r="BR569" s="1045"/>
      <c r="BS569" s="1084"/>
      <c r="BT569" s="1045"/>
      <c r="BU569" s="1045"/>
      <c r="BV569" s="1045"/>
      <c r="BW569" s="1085"/>
      <c r="BX569" s="1084"/>
      <c r="BY569" s="1045"/>
      <c r="BZ569" s="1045"/>
      <c r="CA569" s="1045"/>
      <c r="CB569" s="1085"/>
      <c r="CC569" s="1086"/>
      <c r="CD569" s="1327"/>
      <c r="CE569" s="1328"/>
      <c r="CF569" s="1328"/>
      <c r="CG569" s="1328"/>
      <c r="CH569" s="1389"/>
      <c r="CI569" s="1369"/>
      <c r="CJ569" s="1319"/>
      <c r="CK569" s="1319"/>
      <c r="CL569" s="1319"/>
      <c r="CM569" s="1320"/>
      <c r="CN569" s="1369"/>
      <c r="CO569" s="1319"/>
      <c r="CP569" s="1319"/>
      <c r="CQ569" s="1319"/>
      <c r="CR569" s="1320"/>
      <c r="CS569" s="1369"/>
      <c r="CT569" s="1319"/>
      <c r="CU569" s="1319"/>
      <c r="CV569" s="1319"/>
      <c r="CW569" s="1320"/>
      <c r="CX569" s="1369"/>
      <c r="CY569" s="1319"/>
      <c r="CZ569" s="1319"/>
      <c r="DA569" s="1319"/>
      <c r="DB569" s="1320"/>
      <c r="DC569" s="1319"/>
      <c r="DD569" s="1319"/>
      <c r="DE569" s="1319"/>
      <c r="DF569" s="1319"/>
      <c r="DG569" s="1320"/>
      <c r="DH569" s="1369"/>
      <c r="DI569" s="1319"/>
      <c r="DJ569" s="1319"/>
      <c r="DK569" s="1319"/>
      <c r="DL569" s="1320"/>
      <c r="DM569" s="1743"/>
      <c r="DN569" s="1744"/>
      <c r="DO569" s="1744"/>
      <c r="DP569" s="1745"/>
      <c r="DQ569" s="1744"/>
      <c r="DR569" s="1744"/>
      <c r="DS569" s="1744"/>
      <c r="DT569" s="1745"/>
      <c r="DU569" s="1328"/>
      <c r="DV569" s="1664"/>
      <c r="DW569" s="1746"/>
    </row>
    <row r="570" spans="1:127" s="382" customFormat="1" ht="15.75" customHeight="1">
      <c r="A570" s="1066" t="s">
        <v>1116</v>
      </c>
      <c r="B570" s="1026">
        <v>561</v>
      </c>
      <c r="C570" s="987"/>
      <c r="D570" s="987"/>
      <c r="E570" s="987"/>
      <c r="F570" s="987"/>
      <c r="G570" s="987"/>
      <c r="H570" s="987"/>
      <c r="I570" s="987"/>
      <c r="J570" s="987"/>
      <c r="K570" s="987"/>
      <c r="L570" s="987"/>
      <c r="M570" s="1026"/>
      <c r="N570" s="987"/>
      <c r="O570" s="987"/>
      <c r="P570" s="987"/>
      <c r="Q570" s="987"/>
      <c r="R570" s="987"/>
      <c r="S570" s="987"/>
      <c r="T570" s="988"/>
      <c r="U570" s="1067" t="s">
        <v>1276</v>
      </c>
      <c r="V570" s="1068" t="s">
        <v>4068</v>
      </c>
      <c r="W570" s="1068" t="s">
        <v>2231</v>
      </c>
      <c r="X570" s="1069" t="s">
        <v>4069</v>
      </c>
      <c r="Y570" s="1070" t="s">
        <v>567</v>
      </c>
      <c r="Z570" s="1071" t="s">
        <v>4070</v>
      </c>
      <c r="AA570" s="1072">
        <v>0.115</v>
      </c>
      <c r="AB570" s="1073">
        <v>0.88500000000000001</v>
      </c>
      <c r="AC570" s="1073" t="s">
        <v>2260</v>
      </c>
      <c r="AD570" s="1073" t="s">
        <v>2260</v>
      </c>
      <c r="AE570" s="1073" t="s">
        <v>2260</v>
      </c>
      <c r="AF570" s="1073" t="s">
        <v>2260</v>
      </c>
      <c r="AG570" s="1073" t="s">
        <v>2260</v>
      </c>
      <c r="AH570" s="1073" t="s">
        <v>2260</v>
      </c>
      <c r="AI570" s="1074">
        <f t="shared" si="8"/>
        <v>1</v>
      </c>
      <c r="AJ570" s="1075" t="s">
        <v>1825</v>
      </c>
      <c r="AK570" s="1075" t="s">
        <v>2260</v>
      </c>
      <c r="AL570" s="1075" t="s">
        <v>2260</v>
      </c>
      <c r="AM570" s="1076" t="s">
        <v>2234</v>
      </c>
      <c r="AN570" s="987" t="s">
        <v>321</v>
      </c>
      <c r="AO570" s="987" t="s">
        <v>4417</v>
      </c>
      <c r="AP570" s="1276">
        <v>1</v>
      </c>
      <c r="AQ570" s="1045" t="s">
        <v>1838</v>
      </c>
      <c r="AR570" s="1078" t="s">
        <v>567</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2260</v>
      </c>
      <c r="CE570" s="1088" t="s">
        <v>2260</v>
      </c>
      <c r="CF570" s="1088" t="s">
        <v>2260</v>
      </c>
      <c r="CG570" s="1088" t="s">
        <v>2260</v>
      </c>
      <c r="CH570" s="1089" t="s">
        <v>2260</v>
      </c>
      <c r="CI570" s="1044" t="s">
        <v>2260</v>
      </c>
      <c r="CJ570" s="1045" t="s">
        <v>2260</v>
      </c>
      <c r="CK570" s="1045" t="s">
        <v>2260</v>
      </c>
      <c r="CL570" s="1045" t="s">
        <v>2260</v>
      </c>
      <c r="CM570" s="1086" t="s">
        <v>2260</v>
      </c>
      <c r="CN570" s="1044" t="s">
        <v>2260</v>
      </c>
      <c r="CO570" s="1045" t="s">
        <v>2260</v>
      </c>
      <c r="CP570" s="1045" t="s">
        <v>2260</v>
      </c>
      <c r="CQ570" s="1045" t="s">
        <v>2260</v>
      </c>
      <c r="CR570" s="1086" t="s">
        <v>2260</v>
      </c>
      <c r="CS570" s="1044" t="s">
        <v>2260</v>
      </c>
      <c r="CT570" s="1045" t="s">
        <v>2260</v>
      </c>
      <c r="CU570" s="1045" t="s">
        <v>2260</v>
      </c>
      <c r="CV570" s="1045" t="s">
        <v>2260</v>
      </c>
      <c r="CW570" s="1086" t="s">
        <v>2260</v>
      </c>
      <c r="CX570" s="1044" t="s">
        <v>2260</v>
      </c>
      <c r="CY570" s="1045" t="s">
        <v>2260</v>
      </c>
      <c r="CZ570" s="1045" t="s">
        <v>2260</v>
      </c>
      <c r="DA570" s="1045" t="s">
        <v>2260</v>
      </c>
      <c r="DB570" s="1086" t="s">
        <v>2260</v>
      </c>
      <c r="DC570" s="1045" t="s">
        <v>2260</v>
      </c>
      <c r="DD570" s="1045" t="s">
        <v>2260</v>
      </c>
      <c r="DE570" s="1045" t="s">
        <v>2260</v>
      </c>
      <c r="DF570" s="1045" t="s">
        <v>2260</v>
      </c>
      <c r="DG570" s="1086" t="s">
        <v>2260</v>
      </c>
      <c r="DH570" s="1044" t="s">
        <v>2260</v>
      </c>
      <c r="DI570" s="1045" t="s">
        <v>2260</v>
      </c>
      <c r="DJ570" s="1045" t="s">
        <v>2260</v>
      </c>
      <c r="DK570" s="1045" t="s">
        <v>2260</v>
      </c>
      <c r="DL570" s="1086" t="s">
        <v>2260</v>
      </c>
      <c r="DM570" s="1090" t="s">
        <v>2260</v>
      </c>
      <c r="DN570" s="1091" t="s">
        <v>2260</v>
      </c>
      <c r="DO570" s="1091" t="s">
        <v>2260</v>
      </c>
      <c r="DP570" s="1092" t="s">
        <v>2260</v>
      </c>
      <c r="DQ570" s="1091" t="s">
        <v>2260</v>
      </c>
      <c r="DR570" s="1091" t="s">
        <v>2260</v>
      </c>
      <c r="DS570" s="1091" t="s">
        <v>2260</v>
      </c>
      <c r="DT570" s="1092" t="s">
        <v>2260</v>
      </c>
      <c r="DU570" s="1088" t="s">
        <v>2260</v>
      </c>
      <c r="DV570" s="1093">
        <v>1</v>
      </c>
      <c r="DW570" s="1094" t="s">
        <v>2260</v>
      </c>
    </row>
    <row r="571" spans="1:127" s="382" customFormat="1" ht="15.75" customHeight="1">
      <c r="A571" s="1066" t="s">
        <v>1116</v>
      </c>
      <c r="B571" s="1026">
        <v>562</v>
      </c>
      <c r="C571" s="987"/>
      <c r="D571" s="987"/>
      <c r="E571" s="987"/>
      <c r="F571" s="987"/>
      <c r="G571" s="987"/>
      <c r="H571" s="987"/>
      <c r="I571" s="987"/>
      <c r="J571" s="987"/>
      <c r="K571" s="987"/>
      <c r="L571" s="987"/>
      <c r="M571" s="1026"/>
      <c r="N571" s="987"/>
      <c r="O571" s="987"/>
      <c r="P571" s="987"/>
      <c r="Q571" s="987"/>
      <c r="R571" s="987"/>
      <c r="S571" s="987"/>
      <c r="T571" s="988"/>
      <c r="U571" s="1067" t="s">
        <v>1212</v>
      </c>
      <c r="V571" s="1068" t="s">
        <v>4068</v>
      </c>
      <c r="W571" s="1068" t="s">
        <v>2231</v>
      </c>
      <c r="X571" s="1069" t="s">
        <v>4071</v>
      </c>
      <c r="Y571" s="1070" t="s">
        <v>891</v>
      </c>
      <c r="Z571" s="1071" t="s">
        <v>4072</v>
      </c>
      <c r="AA571" s="1072" t="s">
        <v>2260</v>
      </c>
      <c r="AB571" s="1073" t="s">
        <v>2260</v>
      </c>
      <c r="AC571" s="1073">
        <v>1</v>
      </c>
      <c r="AD571" s="1073" t="s">
        <v>2260</v>
      </c>
      <c r="AE571" s="1073" t="s">
        <v>2260</v>
      </c>
      <c r="AF571" s="1073" t="s">
        <v>2260</v>
      </c>
      <c r="AG571" s="1073" t="s">
        <v>2260</v>
      </c>
      <c r="AH571" s="1073" t="s">
        <v>2260</v>
      </c>
      <c r="AI571" s="1074">
        <f t="shared" si="8"/>
        <v>1</v>
      </c>
      <c r="AJ571" s="1075" t="s">
        <v>1825</v>
      </c>
      <c r="AK571" s="1075" t="s">
        <v>2260</v>
      </c>
      <c r="AL571" s="1075" t="s">
        <v>2260</v>
      </c>
      <c r="AM571" s="1076" t="s">
        <v>2234</v>
      </c>
      <c r="AN571" s="987" t="s">
        <v>321</v>
      </c>
      <c r="AO571" s="987" t="s">
        <v>4417</v>
      </c>
      <c r="AP571" s="1276">
        <v>2</v>
      </c>
      <c r="AQ571" s="1045" t="s">
        <v>1838</v>
      </c>
      <c r="AR571" s="1078" t="s">
        <v>891</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2260</v>
      </c>
      <c r="CE571" s="1088" t="s">
        <v>2260</v>
      </c>
      <c r="CF571" s="1088" t="s">
        <v>2260</v>
      </c>
      <c r="CG571" s="1088" t="s">
        <v>2260</v>
      </c>
      <c r="CH571" s="1089" t="s">
        <v>2260</v>
      </c>
      <c r="CI571" s="1044" t="s">
        <v>2260</v>
      </c>
      <c r="CJ571" s="1045" t="s">
        <v>2260</v>
      </c>
      <c r="CK571" s="1045" t="s">
        <v>2260</v>
      </c>
      <c r="CL571" s="1045" t="s">
        <v>2260</v>
      </c>
      <c r="CM571" s="1086" t="s">
        <v>2260</v>
      </c>
      <c r="CN571" s="1044" t="s">
        <v>2260</v>
      </c>
      <c r="CO571" s="1045" t="s">
        <v>2260</v>
      </c>
      <c r="CP571" s="1045" t="s">
        <v>2260</v>
      </c>
      <c r="CQ571" s="1045" t="s">
        <v>2260</v>
      </c>
      <c r="CR571" s="1086" t="s">
        <v>2260</v>
      </c>
      <c r="CS571" s="1044" t="s">
        <v>2260</v>
      </c>
      <c r="CT571" s="1045" t="s">
        <v>2260</v>
      </c>
      <c r="CU571" s="1045" t="s">
        <v>2260</v>
      </c>
      <c r="CV571" s="1045" t="s">
        <v>2260</v>
      </c>
      <c r="CW571" s="1086" t="s">
        <v>2260</v>
      </c>
      <c r="CX571" s="1044" t="s">
        <v>2260</v>
      </c>
      <c r="CY571" s="1045" t="s">
        <v>2260</v>
      </c>
      <c r="CZ571" s="1045" t="s">
        <v>2260</v>
      </c>
      <c r="DA571" s="1045" t="s">
        <v>2260</v>
      </c>
      <c r="DB571" s="1086" t="s">
        <v>2260</v>
      </c>
      <c r="DC571" s="1045" t="s">
        <v>2260</v>
      </c>
      <c r="DD571" s="1045" t="s">
        <v>2260</v>
      </c>
      <c r="DE571" s="1045" t="s">
        <v>2260</v>
      </c>
      <c r="DF571" s="1045" t="s">
        <v>2260</v>
      </c>
      <c r="DG571" s="1086" t="s">
        <v>2260</v>
      </c>
      <c r="DH571" s="1044" t="s">
        <v>2260</v>
      </c>
      <c r="DI571" s="1045" t="s">
        <v>2260</v>
      </c>
      <c r="DJ571" s="1045" t="s">
        <v>2260</v>
      </c>
      <c r="DK571" s="1045" t="s">
        <v>2260</v>
      </c>
      <c r="DL571" s="1086" t="s">
        <v>2260</v>
      </c>
      <c r="DM571" s="1090" t="s">
        <v>2260</v>
      </c>
      <c r="DN571" s="1091" t="s">
        <v>2260</v>
      </c>
      <c r="DO571" s="1091" t="s">
        <v>2260</v>
      </c>
      <c r="DP571" s="1092" t="s">
        <v>2260</v>
      </c>
      <c r="DQ571" s="1091" t="s">
        <v>2260</v>
      </c>
      <c r="DR571" s="1091" t="s">
        <v>2260</v>
      </c>
      <c r="DS571" s="1091" t="s">
        <v>2260</v>
      </c>
      <c r="DT571" s="1092" t="s">
        <v>2260</v>
      </c>
      <c r="DU571" s="1088" t="s">
        <v>2260</v>
      </c>
      <c r="DV571" s="1093">
        <v>1</v>
      </c>
      <c r="DW571" s="1094" t="s">
        <v>2260</v>
      </c>
    </row>
    <row r="572" spans="1:127" s="382" customFormat="1" ht="15.75" customHeight="1">
      <c r="A572" s="1066" t="s">
        <v>1116</v>
      </c>
      <c r="B572" s="1026">
        <v>563</v>
      </c>
      <c r="C572" s="987"/>
      <c r="D572" s="987"/>
      <c r="E572" s="987"/>
      <c r="F572" s="987"/>
      <c r="G572" s="987"/>
      <c r="H572" s="987"/>
      <c r="I572" s="987"/>
      <c r="J572" s="987"/>
      <c r="K572" s="987"/>
      <c r="L572" s="987"/>
      <c r="M572" s="1026"/>
      <c r="N572" s="987"/>
      <c r="O572" s="987"/>
      <c r="P572" s="987"/>
      <c r="Q572" s="987"/>
      <c r="R572" s="987"/>
      <c r="S572" s="987"/>
      <c r="T572" s="988"/>
      <c r="U572" s="1067" t="s">
        <v>1735</v>
      </c>
      <c r="V572" s="1068" t="s">
        <v>4068</v>
      </c>
      <c r="W572" s="1068" t="s">
        <v>2217</v>
      </c>
      <c r="X572" s="1069" t="s">
        <v>4074</v>
      </c>
      <c r="Y572" s="1070" t="s">
        <v>4075</v>
      </c>
      <c r="Z572" s="1071" t="s">
        <v>4076</v>
      </c>
      <c r="AA572" s="1072">
        <v>4.3999999999999997E-2</v>
      </c>
      <c r="AB572" s="1073">
        <v>0.33800000000000002</v>
      </c>
      <c r="AC572" s="1073">
        <v>0.48</v>
      </c>
      <c r="AD572" s="1073">
        <v>4.3999999999999997E-2</v>
      </c>
      <c r="AE572" s="1073">
        <v>8.4000000000000005E-2</v>
      </c>
      <c r="AF572" s="1073">
        <v>0.01</v>
      </c>
      <c r="AG572" s="1073" t="s">
        <v>2260</v>
      </c>
      <c r="AH572" s="1073" t="s">
        <v>2260</v>
      </c>
      <c r="AI572" s="1074">
        <f t="shared" si="8"/>
        <v>1</v>
      </c>
      <c r="AJ572" s="1075" t="s">
        <v>1825</v>
      </c>
      <c r="AK572" s="1075" t="s">
        <v>2260</v>
      </c>
      <c r="AL572" s="1075" t="s">
        <v>2260</v>
      </c>
      <c r="AM572" s="1076" t="s">
        <v>2408</v>
      </c>
      <c r="AN572" s="987" t="s">
        <v>321</v>
      </c>
      <c r="AO572" s="987" t="s">
        <v>2260</v>
      </c>
      <c r="AP572" s="1276">
        <v>0</v>
      </c>
      <c r="AQ572" s="1045" t="s">
        <v>1828</v>
      </c>
      <c r="AR572" s="1078" t="s">
        <v>2260</v>
      </c>
      <c r="AS572" s="1079"/>
      <c r="AT572" s="1069"/>
      <c r="AU572" s="1069"/>
      <c r="AV572" s="1069"/>
      <c r="AW572" s="1080"/>
      <c r="AX572" s="1081"/>
      <c r="AY572" s="1044"/>
      <c r="AZ572" s="1045"/>
      <c r="BA572" s="1045"/>
      <c r="BB572" s="1045"/>
      <c r="BC572" s="1045"/>
      <c r="BD572" s="1045"/>
      <c r="BE572" s="1045"/>
      <c r="BF572" s="1045"/>
      <c r="BG572" s="1045"/>
      <c r="BH572" s="1045"/>
      <c r="BI572" s="1369"/>
      <c r="BJ572" s="1319"/>
      <c r="BK572" s="1319"/>
      <c r="BL572" s="1319"/>
      <c r="BM572" s="1319"/>
      <c r="BN572" s="1044"/>
      <c r="BO572" s="1045"/>
      <c r="BP572" s="1045"/>
      <c r="BQ572" s="1045"/>
      <c r="BR572" s="1045"/>
      <c r="BS572" s="1084"/>
      <c r="BT572" s="1045"/>
      <c r="BU572" s="1045"/>
      <c r="BV572" s="1045"/>
      <c r="BW572" s="1085"/>
      <c r="BX572" s="1084"/>
      <c r="BY572" s="1045"/>
      <c r="BZ572" s="1045"/>
      <c r="CA572" s="1045"/>
      <c r="CB572" s="1085"/>
      <c r="CC572" s="1086"/>
      <c r="CD572" s="1327"/>
      <c r="CE572" s="1328"/>
      <c r="CF572" s="1328"/>
      <c r="CG572" s="1328"/>
      <c r="CH572" s="1389"/>
      <c r="CI572" s="1369"/>
      <c r="CJ572" s="1319"/>
      <c r="CK572" s="1319"/>
      <c r="CL572" s="1319"/>
      <c r="CM572" s="1320"/>
      <c r="CN572" s="1369"/>
      <c r="CO572" s="1319"/>
      <c r="CP572" s="1319"/>
      <c r="CQ572" s="1319"/>
      <c r="CR572" s="1320"/>
      <c r="CS572" s="1369"/>
      <c r="CT572" s="1319"/>
      <c r="CU572" s="1319"/>
      <c r="CV572" s="1319"/>
      <c r="CW572" s="1320"/>
      <c r="CX572" s="1369"/>
      <c r="CY572" s="1319"/>
      <c r="CZ572" s="1319"/>
      <c r="DA572" s="1319"/>
      <c r="DB572" s="1320"/>
      <c r="DC572" s="1319"/>
      <c r="DD572" s="1319"/>
      <c r="DE572" s="1319"/>
      <c r="DF572" s="1319"/>
      <c r="DG572" s="1320"/>
      <c r="DH572" s="1369"/>
      <c r="DI572" s="1319"/>
      <c r="DJ572" s="1319"/>
      <c r="DK572" s="1319"/>
      <c r="DL572" s="1320"/>
      <c r="DM572" s="1743"/>
      <c r="DN572" s="1744"/>
      <c r="DO572" s="1744"/>
      <c r="DP572" s="1745"/>
      <c r="DQ572" s="1744"/>
      <c r="DR572" s="1744"/>
      <c r="DS572" s="1744"/>
      <c r="DT572" s="1745"/>
      <c r="DU572" s="1328"/>
      <c r="DV572" s="1664"/>
      <c r="DW572" s="1746"/>
    </row>
    <row r="573" spans="1:127" s="382" customFormat="1" ht="15.75" customHeight="1">
      <c r="A573" s="1066" t="s">
        <v>1116</v>
      </c>
      <c r="B573" s="1026">
        <v>564</v>
      </c>
      <c r="C573" s="987"/>
      <c r="D573" s="987"/>
      <c r="E573" s="987"/>
      <c r="F573" s="987"/>
      <c r="G573" s="987"/>
      <c r="H573" s="987"/>
      <c r="I573" s="987"/>
      <c r="J573" s="987"/>
      <c r="K573" s="987"/>
      <c r="L573" s="987"/>
      <c r="M573" s="1026"/>
      <c r="N573" s="987"/>
      <c r="O573" s="987"/>
      <c r="P573" s="987"/>
      <c r="Q573" s="987"/>
      <c r="R573" s="987"/>
      <c r="S573" s="987"/>
      <c r="T573" s="988"/>
      <c r="U573" s="1067" t="s">
        <v>1554</v>
      </c>
      <c r="V573" s="1068" t="s">
        <v>4068</v>
      </c>
      <c r="W573" s="1068" t="s">
        <v>2223</v>
      </c>
      <c r="X573" s="1069" t="s">
        <v>4077</v>
      </c>
      <c r="Y573" s="1070" t="s">
        <v>4078</v>
      </c>
      <c r="Z573" s="1071" t="s">
        <v>4079</v>
      </c>
      <c r="AA573" s="1072" t="s">
        <v>2260</v>
      </c>
      <c r="AB573" s="1073" t="s">
        <v>2260</v>
      </c>
      <c r="AC573" s="1073">
        <v>1</v>
      </c>
      <c r="AD573" s="1073" t="s">
        <v>2260</v>
      </c>
      <c r="AE573" s="1073" t="s">
        <v>2260</v>
      </c>
      <c r="AF573" s="1073" t="s">
        <v>2260</v>
      </c>
      <c r="AG573" s="1073" t="s">
        <v>2260</v>
      </c>
      <c r="AH573" s="1073" t="s">
        <v>2260</v>
      </c>
      <c r="AI573" s="1074">
        <f t="shared" si="8"/>
        <v>1</v>
      </c>
      <c r="AJ573" s="1075" t="s">
        <v>1852</v>
      </c>
      <c r="AK573" s="1075" t="s">
        <v>1826</v>
      </c>
      <c r="AL573" s="1075" t="s">
        <v>1827</v>
      </c>
      <c r="AM573" s="1076" t="s">
        <v>2387</v>
      </c>
      <c r="AN573" s="987" t="s">
        <v>1857</v>
      </c>
      <c r="AO573" s="987" t="s">
        <v>4080</v>
      </c>
      <c r="AP573" s="1243">
        <v>0</v>
      </c>
      <c r="AQ573" s="1045" t="s">
        <v>1828</v>
      </c>
      <c r="AR573" s="1078" t="s">
        <v>2260</v>
      </c>
      <c r="AS573" s="1079"/>
      <c r="AT573" s="1069"/>
      <c r="AU573" s="1069"/>
      <c r="AV573" s="1069"/>
      <c r="AW573" s="1080"/>
      <c r="AX573" s="1081"/>
      <c r="AY573" s="1044"/>
      <c r="AZ573" s="1045"/>
      <c r="BA573" s="1045"/>
      <c r="BB573" s="1045"/>
      <c r="BC573" s="1045"/>
      <c r="BD573" s="1045"/>
      <c r="BE573" s="1045"/>
      <c r="BF573" s="1045"/>
      <c r="BG573" s="1045"/>
      <c r="BH573" s="1045"/>
      <c r="BI573" s="1369"/>
      <c r="BJ573" s="1319"/>
      <c r="BK573" s="1319"/>
      <c r="BL573" s="1319"/>
      <c r="BM573" s="1319"/>
      <c r="BN573" s="1044"/>
      <c r="BO573" s="1045"/>
      <c r="BP573" s="1045"/>
      <c r="BQ573" s="1045"/>
      <c r="BR573" s="1045"/>
      <c r="BS573" s="1084"/>
      <c r="BT573" s="1045"/>
      <c r="BU573" s="1045"/>
      <c r="BV573" s="1045"/>
      <c r="BW573" s="1085"/>
      <c r="BX573" s="1084"/>
      <c r="BY573" s="1045"/>
      <c r="BZ573" s="1045"/>
      <c r="CA573" s="1045"/>
      <c r="CB573" s="1085"/>
      <c r="CC573" s="1086"/>
      <c r="CD573" s="1327"/>
      <c r="CE573" s="1328"/>
      <c r="CF573" s="1328"/>
      <c r="CG573" s="1328"/>
      <c r="CH573" s="1389"/>
      <c r="CI573" s="1369"/>
      <c r="CJ573" s="1319"/>
      <c r="CK573" s="1319"/>
      <c r="CL573" s="1319"/>
      <c r="CM573" s="1320"/>
      <c r="CN573" s="1369"/>
      <c r="CO573" s="1319"/>
      <c r="CP573" s="1319"/>
      <c r="CQ573" s="1319"/>
      <c r="CR573" s="1320"/>
      <c r="CS573" s="1369"/>
      <c r="CT573" s="1319"/>
      <c r="CU573" s="1319"/>
      <c r="CV573" s="1319"/>
      <c r="CW573" s="1320"/>
      <c r="CX573" s="1369"/>
      <c r="CY573" s="1319"/>
      <c r="CZ573" s="1319"/>
      <c r="DA573" s="1319"/>
      <c r="DB573" s="1320"/>
      <c r="DC573" s="1319"/>
      <c r="DD573" s="1319"/>
      <c r="DE573" s="1319"/>
      <c r="DF573" s="1319"/>
      <c r="DG573" s="1320"/>
      <c r="DH573" s="1369"/>
      <c r="DI573" s="1319"/>
      <c r="DJ573" s="1319"/>
      <c r="DK573" s="1319"/>
      <c r="DL573" s="1320"/>
      <c r="DM573" s="1743"/>
      <c r="DN573" s="1744"/>
      <c r="DO573" s="1744"/>
      <c r="DP573" s="1745"/>
      <c r="DQ573" s="1744"/>
      <c r="DR573" s="1744"/>
      <c r="DS573" s="1744"/>
      <c r="DT573" s="1745"/>
      <c r="DU573" s="1328"/>
      <c r="DV573" s="1664"/>
      <c r="DW573" s="1746"/>
    </row>
    <row r="574" spans="1:127" s="382" customFormat="1" ht="15.75" customHeight="1">
      <c r="A574" s="1066" t="s">
        <v>1116</v>
      </c>
      <c r="B574" s="1026">
        <v>565</v>
      </c>
      <c r="C574" s="987"/>
      <c r="D574" s="987"/>
      <c r="E574" s="987"/>
      <c r="F574" s="987"/>
      <c r="G574" s="987"/>
      <c r="H574" s="987"/>
      <c r="I574" s="987"/>
      <c r="J574" s="987"/>
      <c r="K574" s="987"/>
      <c r="L574" s="987"/>
      <c r="M574" s="1026"/>
      <c r="N574" s="987"/>
      <c r="O574" s="987"/>
      <c r="P574" s="987"/>
      <c r="Q574" s="987"/>
      <c r="R574" s="987"/>
      <c r="S574" s="987"/>
      <c r="T574" s="988"/>
      <c r="U574" s="1067" t="s">
        <v>1742</v>
      </c>
      <c r="V574" s="1068" t="s">
        <v>4068</v>
      </c>
      <c r="W574" s="1068" t="s">
        <v>2217</v>
      </c>
      <c r="X574" s="1069" t="s">
        <v>4081</v>
      </c>
      <c r="Y574" s="1070" t="s">
        <v>4082</v>
      </c>
      <c r="Z574" s="1071" t="s">
        <v>4083</v>
      </c>
      <c r="AA574" s="1072">
        <v>1</v>
      </c>
      <c r="AB574" s="1073" t="s">
        <v>2260</v>
      </c>
      <c r="AC574" s="1073" t="s">
        <v>2260</v>
      </c>
      <c r="AD574" s="1073" t="s">
        <v>2260</v>
      </c>
      <c r="AE574" s="1073" t="s">
        <v>2260</v>
      </c>
      <c r="AF574" s="1073" t="s">
        <v>2260</v>
      </c>
      <c r="AG574" s="1073" t="s">
        <v>2260</v>
      </c>
      <c r="AH574" s="1073" t="s">
        <v>2260</v>
      </c>
      <c r="AI574" s="1074">
        <f t="shared" si="8"/>
        <v>1</v>
      </c>
      <c r="AJ574" s="1075" t="s">
        <v>1825</v>
      </c>
      <c r="AK574" s="1075" t="s">
        <v>2260</v>
      </c>
      <c r="AL574" s="1075" t="s">
        <v>2260</v>
      </c>
      <c r="AM574" s="1076" t="s">
        <v>2234</v>
      </c>
      <c r="AN574" s="987" t="s">
        <v>321</v>
      </c>
      <c r="AO574" s="987" t="s">
        <v>2260</v>
      </c>
      <c r="AP574" s="1243">
        <v>1</v>
      </c>
      <c r="AQ574" s="1045" t="s">
        <v>1828</v>
      </c>
      <c r="AR574" s="1078" t="s">
        <v>2260</v>
      </c>
      <c r="AS574" s="1079"/>
      <c r="AT574" s="1069"/>
      <c r="AU574" s="1069"/>
      <c r="AV574" s="1069"/>
      <c r="AW574" s="1080"/>
      <c r="AX574" s="1081"/>
      <c r="AY574" s="1044"/>
      <c r="AZ574" s="1045"/>
      <c r="BA574" s="1045"/>
      <c r="BB574" s="1045"/>
      <c r="BC574" s="1045"/>
      <c r="BD574" s="1045"/>
      <c r="BE574" s="1045"/>
      <c r="BF574" s="1045"/>
      <c r="BG574" s="1045"/>
      <c r="BH574" s="1045"/>
      <c r="BI574" s="1369"/>
      <c r="BJ574" s="1319"/>
      <c r="BK574" s="1319"/>
      <c r="BL574" s="1319"/>
      <c r="BM574" s="1319"/>
      <c r="BN574" s="1044"/>
      <c r="BO574" s="1045"/>
      <c r="BP574" s="1045"/>
      <c r="BQ574" s="1045"/>
      <c r="BR574" s="1045"/>
      <c r="BS574" s="1084"/>
      <c r="BT574" s="1045"/>
      <c r="BU574" s="1045"/>
      <c r="BV574" s="1045"/>
      <c r="BW574" s="1085"/>
      <c r="BX574" s="1084"/>
      <c r="BY574" s="1045"/>
      <c r="BZ574" s="1045"/>
      <c r="CA574" s="1045"/>
      <c r="CB574" s="1085"/>
      <c r="CC574" s="1086"/>
      <c r="CD574" s="1327"/>
      <c r="CE574" s="1328"/>
      <c r="CF574" s="1328"/>
      <c r="CG574" s="1328"/>
      <c r="CH574" s="1389"/>
      <c r="CI574" s="1369"/>
      <c r="CJ574" s="1319"/>
      <c r="CK574" s="1319"/>
      <c r="CL574" s="1319"/>
      <c r="CM574" s="1320"/>
      <c r="CN574" s="1369"/>
      <c r="CO574" s="1319"/>
      <c r="CP574" s="1319"/>
      <c r="CQ574" s="1319"/>
      <c r="CR574" s="1320"/>
      <c r="CS574" s="1369"/>
      <c r="CT574" s="1319"/>
      <c r="CU574" s="1319"/>
      <c r="CV574" s="1319"/>
      <c r="CW574" s="1320"/>
      <c r="CX574" s="1369"/>
      <c r="CY574" s="1319"/>
      <c r="CZ574" s="1319"/>
      <c r="DA574" s="1319"/>
      <c r="DB574" s="1320"/>
      <c r="DC574" s="1319"/>
      <c r="DD574" s="1319"/>
      <c r="DE574" s="1319"/>
      <c r="DF574" s="1319"/>
      <c r="DG574" s="1320"/>
      <c r="DH574" s="1369"/>
      <c r="DI574" s="1319"/>
      <c r="DJ574" s="1319"/>
      <c r="DK574" s="1319"/>
      <c r="DL574" s="1320"/>
      <c r="DM574" s="1743"/>
      <c r="DN574" s="1744"/>
      <c r="DO574" s="1744"/>
      <c r="DP574" s="1745"/>
      <c r="DQ574" s="1744"/>
      <c r="DR574" s="1744"/>
      <c r="DS574" s="1744"/>
      <c r="DT574" s="1745"/>
      <c r="DU574" s="1328"/>
      <c r="DV574" s="1664"/>
      <c r="DW574" s="1746"/>
    </row>
    <row r="575" spans="1:127" s="382" customFormat="1" ht="15.75" customHeight="1">
      <c r="A575" s="1066" t="s">
        <v>1116</v>
      </c>
      <c r="B575" s="1026">
        <v>566</v>
      </c>
      <c r="C575" s="987"/>
      <c r="D575" s="987"/>
      <c r="E575" s="987"/>
      <c r="F575" s="987"/>
      <c r="G575" s="987"/>
      <c r="H575" s="987"/>
      <c r="I575" s="987"/>
      <c r="J575" s="987"/>
      <c r="K575" s="987"/>
      <c r="L575" s="987"/>
      <c r="M575" s="1026"/>
      <c r="N575" s="987"/>
      <c r="O575" s="987"/>
      <c r="P575" s="987"/>
      <c r="Q575" s="987"/>
      <c r="R575" s="987"/>
      <c r="S575" s="987"/>
      <c r="T575" s="988"/>
      <c r="U575" s="1067" t="s">
        <v>1746</v>
      </c>
      <c r="V575" s="1068" t="s">
        <v>4068</v>
      </c>
      <c r="W575" s="1068" t="s">
        <v>2217</v>
      </c>
      <c r="X575" s="1069" t="s">
        <v>4084</v>
      </c>
      <c r="Y575" s="1070" t="s">
        <v>4085</v>
      </c>
      <c r="Z575" s="1071" t="s">
        <v>4086</v>
      </c>
      <c r="AA575" s="1072" t="s">
        <v>2260</v>
      </c>
      <c r="AB575" s="1073">
        <v>1</v>
      </c>
      <c r="AC575" s="1073" t="s">
        <v>2260</v>
      </c>
      <c r="AD575" s="1073" t="s">
        <v>2260</v>
      </c>
      <c r="AE575" s="1073" t="s">
        <v>2260</v>
      </c>
      <c r="AF575" s="1073" t="s">
        <v>2260</v>
      </c>
      <c r="AG575" s="1073" t="s">
        <v>2260</v>
      </c>
      <c r="AH575" s="1073" t="s">
        <v>2260</v>
      </c>
      <c r="AI575" s="1074">
        <f t="shared" si="8"/>
        <v>1</v>
      </c>
      <c r="AJ575" s="1075" t="s">
        <v>1825</v>
      </c>
      <c r="AK575" s="1075" t="s">
        <v>2260</v>
      </c>
      <c r="AL575" s="1075" t="s">
        <v>2260</v>
      </c>
      <c r="AM575" s="1076" t="s">
        <v>2234</v>
      </c>
      <c r="AN575" s="987" t="s">
        <v>321</v>
      </c>
      <c r="AO575" s="987" t="s">
        <v>2260</v>
      </c>
      <c r="AP575" s="1243">
        <v>1</v>
      </c>
      <c r="AQ575" s="1045" t="s">
        <v>1828</v>
      </c>
      <c r="AR575" s="1078" t="s">
        <v>2260</v>
      </c>
      <c r="AS575" s="1079"/>
      <c r="AT575" s="1069"/>
      <c r="AU575" s="1069"/>
      <c r="AV575" s="1069"/>
      <c r="AW575" s="1080"/>
      <c r="AX575" s="1081"/>
      <c r="AY575" s="1044"/>
      <c r="AZ575" s="1045"/>
      <c r="BA575" s="1045"/>
      <c r="BB575" s="1045"/>
      <c r="BC575" s="1045"/>
      <c r="BD575" s="1045"/>
      <c r="BE575" s="1045"/>
      <c r="BF575" s="1045"/>
      <c r="BG575" s="1045"/>
      <c r="BH575" s="1045"/>
      <c r="BI575" s="1369"/>
      <c r="BJ575" s="1319"/>
      <c r="BK575" s="1319"/>
      <c r="BL575" s="1319"/>
      <c r="BM575" s="1319"/>
      <c r="BN575" s="1044"/>
      <c r="BO575" s="1045"/>
      <c r="BP575" s="1045"/>
      <c r="BQ575" s="1045"/>
      <c r="BR575" s="1045"/>
      <c r="BS575" s="1084"/>
      <c r="BT575" s="1045"/>
      <c r="BU575" s="1045"/>
      <c r="BV575" s="1045"/>
      <c r="BW575" s="1085"/>
      <c r="BX575" s="1084"/>
      <c r="BY575" s="1045"/>
      <c r="BZ575" s="1045"/>
      <c r="CA575" s="1045"/>
      <c r="CB575" s="1085"/>
      <c r="CC575" s="1086"/>
      <c r="CD575" s="1327"/>
      <c r="CE575" s="1328"/>
      <c r="CF575" s="1328"/>
      <c r="CG575" s="1328"/>
      <c r="CH575" s="1389"/>
      <c r="CI575" s="1369"/>
      <c r="CJ575" s="1319"/>
      <c r="CK575" s="1319"/>
      <c r="CL575" s="1319"/>
      <c r="CM575" s="1320"/>
      <c r="CN575" s="1369"/>
      <c r="CO575" s="1319"/>
      <c r="CP575" s="1319"/>
      <c r="CQ575" s="1319"/>
      <c r="CR575" s="1320"/>
      <c r="CS575" s="1369"/>
      <c r="CT575" s="1319"/>
      <c r="CU575" s="1319"/>
      <c r="CV575" s="1319"/>
      <c r="CW575" s="1320"/>
      <c r="CX575" s="1369"/>
      <c r="CY575" s="1319"/>
      <c r="CZ575" s="1319"/>
      <c r="DA575" s="1319"/>
      <c r="DB575" s="1320"/>
      <c r="DC575" s="1319"/>
      <c r="DD575" s="1319"/>
      <c r="DE575" s="1319"/>
      <c r="DF575" s="1319"/>
      <c r="DG575" s="1320"/>
      <c r="DH575" s="1369"/>
      <c r="DI575" s="1319"/>
      <c r="DJ575" s="1319"/>
      <c r="DK575" s="1319"/>
      <c r="DL575" s="1320"/>
      <c r="DM575" s="1743"/>
      <c r="DN575" s="1744"/>
      <c r="DO575" s="1744"/>
      <c r="DP575" s="1745"/>
      <c r="DQ575" s="1744"/>
      <c r="DR575" s="1744"/>
      <c r="DS575" s="1744"/>
      <c r="DT575" s="1745"/>
      <c r="DU575" s="1328"/>
      <c r="DV575" s="1664"/>
      <c r="DW575" s="1746"/>
    </row>
    <row r="576" spans="1:127" s="382" customFormat="1" ht="15.75" customHeight="1">
      <c r="A576" s="1066" t="s">
        <v>1116</v>
      </c>
      <c r="B576" s="1026">
        <v>567</v>
      </c>
      <c r="C576" s="987"/>
      <c r="D576" s="987"/>
      <c r="E576" s="987"/>
      <c r="F576" s="987"/>
      <c r="G576" s="987"/>
      <c r="H576" s="987"/>
      <c r="I576" s="987"/>
      <c r="J576" s="987"/>
      <c r="K576" s="987"/>
      <c r="L576" s="987"/>
      <c r="M576" s="1026"/>
      <c r="N576" s="987"/>
      <c r="O576" s="987"/>
      <c r="P576" s="987"/>
      <c r="Q576" s="987"/>
      <c r="R576" s="987"/>
      <c r="S576" s="987"/>
      <c r="T576" s="988"/>
      <c r="U576" s="1067" t="s">
        <v>1748</v>
      </c>
      <c r="V576" s="1068" t="s">
        <v>4068</v>
      </c>
      <c r="W576" s="1068" t="s">
        <v>2217</v>
      </c>
      <c r="X576" s="1069" t="s">
        <v>4087</v>
      </c>
      <c r="Y576" s="1070" t="s">
        <v>4088</v>
      </c>
      <c r="Z576" s="1071" t="s">
        <v>4089</v>
      </c>
      <c r="AA576" s="1072" t="s">
        <v>2260</v>
      </c>
      <c r="AB576" s="1073">
        <v>1</v>
      </c>
      <c r="AC576" s="1073" t="s">
        <v>2260</v>
      </c>
      <c r="AD576" s="1073" t="s">
        <v>2260</v>
      </c>
      <c r="AE576" s="1073" t="s">
        <v>2260</v>
      </c>
      <c r="AF576" s="1073" t="s">
        <v>2260</v>
      </c>
      <c r="AG576" s="1073" t="s">
        <v>2260</v>
      </c>
      <c r="AH576" s="1073" t="s">
        <v>2260</v>
      </c>
      <c r="AI576" s="1074">
        <f t="shared" si="8"/>
        <v>1</v>
      </c>
      <c r="AJ576" s="1075" t="s">
        <v>1825</v>
      </c>
      <c r="AK576" s="1075" t="s">
        <v>2260</v>
      </c>
      <c r="AL576" s="1075" t="s">
        <v>2260</v>
      </c>
      <c r="AM576" s="1076" t="s">
        <v>2234</v>
      </c>
      <c r="AN576" s="987" t="s">
        <v>321</v>
      </c>
      <c r="AO576" s="987" t="s">
        <v>2260</v>
      </c>
      <c r="AP576" s="1243">
        <v>1</v>
      </c>
      <c r="AQ576" s="1045" t="s">
        <v>1828</v>
      </c>
      <c r="AR576" s="1078" t="s">
        <v>2260</v>
      </c>
      <c r="AS576" s="1079"/>
      <c r="AT576" s="1069"/>
      <c r="AU576" s="1069"/>
      <c r="AV576" s="1069"/>
      <c r="AW576" s="1080"/>
      <c r="AX576" s="1081"/>
      <c r="AY576" s="1044"/>
      <c r="AZ576" s="1045"/>
      <c r="BA576" s="1045"/>
      <c r="BB576" s="1045"/>
      <c r="BC576" s="1045"/>
      <c r="BD576" s="1045"/>
      <c r="BE576" s="1045"/>
      <c r="BF576" s="1045"/>
      <c r="BG576" s="1045"/>
      <c r="BH576" s="1045"/>
      <c r="BI576" s="1369"/>
      <c r="BJ576" s="1319"/>
      <c r="BK576" s="1319"/>
      <c r="BL576" s="1319"/>
      <c r="BM576" s="1319"/>
      <c r="BN576" s="1044"/>
      <c r="BO576" s="1045"/>
      <c r="BP576" s="1045"/>
      <c r="BQ576" s="1045"/>
      <c r="BR576" s="1045"/>
      <c r="BS576" s="1084"/>
      <c r="BT576" s="1045"/>
      <c r="BU576" s="1045"/>
      <c r="BV576" s="1045"/>
      <c r="BW576" s="1085"/>
      <c r="BX576" s="1084"/>
      <c r="BY576" s="1045"/>
      <c r="BZ576" s="1045"/>
      <c r="CA576" s="1045"/>
      <c r="CB576" s="1085"/>
      <c r="CC576" s="1086"/>
      <c r="CD576" s="1327"/>
      <c r="CE576" s="1328"/>
      <c r="CF576" s="1328"/>
      <c r="CG576" s="1328"/>
      <c r="CH576" s="1389"/>
      <c r="CI576" s="1369"/>
      <c r="CJ576" s="1319"/>
      <c r="CK576" s="1319"/>
      <c r="CL576" s="1319"/>
      <c r="CM576" s="1320"/>
      <c r="CN576" s="1369"/>
      <c r="CO576" s="1319"/>
      <c r="CP576" s="1319"/>
      <c r="CQ576" s="1319"/>
      <c r="CR576" s="1320"/>
      <c r="CS576" s="1369"/>
      <c r="CT576" s="1319"/>
      <c r="CU576" s="1319"/>
      <c r="CV576" s="1319"/>
      <c r="CW576" s="1320"/>
      <c r="CX576" s="1369"/>
      <c r="CY576" s="1319"/>
      <c r="CZ576" s="1319"/>
      <c r="DA576" s="1319"/>
      <c r="DB576" s="1320"/>
      <c r="DC576" s="1319"/>
      <c r="DD576" s="1319"/>
      <c r="DE576" s="1319"/>
      <c r="DF576" s="1319"/>
      <c r="DG576" s="1320"/>
      <c r="DH576" s="1369"/>
      <c r="DI576" s="1319"/>
      <c r="DJ576" s="1319"/>
      <c r="DK576" s="1319"/>
      <c r="DL576" s="1320"/>
      <c r="DM576" s="1743"/>
      <c r="DN576" s="1744"/>
      <c r="DO576" s="1744"/>
      <c r="DP576" s="1745"/>
      <c r="DQ576" s="1744"/>
      <c r="DR576" s="1744"/>
      <c r="DS576" s="1744"/>
      <c r="DT576" s="1745"/>
      <c r="DU576" s="1328"/>
      <c r="DV576" s="1664"/>
      <c r="DW576" s="1746"/>
    </row>
    <row r="577" spans="1:127" s="382" customFormat="1" ht="15.75" customHeight="1">
      <c r="A577" s="1066" t="s">
        <v>1116</v>
      </c>
      <c r="B577" s="1026">
        <v>568</v>
      </c>
      <c r="C577" s="987"/>
      <c r="D577" s="987"/>
      <c r="E577" s="987"/>
      <c r="F577" s="987"/>
      <c r="G577" s="987"/>
      <c r="H577" s="987"/>
      <c r="I577" s="987"/>
      <c r="J577" s="987"/>
      <c r="K577" s="987"/>
      <c r="L577" s="987"/>
      <c r="M577" s="1026"/>
      <c r="N577" s="987"/>
      <c r="O577" s="987"/>
      <c r="P577" s="987"/>
      <c r="Q577" s="987"/>
      <c r="R577" s="987"/>
      <c r="S577" s="987"/>
      <c r="T577" s="988"/>
      <c r="U577" s="1067" t="s">
        <v>1750</v>
      </c>
      <c r="V577" s="1068" t="s">
        <v>4068</v>
      </c>
      <c r="W577" s="1068" t="s">
        <v>2217</v>
      </c>
      <c r="X577" s="1069" t="s">
        <v>4090</v>
      </c>
      <c r="Y577" s="1070" t="s">
        <v>4091</v>
      </c>
      <c r="Z577" s="1071" t="s">
        <v>4092</v>
      </c>
      <c r="AA577" s="1072" t="s">
        <v>2260</v>
      </c>
      <c r="AB577" s="1073" t="s">
        <v>2260</v>
      </c>
      <c r="AC577" s="1073">
        <v>1</v>
      </c>
      <c r="AD577" s="1073" t="s">
        <v>2260</v>
      </c>
      <c r="AE577" s="1073" t="s">
        <v>2260</v>
      </c>
      <c r="AF577" s="1073" t="s">
        <v>2260</v>
      </c>
      <c r="AG577" s="1073" t="s">
        <v>2260</v>
      </c>
      <c r="AH577" s="1073" t="s">
        <v>2260</v>
      </c>
      <c r="AI577" s="1074">
        <f t="shared" si="8"/>
        <v>1</v>
      </c>
      <c r="AJ577" s="1075" t="s">
        <v>1825</v>
      </c>
      <c r="AK577" s="1075" t="s">
        <v>2260</v>
      </c>
      <c r="AL577" s="1075" t="s">
        <v>2260</v>
      </c>
      <c r="AM577" s="1076" t="s">
        <v>2234</v>
      </c>
      <c r="AN577" s="987" t="s">
        <v>321</v>
      </c>
      <c r="AO577" s="987" t="s">
        <v>2260</v>
      </c>
      <c r="AP577" s="1243">
        <v>1</v>
      </c>
      <c r="AQ577" s="1045" t="s">
        <v>1828</v>
      </c>
      <c r="AR577" s="1078" t="s">
        <v>2260</v>
      </c>
      <c r="AS577" s="1079"/>
      <c r="AT577" s="1069"/>
      <c r="AU577" s="1069"/>
      <c r="AV577" s="1069"/>
      <c r="AW577" s="1080"/>
      <c r="AX577" s="1081"/>
      <c r="AY577" s="1044"/>
      <c r="AZ577" s="1045"/>
      <c r="BA577" s="1045"/>
      <c r="BB577" s="1045"/>
      <c r="BC577" s="1045"/>
      <c r="BD577" s="1045"/>
      <c r="BE577" s="1045"/>
      <c r="BF577" s="1045"/>
      <c r="BG577" s="1045"/>
      <c r="BH577" s="1045"/>
      <c r="BI577" s="1369"/>
      <c r="BJ577" s="1319"/>
      <c r="BK577" s="1319"/>
      <c r="BL577" s="1319"/>
      <c r="BM577" s="1319"/>
      <c r="BN577" s="1044"/>
      <c r="BO577" s="1045"/>
      <c r="BP577" s="1045"/>
      <c r="BQ577" s="1045"/>
      <c r="BR577" s="1045"/>
      <c r="BS577" s="1084"/>
      <c r="BT577" s="1045"/>
      <c r="BU577" s="1045"/>
      <c r="BV577" s="1045"/>
      <c r="BW577" s="1085"/>
      <c r="BX577" s="1084"/>
      <c r="BY577" s="1045"/>
      <c r="BZ577" s="1045"/>
      <c r="CA577" s="1045"/>
      <c r="CB577" s="1085"/>
      <c r="CC577" s="1086"/>
      <c r="CD577" s="1327"/>
      <c r="CE577" s="1328"/>
      <c r="CF577" s="1328"/>
      <c r="CG577" s="1328"/>
      <c r="CH577" s="1389"/>
      <c r="CI577" s="1369"/>
      <c r="CJ577" s="1319"/>
      <c r="CK577" s="1319"/>
      <c r="CL577" s="1319"/>
      <c r="CM577" s="1320"/>
      <c r="CN577" s="1369"/>
      <c r="CO577" s="1319"/>
      <c r="CP577" s="1319"/>
      <c r="CQ577" s="1319"/>
      <c r="CR577" s="1320"/>
      <c r="CS577" s="1369"/>
      <c r="CT577" s="1319"/>
      <c r="CU577" s="1319"/>
      <c r="CV577" s="1319"/>
      <c r="CW577" s="1320"/>
      <c r="CX577" s="1369"/>
      <c r="CY577" s="1319"/>
      <c r="CZ577" s="1319"/>
      <c r="DA577" s="1319"/>
      <c r="DB577" s="1320"/>
      <c r="DC577" s="1319"/>
      <c r="DD577" s="1319"/>
      <c r="DE577" s="1319"/>
      <c r="DF577" s="1319"/>
      <c r="DG577" s="1320"/>
      <c r="DH577" s="1369"/>
      <c r="DI577" s="1319"/>
      <c r="DJ577" s="1319"/>
      <c r="DK577" s="1319"/>
      <c r="DL577" s="1320"/>
      <c r="DM577" s="1743"/>
      <c r="DN577" s="1744"/>
      <c r="DO577" s="1744"/>
      <c r="DP577" s="1745"/>
      <c r="DQ577" s="1744"/>
      <c r="DR577" s="1744"/>
      <c r="DS577" s="1744"/>
      <c r="DT577" s="1745"/>
      <c r="DU577" s="1328"/>
      <c r="DV577" s="1664"/>
      <c r="DW577" s="1746"/>
    </row>
    <row r="578" spans="1:127" s="382" customFormat="1" ht="15.75" customHeight="1">
      <c r="A578" s="1066" t="s">
        <v>1116</v>
      </c>
      <c r="B578" s="1026">
        <v>569</v>
      </c>
      <c r="C578" s="987"/>
      <c r="D578" s="987"/>
      <c r="E578" s="987"/>
      <c r="F578" s="987"/>
      <c r="G578" s="987"/>
      <c r="H578" s="987"/>
      <c r="I578" s="987"/>
      <c r="J578" s="987"/>
      <c r="K578" s="987"/>
      <c r="L578" s="987"/>
      <c r="M578" s="1026"/>
      <c r="N578" s="987"/>
      <c r="O578" s="987"/>
      <c r="P578" s="987"/>
      <c r="Q578" s="987"/>
      <c r="R578" s="987"/>
      <c r="S578" s="987"/>
      <c r="T578" s="988"/>
      <c r="U578" s="1067" t="s">
        <v>1752</v>
      </c>
      <c r="V578" s="1068" t="s">
        <v>4068</v>
      </c>
      <c r="W578" s="1068" t="s">
        <v>2217</v>
      </c>
      <c r="X578" s="1069" t="s">
        <v>4093</v>
      </c>
      <c r="Y578" s="1070" t="s">
        <v>4094</v>
      </c>
      <c r="Z578" s="1071" t="s">
        <v>4095</v>
      </c>
      <c r="AA578" s="1072" t="s">
        <v>2260</v>
      </c>
      <c r="AB578" s="1073" t="s">
        <v>2260</v>
      </c>
      <c r="AC578" s="1073">
        <v>1</v>
      </c>
      <c r="AD578" s="1073" t="s">
        <v>2260</v>
      </c>
      <c r="AE578" s="1073" t="s">
        <v>2260</v>
      </c>
      <c r="AF578" s="1073" t="s">
        <v>2260</v>
      </c>
      <c r="AG578" s="1073" t="s">
        <v>2260</v>
      </c>
      <c r="AH578" s="1073" t="s">
        <v>2260</v>
      </c>
      <c r="AI578" s="1074">
        <f t="shared" si="8"/>
        <v>1</v>
      </c>
      <c r="AJ578" s="1075" t="s">
        <v>1825</v>
      </c>
      <c r="AK578" s="1075" t="s">
        <v>2260</v>
      </c>
      <c r="AL578" s="1075" t="s">
        <v>2260</v>
      </c>
      <c r="AM578" s="1076" t="s">
        <v>2234</v>
      </c>
      <c r="AN578" s="987" t="s">
        <v>321</v>
      </c>
      <c r="AO578" s="987" t="s">
        <v>2260</v>
      </c>
      <c r="AP578" s="1243">
        <v>1</v>
      </c>
      <c r="AQ578" s="1045" t="s">
        <v>1828</v>
      </c>
      <c r="AR578" s="1078" t="s">
        <v>2260</v>
      </c>
      <c r="AS578" s="1079"/>
      <c r="AT578" s="1069"/>
      <c r="AU578" s="1069"/>
      <c r="AV578" s="1069"/>
      <c r="AW578" s="1080"/>
      <c r="AX578" s="1081"/>
      <c r="AY578" s="1044"/>
      <c r="AZ578" s="1045"/>
      <c r="BA578" s="1045"/>
      <c r="BB578" s="1045"/>
      <c r="BC578" s="1045"/>
      <c r="BD578" s="1045"/>
      <c r="BE578" s="1045"/>
      <c r="BF578" s="1045"/>
      <c r="BG578" s="1045"/>
      <c r="BH578" s="1045"/>
      <c r="BI578" s="1369"/>
      <c r="BJ578" s="1319"/>
      <c r="BK578" s="1319"/>
      <c r="BL578" s="1319"/>
      <c r="BM578" s="1319"/>
      <c r="BN578" s="1044"/>
      <c r="BO578" s="1045"/>
      <c r="BP578" s="1045"/>
      <c r="BQ578" s="1045"/>
      <c r="BR578" s="1045"/>
      <c r="BS578" s="1084"/>
      <c r="BT578" s="1045"/>
      <c r="BU578" s="1045"/>
      <c r="BV578" s="1045"/>
      <c r="BW578" s="1085"/>
      <c r="BX578" s="1084"/>
      <c r="BY578" s="1045"/>
      <c r="BZ578" s="1045"/>
      <c r="CA578" s="1045"/>
      <c r="CB578" s="1085"/>
      <c r="CC578" s="1086"/>
      <c r="CD578" s="1327"/>
      <c r="CE578" s="1328"/>
      <c r="CF578" s="1328"/>
      <c r="CG578" s="1328"/>
      <c r="CH578" s="1389"/>
      <c r="CI578" s="1369"/>
      <c r="CJ578" s="1319"/>
      <c r="CK578" s="1319"/>
      <c r="CL578" s="1319"/>
      <c r="CM578" s="1320"/>
      <c r="CN578" s="1369"/>
      <c r="CO578" s="1319"/>
      <c r="CP578" s="1319"/>
      <c r="CQ578" s="1319"/>
      <c r="CR578" s="1320"/>
      <c r="CS578" s="1369"/>
      <c r="CT578" s="1319"/>
      <c r="CU578" s="1319"/>
      <c r="CV578" s="1319"/>
      <c r="CW578" s="1320"/>
      <c r="CX578" s="1369"/>
      <c r="CY578" s="1319"/>
      <c r="CZ578" s="1319"/>
      <c r="DA578" s="1319"/>
      <c r="DB578" s="1320"/>
      <c r="DC578" s="1319"/>
      <c r="DD578" s="1319"/>
      <c r="DE578" s="1319"/>
      <c r="DF578" s="1319"/>
      <c r="DG578" s="1320"/>
      <c r="DH578" s="1369"/>
      <c r="DI578" s="1319"/>
      <c r="DJ578" s="1319"/>
      <c r="DK578" s="1319"/>
      <c r="DL578" s="1320"/>
      <c r="DM578" s="1743"/>
      <c r="DN578" s="1744"/>
      <c r="DO578" s="1744"/>
      <c r="DP578" s="1745"/>
      <c r="DQ578" s="1744"/>
      <c r="DR578" s="1744"/>
      <c r="DS578" s="1744"/>
      <c r="DT578" s="1745"/>
      <c r="DU578" s="1328"/>
      <c r="DV578" s="1664"/>
      <c r="DW578" s="1746"/>
    </row>
    <row r="579" spans="1:127" s="382" customFormat="1" ht="15.75" customHeight="1">
      <c r="A579" s="1066" t="s">
        <v>1116</v>
      </c>
      <c r="B579" s="1026">
        <v>570</v>
      </c>
      <c r="C579" s="987"/>
      <c r="D579" s="987"/>
      <c r="E579" s="987"/>
      <c r="F579" s="987"/>
      <c r="G579" s="987"/>
      <c r="H579" s="987"/>
      <c r="I579" s="987"/>
      <c r="J579" s="987"/>
      <c r="K579" s="987"/>
      <c r="L579" s="987"/>
      <c r="M579" s="1026"/>
      <c r="N579" s="987"/>
      <c r="O579" s="987"/>
      <c r="P579" s="987"/>
      <c r="Q579" s="987"/>
      <c r="R579" s="987"/>
      <c r="S579" s="987"/>
      <c r="T579" s="988"/>
      <c r="U579" s="1067" t="s">
        <v>1563</v>
      </c>
      <c r="V579" s="1068" t="s">
        <v>4068</v>
      </c>
      <c r="W579" s="1068" t="s">
        <v>2231</v>
      </c>
      <c r="X579" s="1069" t="s">
        <v>4096</v>
      </c>
      <c r="Y579" s="1070" t="s">
        <v>4097</v>
      </c>
      <c r="Z579" s="1071" t="s">
        <v>4098</v>
      </c>
      <c r="AA579" s="1072" t="s">
        <v>2260</v>
      </c>
      <c r="AB579" s="1073">
        <v>0.41399999999999998</v>
      </c>
      <c r="AC579" s="1073">
        <v>0.58599999999999997</v>
      </c>
      <c r="AD579" s="1073" t="s">
        <v>2260</v>
      </c>
      <c r="AE579" s="1073" t="s">
        <v>2260</v>
      </c>
      <c r="AF579" s="1073" t="s">
        <v>2260</v>
      </c>
      <c r="AG579" s="1073" t="s">
        <v>2260</v>
      </c>
      <c r="AH579" s="1073" t="s">
        <v>2260</v>
      </c>
      <c r="AI579" s="1074">
        <f t="shared" si="8"/>
        <v>1</v>
      </c>
      <c r="AJ579" s="1075" t="s">
        <v>1846</v>
      </c>
      <c r="AK579" s="1075" t="s">
        <v>2260</v>
      </c>
      <c r="AL579" s="1075" t="s">
        <v>2260</v>
      </c>
      <c r="AM579" s="1076" t="s">
        <v>2610</v>
      </c>
      <c r="AN579" s="987" t="s">
        <v>1857</v>
      </c>
      <c r="AO579" s="987" t="s">
        <v>2260</v>
      </c>
      <c r="AP579" s="1243">
        <v>0</v>
      </c>
      <c r="AQ579" s="1045" t="s">
        <v>1828</v>
      </c>
      <c r="AR579" s="1078" t="s">
        <v>2260</v>
      </c>
      <c r="AS579" s="1079"/>
      <c r="AT579" s="1069"/>
      <c r="AU579" s="1069"/>
      <c r="AV579" s="1069"/>
      <c r="AW579" s="1080"/>
      <c r="AX579" s="1081"/>
      <c r="AY579" s="1044"/>
      <c r="AZ579" s="1045"/>
      <c r="BA579" s="1045"/>
      <c r="BB579" s="1045"/>
      <c r="BC579" s="1045"/>
      <c r="BD579" s="1045"/>
      <c r="BE579" s="1045"/>
      <c r="BF579" s="1045"/>
      <c r="BG579" s="1045"/>
      <c r="BH579" s="1045"/>
      <c r="BI579" s="1369"/>
      <c r="BJ579" s="1319"/>
      <c r="BK579" s="1319"/>
      <c r="BL579" s="1319"/>
      <c r="BM579" s="1319"/>
      <c r="BN579" s="1044"/>
      <c r="BO579" s="1045"/>
      <c r="BP579" s="1045"/>
      <c r="BQ579" s="1045"/>
      <c r="BR579" s="1045"/>
      <c r="BS579" s="1084"/>
      <c r="BT579" s="1045"/>
      <c r="BU579" s="1045"/>
      <c r="BV579" s="1045"/>
      <c r="BW579" s="1085"/>
      <c r="BX579" s="1084"/>
      <c r="BY579" s="1045"/>
      <c r="BZ579" s="1045"/>
      <c r="CA579" s="1045"/>
      <c r="CB579" s="1085"/>
      <c r="CC579" s="1086"/>
      <c r="CD579" s="1327"/>
      <c r="CE579" s="1328"/>
      <c r="CF579" s="1328"/>
      <c r="CG579" s="1328"/>
      <c r="CH579" s="1389"/>
      <c r="CI579" s="1369"/>
      <c r="CJ579" s="1319"/>
      <c r="CK579" s="1319"/>
      <c r="CL579" s="1319"/>
      <c r="CM579" s="1320"/>
      <c r="CN579" s="1369"/>
      <c r="CO579" s="1319"/>
      <c r="CP579" s="1319"/>
      <c r="CQ579" s="1319"/>
      <c r="CR579" s="1320"/>
      <c r="CS579" s="1369"/>
      <c r="CT579" s="1319"/>
      <c r="CU579" s="1319"/>
      <c r="CV579" s="1319"/>
      <c r="CW579" s="1320"/>
      <c r="CX579" s="1369"/>
      <c r="CY579" s="1319"/>
      <c r="CZ579" s="1319"/>
      <c r="DA579" s="1319"/>
      <c r="DB579" s="1320"/>
      <c r="DC579" s="1319"/>
      <c r="DD579" s="1319"/>
      <c r="DE579" s="1319"/>
      <c r="DF579" s="1319"/>
      <c r="DG579" s="1320"/>
      <c r="DH579" s="1369"/>
      <c r="DI579" s="1319"/>
      <c r="DJ579" s="1319"/>
      <c r="DK579" s="1319"/>
      <c r="DL579" s="1320"/>
      <c r="DM579" s="1743"/>
      <c r="DN579" s="1744"/>
      <c r="DO579" s="1744"/>
      <c r="DP579" s="1745"/>
      <c r="DQ579" s="1744"/>
      <c r="DR579" s="1744"/>
      <c r="DS579" s="1744"/>
      <c r="DT579" s="1745"/>
      <c r="DU579" s="1328"/>
      <c r="DV579" s="1664"/>
      <c r="DW579" s="1746"/>
    </row>
    <row r="580" spans="1:127" s="382" customFormat="1" ht="15.75" customHeight="1">
      <c r="A580" s="1066" t="s">
        <v>1116</v>
      </c>
      <c r="B580" s="1026">
        <v>571</v>
      </c>
      <c r="C580" s="987"/>
      <c r="D580" s="987"/>
      <c r="E580" s="987"/>
      <c r="F580" s="987"/>
      <c r="G580" s="987"/>
      <c r="H580" s="987"/>
      <c r="I580" s="987"/>
      <c r="J580" s="987"/>
      <c r="K580" s="987"/>
      <c r="L580" s="987"/>
      <c r="M580" s="1026"/>
      <c r="N580" s="987"/>
      <c r="O580" s="987"/>
      <c r="P580" s="987"/>
      <c r="Q580" s="987"/>
      <c r="R580" s="987"/>
      <c r="S580" s="987"/>
      <c r="T580" s="988"/>
      <c r="U580" s="1067" t="s">
        <v>1386</v>
      </c>
      <c r="V580" s="1068" t="s">
        <v>4068</v>
      </c>
      <c r="W580" s="1068" t="s">
        <v>2231</v>
      </c>
      <c r="X580" s="1069" t="s">
        <v>4099</v>
      </c>
      <c r="Y580" s="1070" t="s">
        <v>4100</v>
      </c>
      <c r="Z580" s="1071" t="s">
        <v>4101</v>
      </c>
      <c r="AA580" s="1072">
        <v>1</v>
      </c>
      <c r="AB580" s="1073" t="s">
        <v>2260</v>
      </c>
      <c r="AC580" s="1073" t="s">
        <v>2260</v>
      </c>
      <c r="AD580" s="1073" t="s">
        <v>2260</v>
      </c>
      <c r="AE580" s="1073" t="s">
        <v>2260</v>
      </c>
      <c r="AF580" s="1073" t="s">
        <v>2260</v>
      </c>
      <c r="AG580" s="1073" t="s">
        <v>2260</v>
      </c>
      <c r="AH580" s="1073" t="s">
        <v>2260</v>
      </c>
      <c r="AI580" s="1074">
        <f t="shared" si="8"/>
        <v>1</v>
      </c>
      <c r="AJ580" s="1075" t="s">
        <v>1852</v>
      </c>
      <c r="AK580" s="1075" t="s">
        <v>2260</v>
      </c>
      <c r="AL580" s="1075" t="s">
        <v>2260</v>
      </c>
      <c r="AM580" s="1076" t="s">
        <v>2610</v>
      </c>
      <c r="AN580" s="987" t="s">
        <v>1857</v>
      </c>
      <c r="AO580" s="987" t="s">
        <v>2260</v>
      </c>
      <c r="AP580" s="1243">
        <v>0</v>
      </c>
      <c r="AQ580" s="1045" t="s">
        <v>1828</v>
      </c>
      <c r="AR580" s="1078" t="s">
        <v>2260</v>
      </c>
      <c r="AS580" s="1079"/>
      <c r="AT580" s="1069"/>
      <c r="AU580" s="1069"/>
      <c r="AV580" s="1069"/>
      <c r="AW580" s="1080"/>
      <c r="AX580" s="1081"/>
      <c r="AY580" s="1044"/>
      <c r="AZ580" s="1045"/>
      <c r="BA580" s="1045"/>
      <c r="BB580" s="1045"/>
      <c r="BC580" s="1045"/>
      <c r="BD580" s="1045"/>
      <c r="BE580" s="1045"/>
      <c r="BF580" s="1045"/>
      <c r="BG580" s="1045"/>
      <c r="BH580" s="1045"/>
      <c r="BI580" s="1369"/>
      <c r="BJ580" s="1319"/>
      <c r="BK580" s="1319"/>
      <c r="BL580" s="1319"/>
      <c r="BM580" s="1319"/>
      <c r="BN580" s="1044"/>
      <c r="BO580" s="1045"/>
      <c r="BP580" s="1045"/>
      <c r="BQ580" s="1045"/>
      <c r="BR580" s="1045"/>
      <c r="BS580" s="1084"/>
      <c r="BT580" s="1045"/>
      <c r="BU580" s="1045"/>
      <c r="BV580" s="1045"/>
      <c r="BW580" s="1085"/>
      <c r="BX580" s="1084"/>
      <c r="BY580" s="1045"/>
      <c r="BZ580" s="1045"/>
      <c r="CA580" s="1045"/>
      <c r="CB580" s="1085"/>
      <c r="CC580" s="1086"/>
      <c r="CD580" s="1327"/>
      <c r="CE580" s="1328"/>
      <c r="CF580" s="1328"/>
      <c r="CG580" s="1328"/>
      <c r="CH580" s="1389"/>
      <c r="CI580" s="1369"/>
      <c r="CJ580" s="1319"/>
      <c r="CK580" s="1319"/>
      <c r="CL580" s="1319"/>
      <c r="CM580" s="1320"/>
      <c r="CN580" s="1369"/>
      <c r="CO580" s="1319"/>
      <c r="CP580" s="1319"/>
      <c r="CQ580" s="1319"/>
      <c r="CR580" s="1320"/>
      <c r="CS580" s="1369"/>
      <c r="CT580" s="1319"/>
      <c r="CU580" s="1319"/>
      <c r="CV580" s="1319"/>
      <c r="CW580" s="1320"/>
      <c r="CX580" s="1369"/>
      <c r="CY580" s="1319"/>
      <c r="CZ580" s="1319"/>
      <c r="DA580" s="1319"/>
      <c r="DB580" s="1320"/>
      <c r="DC580" s="1319"/>
      <c r="DD580" s="1319"/>
      <c r="DE580" s="1319"/>
      <c r="DF580" s="1319"/>
      <c r="DG580" s="1320"/>
      <c r="DH580" s="1369"/>
      <c r="DI580" s="1319"/>
      <c r="DJ580" s="1319"/>
      <c r="DK580" s="1319"/>
      <c r="DL580" s="1320"/>
      <c r="DM580" s="1743"/>
      <c r="DN580" s="1744"/>
      <c r="DO580" s="1744"/>
      <c r="DP580" s="1745"/>
      <c r="DQ580" s="1744"/>
      <c r="DR580" s="1744"/>
      <c r="DS580" s="1744"/>
      <c r="DT580" s="1745"/>
      <c r="DU580" s="1328"/>
      <c r="DV580" s="1664"/>
      <c r="DW580" s="1746"/>
    </row>
    <row r="581" spans="1:127" s="382" customFormat="1" ht="15.75" customHeight="1">
      <c r="A581" s="1066" t="s">
        <v>1116</v>
      </c>
      <c r="B581" s="1026">
        <v>572</v>
      </c>
      <c r="C581" s="987"/>
      <c r="D581" s="987"/>
      <c r="E581" s="987"/>
      <c r="F581" s="987"/>
      <c r="G581" s="987"/>
      <c r="H581" s="987"/>
      <c r="I581" s="987"/>
      <c r="J581" s="987"/>
      <c r="K581" s="987"/>
      <c r="L581" s="987"/>
      <c r="M581" s="1026"/>
      <c r="N581" s="987"/>
      <c r="O581" s="987"/>
      <c r="P581" s="987"/>
      <c r="Q581" s="987"/>
      <c r="R581" s="987"/>
      <c r="S581" s="987"/>
      <c r="T581" s="988"/>
      <c r="U581" s="1067" t="s">
        <v>1753</v>
      </c>
      <c r="V581" s="1068" t="s">
        <v>4102</v>
      </c>
      <c r="W581" s="1068" t="s">
        <v>4103</v>
      </c>
      <c r="X581" s="1069" t="s">
        <v>4104</v>
      </c>
      <c r="Y581" s="1070" t="s">
        <v>4105</v>
      </c>
      <c r="Z581" s="1071" t="s">
        <v>4106</v>
      </c>
      <c r="AA581" s="1072">
        <v>0.04</v>
      </c>
      <c r="AB581" s="1073">
        <v>0.39</v>
      </c>
      <c r="AC581" s="1073">
        <v>0.31</v>
      </c>
      <c r="AD581" s="1073">
        <v>7.0000000000000007E-2</v>
      </c>
      <c r="AE581" s="1073">
        <v>0.17</v>
      </c>
      <c r="AF581" s="1073">
        <v>0.02</v>
      </c>
      <c r="AG581" s="1073" t="s">
        <v>2260</v>
      </c>
      <c r="AH581" s="1073" t="s">
        <v>2260</v>
      </c>
      <c r="AI581" s="1074">
        <f t="shared" si="8"/>
        <v>1</v>
      </c>
      <c r="AJ581" s="1075" t="s">
        <v>1825</v>
      </c>
      <c r="AK581" s="1075" t="s">
        <v>2260</v>
      </c>
      <c r="AL581" s="1075" t="s">
        <v>2260</v>
      </c>
      <c r="AM581" s="1076" t="s">
        <v>2927</v>
      </c>
      <c r="AN581" s="987" t="s">
        <v>1857</v>
      </c>
      <c r="AO581" s="987" t="s">
        <v>2260</v>
      </c>
      <c r="AP581" s="1243">
        <v>0</v>
      </c>
      <c r="AQ581" s="1045" t="s">
        <v>1838</v>
      </c>
      <c r="AR581" s="1078" t="s">
        <v>2260</v>
      </c>
      <c r="AS581" s="1079"/>
      <c r="AT581" s="1069"/>
      <c r="AU581" s="1069"/>
      <c r="AV581" s="1069"/>
      <c r="AW581" s="1080"/>
      <c r="AX581" s="1081"/>
      <c r="AY581" s="1044"/>
      <c r="AZ581" s="1045"/>
      <c r="BA581" s="1045"/>
      <c r="BB581" s="1045"/>
      <c r="BC581" s="1045"/>
      <c r="BD581" s="1045"/>
      <c r="BE581" s="1045"/>
      <c r="BF581" s="1045"/>
      <c r="BG581" s="1045"/>
      <c r="BH581" s="1045"/>
      <c r="BI581" s="1369"/>
      <c r="BJ581" s="1319"/>
      <c r="BK581" s="1319"/>
      <c r="BL581" s="1319"/>
      <c r="BM581" s="1319"/>
      <c r="BN581" s="1044"/>
      <c r="BO581" s="1045"/>
      <c r="BP581" s="1045"/>
      <c r="BQ581" s="1045"/>
      <c r="BR581" s="1045"/>
      <c r="BS581" s="1084"/>
      <c r="BT581" s="1045"/>
      <c r="BU581" s="1045"/>
      <c r="BV581" s="1045"/>
      <c r="BW581" s="1085"/>
      <c r="BX581" s="1084"/>
      <c r="BY581" s="1045"/>
      <c r="BZ581" s="1045"/>
      <c r="CA581" s="1045"/>
      <c r="CB581" s="1085"/>
      <c r="CC581" s="1086"/>
      <c r="CD581" s="1327"/>
      <c r="CE581" s="1328"/>
      <c r="CF581" s="1328"/>
      <c r="CG581" s="1328"/>
      <c r="CH581" s="1389"/>
      <c r="CI581" s="1369"/>
      <c r="CJ581" s="1319"/>
      <c r="CK581" s="1319"/>
      <c r="CL581" s="1319"/>
      <c r="CM581" s="1320"/>
      <c r="CN581" s="1369"/>
      <c r="CO581" s="1319"/>
      <c r="CP581" s="1319"/>
      <c r="CQ581" s="1319"/>
      <c r="CR581" s="1320"/>
      <c r="CS581" s="1369"/>
      <c r="CT581" s="1319"/>
      <c r="CU581" s="1319"/>
      <c r="CV581" s="1319"/>
      <c r="CW581" s="1320"/>
      <c r="CX581" s="1369"/>
      <c r="CY581" s="1319"/>
      <c r="CZ581" s="1319"/>
      <c r="DA581" s="1319"/>
      <c r="DB581" s="1320"/>
      <c r="DC581" s="1319"/>
      <c r="DD581" s="1319"/>
      <c r="DE581" s="1319"/>
      <c r="DF581" s="1319"/>
      <c r="DG581" s="1320"/>
      <c r="DH581" s="1369"/>
      <c r="DI581" s="1319"/>
      <c r="DJ581" s="1319"/>
      <c r="DK581" s="1319"/>
      <c r="DL581" s="1320"/>
      <c r="DM581" s="1743"/>
      <c r="DN581" s="1744"/>
      <c r="DO581" s="1744"/>
      <c r="DP581" s="1745"/>
      <c r="DQ581" s="1744"/>
      <c r="DR581" s="1744"/>
      <c r="DS581" s="1744"/>
      <c r="DT581" s="1745"/>
      <c r="DU581" s="1328"/>
      <c r="DV581" s="1664"/>
      <c r="DW581" s="1746"/>
    </row>
    <row r="582" spans="1:127" s="382" customFormat="1" ht="15.75" customHeight="1">
      <c r="A582" s="1066" t="s">
        <v>1116</v>
      </c>
      <c r="B582" s="1026">
        <v>573</v>
      </c>
      <c r="C582" s="987"/>
      <c r="D582" s="987"/>
      <c r="E582" s="987"/>
      <c r="F582" s="987"/>
      <c r="G582" s="987"/>
      <c r="H582" s="987"/>
      <c r="I582" s="987"/>
      <c r="J582" s="987"/>
      <c r="K582" s="987"/>
      <c r="L582" s="987"/>
      <c r="M582" s="1026"/>
      <c r="N582" s="987"/>
      <c r="O582" s="987"/>
      <c r="P582" s="987"/>
      <c r="Q582" s="987"/>
      <c r="R582" s="987"/>
      <c r="S582" s="987"/>
      <c r="T582" s="988"/>
      <c r="U582" s="1067" t="s">
        <v>1754</v>
      </c>
      <c r="V582" s="1068" t="s">
        <v>4102</v>
      </c>
      <c r="W582" s="1068" t="s">
        <v>2231</v>
      </c>
      <c r="X582" s="1069" t="s">
        <v>4107</v>
      </c>
      <c r="Y582" s="1070" t="s">
        <v>4108</v>
      </c>
      <c r="Z582" s="1071" t="s">
        <v>4109</v>
      </c>
      <c r="AA582" s="1072">
        <v>0.04</v>
      </c>
      <c r="AB582" s="1073">
        <v>0.39</v>
      </c>
      <c r="AC582" s="1073">
        <v>0.31</v>
      </c>
      <c r="AD582" s="1073">
        <v>7.0000000000000007E-2</v>
      </c>
      <c r="AE582" s="1073">
        <v>0.17</v>
      </c>
      <c r="AF582" s="1073">
        <v>0.02</v>
      </c>
      <c r="AG582" s="1073" t="s">
        <v>2260</v>
      </c>
      <c r="AH582" s="1073" t="s">
        <v>2260</v>
      </c>
      <c r="AI582" s="1074">
        <f t="shared" si="8"/>
        <v>1</v>
      </c>
      <c r="AJ582" s="1075" t="s">
        <v>1825</v>
      </c>
      <c r="AK582" s="1075" t="s">
        <v>2260</v>
      </c>
      <c r="AL582" s="1075" t="s">
        <v>2260</v>
      </c>
      <c r="AM582" s="1076" t="s">
        <v>2568</v>
      </c>
      <c r="AN582" s="987" t="s">
        <v>321</v>
      </c>
      <c r="AO582" s="987" t="s">
        <v>2260</v>
      </c>
      <c r="AP582" s="1243">
        <v>1</v>
      </c>
      <c r="AQ582" s="1045" t="s">
        <v>1828</v>
      </c>
      <c r="AR582" s="1078" t="s">
        <v>2260</v>
      </c>
      <c r="AS582" s="1079"/>
      <c r="AT582" s="1069"/>
      <c r="AU582" s="1069"/>
      <c r="AV582" s="1069"/>
      <c r="AW582" s="1080"/>
      <c r="AX582" s="1081"/>
      <c r="AY582" s="1044"/>
      <c r="AZ582" s="1045"/>
      <c r="BA582" s="1045"/>
      <c r="BB582" s="1045"/>
      <c r="BC582" s="1045"/>
      <c r="BD582" s="1045"/>
      <c r="BE582" s="1045"/>
      <c r="BF582" s="1045"/>
      <c r="BG582" s="1045"/>
      <c r="BH582" s="1045"/>
      <c r="BI582" s="1369"/>
      <c r="BJ582" s="1319"/>
      <c r="BK582" s="1319"/>
      <c r="BL582" s="1319"/>
      <c r="BM582" s="1319"/>
      <c r="BN582" s="1044"/>
      <c r="BO582" s="1045"/>
      <c r="BP582" s="1045"/>
      <c r="BQ582" s="1045"/>
      <c r="BR582" s="1045"/>
      <c r="BS582" s="1084"/>
      <c r="BT582" s="1045"/>
      <c r="BU582" s="1045"/>
      <c r="BV582" s="1045"/>
      <c r="BW582" s="1085"/>
      <c r="BX582" s="1084"/>
      <c r="BY582" s="1045"/>
      <c r="BZ582" s="1045"/>
      <c r="CA582" s="1045"/>
      <c r="CB582" s="1085"/>
      <c r="CC582" s="1086"/>
      <c r="CD582" s="1327"/>
      <c r="CE582" s="1328"/>
      <c r="CF582" s="1328"/>
      <c r="CG582" s="1328"/>
      <c r="CH582" s="1389"/>
      <c r="CI582" s="1369"/>
      <c r="CJ582" s="1319"/>
      <c r="CK582" s="1319"/>
      <c r="CL582" s="1319"/>
      <c r="CM582" s="1320"/>
      <c r="CN582" s="1369"/>
      <c r="CO582" s="1319"/>
      <c r="CP582" s="1319"/>
      <c r="CQ582" s="1319"/>
      <c r="CR582" s="1320"/>
      <c r="CS582" s="1369"/>
      <c r="CT582" s="1319"/>
      <c r="CU582" s="1319"/>
      <c r="CV582" s="1319"/>
      <c r="CW582" s="1320"/>
      <c r="CX582" s="1369"/>
      <c r="CY582" s="1319"/>
      <c r="CZ582" s="1319"/>
      <c r="DA582" s="1319"/>
      <c r="DB582" s="1320"/>
      <c r="DC582" s="1319"/>
      <c r="DD582" s="1319"/>
      <c r="DE582" s="1319"/>
      <c r="DF582" s="1319"/>
      <c r="DG582" s="1320"/>
      <c r="DH582" s="1369"/>
      <c r="DI582" s="1319"/>
      <c r="DJ582" s="1319"/>
      <c r="DK582" s="1319"/>
      <c r="DL582" s="1320"/>
      <c r="DM582" s="1743"/>
      <c r="DN582" s="1744"/>
      <c r="DO582" s="1744"/>
      <c r="DP582" s="1745"/>
      <c r="DQ582" s="1744"/>
      <c r="DR582" s="1744"/>
      <c r="DS582" s="1744"/>
      <c r="DT582" s="1745"/>
      <c r="DU582" s="1328"/>
      <c r="DV582" s="1664"/>
      <c r="DW582" s="1746"/>
    </row>
    <row r="583" spans="1:127" s="382" customFormat="1" ht="15.75" customHeight="1">
      <c r="A583" s="1066" t="s">
        <v>1116</v>
      </c>
      <c r="B583" s="1026">
        <v>574</v>
      </c>
      <c r="C583" s="987"/>
      <c r="D583" s="987"/>
      <c r="E583" s="987"/>
      <c r="F583" s="987"/>
      <c r="G583" s="987"/>
      <c r="H583" s="987"/>
      <c r="I583" s="987"/>
      <c r="J583" s="987"/>
      <c r="K583" s="987"/>
      <c r="L583" s="987"/>
      <c r="M583" s="1026"/>
      <c r="N583" s="987"/>
      <c r="O583" s="987"/>
      <c r="P583" s="987"/>
      <c r="Q583" s="987"/>
      <c r="R583" s="987"/>
      <c r="S583" s="987"/>
      <c r="T583" s="988"/>
      <c r="U583" s="1067" t="s">
        <v>1755</v>
      </c>
      <c r="V583" s="1068" t="s">
        <v>4102</v>
      </c>
      <c r="W583" s="1068" t="s">
        <v>2231</v>
      </c>
      <c r="X583" s="1069" t="s">
        <v>4110</v>
      </c>
      <c r="Y583" s="1070" t="s">
        <v>4111</v>
      </c>
      <c r="Z583" s="1071" t="s">
        <v>4112</v>
      </c>
      <c r="AA583" s="1072">
        <v>0.04</v>
      </c>
      <c r="AB583" s="1073">
        <v>0.39</v>
      </c>
      <c r="AC583" s="1073">
        <v>0.31</v>
      </c>
      <c r="AD583" s="1073">
        <v>7.0000000000000007E-2</v>
      </c>
      <c r="AE583" s="1073">
        <v>0.17</v>
      </c>
      <c r="AF583" s="1073">
        <v>0.02</v>
      </c>
      <c r="AG583" s="1073" t="s">
        <v>2260</v>
      </c>
      <c r="AH583" s="1073" t="s">
        <v>2260</v>
      </c>
      <c r="AI583" s="1074">
        <f t="shared" si="8"/>
        <v>1</v>
      </c>
      <c r="AJ583" s="1075" t="s">
        <v>1825</v>
      </c>
      <c r="AK583" s="1075" t="s">
        <v>2260</v>
      </c>
      <c r="AL583" s="1075" t="s">
        <v>2260</v>
      </c>
      <c r="AM583" s="1076" t="s">
        <v>2568</v>
      </c>
      <c r="AN583" s="987" t="s">
        <v>321</v>
      </c>
      <c r="AO583" s="987" t="s">
        <v>2260</v>
      </c>
      <c r="AP583" s="1243">
        <v>0</v>
      </c>
      <c r="AQ583" s="1045" t="s">
        <v>1828</v>
      </c>
      <c r="AR583" s="1078" t="s">
        <v>2260</v>
      </c>
      <c r="AS583" s="1079"/>
      <c r="AT583" s="1069"/>
      <c r="AU583" s="1069"/>
      <c r="AV583" s="1069"/>
      <c r="AW583" s="1080"/>
      <c r="AX583" s="1081"/>
      <c r="AY583" s="1044"/>
      <c r="AZ583" s="1045"/>
      <c r="BA583" s="1045"/>
      <c r="BB583" s="1045"/>
      <c r="BC583" s="1045"/>
      <c r="BD583" s="1045"/>
      <c r="BE583" s="1045"/>
      <c r="BF583" s="1045"/>
      <c r="BG583" s="1045"/>
      <c r="BH583" s="1045"/>
      <c r="BI583" s="1369"/>
      <c r="BJ583" s="1319"/>
      <c r="BK583" s="1319"/>
      <c r="BL583" s="1319"/>
      <c r="BM583" s="1319"/>
      <c r="BN583" s="1044"/>
      <c r="BO583" s="1045"/>
      <c r="BP583" s="1045"/>
      <c r="BQ583" s="1045"/>
      <c r="BR583" s="1045"/>
      <c r="BS583" s="1084"/>
      <c r="BT583" s="1045"/>
      <c r="BU583" s="1045"/>
      <c r="BV583" s="1045"/>
      <c r="BW583" s="1085"/>
      <c r="BX583" s="1084"/>
      <c r="BY583" s="1045"/>
      <c r="BZ583" s="1045"/>
      <c r="CA583" s="1045"/>
      <c r="CB583" s="1085"/>
      <c r="CC583" s="1086"/>
      <c r="CD583" s="1327"/>
      <c r="CE583" s="1328"/>
      <c r="CF583" s="1328"/>
      <c r="CG583" s="1328"/>
      <c r="CH583" s="1389"/>
      <c r="CI583" s="1369"/>
      <c r="CJ583" s="1319"/>
      <c r="CK583" s="1319"/>
      <c r="CL583" s="1319"/>
      <c r="CM583" s="1320"/>
      <c r="CN583" s="1369"/>
      <c r="CO583" s="1319"/>
      <c r="CP583" s="1319"/>
      <c r="CQ583" s="1319"/>
      <c r="CR583" s="1320"/>
      <c r="CS583" s="1369"/>
      <c r="CT583" s="1319"/>
      <c r="CU583" s="1319"/>
      <c r="CV583" s="1319"/>
      <c r="CW583" s="1320"/>
      <c r="CX583" s="1369"/>
      <c r="CY583" s="1319"/>
      <c r="CZ583" s="1319"/>
      <c r="DA583" s="1319"/>
      <c r="DB583" s="1320"/>
      <c r="DC583" s="1319"/>
      <c r="DD583" s="1319"/>
      <c r="DE583" s="1319"/>
      <c r="DF583" s="1319"/>
      <c r="DG583" s="1320"/>
      <c r="DH583" s="1369"/>
      <c r="DI583" s="1319"/>
      <c r="DJ583" s="1319"/>
      <c r="DK583" s="1319"/>
      <c r="DL583" s="1320"/>
      <c r="DM583" s="1743"/>
      <c r="DN583" s="1744"/>
      <c r="DO583" s="1744"/>
      <c r="DP583" s="1745"/>
      <c r="DQ583" s="1744"/>
      <c r="DR583" s="1744"/>
      <c r="DS583" s="1744"/>
      <c r="DT583" s="1745"/>
      <c r="DU583" s="1328"/>
      <c r="DV583" s="1664"/>
      <c r="DW583" s="1746"/>
    </row>
    <row r="584" spans="1:127" s="382" customFormat="1" ht="15.75" customHeight="1">
      <c r="A584" s="1066" t="s">
        <v>1116</v>
      </c>
      <c r="B584" s="1026">
        <v>575</v>
      </c>
      <c r="C584" s="987"/>
      <c r="D584" s="987"/>
      <c r="E584" s="987"/>
      <c r="F584" s="987"/>
      <c r="G584" s="987"/>
      <c r="H584" s="987"/>
      <c r="I584" s="987"/>
      <c r="J584" s="987"/>
      <c r="K584" s="987"/>
      <c r="L584" s="987"/>
      <c r="M584" s="1026"/>
      <c r="N584" s="987"/>
      <c r="O584" s="987"/>
      <c r="P584" s="987"/>
      <c r="Q584" s="987"/>
      <c r="R584" s="987"/>
      <c r="S584" s="987"/>
      <c r="T584" s="988"/>
      <c r="U584" s="1067" t="s">
        <v>1403</v>
      </c>
      <c r="V584" s="1068" t="s">
        <v>4051</v>
      </c>
      <c r="W584" s="1068" t="s">
        <v>2231</v>
      </c>
      <c r="X584" s="1069" t="s">
        <v>4113</v>
      </c>
      <c r="Y584" s="1070" t="s">
        <v>4114</v>
      </c>
      <c r="Z584" s="1071" t="s">
        <v>4115</v>
      </c>
      <c r="AA584" s="1072">
        <v>1</v>
      </c>
      <c r="AB584" s="1073" t="s">
        <v>2260</v>
      </c>
      <c r="AC584" s="1073" t="s">
        <v>2260</v>
      </c>
      <c r="AD584" s="1073" t="s">
        <v>2260</v>
      </c>
      <c r="AE584" s="1073" t="s">
        <v>2260</v>
      </c>
      <c r="AF584" s="1073" t="s">
        <v>2260</v>
      </c>
      <c r="AG584" s="1073" t="s">
        <v>2260</v>
      </c>
      <c r="AH584" s="1073" t="s">
        <v>2260</v>
      </c>
      <c r="AI584" s="1074">
        <f t="shared" si="8"/>
        <v>1</v>
      </c>
      <c r="AJ584" s="1075" t="s">
        <v>1846</v>
      </c>
      <c r="AK584" s="1075" t="s">
        <v>1826</v>
      </c>
      <c r="AL584" s="1075" t="s">
        <v>1827</v>
      </c>
      <c r="AM584" s="1076" t="s">
        <v>2396</v>
      </c>
      <c r="AN584" s="987" t="s">
        <v>165</v>
      </c>
      <c r="AO584" s="987" t="s">
        <v>2260</v>
      </c>
      <c r="AP584" s="1243">
        <v>0</v>
      </c>
      <c r="AQ584" s="1045" t="s">
        <v>1828</v>
      </c>
      <c r="AR584" s="1078" t="s">
        <v>2260</v>
      </c>
      <c r="AS584" s="1079"/>
      <c r="AT584" s="1069"/>
      <c r="AU584" s="1069"/>
      <c r="AV584" s="1069"/>
      <c r="AW584" s="1080"/>
      <c r="AX584" s="1081"/>
      <c r="AY584" s="1044"/>
      <c r="AZ584" s="1045"/>
      <c r="BA584" s="1045"/>
      <c r="BB584" s="1045"/>
      <c r="BC584" s="1045"/>
      <c r="BD584" s="1045"/>
      <c r="BE584" s="1045"/>
      <c r="BF584" s="1045"/>
      <c r="BG584" s="1045"/>
      <c r="BH584" s="1045"/>
      <c r="BI584" s="1369"/>
      <c r="BJ584" s="1319"/>
      <c r="BK584" s="1319"/>
      <c r="BL584" s="1319"/>
      <c r="BM584" s="1319"/>
      <c r="BN584" s="1044"/>
      <c r="BO584" s="1045"/>
      <c r="BP584" s="1045"/>
      <c r="BQ584" s="1045"/>
      <c r="BR584" s="1045"/>
      <c r="BS584" s="1084"/>
      <c r="BT584" s="1045"/>
      <c r="BU584" s="1045"/>
      <c r="BV584" s="1045"/>
      <c r="BW584" s="1085"/>
      <c r="BX584" s="1084"/>
      <c r="BY584" s="1045"/>
      <c r="BZ584" s="1045"/>
      <c r="CA584" s="1045"/>
      <c r="CB584" s="1085"/>
      <c r="CC584" s="1086"/>
      <c r="CD584" s="1327"/>
      <c r="CE584" s="1328"/>
      <c r="CF584" s="1328"/>
      <c r="CG584" s="1328"/>
      <c r="CH584" s="1389"/>
      <c r="CI584" s="1369"/>
      <c r="CJ584" s="1319"/>
      <c r="CK584" s="1319"/>
      <c r="CL584" s="1319"/>
      <c r="CM584" s="1320"/>
      <c r="CN584" s="1369"/>
      <c r="CO584" s="1319"/>
      <c r="CP584" s="1319"/>
      <c r="CQ584" s="1319"/>
      <c r="CR584" s="1320"/>
      <c r="CS584" s="1369"/>
      <c r="CT584" s="1319"/>
      <c r="CU584" s="1319"/>
      <c r="CV584" s="1319"/>
      <c r="CW584" s="1320"/>
      <c r="CX584" s="1369"/>
      <c r="CY584" s="1319"/>
      <c r="CZ584" s="1319"/>
      <c r="DA584" s="1319"/>
      <c r="DB584" s="1320"/>
      <c r="DC584" s="1319"/>
      <c r="DD584" s="1319"/>
      <c r="DE584" s="1319"/>
      <c r="DF584" s="1319"/>
      <c r="DG584" s="1320"/>
      <c r="DH584" s="1369"/>
      <c r="DI584" s="1319"/>
      <c r="DJ584" s="1319"/>
      <c r="DK584" s="1319"/>
      <c r="DL584" s="1320"/>
      <c r="DM584" s="1743"/>
      <c r="DN584" s="1744"/>
      <c r="DO584" s="1744"/>
      <c r="DP584" s="1745"/>
      <c r="DQ584" s="1744"/>
      <c r="DR584" s="1744"/>
      <c r="DS584" s="1744"/>
      <c r="DT584" s="1745"/>
      <c r="DU584" s="1328"/>
      <c r="DV584" s="1664"/>
      <c r="DW584" s="1746"/>
    </row>
    <row r="585" spans="1:127" s="382" customFormat="1" ht="15.75" customHeight="1">
      <c r="A585" s="1066" t="s">
        <v>1116</v>
      </c>
      <c r="B585" s="1026">
        <v>576</v>
      </c>
      <c r="C585" s="987"/>
      <c r="D585" s="987"/>
      <c r="E585" s="987"/>
      <c r="F585" s="987"/>
      <c r="G585" s="987"/>
      <c r="H585" s="987"/>
      <c r="I585" s="987"/>
      <c r="J585" s="987"/>
      <c r="K585" s="987"/>
      <c r="L585" s="987"/>
      <c r="M585" s="1026"/>
      <c r="N585" s="987"/>
      <c r="O585" s="987"/>
      <c r="P585" s="987"/>
      <c r="Q585" s="987"/>
      <c r="R585" s="987"/>
      <c r="S585" s="987"/>
      <c r="T585" s="988"/>
      <c r="U585" s="1067" t="s">
        <v>1420</v>
      </c>
      <c r="V585" s="1068" t="s">
        <v>4051</v>
      </c>
      <c r="W585" s="1068" t="s">
        <v>2231</v>
      </c>
      <c r="X585" s="1069" t="s">
        <v>4116</v>
      </c>
      <c r="Y585" s="1070" t="s">
        <v>4117</v>
      </c>
      <c r="Z585" s="1071" t="s">
        <v>4118</v>
      </c>
      <c r="AA585" s="1072" t="s">
        <v>2260</v>
      </c>
      <c r="AB585" s="1073">
        <v>1</v>
      </c>
      <c r="AC585" s="1073" t="s">
        <v>2260</v>
      </c>
      <c r="AD585" s="1073" t="s">
        <v>2260</v>
      </c>
      <c r="AE585" s="1073" t="s">
        <v>2260</v>
      </c>
      <c r="AF585" s="1073" t="s">
        <v>2260</v>
      </c>
      <c r="AG585" s="1073" t="s">
        <v>2260</v>
      </c>
      <c r="AH585" s="1073" t="s">
        <v>2260</v>
      </c>
      <c r="AI585" s="1074">
        <f t="shared" si="8"/>
        <v>1</v>
      </c>
      <c r="AJ585" s="1075" t="s">
        <v>1846</v>
      </c>
      <c r="AK585" s="1075" t="s">
        <v>1826</v>
      </c>
      <c r="AL585" s="1075" t="s">
        <v>1837</v>
      </c>
      <c r="AM585" s="1076" t="s">
        <v>2396</v>
      </c>
      <c r="AN585" s="987" t="s">
        <v>165</v>
      </c>
      <c r="AO585" s="987" t="s">
        <v>2260</v>
      </c>
      <c r="AP585" s="1243">
        <v>0</v>
      </c>
      <c r="AQ585" s="1045" t="s">
        <v>1828</v>
      </c>
      <c r="AR585" s="1078" t="s">
        <v>2260</v>
      </c>
      <c r="AS585" s="1079"/>
      <c r="AT585" s="1069"/>
      <c r="AU585" s="1069"/>
      <c r="AV585" s="1069"/>
      <c r="AW585" s="1080"/>
      <c r="AX585" s="1081"/>
      <c r="AY585" s="1044"/>
      <c r="AZ585" s="1045"/>
      <c r="BA585" s="1045"/>
      <c r="BB585" s="1045"/>
      <c r="BC585" s="1045"/>
      <c r="BD585" s="1045"/>
      <c r="BE585" s="1045"/>
      <c r="BF585" s="1045"/>
      <c r="BG585" s="1045"/>
      <c r="BH585" s="1045"/>
      <c r="BI585" s="1369"/>
      <c r="BJ585" s="1319"/>
      <c r="BK585" s="1319"/>
      <c r="BL585" s="1319"/>
      <c r="BM585" s="1319"/>
      <c r="BN585" s="1044"/>
      <c r="BO585" s="1045"/>
      <c r="BP585" s="1045"/>
      <c r="BQ585" s="1045"/>
      <c r="BR585" s="1045"/>
      <c r="BS585" s="1084"/>
      <c r="BT585" s="1045"/>
      <c r="BU585" s="1045"/>
      <c r="BV585" s="1045"/>
      <c r="BW585" s="1085"/>
      <c r="BX585" s="1084"/>
      <c r="BY585" s="1045"/>
      <c r="BZ585" s="1045"/>
      <c r="CA585" s="1045"/>
      <c r="CB585" s="1085"/>
      <c r="CC585" s="1086"/>
      <c r="CD585" s="1327"/>
      <c r="CE585" s="1328"/>
      <c r="CF585" s="1328"/>
      <c r="CG585" s="1328"/>
      <c r="CH585" s="1389"/>
      <c r="CI585" s="1369"/>
      <c r="CJ585" s="1319"/>
      <c r="CK585" s="1319"/>
      <c r="CL585" s="1319"/>
      <c r="CM585" s="1320"/>
      <c r="CN585" s="1369"/>
      <c r="CO585" s="1319"/>
      <c r="CP585" s="1319"/>
      <c r="CQ585" s="1319"/>
      <c r="CR585" s="1320"/>
      <c r="CS585" s="1369"/>
      <c r="CT585" s="1319"/>
      <c r="CU585" s="1319"/>
      <c r="CV585" s="1319"/>
      <c r="CW585" s="1320"/>
      <c r="CX585" s="1369"/>
      <c r="CY585" s="1319"/>
      <c r="CZ585" s="1319"/>
      <c r="DA585" s="1319"/>
      <c r="DB585" s="1320"/>
      <c r="DC585" s="1319"/>
      <c r="DD585" s="1319"/>
      <c r="DE585" s="1319"/>
      <c r="DF585" s="1319"/>
      <c r="DG585" s="1320"/>
      <c r="DH585" s="1369"/>
      <c r="DI585" s="1319"/>
      <c r="DJ585" s="1319"/>
      <c r="DK585" s="1319"/>
      <c r="DL585" s="1320"/>
      <c r="DM585" s="1743"/>
      <c r="DN585" s="1744"/>
      <c r="DO585" s="1744"/>
      <c r="DP585" s="1745"/>
      <c r="DQ585" s="1744"/>
      <c r="DR585" s="1744"/>
      <c r="DS585" s="1744"/>
      <c r="DT585" s="1745"/>
      <c r="DU585" s="1328"/>
      <c r="DV585" s="1664"/>
      <c r="DW585" s="1746"/>
    </row>
    <row r="586" spans="1:127" s="382" customFormat="1" ht="15.75" customHeight="1">
      <c r="A586" s="1066" t="s">
        <v>1116</v>
      </c>
      <c r="B586" s="1026">
        <v>577</v>
      </c>
      <c r="C586" s="987"/>
      <c r="D586" s="987"/>
      <c r="E586" s="987"/>
      <c r="F586" s="987"/>
      <c r="G586" s="987"/>
      <c r="H586" s="987"/>
      <c r="I586" s="987"/>
      <c r="J586" s="987"/>
      <c r="K586" s="987"/>
      <c r="L586" s="987"/>
      <c r="M586" s="1026"/>
      <c r="N586" s="987"/>
      <c r="O586" s="987"/>
      <c r="P586" s="987"/>
      <c r="Q586" s="987"/>
      <c r="R586" s="987"/>
      <c r="S586" s="987"/>
      <c r="T586" s="988"/>
      <c r="U586" s="1067" t="s">
        <v>1571</v>
      </c>
      <c r="V586" s="1068" t="s">
        <v>2260</v>
      </c>
      <c r="W586" s="1068" t="s">
        <v>2260</v>
      </c>
      <c r="X586" s="1069" t="s">
        <v>4119</v>
      </c>
      <c r="Y586" s="1070" t="s">
        <v>4120</v>
      </c>
      <c r="Z586" s="1071" t="s">
        <v>2260</v>
      </c>
      <c r="AA586" s="1072" t="s">
        <v>2260</v>
      </c>
      <c r="AB586" s="1073" t="s">
        <v>2260</v>
      </c>
      <c r="AC586" s="1073">
        <v>1</v>
      </c>
      <c r="AD586" s="1073" t="s">
        <v>2260</v>
      </c>
      <c r="AE586" s="1073" t="s">
        <v>2260</v>
      </c>
      <c r="AF586" s="1073" t="s">
        <v>2260</v>
      </c>
      <c r="AG586" s="1073" t="s">
        <v>2260</v>
      </c>
      <c r="AH586" s="1073" t="s">
        <v>2260</v>
      </c>
      <c r="AI586" s="1074">
        <f t="shared" ref="AI586:AI649" si="9">SUM(AA586:AH586)</f>
        <v>1</v>
      </c>
      <c r="AJ586" s="1075" t="s">
        <v>1846</v>
      </c>
      <c r="AK586" s="1075" t="s">
        <v>1826</v>
      </c>
      <c r="AL586" s="1075" t="s">
        <v>1837</v>
      </c>
      <c r="AM586" s="1076" t="s">
        <v>2260</v>
      </c>
      <c r="AN586" s="987" t="s">
        <v>2260</v>
      </c>
      <c r="AO586" s="987" t="s">
        <v>4121</v>
      </c>
      <c r="AP586" s="1243">
        <v>0</v>
      </c>
      <c r="AQ586" s="1045" t="s">
        <v>1828</v>
      </c>
      <c r="AR586" s="1078" t="s">
        <v>2260</v>
      </c>
      <c r="AS586" s="1079"/>
      <c r="AT586" s="1069"/>
      <c r="AU586" s="1069"/>
      <c r="AV586" s="1069"/>
      <c r="AW586" s="1080"/>
      <c r="AX586" s="1081"/>
      <c r="AY586" s="1044"/>
      <c r="AZ586" s="1045"/>
      <c r="BA586" s="1045"/>
      <c r="BB586" s="1045"/>
      <c r="BC586" s="1045"/>
      <c r="BD586" s="1045"/>
      <c r="BE586" s="1045"/>
      <c r="BF586" s="1045"/>
      <c r="BG586" s="1045"/>
      <c r="BH586" s="1045"/>
      <c r="BI586" s="1369"/>
      <c r="BJ586" s="1319"/>
      <c r="BK586" s="1319"/>
      <c r="BL586" s="1319"/>
      <c r="BM586" s="1319"/>
      <c r="BN586" s="1044"/>
      <c r="BO586" s="1045"/>
      <c r="BP586" s="1045"/>
      <c r="BQ586" s="1045"/>
      <c r="BR586" s="1045"/>
      <c r="BS586" s="1084"/>
      <c r="BT586" s="1045"/>
      <c r="BU586" s="1045"/>
      <c r="BV586" s="1045"/>
      <c r="BW586" s="1085"/>
      <c r="BX586" s="1084"/>
      <c r="BY586" s="1045"/>
      <c r="BZ586" s="1045"/>
      <c r="CA586" s="1045"/>
      <c r="CB586" s="1085"/>
      <c r="CC586" s="1086"/>
      <c r="CD586" s="1327"/>
      <c r="CE586" s="1328"/>
      <c r="CF586" s="1328"/>
      <c r="CG586" s="1328"/>
      <c r="CH586" s="1389"/>
      <c r="CI586" s="1369"/>
      <c r="CJ586" s="1319"/>
      <c r="CK586" s="1319"/>
      <c r="CL586" s="1319"/>
      <c r="CM586" s="1320"/>
      <c r="CN586" s="1369"/>
      <c r="CO586" s="1319"/>
      <c r="CP586" s="1319"/>
      <c r="CQ586" s="1319"/>
      <c r="CR586" s="1320"/>
      <c r="CS586" s="1369"/>
      <c r="CT586" s="1319"/>
      <c r="CU586" s="1319"/>
      <c r="CV586" s="1319"/>
      <c r="CW586" s="1320"/>
      <c r="CX586" s="1369"/>
      <c r="CY586" s="1319"/>
      <c r="CZ586" s="1319"/>
      <c r="DA586" s="1319"/>
      <c r="DB586" s="1320"/>
      <c r="DC586" s="1319"/>
      <c r="DD586" s="1319"/>
      <c r="DE586" s="1319"/>
      <c r="DF586" s="1319"/>
      <c r="DG586" s="1320"/>
      <c r="DH586" s="1369"/>
      <c r="DI586" s="1319"/>
      <c r="DJ586" s="1319"/>
      <c r="DK586" s="1319"/>
      <c r="DL586" s="1320"/>
      <c r="DM586" s="1743"/>
      <c r="DN586" s="1744"/>
      <c r="DO586" s="1744"/>
      <c r="DP586" s="1745"/>
      <c r="DQ586" s="1744"/>
      <c r="DR586" s="1744"/>
      <c r="DS586" s="1744"/>
      <c r="DT586" s="1745"/>
      <c r="DU586" s="1328"/>
      <c r="DV586" s="1664"/>
      <c r="DW586" s="1746"/>
    </row>
    <row r="587" spans="1:127" s="382" customFormat="1" ht="15.75" customHeight="1">
      <c r="A587" s="1066" t="s">
        <v>1116</v>
      </c>
      <c r="B587" s="1026">
        <v>578</v>
      </c>
      <c r="C587" s="987"/>
      <c r="D587" s="987"/>
      <c r="E587" s="987"/>
      <c r="F587" s="987"/>
      <c r="G587" s="987"/>
      <c r="H587" s="987"/>
      <c r="I587" s="987"/>
      <c r="J587" s="987"/>
      <c r="K587" s="987"/>
      <c r="L587" s="987"/>
      <c r="M587" s="1026"/>
      <c r="N587" s="987"/>
      <c r="O587" s="987"/>
      <c r="P587" s="987"/>
      <c r="Q587" s="987"/>
      <c r="R587" s="987"/>
      <c r="S587" s="987"/>
      <c r="T587" s="988"/>
      <c r="U587" s="1067" t="s">
        <v>1756</v>
      </c>
      <c r="V587" s="1068" t="s">
        <v>2260</v>
      </c>
      <c r="W587" s="1068" t="s">
        <v>2260</v>
      </c>
      <c r="X587" s="1069" t="s">
        <v>2331</v>
      </c>
      <c r="Y587" s="1070" t="s">
        <v>2332</v>
      </c>
      <c r="Z587" s="1071" t="s">
        <v>2260</v>
      </c>
      <c r="AA587" s="1072" t="s">
        <v>2260</v>
      </c>
      <c r="AB587" s="1073" t="s">
        <v>2260</v>
      </c>
      <c r="AC587" s="1073" t="s">
        <v>2260</v>
      </c>
      <c r="AD587" s="1073" t="s">
        <v>2260</v>
      </c>
      <c r="AE587" s="1073" t="s">
        <v>2260</v>
      </c>
      <c r="AF587" s="1073" t="s">
        <v>2260</v>
      </c>
      <c r="AG587" s="1073" t="s">
        <v>2260</v>
      </c>
      <c r="AH587" s="1073" t="s">
        <v>2260</v>
      </c>
      <c r="AI587" s="1074">
        <f t="shared" si="9"/>
        <v>0</v>
      </c>
      <c r="AJ587" s="1075" t="s">
        <v>1825</v>
      </c>
      <c r="AK587" s="1075" t="s">
        <v>2260</v>
      </c>
      <c r="AL587" s="1075" t="s">
        <v>2260</v>
      </c>
      <c r="AM587" s="1076" t="s">
        <v>2260</v>
      </c>
      <c r="AN587" s="987" t="s">
        <v>2260</v>
      </c>
      <c r="AO587" s="987" t="s">
        <v>2333</v>
      </c>
      <c r="AP587" s="1243">
        <v>0</v>
      </c>
      <c r="AQ587" s="1045" t="s">
        <v>2260</v>
      </c>
      <c r="AR587" s="1078" t="s">
        <v>2260</v>
      </c>
      <c r="AS587" s="1079"/>
      <c r="AT587" s="1069"/>
      <c r="AU587" s="1069"/>
      <c r="AV587" s="1069"/>
      <c r="AW587" s="1080"/>
      <c r="AX587" s="1081"/>
      <c r="AY587" s="1044"/>
      <c r="AZ587" s="1045"/>
      <c r="BA587" s="1045"/>
      <c r="BB587" s="1045"/>
      <c r="BC587" s="1045"/>
      <c r="BD587" s="1045"/>
      <c r="BE587" s="1045"/>
      <c r="BF587" s="1045"/>
      <c r="BG587" s="1045"/>
      <c r="BH587" s="1045"/>
      <c r="BI587" s="1369"/>
      <c r="BJ587" s="1319"/>
      <c r="BK587" s="1319"/>
      <c r="BL587" s="1319"/>
      <c r="BM587" s="1319"/>
      <c r="BN587" s="1044"/>
      <c r="BO587" s="1045"/>
      <c r="BP587" s="1045"/>
      <c r="BQ587" s="1045"/>
      <c r="BR587" s="1045"/>
      <c r="BS587" s="1084"/>
      <c r="BT587" s="1045"/>
      <c r="BU587" s="1045"/>
      <c r="BV587" s="1045"/>
      <c r="BW587" s="1085"/>
      <c r="BX587" s="1084"/>
      <c r="BY587" s="1045"/>
      <c r="BZ587" s="1045"/>
      <c r="CA587" s="1045"/>
      <c r="CB587" s="1085"/>
      <c r="CC587" s="1086"/>
      <c r="CD587" s="1327"/>
      <c r="CE587" s="1328"/>
      <c r="CF587" s="1328"/>
      <c r="CG587" s="1328"/>
      <c r="CH587" s="1389"/>
      <c r="CI587" s="1369"/>
      <c r="CJ587" s="1319"/>
      <c r="CK587" s="1319"/>
      <c r="CL587" s="1319"/>
      <c r="CM587" s="1320"/>
      <c r="CN587" s="1369"/>
      <c r="CO587" s="1319"/>
      <c r="CP587" s="1319"/>
      <c r="CQ587" s="1319"/>
      <c r="CR587" s="1320"/>
      <c r="CS587" s="1369"/>
      <c r="CT587" s="1319"/>
      <c r="CU587" s="1319"/>
      <c r="CV587" s="1319"/>
      <c r="CW587" s="1320"/>
      <c r="CX587" s="1369"/>
      <c r="CY587" s="1319"/>
      <c r="CZ587" s="1319"/>
      <c r="DA587" s="1319"/>
      <c r="DB587" s="1320"/>
      <c r="DC587" s="1319"/>
      <c r="DD587" s="1319"/>
      <c r="DE587" s="1319"/>
      <c r="DF587" s="1319"/>
      <c r="DG587" s="1320"/>
      <c r="DH587" s="1369"/>
      <c r="DI587" s="1319"/>
      <c r="DJ587" s="1319"/>
      <c r="DK587" s="1319"/>
      <c r="DL587" s="1320"/>
      <c r="DM587" s="1743"/>
      <c r="DN587" s="1744"/>
      <c r="DO587" s="1744"/>
      <c r="DP587" s="1745"/>
      <c r="DQ587" s="1744"/>
      <c r="DR587" s="1744"/>
      <c r="DS587" s="1744"/>
      <c r="DT587" s="1745"/>
      <c r="DU587" s="1328"/>
      <c r="DV587" s="1664"/>
      <c r="DW587" s="1746"/>
    </row>
    <row r="588" spans="1:127" s="382" customFormat="1" ht="15.75" customHeight="1">
      <c r="A588" s="1066" t="s">
        <v>1116</v>
      </c>
      <c r="B588" s="1026">
        <v>579</v>
      </c>
      <c r="C588" s="987"/>
      <c r="D588" s="987"/>
      <c r="E588" s="987"/>
      <c r="F588" s="987"/>
      <c r="G588" s="987"/>
      <c r="H588" s="987"/>
      <c r="I588" s="987"/>
      <c r="J588" s="987"/>
      <c r="K588" s="987"/>
      <c r="L588" s="987"/>
      <c r="M588" s="1026"/>
      <c r="N588" s="987"/>
      <c r="O588" s="987"/>
      <c r="P588" s="987"/>
      <c r="Q588" s="987"/>
      <c r="R588" s="987"/>
      <c r="S588" s="987"/>
      <c r="T588" s="988"/>
      <c r="U588" s="1067" t="s">
        <v>1436</v>
      </c>
      <c r="V588" s="1068" t="s">
        <v>2260</v>
      </c>
      <c r="W588" s="1068" t="s">
        <v>2260</v>
      </c>
      <c r="X588" s="1069" t="s">
        <v>4122</v>
      </c>
      <c r="Y588" s="1070" t="s">
        <v>4123</v>
      </c>
      <c r="Z588" s="1071" t="s">
        <v>2260</v>
      </c>
      <c r="AA588" s="1072" t="s">
        <v>2260</v>
      </c>
      <c r="AB588" s="1073">
        <v>1</v>
      </c>
      <c r="AC588" s="1073" t="s">
        <v>2260</v>
      </c>
      <c r="AD588" s="1073" t="s">
        <v>2260</v>
      </c>
      <c r="AE588" s="1073" t="s">
        <v>2260</v>
      </c>
      <c r="AF588" s="1073" t="s">
        <v>2260</v>
      </c>
      <c r="AG588" s="1073" t="s">
        <v>2260</v>
      </c>
      <c r="AH588" s="1073" t="s">
        <v>2260</v>
      </c>
      <c r="AI588" s="1074">
        <f t="shared" si="9"/>
        <v>1</v>
      </c>
      <c r="AJ588" s="1075" t="s">
        <v>1846</v>
      </c>
      <c r="AK588" s="1075" t="s">
        <v>1826</v>
      </c>
      <c r="AL588" s="1075" t="s">
        <v>1837</v>
      </c>
      <c r="AM588" s="1076" t="s">
        <v>2260</v>
      </c>
      <c r="AN588" s="987"/>
      <c r="AO588" s="987"/>
      <c r="AP588" s="1243">
        <v>0</v>
      </c>
      <c r="AQ588" s="1045"/>
      <c r="AR588" s="1078" t="s">
        <v>2260</v>
      </c>
      <c r="AS588" s="1079"/>
      <c r="AT588" s="1069"/>
      <c r="AU588" s="1069"/>
      <c r="AV588" s="1069"/>
      <c r="AW588" s="1080"/>
      <c r="AX588" s="1081"/>
      <c r="AY588" s="1044"/>
      <c r="AZ588" s="1045"/>
      <c r="BA588" s="1045"/>
      <c r="BB588" s="1045"/>
      <c r="BC588" s="1045"/>
      <c r="BD588" s="1045"/>
      <c r="BE588" s="1045"/>
      <c r="BF588" s="1045"/>
      <c r="BG588" s="1045"/>
      <c r="BH588" s="1045"/>
      <c r="BI588" s="1369"/>
      <c r="BJ588" s="1319"/>
      <c r="BK588" s="1319"/>
      <c r="BL588" s="1319"/>
      <c r="BM588" s="1319"/>
      <c r="BN588" s="1044"/>
      <c r="BO588" s="1045"/>
      <c r="BP588" s="1045"/>
      <c r="BQ588" s="1045"/>
      <c r="BR588" s="1045"/>
      <c r="BS588" s="1084"/>
      <c r="BT588" s="1045"/>
      <c r="BU588" s="1045"/>
      <c r="BV588" s="1045"/>
      <c r="BW588" s="1085"/>
      <c r="BX588" s="1084"/>
      <c r="BY588" s="1045"/>
      <c r="BZ588" s="1045"/>
      <c r="CA588" s="1045"/>
      <c r="CB588" s="1085"/>
      <c r="CC588" s="1086"/>
      <c r="CD588" s="1327"/>
      <c r="CE588" s="1328"/>
      <c r="CF588" s="1328"/>
      <c r="CG588" s="1328"/>
      <c r="CH588" s="1389"/>
      <c r="CI588" s="1369"/>
      <c r="CJ588" s="1319"/>
      <c r="CK588" s="1319"/>
      <c r="CL588" s="1319"/>
      <c r="CM588" s="1320"/>
      <c r="CN588" s="1369"/>
      <c r="CO588" s="1319"/>
      <c r="CP588" s="1319"/>
      <c r="CQ588" s="1319"/>
      <c r="CR588" s="1320"/>
      <c r="CS588" s="1369"/>
      <c r="CT588" s="1319"/>
      <c r="CU588" s="1319"/>
      <c r="CV588" s="1319"/>
      <c r="CW588" s="1320"/>
      <c r="CX588" s="1369"/>
      <c r="CY588" s="1319"/>
      <c r="CZ588" s="1319"/>
      <c r="DA588" s="1319"/>
      <c r="DB588" s="1320"/>
      <c r="DC588" s="1319"/>
      <c r="DD588" s="1319"/>
      <c r="DE588" s="1319"/>
      <c r="DF588" s="1319"/>
      <c r="DG588" s="1320"/>
      <c r="DH588" s="1369"/>
      <c r="DI588" s="1319"/>
      <c r="DJ588" s="1319"/>
      <c r="DK588" s="1319"/>
      <c r="DL588" s="1320"/>
      <c r="DM588" s="1743"/>
      <c r="DN588" s="1744"/>
      <c r="DO588" s="1744"/>
      <c r="DP588" s="1745"/>
      <c r="DQ588" s="1744"/>
      <c r="DR588" s="1744"/>
      <c r="DS588" s="1744"/>
      <c r="DT588" s="1745"/>
      <c r="DU588" s="1328"/>
      <c r="DV588" s="1664"/>
      <c r="DW588" s="1746"/>
    </row>
    <row r="589" spans="1:127" s="382" customFormat="1" ht="15.75" customHeight="1">
      <c r="A589" s="1066" t="s">
        <v>1116</v>
      </c>
      <c r="B589" s="1026">
        <v>580</v>
      </c>
      <c r="C589" s="987"/>
      <c r="D589" s="987"/>
      <c r="E589" s="987"/>
      <c r="F589" s="987"/>
      <c r="G589" s="987"/>
      <c r="H589" s="987"/>
      <c r="I589" s="987"/>
      <c r="J589" s="987"/>
      <c r="K589" s="987"/>
      <c r="L589" s="987"/>
      <c r="M589" s="1026"/>
      <c r="N589" s="987"/>
      <c r="O589" s="987"/>
      <c r="P589" s="987"/>
      <c r="Q589" s="987"/>
      <c r="R589" s="987"/>
      <c r="S589" s="987"/>
      <c r="T589" s="988"/>
      <c r="U589" s="1067" t="s">
        <v>1757</v>
      </c>
      <c r="V589" s="1068" t="s">
        <v>2260</v>
      </c>
      <c r="W589" s="1068" t="s">
        <v>2260</v>
      </c>
      <c r="X589" s="1069" t="s">
        <v>3812</v>
      </c>
      <c r="Y589" s="1070" t="s">
        <v>2840</v>
      </c>
      <c r="Z589" s="1071" t="s">
        <v>2260</v>
      </c>
      <c r="AA589" s="1072" t="s">
        <v>2260</v>
      </c>
      <c r="AB589" s="1073" t="s">
        <v>2260</v>
      </c>
      <c r="AC589" s="1073" t="s">
        <v>2260</v>
      </c>
      <c r="AD589" s="1073" t="s">
        <v>2260</v>
      </c>
      <c r="AE589" s="1073" t="s">
        <v>2260</v>
      </c>
      <c r="AF589" s="1073" t="s">
        <v>2260</v>
      </c>
      <c r="AG589" s="1073" t="s">
        <v>2260</v>
      </c>
      <c r="AH589" s="1073" t="s">
        <v>2260</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69"/>
      <c r="BJ589" s="1319"/>
      <c r="BK589" s="1319"/>
      <c r="BL589" s="1319"/>
      <c r="BM589" s="1319"/>
      <c r="BN589" s="1044"/>
      <c r="BO589" s="1045"/>
      <c r="BP589" s="1045"/>
      <c r="BQ589" s="1045"/>
      <c r="BR589" s="1045"/>
      <c r="BS589" s="1084"/>
      <c r="BT589" s="1045"/>
      <c r="BU589" s="1045"/>
      <c r="BV589" s="1045"/>
      <c r="BW589" s="1085"/>
      <c r="BX589" s="1084"/>
      <c r="BY589" s="1045"/>
      <c r="BZ589" s="1045"/>
      <c r="CA589" s="1045"/>
      <c r="CB589" s="1085"/>
      <c r="CC589" s="1086"/>
      <c r="CD589" s="1327"/>
      <c r="CE589" s="1328"/>
      <c r="CF589" s="1328"/>
      <c r="CG589" s="1328"/>
      <c r="CH589" s="1389"/>
      <c r="CI589" s="1369"/>
      <c r="CJ589" s="1319"/>
      <c r="CK589" s="1319"/>
      <c r="CL589" s="1319"/>
      <c r="CM589" s="1320"/>
      <c r="CN589" s="1369"/>
      <c r="CO589" s="1319"/>
      <c r="CP589" s="1319"/>
      <c r="CQ589" s="1319"/>
      <c r="CR589" s="1320"/>
      <c r="CS589" s="1369"/>
      <c r="CT589" s="1319"/>
      <c r="CU589" s="1319"/>
      <c r="CV589" s="1319"/>
      <c r="CW589" s="1320"/>
      <c r="CX589" s="1369"/>
      <c r="CY589" s="1319"/>
      <c r="CZ589" s="1319"/>
      <c r="DA589" s="1319"/>
      <c r="DB589" s="1320"/>
      <c r="DC589" s="1319"/>
      <c r="DD589" s="1319"/>
      <c r="DE589" s="1319"/>
      <c r="DF589" s="1319"/>
      <c r="DG589" s="1320"/>
      <c r="DH589" s="1369"/>
      <c r="DI589" s="1319"/>
      <c r="DJ589" s="1319"/>
      <c r="DK589" s="1319"/>
      <c r="DL589" s="1320"/>
      <c r="DM589" s="1743"/>
      <c r="DN589" s="1744"/>
      <c r="DO589" s="1744"/>
      <c r="DP589" s="1745"/>
      <c r="DQ589" s="1744"/>
      <c r="DR589" s="1744"/>
      <c r="DS589" s="1744"/>
      <c r="DT589" s="1745"/>
      <c r="DU589" s="1328"/>
      <c r="DV589" s="1664"/>
      <c r="DW589" s="1746"/>
    </row>
    <row r="590" spans="1:127" s="382" customFormat="1" ht="15.75" customHeight="1">
      <c r="A590" s="1066" t="s">
        <v>1227</v>
      </c>
      <c r="B590" s="1026">
        <v>581</v>
      </c>
      <c r="C590" s="987"/>
      <c r="D590" s="987"/>
      <c r="E590" s="987"/>
      <c r="F590" s="987"/>
      <c r="G590" s="987"/>
      <c r="H590" s="987"/>
      <c r="I590" s="987"/>
      <c r="J590" s="987"/>
      <c r="K590" s="987"/>
      <c r="L590" s="987"/>
      <c r="M590" s="1026"/>
      <c r="N590" s="987"/>
      <c r="O590" s="987"/>
      <c r="P590" s="987"/>
      <c r="Q590" s="987"/>
      <c r="R590" s="987"/>
      <c r="S590" s="987"/>
      <c r="T590" s="988"/>
      <c r="U590" s="1067" t="s">
        <v>1319</v>
      </c>
      <c r="V590" s="1068" t="s">
        <v>4134</v>
      </c>
      <c r="W590" s="1068" t="s">
        <v>2231</v>
      </c>
      <c r="X590" s="1069" t="s">
        <v>2558</v>
      </c>
      <c r="Y590" s="1070" t="s">
        <v>4135</v>
      </c>
      <c r="Z590" s="1071" t="s">
        <v>4136</v>
      </c>
      <c r="AA590" s="1072" t="s">
        <v>2260</v>
      </c>
      <c r="AB590" s="1073" t="s">
        <v>2260</v>
      </c>
      <c r="AC590" s="1073" t="s">
        <v>2260</v>
      </c>
      <c r="AD590" s="1073" t="s">
        <v>2260</v>
      </c>
      <c r="AE590" s="1073">
        <v>1</v>
      </c>
      <c r="AF590" s="1073" t="s">
        <v>2260</v>
      </c>
      <c r="AG590" s="1073" t="s">
        <v>2260</v>
      </c>
      <c r="AH590" s="1073" t="s">
        <v>2260</v>
      </c>
      <c r="AI590" s="1074">
        <f t="shared" si="9"/>
        <v>1</v>
      </c>
      <c r="AJ590" s="1075" t="s">
        <v>1852</v>
      </c>
      <c r="AK590" s="1075" t="s">
        <v>1826</v>
      </c>
      <c r="AL590" s="1075" t="s">
        <v>1827</v>
      </c>
      <c r="AM590" s="1076" t="s">
        <v>2329</v>
      </c>
      <c r="AN590" s="987" t="s">
        <v>1857</v>
      </c>
      <c r="AO590" s="987" t="s">
        <v>4137</v>
      </c>
      <c r="AP590" s="1243">
        <v>0</v>
      </c>
      <c r="AQ590" s="1045" t="s">
        <v>1828</v>
      </c>
      <c r="AR590" s="1078" t="s">
        <v>2260</v>
      </c>
      <c r="AS590" s="1079"/>
      <c r="AT590" s="1069"/>
      <c r="AU590" s="1069"/>
      <c r="AV590" s="1069"/>
      <c r="AW590" s="1080"/>
      <c r="AX590" s="1081"/>
      <c r="AY590" s="1044"/>
      <c r="AZ590" s="1045"/>
      <c r="BA590" s="1045"/>
      <c r="BB590" s="1045"/>
      <c r="BC590" s="1045"/>
      <c r="BD590" s="1045"/>
      <c r="BE590" s="1045"/>
      <c r="BF590" s="1045"/>
      <c r="BG590" s="1045"/>
      <c r="BH590" s="1045"/>
      <c r="BI590" s="1369"/>
      <c r="BJ590" s="1319"/>
      <c r="BK590" s="1319"/>
      <c r="BL590" s="1319"/>
      <c r="BM590" s="1319"/>
      <c r="BN590" s="1044"/>
      <c r="BO590" s="1045"/>
      <c r="BP590" s="1045"/>
      <c r="BQ590" s="1045"/>
      <c r="BR590" s="1045"/>
      <c r="BS590" s="1084"/>
      <c r="BT590" s="1045"/>
      <c r="BU590" s="1045"/>
      <c r="BV590" s="1045"/>
      <c r="BW590" s="1085"/>
      <c r="BX590" s="1084"/>
      <c r="BY590" s="1045"/>
      <c r="BZ590" s="1045"/>
      <c r="CA590" s="1045"/>
      <c r="CB590" s="1085"/>
      <c r="CC590" s="1086"/>
      <c r="CD590" s="1327"/>
      <c r="CE590" s="1328"/>
      <c r="CF590" s="1328"/>
      <c r="CG590" s="1328"/>
      <c r="CH590" s="1389"/>
      <c r="CI590" s="1369"/>
      <c r="CJ590" s="1319"/>
      <c r="CK590" s="1319"/>
      <c r="CL590" s="1319"/>
      <c r="CM590" s="1320"/>
      <c r="CN590" s="1369"/>
      <c r="CO590" s="1319"/>
      <c r="CP590" s="1319"/>
      <c r="CQ590" s="1319"/>
      <c r="CR590" s="1320"/>
      <c r="CS590" s="1369"/>
      <c r="CT590" s="1319"/>
      <c r="CU590" s="1319"/>
      <c r="CV590" s="1319"/>
      <c r="CW590" s="1320"/>
      <c r="CX590" s="1369"/>
      <c r="CY590" s="1319"/>
      <c r="CZ590" s="1319"/>
      <c r="DA590" s="1319"/>
      <c r="DB590" s="1320"/>
      <c r="DC590" s="1319"/>
      <c r="DD590" s="1319"/>
      <c r="DE590" s="1319"/>
      <c r="DF590" s="1319"/>
      <c r="DG590" s="1320"/>
      <c r="DH590" s="1369"/>
      <c r="DI590" s="1319"/>
      <c r="DJ590" s="1319"/>
      <c r="DK590" s="1319"/>
      <c r="DL590" s="1320"/>
      <c r="DM590" s="1743"/>
      <c r="DN590" s="1744"/>
      <c r="DO590" s="1744"/>
      <c r="DP590" s="1745"/>
      <c r="DQ590" s="1744"/>
      <c r="DR590" s="1744"/>
      <c r="DS590" s="1744"/>
      <c r="DT590" s="1745"/>
      <c r="DU590" s="1328"/>
      <c r="DV590" s="1664"/>
      <c r="DW590" s="1746"/>
    </row>
    <row r="591" spans="1:127" s="382" customFormat="1" ht="15.75" customHeight="1">
      <c r="A591" s="1066" t="s">
        <v>1227</v>
      </c>
      <c r="B591" s="1026">
        <v>582</v>
      </c>
      <c r="C591" s="987"/>
      <c r="D591" s="987" t="s">
        <v>2381</v>
      </c>
      <c r="E591" s="987"/>
      <c r="F591" s="987"/>
      <c r="G591" s="987"/>
      <c r="H591" s="987"/>
      <c r="I591" s="987"/>
      <c r="J591" s="987"/>
      <c r="K591" s="987"/>
      <c r="L591" s="987"/>
      <c r="M591" s="1026"/>
      <c r="N591" s="987"/>
      <c r="O591" s="987"/>
      <c r="P591" s="987"/>
      <c r="Q591" s="987"/>
      <c r="R591" s="987"/>
      <c r="S591" s="987"/>
      <c r="T591" s="988"/>
      <c r="U591" s="1067" t="s">
        <v>1602</v>
      </c>
      <c r="V591" s="1068" t="s">
        <v>4134</v>
      </c>
      <c r="W591" s="1068" t="s">
        <v>2231</v>
      </c>
      <c r="X591" s="1069" t="s">
        <v>2561</v>
      </c>
      <c r="Y591" s="1070" t="s">
        <v>4138</v>
      </c>
      <c r="Z591" s="1071" t="s">
        <v>4139</v>
      </c>
      <c r="AA591" s="1072" t="s">
        <v>2260</v>
      </c>
      <c r="AB591" s="1073" t="s">
        <v>2260</v>
      </c>
      <c r="AC591" s="1073" t="s">
        <v>2260</v>
      </c>
      <c r="AD591" s="1073" t="s">
        <v>2260</v>
      </c>
      <c r="AE591" s="1073">
        <v>1</v>
      </c>
      <c r="AF591" s="1073" t="s">
        <v>2260</v>
      </c>
      <c r="AG591" s="1073" t="s">
        <v>2260</v>
      </c>
      <c r="AH591" s="1073" t="s">
        <v>2260</v>
      </c>
      <c r="AI591" s="1074">
        <f t="shared" si="9"/>
        <v>1</v>
      </c>
      <c r="AJ591" s="1075" t="s">
        <v>1825</v>
      </c>
      <c r="AK591" s="1075" t="s">
        <v>2260</v>
      </c>
      <c r="AL591" s="1075" t="s">
        <v>2260</v>
      </c>
      <c r="AM591" s="1076" t="s">
        <v>2329</v>
      </c>
      <c r="AN591" s="987" t="s">
        <v>1857</v>
      </c>
      <c r="AO591" s="987" t="s">
        <v>4140</v>
      </c>
      <c r="AP591" s="1243">
        <v>0</v>
      </c>
      <c r="AQ591" s="1045" t="s">
        <v>1828</v>
      </c>
      <c r="AR591" s="1078" t="s">
        <v>2260</v>
      </c>
      <c r="AS591" s="1079"/>
      <c r="AT591" s="1069"/>
      <c r="AU591" s="1069"/>
      <c r="AV591" s="1069"/>
      <c r="AW591" s="1080"/>
      <c r="AX591" s="1081"/>
      <c r="AY591" s="1044"/>
      <c r="AZ591" s="1045"/>
      <c r="BA591" s="1045"/>
      <c r="BB591" s="1045"/>
      <c r="BC591" s="1045"/>
      <c r="BD591" s="1045"/>
      <c r="BE591" s="1045"/>
      <c r="BF591" s="1045"/>
      <c r="BG591" s="1045"/>
      <c r="BH591" s="1045"/>
      <c r="BI591" s="1369"/>
      <c r="BJ591" s="1319"/>
      <c r="BK591" s="1319"/>
      <c r="BL591" s="1319"/>
      <c r="BM591" s="1319"/>
      <c r="BN591" s="1044"/>
      <c r="BO591" s="1045"/>
      <c r="BP591" s="1045"/>
      <c r="BQ591" s="1045"/>
      <c r="BR591" s="1045"/>
      <c r="BS591" s="1084"/>
      <c r="BT591" s="1045"/>
      <c r="BU591" s="1045"/>
      <c r="BV591" s="1045"/>
      <c r="BW591" s="1085"/>
      <c r="BX591" s="1084"/>
      <c r="BY591" s="1045"/>
      <c r="BZ591" s="1045"/>
      <c r="CA591" s="1045"/>
      <c r="CB591" s="1085"/>
      <c r="CC591" s="1086"/>
      <c r="CD591" s="1327"/>
      <c r="CE591" s="1328"/>
      <c r="CF591" s="1328"/>
      <c r="CG591" s="1328"/>
      <c r="CH591" s="1389"/>
      <c r="CI591" s="1369"/>
      <c r="CJ591" s="1319"/>
      <c r="CK591" s="1319"/>
      <c r="CL591" s="1319"/>
      <c r="CM591" s="1320"/>
      <c r="CN591" s="1369"/>
      <c r="CO591" s="1319"/>
      <c r="CP591" s="1319"/>
      <c r="CQ591" s="1319"/>
      <c r="CR591" s="1320"/>
      <c r="CS591" s="1369"/>
      <c r="CT591" s="1319"/>
      <c r="CU591" s="1319"/>
      <c r="CV591" s="1319"/>
      <c r="CW591" s="1320"/>
      <c r="CX591" s="1369"/>
      <c r="CY591" s="1319"/>
      <c r="CZ591" s="1319"/>
      <c r="DA591" s="1319"/>
      <c r="DB591" s="1320"/>
      <c r="DC591" s="1319"/>
      <c r="DD591" s="1319"/>
      <c r="DE591" s="1319"/>
      <c r="DF591" s="1319"/>
      <c r="DG591" s="1320"/>
      <c r="DH591" s="1369"/>
      <c r="DI591" s="1319"/>
      <c r="DJ591" s="1319"/>
      <c r="DK591" s="1319"/>
      <c r="DL591" s="1320"/>
      <c r="DM591" s="1743"/>
      <c r="DN591" s="1744"/>
      <c r="DO591" s="1744"/>
      <c r="DP591" s="1745"/>
      <c r="DQ591" s="1744"/>
      <c r="DR591" s="1744"/>
      <c r="DS591" s="1744"/>
      <c r="DT591" s="1745"/>
      <c r="DU591" s="1328"/>
      <c r="DV591" s="1664"/>
      <c r="DW591" s="1746"/>
    </row>
    <row r="592" spans="1:127" s="382" customFormat="1" ht="15.75" customHeight="1">
      <c r="A592" s="1066" t="s">
        <v>1227</v>
      </c>
      <c r="B592" s="1026">
        <v>583</v>
      </c>
      <c r="C592" s="987"/>
      <c r="D592" s="987"/>
      <c r="E592" s="987"/>
      <c r="F592" s="987"/>
      <c r="G592" s="987"/>
      <c r="H592" s="987"/>
      <c r="I592" s="987"/>
      <c r="J592" s="987"/>
      <c r="K592" s="987"/>
      <c r="L592" s="987"/>
      <c r="M592" s="1026"/>
      <c r="N592" s="987"/>
      <c r="O592" s="987"/>
      <c r="P592" s="987"/>
      <c r="Q592" s="987"/>
      <c r="R592" s="987"/>
      <c r="S592" s="987"/>
      <c r="T592" s="988"/>
      <c r="U592" s="1067" t="s">
        <v>1336</v>
      </c>
      <c r="V592" s="1068" t="s">
        <v>4134</v>
      </c>
      <c r="W592" s="1068" t="s">
        <v>2231</v>
      </c>
      <c r="X592" s="1069" t="s">
        <v>2565</v>
      </c>
      <c r="Y592" s="1070" t="s">
        <v>4141</v>
      </c>
      <c r="Z592" s="1071" t="s">
        <v>4142</v>
      </c>
      <c r="AA592" s="1072" t="s">
        <v>2260</v>
      </c>
      <c r="AB592" s="1073" t="s">
        <v>2260</v>
      </c>
      <c r="AC592" s="1073" t="s">
        <v>2260</v>
      </c>
      <c r="AD592" s="1073" t="s">
        <v>2260</v>
      </c>
      <c r="AE592" s="1073">
        <v>1</v>
      </c>
      <c r="AF592" s="1073" t="s">
        <v>2260</v>
      </c>
      <c r="AG592" s="1073" t="s">
        <v>2260</v>
      </c>
      <c r="AH592" s="1073" t="s">
        <v>2260</v>
      </c>
      <c r="AI592" s="1074">
        <f t="shared" si="9"/>
        <v>1</v>
      </c>
      <c r="AJ592" s="1075" t="s">
        <v>1852</v>
      </c>
      <c r="AK592" s="1075" t="s">
        <v>1826</v>
      </c>
      <c r="AL592" s="1075" t="s">
        <v>1827</v>
      </c>
      <c r="AM592" s="1076" t="s">
        <v>2892</v>
      </c>
      <c r="AN592" s="987" t="s">
        <v>321</v>
      </c>
      <c r="AO592" s="987" t="s">
        <v>4143</v>
      </c>
      <c r="AP592" s="1243">
        <v>2</v>
      </c>
      <c r="AQ592" s="1045" t="s">
        <v>1838</v>
      </c>
      <c r="AR592" s="1078" t="s">
        <v>2260</v>
      </c>
      <c r="AS592" s="1079"/>
      <c r="AT592" s="1069"/>
      <c r="AU592" s="1069"/>
      <c r="AV592" s="1069"/>
      <c r="AW592" s="1080"/>
      <c r="AX592" s="1081"/>
      <c r="AY592" s="1044"/>
      <c r="AZ592" s="1045"/>
      <c r="BA592" s="1045"/>
      <c r="BB592" s="1045"/>
      <c r="BC592" s="1045"/>
      <c r="BD592" s="1045"/>
      <c r="BE592" s="1045"/>
      <c r="BF592" s="1045"/>
      <c r="BG592" s="1045"/>
      <c r="BH592" s="1045"/>
      <c r="BI592" s="1369"/>
      <c r="BJ592" s="1319"/>
      <c r="BK592" s="1319"/>
      <c r="BL592" s="1319"/>
      <c r="BM592" s="1319"/>
      <c r="BN592" s="1044"/>
      <c r="BO592" s="1045"/>
      <c r="BP592" s="1045"/>
      <c r="BQ592" s="1045"/>
      <c r="BR592" s="1045"/>
      <c r="BS592" s="1084"/>
      <c r="BT592" s="1045"/>
      <c r="BU592" s="1045"/>
      <c r="BV592" s="1045"/>
      <c r="BW592" s="1085"/>
      <c r="BX592" s="1084"/>
      <c r="BY592" s="1045"/>
      <c r="BZ592" s="1045"/>
      <c r="CA592" s="1045"/>
      <c r="CB592" s="1085"/>
      <c r="CC592" s="1086"/>
      <c r="CD592" s="1327"/>
      <c r="CE592" s="1328"/>
      <c r="CF592" s="1328"/>
      <c r="CG592" s="1328"/>
      <c r="CH592" s="1389"/>
      <c r="CI592" s="1369"/>
      <c r="CJ592" s="1319"/>
      <c r="CK592" s="1319"/>
      <c r="CL592" s="1319"/>
      <c r="CM592" s="1320"/>
      <c r="CN592" s="1369"/>
      <c r="CO592" s="1319"/>
      <c r="CP592" s="1319"/>
      <c r="CQ592" s="1319"/>
      <c r="CR592" s="1320"/>
      <c r="CS592" s="1369"/>
      <c r="CT592" s="1319"/>
      <c r="CU592" s="1319"/>
      <c r="CV592" s="1319"/>
      <c r="CW592" s="1320"/>
      <c r="CX592" s="1369"/>
      <c r="CY592" s="1319"/>
      <c r="CZ592" s="1319"/>
      <c r="DA592" s="1319"/>
      <c r="DB592" s="1320"/>
      <c r="DC592" s="1319"/>
      <c r="DD592" s="1319"/>
      <c r="DE592" s="1319"/>
      <c r="DF592" s="1319"/>
      <c r="DG592" s="1320"/>
      <c r="DH592" s="1369"/>
      <c r="DI592" s="1319"/>
      <c r="DJ592" s="1319"/>
      <c r="DK592" s="1319"/>
      <c r="DL592" s="1320"/>
      <c r="DM592" s="1743"/>
      <c r="DN592" s="1744"/>
      <c r="DO592" s="1744"/>
      <c r="DP592" s="1745"/>
      <c r="DQ592" s="1744"/>
      <c r="DR592" s="1744"/>
      <c r="DS592" s="1744"/>
      <c r="DT592" s="1745"/>
      <c r="DU592" s="1328"/>
      <c r="DV592" s="1664"/>
      <c r="DW592" s="1746"/>
    </row>
    <row r="593" spans="1:127" s="382" customFormat="1" ht="15.75" customHeight="1">
      <c r="A593" s="1066" t="s">
        <v>1227</v>
      </c>
      <c r="B593" s="1026">
        <v>584</v>
      </c>
      <c r="C593" s="987"/>
      <c r="D593" s="987"/>
      <c r="E593" s="987"/>
      <c r="F593" s="987"/>
      <c r="G593" s="987"/>
      <c r="H593" s="987"/>
      <c r="I593" s="987"/>
      <c r="J593" s="987"/>
      <c r="K593" s="987"/>
      <c r="L593" s="987"/>
      <c r="M593" s="1026"/>
      <c r="N593" s="987"/>
      <c r="O593" s="987"/>
      <c r="P593" s="987"/>
      <c r="Q593" s="987"/>
      <c r="R593" s="987"/>
      <c r="S593" s="987"/>
      <c r="T593" s="988"/>
      <c r="U593" s="1067" t="s">
        <v>1353</v>
      </c>
      <c r="V593" s="1068" t="s">
        <v>4134</v>
      </c>
      <c r="W593" s="1068" t="s">
        <v>2231</v>
      </c>
      <c r="X593" s="1069" t="s">
        <v>4144</v>
      </c>
      <c r="Y593" s="1070" t="s">
        <v>2745</v>
      </c>
      <c r="Z593" s="1071" t="s">
        <v>4145</v>
      </c>
      <c r="AA593" s="1072" t="s">
        <v>2260</v>
      </c>
      <c r="AB593" s="1073" t="s">
        <v>2260</v>
      </c>
      <c r="AC593" s="1073" t="s">
        <v>2260</v>
      </c>
      <c r="AD593" s="1073" t="s">
        <v>2260</v>
      </c>
      <c r="AE593" s="1073">
        <v>1</v>
      </c>
      <c r="AF593" s="1073" t="s">
        <v>2260</v>
      </c>
      <c r="AG593" s="1073" t="s">
        <v>2260</v>
      </c>
      <c r="AH593" s="1073" t="s">
        <v>2260</v>
      </c>
      <c r="AI593" s="1074">
        <f t="shared" si="9"/>
        <v>1</v>
      </c>
      <c r="AJ593" s="1075" t="s">
        <v>1852</v>
      </c>
      <c r="AK593" s="1075" t="s">
        <v>1826</v>
      </c>
      <c r="AL593" s="1075" t="s">
        <v>1827</v>
      </c>
      <c r="AM593" s="1076" t="s">
        <v>2892</v>
      </c>
      <c r="AN593" s="987" t="s">
        <v>1857</v>
      </c>
      <c r="AO593" s="987" t="s">
        <v>4146</v>
      </c>
      <c r="AP593" s="1243">
        <v>0</v>
      </c>
      <c r="AQ593" s="1045" t="s">
        <v>1828</v>
      </c>
      <c r="AR593" s="1078" t="s">
        <v>2260</v>
      </c>
      <c r="AS593" s="1079"/>
      <c r="AT593" s="1069"/>
      <c r="AU593" s="1069"/>
      <c r="AV593" s="1069"/>
      <c r="AW593" s="1080"/>
      <c r="AX593" s="1081"/>
      <c r="AY593" s="1044"/>
      <c r="AZ593" s="1045"/>
      <c r="BA593" s="1045"/>
      <c r="BB593" s="1045"/>
      <c r="BC593" s="1045"/>
      <c r="BD593" s="1045"/>
      <c r="BE593" s="1045"/>
      <c r="BF593" s="1045"/>
      <c r="BG593" s="1045"/>
      <c r="BH593" s="1045"/>
      <c r="BI593" s="1369"/>
      <c r="BJ593" s="1319"/>
      <c r="BK593" s="1319"/>
      <c r="BL593" s="1319"/>
      <c r="BM593" s="1319"/>
      <c r="BN593" s="1044"/>
      <c r="BO593" s="1045"/>
      <c r="BP593" s="1045"/>
      <c r="BQ593" s="1045"/>
      <c r="BR593" s="1045"/>
      <c r="BS593" s="1084"/>
      <c r="BT593" s="1045"/>
      <c r="BU593" s="1045"/>
      <c r="BV593" s="1045"/>
      <c r="BW593" s="1085"/>
      <c r="BX593" s="1084"/>
      <c r="BY593" s="1045"/>
      <c r="BZ593" s="1045"/>
      <c r="CA593" s="1045"/>
      <c r="CB593" s="1085"/>
      <c r="CC593" s="1086"/>
      <c r="CD593" s="1327"/>
      <c r="CE593" s="1328"/>
      <c r="CF593" s="1328"/>
      <c r="CG593" s="1328"/>
      <c r="CH593" s="1389"/>
      <c r="CI593" s="1369"/>
      <c r="CJ593" s="1319"/>
      <c r="CK593" s="1319"/>
      <c r="CL593" s="1319"/>
      <c r="CM593" s="1320"/>
      <c r="CN593" s="1369"/>
      <c r="CO593" s="1319"/>
      <c r="CP593" s="1319"/>
      <c r="CQ593" s="1319"/>
      <c r="CR593" s="1320"/>
      <c r="CS593" s="1369"/>
      <c r="CT593" s="1319"/>
      <c r="CU593" s="1319"/>
      <c r="CV593" s="1319"/>
      <c r="CW593" s="1320"/>
      <c r="CX593" s="1369"/>
      <c r="CY593" s="1319"/>
      <c r="CZ593" s="1319"/>
      <c r="DA593" s="1319"/>
      <c r="DB593" s="1320"/>
      <c r="DC593" s="1319"/>
      <c r="DD593" s="1319"/>
      <c r="DE593" s="1319"/>
      <c r="DF593" s="1319"/>
      <c r="DG593" s="1320"/>
      <c r="DH593" s="1369"/>
      <c r="DI593" s="1319"/>
      <c r="DJ593" s="1319"/>
      <c r="DK593" s="1319"/>
      <c r="DL593" s="1320"/>
      <c r="DM593" s="1743"/>
      <c r="DN593" s="1744"/>
      <c r="DO593" s="1744"/>
      <c r="DP593" s="1745"/>
      <c r="DQ593" s="1744"/>
      <c r="DR593" s="1744"/>
      <c r="DS593" s="1744"/>
      <c r="DT593" s="1745"/>
      <c r="DU593" s="1328"/>
      <c r="DV593" s="1664"/>
      <c r="DW593" s="1746"/>
    </row>
    <row r="594" spans="1:127" s="382" customFormat="1" ht="15.75" customHeight="1">
      <c r="A594" s="1066" t="s">
        <v>1227</v>
      </c>
      <c r="B594" s="1026">
        <v>585</v>
      </c>
      <c r="C594" s="987"/>
      <c r="D594" s="987"/>
      <c r="E594" s="987"/>
      <c r="F594" s="987"/>
      <c r="G594" s="987"/>
      <c r="H594" s="987"/>
      <c r="I594" s="987"/>
      <c r="J594" s="987"/>
      <c r="K594" s="987"/>
      <c r="L594" s="987"/>
      <c r="M594" s="1026"/>
      <c r="N594" s="987"/>
      <c r="O594" s="987"/>
      <c r="P594" s="987"/>
      <c r="Q594" s="987"/>
      <c r="R594" s="987"/>
      <c r="S594" s="987"/>
      <c r="T594" s="988"/>
      <c r="U594" s="1067" t="s">
        <v>1791</v>
      </c>
      <c r="V594" s="1068" t="s">
        <v>4147</v>
      </c>
      <c r="W594" s="1068" t="s">
        <v>2231</v>
      </c>
      <c r="X594" s="1069" t="s">
        <v>4148</v>
      </c>
      <c r="Y594" s="1070" t="s">
        <v>2251</v>
      </c>
      <c r="Z594" s="1071" t="s">
        <v>1888</v>
      </c>
      <c r="AA594" s="1072" t="s">
        <v>2260</v>
      </c>
      <c r="AB594" s="1073" t="s">
        <v>2260</v>
      </c>
      <c r="AC594" s="1073" t="s">
        <v>2260</v>
      </c>
      <c r="AD594" s="1073" t="s">
        <v>2260</v>
      </c>
      <c r="AE594" s="1073">
        <v>1</v>
      </c>
      <c r="AF594" s="1073" t="s">
        <v>2260</v>
      </c>
      <c r="AG594" s="1073" t="s">
        <v>2260</v>
      </c>
      <c r="AH594" s="1073" t="s">
        <v>2260</v>
      </c>
      <c r="AI594" s="1074">
        <f t="shared" si="9"/>
        <v>1</v>
      </c>
      <c r="AJ594" s="1075" t="s">
        <v>1852</v>
      </c>
      <c r="AK594" s="1075" t="s">
        <v>1826</v>
      </c>
      <c r="AL594" s="1075" t="s">
        <v>1827</v>
      </c>
      <c r="AM594" s="1076" t="s">
        <v>1888</v>
      </c>
      <c r="AN594" s="987" t="s">
        <v>1897</v>
      </c>
      <c r="AO594" s="987" t="s">
        <v>2337</v>
      </c>
      <c r="AP594" s="1243">
        <v>2</v>
      </c>
      <c r="AQ594" s="1045" t="s">
        <v>1828</v>
      </c>
      <c r="AR594" s="1078" t="s">
        <v>2251</v>
      </c>
      <c r="AS594" s="1079"/>
      <c r="AT594" s="1069"/>
      <c r="AU594" s="1069"/>
      <c r="AV594" s="1069"/>
      <c r="AW594" s="1080"/>
      <c r="AX594" s="1081"/>
      <c r="AY594" s="1044"/>
      <c r="AZ594" s="1045"/>
      <c r="BA594" s="1045"/>
      <c r="BB594" s="1045"/>
      <c r="BC594" s="1045"/>
      <c r="BD594" s="1045"/>
      <c r="BE594" s="1045"/>
      <c r="BF594" s="1045"/>
      <c r="BG594" s="1045"/>
      <c r="BH594" s="1045"/>
      <c r="BI594" s="1044" t="s">
        <v>259</v>
      </c>
      <c r="BJ594" s="1045" t="s">
        <v>259</v>
      </c>
      <c r="BK594" s="1045" t="s">
        <v>259</v>
      </c>
      <c r="BL594" s="1045" t="s">
        <v>259</v>
      </c>
      <c r="BM594" s="1045" t="s">
        <v>259</v>
      </c>
      <c r="BN594" s="1044"/>
      <c r="BO594" s="1045"/>
      <c r="BP594" s="1045"/>
      <c r="BQ594" s="1045"/>
      <c r="BR594" s="1045"/>
      <c r="BS594" s="1084"/>
      <c r="BT594" s="1045"/>
      <c r="BU594" s="1045"/>
      <c r="BV594" s="1045"/>
      <c r="BW594" s="1085"/>
      <c r="BX594" s="1084"/>
      <c r="BY594" s="1045"/>
      <c r="BZ594" s="1045"/>
      <c r="CA594" s="1045"/>
      <c r="CB594" s="1085"/>
      <c r="CC594" s="1086"/>
      <c r="CD594" s="1087" t="s">
        <v>210</v>
      </c>
      <c r="CE594" s="1088" t="s">
        <v>210</v>
      </c>
      <c r="CF594" s="1088" t="s">
        <v>210</v>
      </c>
      <c r="CG594" s="1088" t="s">
        <v>210</v>
      </c>
      <c r="CH594" s="1089" t="s">
        <v>210</v>
      </c>
      <c r="CI594" s="1044" t="s">
        <v>2260</v>
      </c>
      <c r="CJ594" s="1045" t="s">
        <v>2260</v>
      </c>
      <c r="CK594" s="1045" t="s">
        <v>2260</v>
      </c>
      <c r="CL594" s="1045" t="s">
        <v>2260</v>
      </c>
      <c r="CM594" s="1086" t="s">
        <v>2260</v>
      </c>
      <c r="CN594" s="1044" t="s">
        <v>2260</v>
      </c>
      <c r="CO594" s="1045" t="s">
        <v>2260</v>
      </c>
      <c r="CP594" s="1045" t="s">
        <v>2260</v>
      </c>
      <c r="CQ594" s="1045" t="s">
        <v>2260</v>
      </c>
      <c r="CR594" s="1086" t="s">
        <v>2260</v>
      </c>
      <c r="CS594" s="1044" t="s">
        <v>2260</v>
      </c>
      <c r="CT594" s="1045" t="s">
        <v>2260</v>
      </c>
      <c r="CU594" s="1045" t="s">
        <v>2260</v>
      </c>
      <c r="CV594" s="1045" t="s">
        <v>2260</v>
      </c>
      <c r="CW594" s="1086" t="s">
        <v>2260</v>
      </c>
      <c r="CX594" s="1044" t="s">
        <v>2260</v>
      </c>
      <c r="CY594" s="1045" t="s">
        <v>2260</v>
      </c>
      <c r="CZ594" s="1045" t="s">
        <v>2260</v>
      </c>
      <c r="DA594" s="1045" t="s">
        <v>2260</v>
      </c>
      <c r="DB594" s="1086" t="s">
        <v>2260</v>
      </c>
      <c r="DC594" s="1045" t="s">
        <v>2260</v>
      </c>
      <c r="DD594" s="1045" t="s">
        <v>2260</v>
      </c>
      <c r="DE594" s="1045" t="s">
        <v>2260</v>
      </c>
      <c r="DF594" s="1045" t="s">
        <v>2260</v>
      </c>
      <c r="DG594" s="1086" t="s">
        <v>2260</v>
      </c>
      <c r="DH594" s="1044" t="s">
        <v>2260</v>
      </c>
      <c r="DI594" s="1045" t="s">
        <v>2260</v>
      </c>
      <c r="DJ594" s="1045" t="s">
        <v>2260</v>
      </c>
      <c r="DK594" s="1045" t="s">
        <v>2260</v>
      </c>
      <c r="DL594" s="1086" t="s">
        <v>2260</v>
      </c>
      <c r="DM594" s="1090" t="s">
        <v>2260</v>
      </c>
      <c r="DN594" s="1091" t="s">
        <v>2260</v>
      </c>
      <c r="DO594" s="1091" t="s">
        <v>2260</v>
      </c>
      <c r="DP594" s="1092" t="s">
        <v>2260</v>
      </c>
      <c r="DQ594" s="1091" t="s">
        <v>2260</v>
      </c>
      <c r="DR594" s="1091" t="s">
        <v>2260</v>
      </c>
      <c r="DS594" s="1091" t="s">
        <v>2260</v>
      </c>
      <c r="DT594" s="1092" t="s">
        <v>2260</v>
      </c>
      <c r="DU594" s="1088" t="s">
        <v>2260</v>
      </c>
      <c r="DV594" s="1093">
        <v>1</v>
      </c>
      <c r="DW594" s="1094" t="s">
        <v>2260</v>
      </c>
    </row>
    <row r="595" spans="1:127" s="382" customFormat="1" ht="15.75" customHeight="1">
      <c r="A595" s="1066" t="s">
        <v>1227</v>
      </c>
      <c r="B595" s="1026">
        <v>586</v>
      </c>
      <c r="C595" s="987"/>
      <c r="D595" s="987"/>
      <c r="E595" s="987"/>
      <c r="F595" s="987"/>
      <c r="G595" s="987"/>
      <c r="H595" s="987"/>
      <c r="I595" s="987"/>
      <c r="J595" s="987"/>
      <c r="K595" s="987"/>
      <c r="L595" s="987"/>
      <c r="M595" s="1026"/>
      <c r="N595" s="987"/>
      <c r="O595" s="987"/>
      <c r="P595" s="987"/>
      <c r="Q595" s="987"/>
      <c r="R595" s="987"/>
      <c r="S595" s="987"/>
      <c r="T595" s="988"/>
      <c r="U595" s="1067" t="s">
        <v>1774</v>
      </c>
      <c r="V595" s="1068" t="s">
        <v>4147</v>
      </c>
      <c r="W595" s="1068" t="s">
        <v>2231</v>
      </c>
      <c r="X595" s="1069" t="s">
        <v>4149</v>
      </c>
      <c r="Y595" s="1070" t="s">
        <v>2254</v>
      </c>
      <c r="Z595" s="1071" t="s">
        <v>1891</v>
      </c>
      <c r="AA595" s="1072" t="s">
        <v>2260</v>
      </c>
      <c r="AB595" s="1073">
        <v>0.37</v>
      </c>
      <c r="AC595" s="1073">
        <v>0.63</v>
      </c>
      <c r="AD595" s="1073" t="s">
        <v>2260</v>
      </c>
      <c r="AE595" s="1073" t="s">
        <v>2260</v>
      </c>
      <c r="AF595" s="1073" t="s">
        <v>2260</v>
      </c>
      <c r="AG595" s="1073" t="s">
        <v>2260</v>
      </c>
      <c r="AH595" s="1073" t="s">
        <v>2260</v>
      </c>
      <c r="AI595" s="1074">
        <f t="shared" si="9"/>
        <v>1</v>
      </c>
      <c r="AJ595" s="1075" t="s">
        <v>1852</v>
      </c>
      <c r="AK595" s="1075" t="s">
        <v>1826</v>
      </c>
      <c r="AL595" s="1075" t="s">
        <v>1827</v>
      </c>
      <c r="AM595" s="1076" t="s">
        <v>1891</v>
      </c>
      <c r="AN595" s="987" t="s">
        <v>1897</v>
      </c>
      <c r="AO595" s="987" t="s">
        <v>4150</v>
      </c>
      <c r="AP595" s="1243">
        <v>2</v>
      </c>
      <c r="AQ595" s="1045" t="s">
        <v>1828</v>
      </c>
      <c r="AR595" s="1078" t="s">
        <v>2254</v>
      </c>
      <c r="AS595" s="1079"/>
      <c r="AT595" s="1069"/>
      <c r="AU595" s="1069"/>
      <c r="AV595" s="1069"/>
      <c r="AW595" s="1080"/>
      <c r="AX595" s="1081"/>
      <c r="AY595" s="1044"/>
      <c r="AZ595" s="1045"/>
      <c r="BA595" s="1045"/>
      <c r="BB595" s="1045"/>
      <c r="BC595" s="1045"/>
      <c r="BD595" s="1045"/>
      <c r="BE595" s="1045"/>
      <c r="BF595" s="1045"/>
      <c r="BG595" s="1045"/>
      <c r="BH595" s="1045"/>
      <c r="BI595" s="1044" t="s">
        <v>259</v>
      </c>
      <c r="BJ595" s="1045" t="s">
        <v>259</v>
      </c>
      <c r="BK595" s="1045" t="s">
        <v>259</v>
      </c>
      <c r="BL595" s="1045" t="s">
        <v>259</v>
      </c>
      <c r="BM595" s="1045" t="s">
        <v>259</v>
      </c>
      <c r="BN595" s="1044"/>
      <c r="BO595" s="1045"/>
      <c r="BP595" s="1045"/>
      <c r="BQ595" s="1045"/>
      <c r="BR595" s="1045"/>
      <c r="BS595" s="1084"/>
      <c r="BT595" s="1045"/>
      <c r="BU595" s="1045"/>
      <c r="BV595" s="1045"/>
      <c r="BW595" s="1085"/>
      <c r="BX595" s="1084"/>
      <c r="BY595" s="1045"/>
      <c r="BZ595" s="1045"/>
      <c r="CA595" s="1045"/>
      <c r="CB595" s="1085"/>
      <c r="CC595" s="1086"/>
      <c r="CD595" s="1087" t="s">
        <v>210</v>
      </c>
      <c r="CE595" s="1088" t="s">
        <v>210</v>
      </c>
      <c r="CF595" s="1088" t="s">
        <v>210</v>
      </c>
      <c r="CG595" s="1088" t="s">
        <v>210</v>
      </c>
      <c r="CH595" s="1089" t="s">
        <v>210</v>
      </c>
      <c r="CI595" s="1044" t="s">
        <v>2260</v>
      </c>
      <c r="CJ595" s="1045" t="s">
        <v>2260</v>
      </c>
      <c r="CK595" s="1045" t="s">
        <v>2260</v>
      </c>
      <c r="CL595" s="1045" t="s">
        <v>2260</v>
      </c>
      <c r="CM595" s="1086" t="s">
        <v>2260</v>
      </c>
      <c r="CN595" s="1044" t="s">
        <v>2260</v>
      </c>
      <c r="CO595" s="1045" t="s">
        <v>2260</v>
      </c>
      <c r="CP595" s="1045" t="s">
        <v>2260</v>
      </c>
      <c r="CQ595" s="1045" t="s">
        <v>2260</v>
      </c>
      <c r="CR595" s="1086" t="s">
        <v>2260</v>
      </c>
      <c r="CS595" s="1044" t="s">
        <v>2260</v>
      </c>
      <c r="CT595" s="1045" t="s">
        <v>2260</v>
      </c>
      <c r="CU595" s="1045" t="s">
        <v>2260</v>
      </c>
      <c r="CV595" s="1045" t="s">
        <v>2260</v>
      </c>
      <c r="CW595" s="1086" t="s">
        <v>2260</v>
      </c>
      <c r="CX595" s="1044" t="s">
        <v>2260</v>
      </c>
      <c r="CY595" s="1045" t="s">
        <v>2260</v>
      </c>
      <c r="CZ595" s="1045" t="s">
        <v>2260</v>
      </c>
      <c r="DA595" s="1045" t="s">
        <v>2260</v>
      </c>
      <c r="DB595" s="1086" t="s">
        <v>2260</v>
      </c>
      <c r="DC595" s="1045" t="s">
        <v>2260</v>
      </c>
      <c r="DD595" s="1045" t="s">
        <v>2260</v>
      </c>
      <c r="DE595" s="1045" t="s">
        <v>2260</v>
      </c>
      <c r="DF595" s="1045" t="s">
        <v>2260</v>
      </c>
      <c r="DG595" s="1086" t="s">
        <v>2260</v>
      </c>
      <c r="DH595" s="1044" t="s">
        <v>2260</v>
      </c>
      <c r="DI595" s="1045" t="s">
        <v>2260</v>
      </c>
      <c r="DJ595" s="1045" t="s">
        <v>2260</v>
      </c>
      <c r="DK595" s="1045" t="s">
        <v>2260</v>
      </c>
      <c r="DL595" s="1086" t="s">
        <v>2260</v>
      </c>
      <c r="DM595" s="1090" t="s">
        <v>2260</v>
      </c>
      <c r="DN595" s="1091" t="s">
        <v>2260</v>
      </c>
      <c r="DO595" s="1091" t="s">
        <v>2260</v>
      </c>
      <c r="DP595" s="1092" t="s">
        <v>2260</v>
      </c>
      <c r="DQ595" s="1091" t="s">
        <v>2260</v>
      </c>
      <c r="DR595" s="1091" t="s">
        <v>2260</v>
      </c>
      <c r="DS595" s="1091" t="s">
        <v>2260</v>
      </c>
      <c r="DT595" s="1092" t="s">
        <v>2260</v>
      </c>
      <c r="DU595" s="1088" t="s">
        <v>2260</v>
      </c>
      <c r="DV595" s="1093">
        <v>1</v>
      </c>
      <c r="DW595" s="1094" t="s">
        <v>2260</v>
      </c>
    </row>
    <row r="596" spans="1:127" s="382" customFormat="1" ht="15.75" customHeight="1">
      <c r="A596" s="1066" t="s">
        <v>1227</v>
      </c>
      <c r="B596" s="1026">
        <v>587</v>
      </c>
      <c r="C596" s="987"/>
      <c r="D596" s="987"/>
      <c r="E596" s="987"/>
      <c r="F596" s="987"/>
      <c r="G596" s="987"/>
      <c r="H596" s="987"/>
      <c r="I596" s="987"/>
      <c r="J596" s="987"/>
      <c r="K596" s="987"/>
      <c r="L596" s="987"/>
      <c r="M596" s="1026"/>
      <c r="N596" s="987"/>
      <c r="O596" s="987"/>
      <c r="P596" s="987"/>
      <c r="Q596" s="987"/>
      <c r="R596" s="987"/>
      <c r="S596" s="987"/>
      <c r="T596" s="988"/>
      <c r="U596" s="1067" t="s">
        <v>1619</v>
      </c>
      <c r="V596" s="1068" t="s">
        <v>4147</v>
      </c>
      <c r="W596" s="1068" t="s">
        <v>2223</v>
      </c>
      <c r="X596" s="1069" t="s">
        <v>4151</v>
      </c>
      <c r="Y596" s="1070" t="s">
        <v>2494</v>
      </c>
      <c r="Z596" s="1071" t="s">
        <v>4152</v>
      </c>
      <c r="AA596" s="1072" t="s">
        <v>2260</v>
      </c>
      <c r="AB596" s="1073" t="s">
        <v>2260</v>
      </c>
      <c r="AC596" s="1073" t="s">
        <v>2260</v>
      </c>
      <c r="AD596" s="1073" t="s">
        <v>2260</v>
      </c>
      <c r="AE596" s="1073">
        <v>1</v>
      </c>
      <c r="AF596" s="1073" t="s">
        <v>2260</v>
      </c>
      <c r="AG596" s="1073" t="s">
        <v>2260</v>
      </c>
      <c r="AH596" s="1073" t="s">
        <v>2260</v>
      </c>
      <c r="AI596" s="1074">
        <f t="shared" si="9"/>
        <v>1</v>
      </c>
      <c r="AJ596" s="1075" t="s">
        <v>1825</v>
      </c>
      <c r="AK596" s="1075" t="s">
        <v>2260</v>
      </c>
      <c r="AL596" s="1075" t="s">
        <v>2260</v>
      </c>
      <c r="AM596" s="1076" t="s">
        <v>2329</v>
      </c>
      <c r="AN596" s="987" t="s">
        <v>321</v>
      </c>
      <c r="AO596" s="987" t="s">
        <v>4153</v>
      </c>
      <c r="AP596" s="1243">
        <v>0</v>
      </c>
      <c r="AQ596" s="1045" t="s">
        <v>1828</v>
      </c>
      <c r="AR596" s="1078" t="s">
        <v>2260</v>
      </c>
      <c r="AS596" s="1079"/>
      <c r="AT596" s="1069"/>
      <c r="AU596" s="1069"/>
      <c r="AV596" s="1069"/>
      <c r="AW596" s="1080"/>
      <c r="AX596" s="1081"/>
      <c r="AY596" s="1044"/>
      <c r="AZ596" s="1045"/>
      <c r="BA596" s="1045"/>
      <c r="BB596" s="1045"/>
      <c r="BC596" s="1045"/>
      <c r="BD596" s="1045"/>
      <c r="BE596" s="1045"/>
      <c r="BF596" s="1045"/>
      <c r="BG596" s="1045"/>
      <c r="BH596" s="1045"/>
      <c r="BI596" s="1369"/>
      <c r="BJ596" s="1319"/>
      <c r="BK596" s="1319"/>
      <c r="BL596" s="1319"/>
      <c r="BM596" s="1319"/>
      <c r="BN596" s="1044"/>
      <c r="BO596" s="1045"/>
      <c r="BP596" s="1045"/>
      <c r="BQ596" s="1045"/>
      <c r="BR596" s="1045"/>
      <c r="BS596" s="1084"/>
      <c r="BT596" s="1045"/>
      <c r="BU596" s="1045"/>
      <c r="BV596" s="1045"/>
      <c r="BW596" s="1085"/>
      <c r="BX596" s="1084"/>
      <c r="BY596" s="1045"/>
      <c r="BZ596" s="1045"/>
      <c r="CA596" s="1045"/>
      <c r="CB596" s="1085"/>
      <c r="CC596" s="1086"/>
      <c r="CD596" s="1327"/>
      <c r="CE596" s="1328"/>
      <c r="CF596" s="1328"/>
      <c r="CG596" s="1328"/>
      <c r="CH596" s="1389"/>
      <c r="CI596" s="1369"/>
      <c r="CJ596" s="1319"/>
      <c r="CK596" s="1319"/>
      <c r="CL596" s="1319"/>
      <c r="CM596" s="1320"/>
      <c r="CN596" s="1369"/>
      <c r="CO596" s="1319"/>
      <c r="CP596" s="1319"/>
      <c r="CQ596" s="1319"/>
      <c r="CR596" s="1320"/>
      <c r="CS596" s="1369"/>
      <c r="CT596" s="1319"/>
      <c r="CU596" s="1319"/>
      <c r="CV596" s="1319"/>
      <c r="CW596" s="1320"/>
      <c r="CX596" s="1369"/>
      <c r="CY596" s="1319"/>
      <c r="CZ596" s="1319"/>
      <c r="DA596" s="1319"/>
      <c r="DB596" s="1320"/>
      <c r="DC596" s="1319"/>
      <c r="DD596" s="1319"/>
      <c r="DE596" s="1319"/>
      <c r="DF596" s="1319"/>
      <c r="DG596" s="1320"/>
      <c r="DH596" s="1369"/>
      <c r="DI596" s="1319"/>
      <c r="DJ596" s="1319"/>
      <c r="DK596" s="1319"/>
      <c r="DL596" s="1320"/>
      <c r="DM596" s="1743"/>
      <c r="DN596" s="1744"/>
      <c r="DO596" s="1744"/>
      <c r="DP596" s="1745"/>
      <c r="DQ596" s="1744"/>
      <c r="DR596" s="1744"/>
      <c r="DS596" s="1744"/>
      <c r="DT596" s="1745"/>
      <c r="DU596" s="1328"/>
      <c r="DV596" s="1664"/>
      <c r="DW596" s="1746"/>
    </row>
    <row r="597" spans="1:127" s="382" customFormat="1" ht="15.75" customHeight="1">
      <c r="A597" s="1066" t="s">
        <v>1227</v>
      </c>
      <c r="B597" s="1026">
        <v>588</v>
      </c>
      <c r="C597" s="987"/>
      <c r="D597" s="987"/>
      <c r="E597" s="987"/>
      <c r="F597" s="987"/>
      <c r="G597" s="987"/>
      <c r="H597" s="987"/>
      <c r="I597" s="987"/>
      <c r="J597" s="987"/>
      <c r="K597" s="987"/>
      <c r="L597" s="987"/>
      <c r="M597" s="1026"/>
      <c r="N597" s="987"/>
      <c r="O597" s="987"/>
      <c r="P597" s="987"/>
      <c r="Q597" s="987"/>
      <c r="R597" s="987"/>
      <c r="S597" s="987"/>
      <c r="T597" s="988"/>
      <c r="U597" s="1067" t="s">
        <v>1286</v>
      </c>
      <c r="V597" s="1068" t="s">
        <v>4154</v>
      </c>
      <c r="W597" s="1068" t="s">
        <v>2231</v>
      </c>
      <c r="X597" s="1069" t="s">
        <v>2592</v>
      </c>
      <c r="Y597" s="1070" t="s">
        <v>755</v>
      </c>
      <c r="Z597" s="1071" t="s">
        <v>4155</v>
      </c>
      <c r="AA597" s="1072" t="s">
        <v>2260</v>
      </c>
      <c r="AB597" s="1073" t="s">
        <v>2260</v>
      </c>
      <c r="AC597" s="1073" t="s">
        <v>2260</v>
      </c>
      <c r="AD597" s="1073" t="s">
        <v>2260</v>
      </c>
      <c r="AE597" s="1073">
        <v>1</v>
      </c>
      <c r="AF597" s="1073" t="s">
        <v>2260</v>
      </c>
      <c r="AG597" s="1073" t="s">
        <v>2260</v>
      </c>
      <c r="AH597" s="1073" t="s">
        <v>2260</v>
      </c>
      <c r="AI597" s="1074">
        <f t="shared" si="9"/>
        <v>1</v>
      </c>
      <c r="AJ597" s="1075" t="s">
        <v>1825</v>
      </c>
      <c r="AK597" s="1075" t="s">
        <v>2260</v>
      </c>
      <c r="AL597" s="1075" t="s">
        <v>2260</v>
      </c>
      <c r="AM597" s="1076" t="s">
        <v>2329</v>
      </c>
      <c r="AN597" s="987" t="s">
        <v>321</v>
      </c>
      <c r="AO597" s="987" t="s">
        <v>4424</v>
      </c>
      <c r="AP597" s="1276">
        <v>1</v>
      </c>
      <c r="AQ597" s="1045" t="s">
        <v>1828</v>
      </c>
      <c r="AR597" s="1078" t="s">
        <v>755</v>
      </c>
      <c r="AS597" s="1079"/>
      <c r="AT597" s="1069"/>
      <c r="AU597" s="1069"/>
      <c r="AV597" s="1069"/>
      <c r="AW597" s="1080"/>
      <c r="AX597" s="1081"/>
      <c r="AY597" s="1044"/>
      <c r="AZ597" s="1045"/>
      <c r="BA597" s="1045"/>
      <c r="BB597" s="1045"/>
      <c r="BC597" s="1045"/>
      <c r="BD597" s="1045"/>
      <c r="BE597" s="1045"/>
      <c r="BF597" s="1045"/>
      <c r="BG597" s="1045"/>
      <c r="BH597" s="1045"/>
      <c r="BI597" s="1044" t="s">
        <v>4503</v>
      </c>
      <c r="BJ597" s="1045" t="s">
        <v>4504</v>
      </c>
      <c r="BK597" s="1045" t="s">
        <v>4505</v>
      </c>
      <c r="BL597" s="1045" t="s">
        <v>4494</v>
      </c>
      <c r="BM597" s="1045" t="s">
        <v>4446</v>
      </c>
      <c r="BN597" s="1044"/>
      <c r="BO597" s="1045"/>
      <c r="BP597" s="1045"/>
      <c r="BQ597" s="1045"/>
      <c r="BR597" s="1045"/>
      <c r="BS597" s="1084"/>
      <c r="BT597" s="1045"/>
      <c r="BU597" s="1045"/>
      <c r="BV597" s="1045"/>
      <c r="BW597" s="1085"/>
      <c r="BX597" s="1084"/>
      <c r="BY597" s="1045"/>
      <c r="BZ597" s="1045"/>
      <c r="CA597" s="1045"/>
      <c r="CB597" s="1085"/>
      <c r="CC597" s="1086"/>
      <c r="CD597" s="1087" t="s">
        <v>2260</v>
      </c>
      <c r="CE597" s="1088" t="s">
        <v>2260</v>
      </c>
      <c r="CF597" s="1088" t="s">
        <v>2260</v>
      </c>
      <c r="CG597" s="1088" t="s">
        <v>2260</v>
      </c>
      <c r="CH597" s="1089" t="s">
        <v>2260</v>
      </c>
      <c r="CI597" s="1044" t="s">
        <v>2260</v>
      </c>
      <c r="CJ597" s="1045" t="s">
        <v>2260</v>
      </c>
      <c r="CK597" s="1045" t="s">
        <v>2260</v>
      </c>
      <c r="CL597" s="1045" t="s">
        <v>2260</v>
      </c>
      <c r="CM597" s="1086" t="s">
        <v>2260</v>
      </c>
      <c r="CN597" s="1044" t="s">
        <v>2260</v>
      </c>
      <c r="CO597" s="1045" t="s">
        <v>2260</v>
      </c>
      <c r="CP597" s="1045" t="s">
        <v>2260</v>
      </c>
      <c r="CQ597" s="1045" t="s">
        <v>2260</v>
      </c>
      <c r="CR597" s="1086" t="s">
        <v>2260</v>
      </c>
      <c r="CS597" s="1044" t="s">
        <v>2260</v>
      </c>
      <c r="CT597" s="1045" t="s">
        <v>2260</v>
      </c>
      <c r="CU597" s="1045" t="s">
        <v>2260</v>
      </c>
      <c r="CV597" s="1045" t="s">
        <v>2260</v>
      </c>
      <c r="CW597" s="1086" t="s">
        <v>2260</v>
      </c>
      <c r="CX597" s="1044" t="s">
        <v>2260</v>
      </c>
      <c r="CY597" s="1045" t="s">
        <v>2260</v>
      </c>
      <c r="CZ597" s="1045" t="s">
        <v>2260</v>
      </c>
      <c r="DA597" s="1045" t="s">
        <v>2260</v>
      </c>
      <c r="DB597" s="1086" t="s">
        <v>2260</v>
      </c>
      <c r="DC597" s="1045" t="s">
        <v>2260</v>
      </c>
      <c r="DD597" s="1045" t="s">
        <v>2260</v>
      </c>
      <c r="DE597" s="1045" t="s">
        <v>2260</v>
      </c>
      <c r="DF597" s="1045" t="s">
        <v>2260</v>
      </c>
      <c r="DG597" s="1086" t="s">
        <v>2260</v>
      </c>
      <c r="DH597" s="1044" t="s">
        <v>2260</v>
      </c>
      <c r="DI597" s="1045" t="s">
        <v>2260</v>
      </c>
      <c r="DJ597" s="1045" t="s">
        <v>2260</v>
      </c>
      <c r="DK597" s="1045" t="s">
        <v>2260</v>
      </c>
      <c r="DL597" s="1086" t="s">
        <v>2260</v>
      </c>
      <c r="DM597" s="1090" t="s">
        <v>2260</v>
      </c>
      <c r="DN597" s="1091" t="s">
        <v>2260</v>
      </c>
      <c r="DO597" s="1091" t="s">
        <v>2260</v>
      </c>
      <c r="DP597" s="1092" t="s">
        <v>2260</v>
      </c>
      <c r="DQ597" s="1091" t="s">
        <v>2260</v>
      </c>
      <c r="DR597" s="1091" t="s">
        <v>2260</v>
      </c>
      <c r="DS597" s="1091" t="s">
        <v>2260</v>
      </c>
      <c r="DT597" s="1092" t="s">
        <v>2260</v>
      </c>
      <c r="DU597" s="1088" t="s">
        <v>2260</v>
      </c>
      <c r="DV597" s="1093">
        <v>1</v>
      </c>
      <c r="DW597" s="1094" t="s">
        <v>2260</v>
      </c>
    </row>
    <row r="598" spans="1:127" s="382" customFormat="1" ht="15.75" customHeight="1">
      <c r="A598" s="1066" t="s">
        <v>1227</v>
      </c>
      <c r="B598" s="1026">
        <v>589</v>
      </c>
      <c r="C598" s="987"/>
      <c r="D598" s="987"/>
      <c r="E598" s="987"/>
      <c r="F598" s="987"/>
      <c r="G598" s="987"/>
      <c r="H598" s="987"/>
      <c r="I598" s="987"/>
      <c r="J598" s="987"/>
      <c r="K598" s="987"/>
      <c r="L598" s="987"/>
      <c r="M598" s="1026"/>
      <c r="N598" s="987"/>
      <c r="O598" s="987"/>
      <c r="P598" s="987"/>
      <c r="Q598" s="987"/>
      <c r="R598" s="987"/>
      <c r="S598" s="987"/>
      <c r="T598" s="988"/>
      <c r="U598" s="1067" t="s">
        <v>1636</v>
      </c>
      <c r="V598" s="1068" t="s">
        <v>4154</v>
      </c>
      <c r="W598" s="1068" t="s">
        <v>2223</v>
      </c>
      <c r="X598" s="1069" t="s">
        <v>2595</v>
      </c>
      <c r="Y598" s="1070" t="s">
        <v>4157</v>
      </c>
      <c r="Z598" s="1071" t="s">
        <v>4158</v>
      </c>
      <c r="AA598" s="1072" t="s">
        <v>2260</v>
      </c>
      <c r="AB598" s="1073" t="s">
        <v>2260</v>
      </c>
      <c r="AC598" s="1073" t="s">
        <v>2260</v>
      </c>
      <c r="AD598" s="1073" t="s">
        <v>2260</v>
      </c>
      <c r="AE598" s="1073">
        <v>1</v>
      </c>
      <c r="AF598" s="1073" t="s">
        <v>2260</v>
      </c>
      <c r="AG598" s="1073" t="s">
        <v>2260</v>
      </c>
      <c r="AH598" s="1073" t="s">
        <v>2260</v>
      </c>
      <c r="AI598" s="1074">
        <f t="shared" si="9"/>
        <v>1</v>
      </c>
      <c r="AJ598" s="1075" t="s">
        <v>1825</v>
      </c>
      <c r="AK598" s="1075" t="s">
        <v>2260</v>
      </c>
      <c r="AL598" s="1075" t="s">
        <v>2260</v>
      </c>
      <c r="AM598" s="1076" t="s">
        <v>2329</v>
      </c>
      <c r="AN598" s="987" t="s">
        <v>1890</v>
      </c>
      <c r="AO598" s="987" t="s">
        <v>4159</v>
      </c>
      <c r="AP598" s="1243">
        <v>0</v>
      </c>
      <c r="AQ598" s="1045" t="s">
        <v>1890</v>
      </c>
      <c r="AR598" s="1078" t="s">
        <v>2260</v>
      </c>
      <c r="AS598" s="1079"/>
      <c r="AT598" s="1069"/>
      <c r="AU598" s="1069"/>
      <c r="AV598" s="1069"/>
      <c r="AW598" s="1080"/>
      <c r="AX598" s="1081"/>
      <c r="AY598" s="1044"/>
      <c r="AZ598" s="1045"/>
      <c r="BA598" s="1045"/>
      <c r="BB598" s="1045"/>
      <c r="BC598" s="1045"/>
      <c r="BD598" s="1045"/>
      <c r="BE598" s="1045"/>
      <c r="BF598" s="1045"/>
      <c r="BG598" s="1045"/>
      <c r="BH598" s="1045"/>
      <c r="BI598" s="1369"/>
      <c r="BJ598" s="1319"/>
      <c r="BK598" s="1319"/>
      <c r="BL598" s="1319"/>
      <c r="BM598" s="1319"/>
      <c r="BN598" s="1044"/>
      <c r="BO598" s="1045"/>
      <c r="BP598" s="1045"/>
      <c r="BQ598" s="1045"/>
      <c r="BR598" s="1045"/>
      <c r="BS598" s="1084"/>
      <c r="BT598" s="1045"/>
      <c r="BU598" s="1045"/>
      <c r="BV598" s="1045"/>
      <c r="BW598" s="1085"/>
      <c r="BX598" s="1084"/>
      <c r="BY598" s="1045"/>
      <c r="BZ598" s="1045"/>
      <c r="CA598" s="1045"/>
      <c r="CB598" s="1085"/>
      <c r="CC598" s="1086"/>
      <c r="CD598" s="1327"/>
      <c r="CE598" s="1328"/>
      <c r="CF598" s="1328"/>
      <c r="CG598" s="1328"/>
      <c r="CH598" s="1389"/>
      <c r="CI598" s="1369"/>
      <c r="CJ598" s="1319"/>
      <c r="CK598" s="1319"/>
      <c r="CL598" s="1319"/>
      <c r="CM598" s="1320"/>
      <c r="CN598" s="1369"/>
      <c r="CO598" s="1319"/>
      <c r="CP598" s="1319"/>
      <c r="CQ598" s="1319"/>
      <c r="CR598" s="1320"/>
      <c r="CS598" s="1369"/>
      <c r="CT598" s="1319"/>
      <c r="CU598" s="1319"/>
      <c r="CV598" s="1319"/>
      <c r="CW598" s="1320"/>
      <c r="CX598" s="1369"/>
      <c r="CY598" s="1319"/>
      <c r="CZ598" s="1319"/>
      <c r="DA598" s="1319"/>
      <c r="DB598" s="1320"/>
      <c r="DC598" s="1319"/>
      <c r="DD598" s="1319"/>
      <c r="DE598" s="1319"/>
      <c r="DF598" s="1319"/>
      <c r="DG598" s="1320"/>
      <c r="DH598" s="1369"/>
      <c r="DI598" s="1319"/>
      <c r="DJ598" s="1319"/>
      <c r="DK598" s="1319"/>
      <c r="DL598" s="1320"/>
      <c r="DM598" s="1743"/>
      <c r="DN598" s="1744"/>
      <c r="DO598" s="1744"/>
      <c r="DP598" s="1745"/>
      <c r="DQ598" s="1744"/>
      <c r="DR598" s="1744"/>
      <c r="DS598" s="1744"/>
      <c r="DT598" s="1745"/>
      <c r="DU598" s="1328"/>
      <c r="DV598" s="1664"/>
      <c r="DW598" s="1746"/>
    </row>
    <row r="599" spans="1:127" s="382" customFormat="1" ht="15.75" customHeight="1">
      <c r="A599" s="1066" t="s">
        <v>1227</v>
      </c>
      <c r="B599" s="1026">
        <v>590</v>
      </c>
      <c r="C599" s="987"/>
      <c r="D599" s="987"/>
      <c r="E599" s="987"/>
      <c r="F599" s="987"/>
      <c r="G599" s="987"/>
      <c r="H599" s="987"/>
      <c r="I599" s="987"/>
      <c r="J599" s="987"/>
      <c r="K599" s="987"/>
      <c r="L599" s="987"/>
      <c r="M599" s="1026"/>
      <c r="N599" s="987"/>
      <c r="O599" s="987"/>
      <c r="P599" s="987"/>
      <c r="Q599" s="987"/>
      <c r="R599" s="987"/>
      <c r="S599" s="987"/>
      <c r="T599" s="988"/>
      <c r="U599" s="1067" t="s">
        <v>1370</v>
      </c>
      <c r="V599" s="1068" t="s">
        <v>4154</v>
      </c>
      <c r="W599" s="1068" t="s">
        <v>2231</v>
      </c>
      <c r="X599" s="1069" t="s">
        <v>2599</v>
      </c>
      <c r="Y599" s="1070" t="s">
        <v>4160</v>
      </c>
      <c r="Z599" s="1071" t="s">
        <v>4161</v>
      </c>
      <c r="AA599" s="1072">
        <v>0.25</v>
      </c>
      <c r="AB599" s="1073">
        <v>0.25</v>
      </c>
      <c r="AC599" s="1073">
        <v>0.25</v>
      </c>
      <c r="AD599" s="1073">
        <v>0.25</v>
      </c>
      <c r="AE599" s="1073" t="s">
        <v>2260</v>
      </c>
      <c r="AF599" s="1073" t="s">
        <v>2260</v>
      </c>
      <c r="AG599" s="1073" t="s">
        <v>2260</v>
      </c>
      <c r="AH599" s="1073" t="s">
        <v>2260</v>
      </c>
      <c r="AI599" s="1074">
        <f t="shared" si="9"/>
        <v>1</v>
      </c>
      <c r="AJ599" s="1075" t="s">
        <v>1852</v>
      </c>
      <c r="AK599" s="1075" t="s">
        <v>1826</v>
      </c>
      <c r="AL599" s="1075" t="s">
        <v>1827</v>
      </c>
      <c r="AM599" s="1076" t="s">
        <v>2610</v>
      </c>
      <c r="AN599" s="987" t="s">
        <v>1857</v>
      </c>
      <c r="AO599" s="987" t="s">
        <v>4160</v>
      </c>
      <c r="AP599" s="1243">
        <v>0</v>
      </c>
      <c r="AQ599" s="1045" t="s">
        <v>1828</v>
      </c>
      <c r="AR599" s="1078" t="s">
        <v>2260</v>
      </c>
      <c r="AS599" s="1079"/>
      <c r="AT599" s="1069"/>
      <c r="AU599" s="1069"/>
      <c r="AV599" s="1069"/>
      <c r="AW599" s="1080"/>
      <c r="AX599" s="1081"/>
      <c r="AY599" s="1044"/>
      <c r="AZ599" s="1045"/>
      <c r="BA599" s="1045"/>
      <c r="BB599" s="1045"/>
      <c r="BC599" s="1045"/>
      <c r="BD599" s="1045"/>
      <c r="BE599" s="1045"/>
      <c r="BF599" s="1045"/>
      <c r="BG599" s="1045"/>
      <c r="BH599" s="1045"/>
      <c r="BI599" s="1369"/>
      <c r="BJ599" s="1319"/>
      <c r="BK599" s="1319"/>
      <c r="BL599" s="1319"/>
      <c r="BM599" s="1319"/>
      <c r="BN599" s="1044"/>
      <c r="BO599" s="1045"/>
      <c r="BP599" s="1045"/>
      <c r="BQ599" s="1045"/>
      <c r="BR599" s="1045"/>
      <c r="BS599" s="1084"/>
      <c r="BT599" s="1045"/>
      <c r="BU599" s="1045"/>
      <c r="BV599" s="1045"/>
      <c r="BW599" s="1085"/>
      <c r="BX599" s="1084"/>
      <c r="BY599" s="1045"/>
      <c r="BZ599" s="1045"/>
      <c r="CA599" s="1045"/>
      <c r="CB599" s="1085"/>
      <c r="CC599" s="1086"/>
      <c r="CD599" s="1327"/>
      <c r="CE599" s="1328"/>
      <c r="CF599" s="1328"/>
      <c r="CG599" s="1328"/>
      <c r="CH599" s="1389"/>
      <c r="CI599" s="1369"/>
      <c r="CJ599" s="1319"/>
      <c r="CK599" s="1319"/>
      <c r="CL599" s="1319"/>
      <c r="CM599" s="1320"/>
      <c r="CN599" s="1369"/>
      <c r="CO599" s="1319"/>
      <c r="CP599" s="1319"/>
      <c r="CQ599" s="1319"/>
      <c r="CR599" s="1320"/>
      <c r="CS599" s="1369"/>
      <c r="CT599" s="1319"/>
      <c r="CU599" s="1319"/>
      <c r="CV599" s="1319"/>
      <c r="CW599" s="1320"/>
      <c r="CX599" s="1369"/>
      <c r="CY599" s="1319"/>
      <c r="CZ599" s="1319"/>
      <c r="DA599" s="1319"/>
      <c r="DB599" s="1320"/>
      <c r="DC599" s="1319"/>
      <c r="DD599" s="1319"/>
      <c r="DE599" s="1319"/>
      <c r="DF599" s="1319"/>
      <c r="DG599" s="1320"/>
      <c r="DH599" s="1369"/>
      <c r="DI599" s="1319"/>
      <c r="DJ599" s="1319"/>
      <c r="DK599" s="1319"/>
      <c r="DL599" s="1320"/>
      <c r="DM599" s="1743"/>
      <c r="DN599" s="1744"/>
      <c r="DO599" s="1744"/>
      <c r="DP599" s="1745"/>
      <c r="DQ599" s="1744"/>
      <c r="DR599" s="1744"/>
      <c r="DS599" s="1744"/>
      <c r="DT599" s="1745"/>
      <c r="DU599" s="1328"/>
      <c r="DV599" s="1664"/>
      <c r="DW599" s="1746"/>
    </row>
    <row r="600" spans="1:127" s="382" customFormat="1" ht="15.75" customHeight="1">
      <c r="A600" s="1023" t="s">
        <v>1227</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1297</v>
      </c>
      <c r="V600" s="1029" t="s">
        <v>4162</v>
      </c>
      <c r="W600" s="1029" t="s">
        <v>2217</v>
      </c>
      <c r="X600" s="1030" t="s">
        <v>4163</v>
      </c>
      <c r="Y600" s="1031" t="s">
        <v>705</v>
      </c>
      <c r="Z600" s="1032" t="s">
        <v>4164</v>
      </c>
      <c r="AA600" s="1033" t="s">
        <v>2260</v>
      </c>
      <c r="AB600" s="1034">
        <v>1</v>
      </c>
      <c r="AC600" s="1034" t="s">
        <v>2260</v>
      </c>
      <c r="AD600" s="1034" t="s">
        <v>2260</v>
      </c>
      <c r="AE600" s="1034" t="s">
        <v>2260</v>
      </c>
      <c r="AF600" s="1034" t="s">
        <v>2260</v>
      </c>
      <c r="AG600" s="1034" t="s">
        <v>2260</v>
      </c>
      <c r="AH600" s="1034" t="s">
        <v>2260</v>
      </c>
      <c r="AI600" s="1035">
        <f t="shared" si="9"/>
        <v>1</v>
      </c>
      <c r="AJ600" s="1036" t="s">
        <v>1852</v>
      </c>
      <c r="AK600" s="1036" t="s">
        <v>1826</v>
      </c>
      <c r="AL600" s="1036" t="s">
        <v>1827</v>
      </c>
      <c r="AM600" s="1037" t="s">
        <v>705</v>
      </c>
      <c r="AN600" s="1031" t="s">
        <v>321</v>
      </c>
      <c r="AO600" s="1031" t="s">
        <v>4416</v>
      </c>
      <c r="AP600" s="1275">
        <v>1</v>
      </c>
      <c r="AQ600" s="1049" t="s">
        <v>1828</v>
      </c>
      <c r="AR600" s="1040" t="s">
        <v>705</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210</v>
      </c>
      <c r="CE600" s="1054" t="s">
        <v>210</v>
      </c>
      <c r="CF600" s="1054" t="s">
        <v>210</v>
      </c>
      <c r="CG600" s="1054" t="s">
        <v>210</v>
      </c>
      <c r="CH600" s="1055" t="s">
        <v>210</v>
      </c>
      <c r="CI600" s="1058">
        <v>-45.4</v>
      </c>
      <c r="CJ600" s="1056">
        <v>-45.4</v>
      </c>
      <c r="CK600" s="1056">
        <v>-45.4</v>
      </c>
      <c r="CL600" s="1056">
        <v>-45.4</v>
      </c>
      <c r="CM600" s="1057">
        <v>-45.4</v>
      </c>
      <c r="CN600" s="1058">
        <v>-25</v>
      </c>
      <c r="CO600" s="1056">
        <v>-25</v>
      </c>
      <c r="CP600" s="1056">
        <v>-25</v>
      </c>
      <c r="CQ600" s="1056">
        <v>-25</v>
      </c>
      <c r="CR600" s="1057">
        <v>-25</v>
      </c>
      <c r="CS600" s="1048" t="s">
        <v>2260</v>
      </c>
      <c r="CT600" s="1049" t="s">
        <v>2260</v>
      </c>
      <c r="CU600" s="1049" t="s">
        <v>2260</v>
      </c>
      <c r="CV600" s="1049" t="s">
        <v>2260</v>
      </c>
      <c r="CW600" s="1052" t="s">
        <v>2260</v>
      </c>
      <c r="CX600" s="1048" t="s">
        <v>2260</v>
      </c>
      <c r="CY600" s="1049" t="s">
        <v>2260</v>
      </c>
      <c r="CZ600" s="1049" t="s">
        <v>2260</v>
      </c>
      <c r="DA600" s="1049" t="s">
        <v>2260</v>
      </c>
      <c r="DB600" s="1052" t="s">
        <v>2260</v>
      </c>
      <c r="DC600" s="1056">
        <v>35.6</v>
      </c>
      <c r="DD600" s="1056">
        <v>36.200000000000003</v>
      </c>
      <c r="DE600" s="1056">
        <v>37.1</v>
      </c>
      <c r="DF600" s="1056">
        <v>38.1</v>
      </c>
      <c r="DG600" s="1057">
        <v>39.299999999999997</v>
      </c>
      <c r="DH600" s="1058" t="s">
        <v>4430</v>
      </c>
      <c r="DI600" s="1049" t="s">
        <v>4430</v>
      </c>
      <c r="DJ600" s="1049" t="s">
        <v>4430</v>
      </c>
      <c r="DK600" s="1049" t="s">
        <v>4430</v>
      </c>
      <c r="DL600" s="1052" t="s">
        <v>4430</v>
      </c>
      <c r="DM600" s="1060">
        <v>-0.33</v>
      </c>
      <c r="DN600" s="1061" t="s">
        <v>2260</v>
      </c>
      <c r="DO600" s="1061" t="s">
        <v>2260</v>
      </c>
      <c r="DP600" s="1062">
        <v>-0.47099999999999997</v>
      </c>
      <c r="DQ600" s="1061">
        <v>0.22</v>
      </c>
      <c r="DR600" s="1061" t="s">
        <v>2260</v>
      </c>
      <c r="DS600" s="1061" t="s">
        <v>2260</v>
      </c>
      <c r="DT600" s="1062">
        <v>0.47099999999999997</v>
      </c>
      <c r="DU600" s="1054" t="s">
        <v>2260</v>
      </c>
      <c r="DV600" s="1063">
        <v>1</v>
      </c>
      <c r="DW600" s="1064" t="s">
        <v>2260</v>
      </c>
    </row>
    <row r="601" spans="1:127" s="382" customFormat="1" ht="15.75" customHeight="1">
      <c r="A601" s="1023" t="s">
        <v>1227</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1291</v>
      </c>
      <c r="V601" s="1029" t="s">
        <v>4162</v>
      </c>
      <c r="W601" s="1029" t="s">
        <v>2217</v>
      </c>
      <c r="X601" s="1030" t="s">
        <v>4166</v>
      </c>
      <c r="Y601" s="1031" t="s">
        <v>1084</v>
      </c>
      <c r="Z601" s="1032" t="s">
        <v>4167</v>
      </c>
      <c r="AA601" s="1033" t="s">
        <v>2260</v>
      </c>
      <c r="AB601" s="1034">
        <v>1</v>
      </c>
      <c r="AC601" s="1034" t="s">
        <v>2260</v>
      </c>
      <c r="AD601" s="1034" t="s">
        <v>2260</v>
      </c>
      <c r="AE601" s="1034" t="s">
        <v>2260</v>
      </c>
      <c r="AF601" s="1034" t="s">
        <v>2260</v>
      </c>
      <c r="AG601" s="1034" t="s">
        <v>2260</v>
      </c>
      <c r="AH601" s="1034" t="s">
        <v>2260</v>
      </c>
      <c r="AI601" s="1035">
        <f t="shared" si="9"/>
        <v>1</v>
      </c>
      <c r="AJ601" s="1036" t="s">
        <v>1852</v>
      </c>
      <c r="AK601" s="1036" t="s">
        <v>1826</v>
      </c>
      <c r="AL601" s="1389" t="s">
        <v>1837</v>
      </c>
      <c r="AM601" s="1037" t="s">
        <v>2348</v>
      </c>
      <c r="AN601" s="1031" t="s">
        <v>2397</v>
      </c>
      <c r="AO601" s="1031" t="s">
        <v>4416</v>
      </c>
      <c r="AP601" s="1275">
        <v>1</v>
      </c>
      <c r="AQ601" s="802" t="s">
        <v>1828</v>
      </c>
      <c r="AR601" s="1040" t="s">
        <v>1084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210</v>
      </c>
      <c r="CE601" s="1054" t="s">
        <v>210</v>
      </c>
      <c r="CF601" s="1054" t="s">
        <v>210</v>
      </c>
      <c r="CG601" s="1054" t="s">
        <v>210</v>
      </c>
      <c r="CH601" s="1055" t="s">
        <v>210</v>
      </c>
      <c r="CI601" s="1058" t="s">
        <v>2260</v>
      </c>
      <c r="CJ601" s="1056" t="s">
        <v>2260</v>
      </c>
      <c r="CK601" s="1056" t="s">
        <v>2260</v>
      </c>
      <c r="CL601" s="1056" t="s">
        <v>2260</v>
      </c>
      <c r="CM601" s="1057" t="s">
        <v>2260</v>
      </c>
      <c r="CN601" s="902">
        <v>-12.7</v>
      </c>
      <c r="CO601" s="848">
        <v>-12.7</v>
      </c>
      <c r="CP601" s="848">
        <v>-12.7</v>
      </c>
      <c r="CQ601" s="848">
        <v>-12.7</v>
      </c>
      <c r="CR601" s="903">
        <v>-12.7</v>
      </c>
      <c r="CS601" s="1048" t="s">
        <v>2260</v>
      </c>
      <c r="CT601" s="1049" t="s">
        <v>2260</v>
      </c>
      <c r="CU601" s="1049" t="s">
        <v>2260</v>
      </c>
      <c r="CV601" s="1049" t="s">
        <v>2260</v>
      </c>
      <c r="CW601" s="1052" t="s">
        <v>2260</v>
      </c>
      <c r="CX601" s="1048" t="s">
        <v>2260</v>
      </c>
      <c r="CY601" s="1049" t="s">
        <v>2260</v>
      </c>
      <c r="CZ601" s="1049" t="s">
        <v>2260</v>
      </c>
      <c r="DA601" s="1049" t="s">
        <v>2260</v>
      </c>
      <c r="DB601" s="1052" t="s">
        <v>2260</v>
      </c>
      <c r="DC601" s="1056" t="s">
        <v>2260</v>
      </c>
      <c r="DD601" s="1056" t="s">
        <v>2260</v>
      </c>
      <c r="DE601" s="1056" t="s">
        <v>2260</v>
      </c>
      <c r="DF601" s="1056" t="s">
        <v>2260</v>
      </c>
      <c r="DG601" s="1057" t="s">
        <v>2260</v>
      </c>
      <c r="DH601" s="1058" t="s">
        <v>2260</v>
      </c>
      <c r="DI601" s="1049" t="s">
        <v>2260</v>
      </c>
      <c r="DJ601" s="1049" t="s">
        <v>2260</v>
      </c>
      <c r="DK601" s="1049" t="s">
        <v>2260</v>
      </c>
      <c r="DL601" s="1052" t="s">
        <v>2260</v>
      </c>
      <c r="DM601" s="1060">
        <v>-0.13</v>
      </c>
      <c r="DN601" s="1061">
        <v>-0.43</v>
      </c>
      <c r="DO601" s="1061" t="s">
        <v>2260</v>
      </c>
      <c r="DP601" s="1062" t="s">
        <v>2260</v>
      </c>
      <c r="DQ601" s="1061">
        <v>9.0999999999999998E-2</v>
      </c>
      <c r="DR601" s="1061" t="s">
        <v>2260</v>
      </c>
      <c r="DS601" s="1061" t="s">
        <v>2260</v>
      </c>
      <c r="DT601" s="1062" t="s">
        <v>2260</v>
      </c>
      <c r="DU601" s="1054" t="s">
        <v>2260</v>
      </c>
      <c r="DV601" s="1063">
        <v>1</v>
      </c>
      <c r="DW601" s="1064" t="s">
        <v>2260</v>
      </c>
    </row>
    <row r="602" spans="1:127" s="382" customFormat="1" ht="15.75" customHeight="1">
      <c r="A602" s="1066" t="s">
        <v>1227</v>
      </c>
      <c r="B602" s="1026">
        <v>593</v>
      </c>
      <c r="C602" s="987"/>
      <c r="D602" s="987"/>
      <c r="E602" s="987"/>
      <c r="F602" s="987"/>
      <c r="G602" s="987"/>
      <c r="H602" s="987"/>
      <c r="I602" s="987"/>
      <c r="J602" s="987"/>
      <c r="K602" s="987"/>
      <c r="L602" s="987"/>
      <c r="M602" s="1026"/>
      <c r="N602" s="987"/>
      <c r="O602" s="987"/>
      <c r="P602" s="987"/>
      <c r="Q602" s="987"/>
      <c r="R602" s="987"/>
      <c r="S602" s="987"/>
      <c r="T602" s="988"/>
      <c r="U602" s="1067" t="s">
        <v>1387</v>
      </c>
      <c r="V602" s="1068" t="s">
        <v>4162</v>
      </c>
      <c r="W602" s="1068" t="s">
        <v>2223</v>
      </c>
      <c r="X602" s="1069" t="s">
        <v>4169</v>
      </c>
      <c r="Y602" s="1070" t="s">
        <v>4170</v>
      </c>
      <c r="Z602" s="1071" t="s">
        <v>4171</v>
      </c>
      <c r="AA602" s="1072" t="s">
        <v>2260</v>
      </c>
      <c r="AB602" s="1073">
        <v>1</v>
      </c>
      <c r="AC602" s="1073" t="s">
        <v>2260</v>
      </c>
      <c r="AD602" s="1073" t="s">
        <v>2260</v>
      </c>
      <c r="AE602" s="1073" t="s">
        <v>2260</v>
      </c>
      <c r="AF602" s="1073" t="s">
        <v>2260</v>
      </c>
      <c r="AG602" s="1073" t="s">
        <v>2260</v>
      </c>
      <c r="AH602" s="1073" t="s">
        <v>2260</v>
      </c>
      <c r="AI602" s="1074">
        <f t="shared" si="9"/>
        <v>1</v>
      </c>
      <c r="AJ602" s="1075" t="s">
        <v>1852</v>
      </c>
      <c r="AK602" s="1075" t="s">
        <v>1826</v>
      </c>
      <c r="AL602" s="1075" t="s">
        <v>1827</v>
      </c>
      <c r="AM602" s="1076" t="s">
        <v>705</v>
      </c>
      <c r="AN602" s="987" t="s">
        <v>321</v>
      </c>
      <c r="AO602" s="987" t="s">
        <v>4172</v>
      </c>
      <c r="AP602" s="1243">
        <v>0</v>
      </c>
      <c r="AQ602" s="1045" t="s">
        <v>1828</v>
      </c>
      <c r="AR602" s="1078" t="s">
        <v>2260</v>
      </c>
      <c r="AS602" s="1079"/>
      <c r="AT602" s="1069"/>
      <c r="AU602" s="1069"/>
      <c r="AV602" s="1069"/>
      <c r="AW602" s="1080"/>
      <c r="AX602" s="1081"/>
      <c r="AY602" s="1044"/>
      <c r="AZ602" s="1045"/>
      <c r="BA602" s="1045"/>
      <c r="BB602" s="1045"/>
      <c r="BC602" s="1045"/>
      <c r="BD602" s="1045"/>
      <c r="BE602" s="1045"/>
      <c r="BF602" s="1045"/>
      <c r="BG602" s="1045"/>
      <c r="BH602" s="1045"/>
      <c r="BI602" s="1369"/>
      <c r="BJ602" s="1319"/>
      <c r="BK602" s="1319"/>
      <c r="BL602" s="1319"/>
      <c r="BM602" s="1319"/>
      <c r="BN602" s="1044"/>
      <c r="BO602" s="1045"/>
      <c r="BP602" s="1045"/>
      <c r="BQ602" s="1045"/>
      <c r="BR602" s="1045"/>
      <c r="BS602" s="1084"/>
      <c r="BT602" s="1045"/>
      <c r="BU602" s="1045"/>
      <c r="BV602" s="1045"/>
      <c r="BW602" s="1085"/>
      <c r="BX602" s="1084"/>
      <c r="BY602" s="1045"/>
      <c r="BZ602" s="1045"/>
      <c r="CA602" s="1045"/>
      <c r="CB602" s="1085"/>
      <c r="CC602" s="1086"/>
      <c r="CD602" s="1327"/>
      <c r="CE602" s="1328"/>
      <c r="CF602" s="1328"/>
      <c r="CG602" s="1328"/>
      <c r="CH602" s="1389"/>
      <c r="CI602" s="1369"/>
      <c r="CJ602" s="1319"/>
      <c r="CK602" s="1319"/>
      <c r="CL602" s="1319"/>
      <c r="CM602" s="1320"/>
      <c r="CN602" s="1369"/>
      <c r="CO602" s="1319"/>
      <c r="CP602" s="1319"/>
      <c r="CQ602" s="1319"/>
      <c r="CR602" s="1320"/>
      <c r="CS602" s="1369"/>
      <c r="CT602" s="1319"/>
      <c r="CU602" s="1319"/>
      <c r="CV602" s="1319"/>
      <c r="CW602" s="1320"/>
      <c r="CX602" s="1369"/>
      <c r="CY602" s="1319"/>
      <c r="CZ602" s="1319"/>
      <c r="DA602" s="1319"/>
      <c r="DB602" s="1320"/>
      <c r="DC602" s="1319"/>
      <c r="DD602" s="1319"/>
      <c r="DE602" s="1319"/>
      <c r="DF602" s="1319"/>
      <c r="DG602" s="1320"/>
      <c r="DH602" s="1369"/>
      <c r="DI602" s="1319"/>
      <c r="DJ602" s="1319"/>
      <c r="DK602" s="1319"/>
      <c r="DL602" s="1320"/>
      <c r="DM602" s="1743"/>
      <c r="DN602" s="1744"/>
      <c r="DO602" s="1744"/>
      <c r="DP602" s="1745"/>
      <c r="DQ602" s="1744"/>
      <c r="DR602" s="1744"/>
      <c r="DS602" s="1744"/>
      <c r="DT602" s="1745"/>
      <c r="DU602" s="1328"/>
      <c r="DV602" s="1664"/>
      <c r="DW602" s="1746"/>
    </row>
    <row r="603" spans="1:127" s="382" customFormat="1" ht="15.75" customHeight="1">
      <c r="A603" s="1066" t="s">
        <v>1227</v>
      </c>
      <c r="B603" s="1026">
        <v>594</v>
      </c>
      <c r="C603" s="987"/>
      <c r="D603" s="987"/>
      <c r="E603" s="987"/>
      <c r="F603" s="987"/>
      <c r="G603" s="987"/>
      <c r="H603" s="987"/>
      <c r="I603" s="987"/>
      <c r="J603" s="987"/>
      <c r="K603" s="987"/>
      <c r="L603" s="987"/>
      <c r="M603" s="1026"/>
      <c r="N603" s="987"/>
      <c r="O603" s="987"/>
      <c r="P603" s="987"/>
      <c r="Q603" s="987"/>
      <c r="R603" s="987"/>
      <c r="S603" s="987"/>
      <c r="T603" s="988"/>
      <c r="U603" s="1067" t="s">
        <v>1652</v>
      </c>
      <c r="V603" s="1068" t="s">
        <v>4162</v>
      </c>
      <c r="W603" s="1068" t="s">
        <v>2217</v>
      </c>
      <c r="X603" s="1069" t="s">
        <v>4173</v>
      </c>
      <c r="Y603" s="1070" t="s">
        <v>4174</v>
      </c>
      <c r="Z603" s="1071" t="s">
        <v>4175</v>
      </c>
      <c r="AA603" s="1072" t="s">
        <v>2260</v>
      </c>
      <c r="AB603" s="1073">
        <v>1</v>
      </c>
      <c r="AC603" s="1073" t="s">
        <v>2260</v>
      </c>
      <c r="AD603" s="1073" t="s">
        <v>2260</v>
      </c>
      <c r="AE603" s="1073" t="s">
        <v>2260</v>
      </c>
      <c r="AF603" s="1073" t="s">
        <v>2260</v>
      </c>
      <c r="AG603" s="1073" t="s">
        <v>2260</v>
      </c>
      <c r="AH603" s="1073" t="s">
        <v>2260</v>
      </c>
      <c r="AI603" s="1074">
        <f t="shared" si="9"/>
        <v>1</v>
      </c>
      <c r="AJ603" s="1075" t="s">
        <v>1825</v>
      </c>
      <c r="AK603" s="1075" t="s">
        <v>2260</v>
      </c>
      <c r="AL603" s="1075" t="s">
        <v>2260</v>
      </c>
      <c r="AM603" s="1076" t="s">
        <v>2348</v>
      </c>
      <c r="AN603" s="987" t="s">
        <v>1857</v>
      </c>
      <c r="AO603" s="987" t="s">
        <v>4176</v>
      </c>
      <c r="AP603" s="1243">
        <v>1</v>
      </c>
      <c r="AQ603" s="1045" t="s">
        <v>1828</v>
      </c>
      <c r="AR603" s="1078" t="s">
        <v>2260</v>
      </c>
      <c r="AS603" s="1079"/>
      <c r="AT603" s="1069"/>
      <c r="AU603" s="1069"/>
      <c r="AV603" s="1069"/>
      <c r="AW603" s="1080"/>
      <c r="AX603" s="1081"/>
      <c r="AY603" s="1044"/>
      <c r="AZ603" s="1045"/>
      <c r="BA603" s="1045"/>
      <c r="BB603" s="1045"/>
      <c r="BC603" s="1045"/>
      <c r="BD603" s="1045"/>
      <c r="BE603" s="1045"/>
      <c r="BF603" s="1045"/>
      <c r="BG603" s="1045"/>
      <c r="BH603" s="1045"/>
      <c r="BI603" s="1369"/>
      <c r="BJ603" s="1319"/>
      <c r="BK603" s="1319"/>
      <c r="BL603" s="1319"/>
      <c r="BM603" s="1319"/>
      <c r="BN603" s="1044"/>
      <c r="BO603" s="1045"/>
      <c r="BP603" s="1045"/>
      <c r="BQ603" s="1045"/>
      <c r="BR603" s="1045"/>
      <c r="BS603" s="1084"/>
      <c r="BT603" s="1045"/>
      <c r="BU603" s="1045"/>
      <c r="BV603" s="1045"/>
      <c r="BW603" s="1085"/>
      <c r="BX603" s="1084"/>
      <c r="BY603" s="1045"/>
      <c r="BZ603" s="1045"/>
      <c r="CA603" s="1045"/>
      <c r="CB603" s="1085"/>
      <c r="CC603" s="1086"/>
      <c r="CD603" s="1327"/>
      <c r="CE603" s="1328"/>
      <c r="CF603" s="1328"/>
      <c r="CG603" s="1328"/>
      <c r="CH603" s="1389"/>
      <c r="CI603" s="1369"/>
      <c r="CJ603" s="1319"/>
      <c r="CK603" s="1319"/>
      <c r="CL603" s="1319"/>
      <c r="CM603" s="1320"/>
      <c r="CN603" s="1369"/>
      <c r="CO603" s="1319"/>
      <c r="CP603" s="1319"/>
      <c r="CQ603" s="1319"/>
      <c r="CR603" s="1320"/>
      <c r="CS603" s="1369"/>
      <c r="CT603" s="1319"/>
      <c r="CU603" s="1319"/>
      <c r="CV603" s="1319"/>
      <c r="CW603" s="1320"/>
      <c r="CX603" s="1369"/>
      <c r="CY603" s="1319"/>
      <c r="CZ603" s="1319"/>
      <c r="DA603" s="1319"/>
      <c r="DB603" s="1320"/>
      <c r="DC603" s="1319"/>
      <c r="DD603" s="1319"/>
      <c r="DE603" s="1319"/>
      <c r="DF603" s="1319"/>
      <c r="DG603" s="1320"/>
      <c r="DH603" s="1369"/>
      <c r="DI603" s="1319"/>
      <c r="DJ603" s="1319"/>
      <c r="DK603" s="1319"/>
      <c r="DL603" s="1320"/>
      <c r="DM603" s="1743"/>
      <c r="DN603" s="1744"/>
      <c r="DO603" s="1744"/>
      <c r="DP603" s="1745"/>
      <c r="DQ603" s="1744"/>
      <c r="DR603" s="1744"/>
      <c r="DS603" s="1744"/>
      <c r="DT603" s="1745"/>
      <c r="DU603" s="1328"/>
      <c r="DV603" s="1664"/>
      <c r="DW603" s="1746"/>
    </row>
    <row r="604" spans="1:127" s="382" customFormat="1" ht="15.75" customHeight="1">
      <c r="A604" s="1066" t="s">
        <v>1227</v>
      </c>
      <c r="B604" s="1026">
        <v>595</v>
      </c>
      <c r="C604" s="987"/>
      <c r="D604" s="987"/>
      <c r="E604" s="987"/>
      <c r="F604" s="987"/>
      <c r="G604" s="987"/>
      <c r="H604" s="987"/>
      <c r="I604" s="987"/>
      <c r="J604" s="987"/>
      <c r="K604" s="987"/>
      <c r="L604" s="987"/>
      <c r="M604" s="1026"/>
      <c r="N604" s="987"/>
      <c r="O604" s="987"/>
      <c r="P604" s="987"/>
      <c r="Q604" s="987"/>
      <c r="R604" s="987"/>
      <c r="S604" s="987"/>
      <c r="T604" s="988"/>
      <c r="U604" s="1067" t="s">
        <v>1279</v>
      </c>
      <c r="V604" s="1068" t="s">
        <v>4177</v>
      </c>
      <c r="W604" s="1068" t="s">
        <v>2231</v>
      </c>
      <c r="X604" s="1069" t="s">
        <v>4178</v>
      </c>
      <c r="Y604" s="1070" t="s">
        <v>172</v>
      </c>
      <c r="Z604" s="1071" t="s">
        <v>4179</v>
      </c>
      <c r="AA604" s="1072" t="s">
        <v>2260</v>
      </c>
      <c r="AB604" s="1073">
        <v>1</v>
      </c>
      <c r="AC604" s="1073" t="s">
        <v>2260</v>
      </c>
      <c r="AD604" s="1073" t="s">
        <v>2260</v>
      </c>
      <c r="AE604" s="1073" t="s">
        <v>2260</v>
      </c>
      <c r="AF604" s="1073" t="s">
        <v>2260</v>
      </c>
      <c r="AG604" s="1073" t="s">
        <v>2260</v>
      </c>
      <c r="AH604" s="1073" t="s">
        <v>2260</v>
      </c>
      <c r="AI604" s="1074">
        <f t="shared" si="9"/>
        <v>1</v>
      </c>
      <c r="AJ604" s="1075" t="s">
        <v>1846</v>
      </c>
      <c r="AK604" s="1075" t="s">
        <v>1826</v>
      </c>
      <c r="AL604" s="1075" t="s">
        <v>1827</v>
      </c>
      <c r="AM604" s="1076" t="s">
        <v>2247</v>
      </c>
      <c r="AN604" s="987" t="s">
        <v>2439</v>
      </c>
      <c r="AO604" s="987" t="s">
        <v>4420</v>
      </c>
      <c r="AP604" s="1276">
        <v>2</v>
      </c>
      <c r="AQ604" s="1045" t="s">
        <v>1838</v>
      </c>
      <c r="AR604" s="1078" t="s">
        <v>172</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210</v>
      </c>
      <c r="CE604" s="1088" t="s">
        <v>210</v>
      </c>
      <c r="CF604" s="1088" t="s">
        <v>210</v>
      </c>
      <c r="CG604" s="1088" t="s">
        <v>210</v>
      </c>
      <c r="CH604" s="1089" t="s">
        <v>210</v>
      </c>
      <c r="CI604" s="1044" t="s">
        <v>2260</v>
      </c>
      <c r="CJ604" s="1045" t="s">
        <v>2260</v>
      </c>
      <c r="CK604" s="1045" t="s">
        <v>2260</v>
      </c>
      <c r="CL604" s="1045" t="s">
        <v>2260</v>
      </c>
      <c r="CM604" s="1086" t="s">
        <v>2260</v>
      </c>
      <c r="CN604" s="1044">
        <v>9.5</v>
      </c>
      <c r="CO604" s="1045">
        <v>9.5</v>
      </c>
      <c r="CP604" s="1045">
        <v>9.5</v>
      </c>
      <c r="CQ604" s="1045">
        <v>9.5</v>
      </c>
      <c r="CR604" s="1086">
        <v>9.5</v>
      </c>
      <c r="CS604" s="1044">
        <v>2</v>
      </c>
      <c r="CT604" s="1045">
        <v>2</v>
      </c>
      <c r="CU604" s="1045">
        <v>2</v>
      </c>
      <c r="CV604" s="1045">
        <v>2</v>
      </c>
      <c r="CW604" s="1086">
        <v>2</v>
      </c>
      <c r="CX604" s="1044" t="s">
        <v>2260</v>
      </c>
      <c r="CY604" s="1045" t="s">
        <v>2260</v>
      </c>
      <c r="CZ604" s="1045" t="s">
        <v>2260</v>
      </c>
      <c r="DA604" s="1045" t="s">
        <v>2260</v>
      </c>
      <c r="DB604" s="1086" t="s">
        <v>2260</v>
      </c>
      <c r="DC604" s="1045" t="s">
        <v>2260</v>
      </c>
      <c r="DD604" s="1045" t="s">
        <v>2260</v>
      </c>
      <c r="DE604" s="1045" t="s">
        <v>2260</v>
      </c>
      <c r="DF604" s="1045" t="s">
        <v>2260</v>
      </c>
      <c r="DG604" s="1086" t="s">
        <v>2260</v>
      </c>
      <c r="DH604" s="1044" t="s">
        <v>2260</v>
      </c>
      <c r="DI604" s="1045" t="s">
        <v>2260</v>
      </c>
      <c r="DJ604" s="1045" t="s">
        <v>2260</v>
      </c>
      <c r="DK604" s="1045" t="s">
        <v>2260</v>
      </c>
      <c r="DL604" s="1086" t="s">
        <v>2260</v>
      </c>
      <c r="DM604" s="1090">
        <v>-0.57999999999999996</v>
      </c>
      <c r="DN604" s="1091">
        <v>-2.5</v>
      </c>
      <c r="DO604" s="1091" t="s">
        <v>2260</v>
      </c>
      <c r="DP604" s="1092" t="s">
        <v>2260</v>
      </c>
      <c r="DQ604" s="1091">
        <v>0</v>
      </c>
      <c r="DR604" s="1091" t="s">
        <v>2260</v>
      </c>
      <c r="DS604" s="1091" t="s">
        <v>2260</v>
      </c>
      <c r="DT604" s="1092" t="s">
        <v>2260</v>
      </c>
      <c r="DU604" s="1088" t="s">
        <v>2260</v>
      </c>
      <c r="DV604" s="1093">
        <v>1</v>
      </c>
      <c r="DW604" s="1094" t="s">
        <v>2260</v>
      </c>
    </row>
    <row r="605" spans="1:127" s="382" customFormat="1" ht="15.75" customHeight="1">
      <c r="A605" s="1066" t="s">
        <v>1227</v>
      </c>
      <c r="B605" s="1026">
        <v>596</v>
      </c>
      <c r="C605" s="987"/>
      <c r="D605" s="987"/>
      <c r="E605" s="987"/>
      <c r="F605" s="987"/>
      <c r="G605" s="987"/>
      <c r="H605" s="987"/>
      <c r="I605" s="987"/>
      <c r="J605" s="987"/>
      <c r="K605" s="987"/>
      <c r="L605" s="987"/>
      <c r="M605" s="1026"/>
      <c r="N605" s="987"/>
      <c r="O605" s="987"/>
      <c r="P605" s="987"/>
      <c r="Q605" s="987"/>
      <c r="R605" s="987"/>
      <c r="S605" s="987"/>
      <c r="T605" s="988"/>
      <c r="U605" s="1067" t="s">
        <v>1404</v>
      </c>
      <c r="V605" s="1068" t="s">
        <v>4177</v>
      </c>
      <c r="W605" s="1068" t="s">
        <v>2217</v>
      </c>
      <c r="X605" s="1069" t="s">
        <v>4180</v>
      </c>
      <c r="Y605" s="1070" t="s">
        <v>4181</v>
      </c>
      <c r="Z605" s="1071" t="s">
        <v>4182</v>
      </c>
      <c r="AA605" s="1072" t="s">
        <v>2260</v>
      </c>
      <c r="AB605" s="1073">
        <v>1</v>
      </c>
      <c r="AC605" s="1073" t="s">
        <v>2260</v>
      </c>
      <c r="AD605" s="1073" t="s">
        <v>2260</v>
      </c>
      <c r="AE605" s="1073" t="s">
        <v>2260</v>
      </c>
      <c r="AF605" s="1073" t="s">
        <v>2260</v>
      </c>
      <c r="AG605" s="1073" t="s">
        <v>2260</v>
      </c>
      <c r="AH605" s="1073" t="s">
        <v>2260</v>
      </c>
      <c r="AI605" s="1074">
        <f t="shared" si="9"/>
        <v>1</v>
      </c>
      <c r="AJ605" s="1075" t="s">
        <v>1852</v>
      </c>
      <c r="AK605" s="1075" t="s">
        <v>1826</v>
      </c>
      <c r="AL605" s="1075" t="s">
        <v>1827</v>
      </c>
      <c r="AM605" s="1076" t="s">
        <v>2421</v>
      </c>
      <c r="AN605" s="987" t="s">
        <v>439</v>
      </c>
      <c r="AO605" s="987" t="s">
        <v>4423</v>
      </c>
      <c r="AP605" s="1276">
        <v>2</v>
      </c>
      <c r="AQ605" s="1045" t="s">
        <v>1838</v>
      </c>
      <c r="AR605" s="1078"/>
      <c r="AS605" s="1079"/>
      <c r="AT605" s="1069"/>
      <c r="AU605" s="1069"/>
      <c r="AV605" s="1069"/>
      <c r="AW605" s="1080"/>
      <c r="AX605" s="1081"/>
      <c r="AY605" s="1044"/>
      <c r="AZ605" s="1045"/>
      <c r="BA605" s="1045"/>
      <c r="BB605" s="1045"/>
      <c r="BC605" s="1045"/>
      <c r="BD605" s="1045"/>
      <c r="BE605" s="1045"/>
      <c r="BF605" s="1045"/>
      <c r="BG605" s="1095"/>
      <c r="BH605" s="1095"/>
      <c r="BI605" s="1660"/>
      <c r="BJ605" s="1661"/>
      <c r="BK605" s="1661"/>
      <c r="BL605" s="1661"/>
      <c r="BM605" s="1661"/>
      <c r="BN605" s="1044"/>
      <c r="BO605" s="1045"/>
      <c r="BP605" s="1045"/>
      <c r="BQ605" s="1045"/>
      <c r="BR605" s="1045"/>
      <c r="BS605" s="1084"/>
      <c r="BT605" s="1045"/>
      <c r="BU605" s="1045"/>
      <c r="BV605" s="1045"/>
      <c r="BW605" s="1085"/>
      <c r="BX605" s="1084"/>
      <c r="BY605" s="1045"/>
      <c r="BZ605" s="1045"/>
      <c r="CA605" s="1045"/>
      <c r="CB605" s="1085"/>
      <c r="CC605" s="1086"/>
      <c r="CD605" s="1327"/>
      <c r="CE605" s="1328"/>
      <c r="CF605" s="1328"/>
      <c r="CG605" s="1328"/>
      <c r="CH605" s="1389"/>
      <c r="CI605" s="1369"/>
      <c r="CJ605" s="1319"/>
      <c r="CK605" s="1319"/>
      <c r="CL605" s="1319"/>
      <c r="CM605" s="1320"/>
      <c r="CN605" s="1369"/>
      <c r="CO605" s="1319"/>
      <c r="CP605" s="1319"/>
      <c r="CQ605" s="1319"/>
      <c r="CR605" s="1320"/>
      <c r="CS605" s="1369"/>
      <c r="CT605" s="1319"/>
      <c r="CU605" s="1319"/>
      <c r="CV605" s="1319"/>
      <c r="CW605" s="1320"/>
      <c r="CX605" s="1369"/>
      <c r="CY605" s="1319"/>
      <c r="CZ605" s="1319"/>
      <c r="DA605" s="1319"/>
      <c r="DB605" s="1320"/>
      <c r="DC605" s="1319"/>
      <c r="DD605" s="1319"/>
      <c r="DE605" s="1319"/>
      <c r="DF605" s="1319"/>
      <c r="DG605" s="1320"/>
      <c r="DH605" s="1369"/>
      <c r="DI605" s="1319"/>
      <c r="DJ605" s="1319"/>
      <c r="DK605" s="1319"/>
      <c r="DL605" s="1320"/>
      <c r="DM605" s="1743"/>
      <c r="DN605" s="1744"/>
      <c r="DO605" s="1744"/>
      <c r="DP605" s="1745"/>
      <c r="DQ605" s="1744"/>
      <c r="DR605" s="1744"/>
      <c r="DS605" s="1744"/>
      <c r="DT605" s="1745"/>
      <c r="DU605" s="1328"/>
      <c r="DV605" s="1664"/>
      <c r="DW605" s="1746"/>
    </row>
    <row r="606" spans="1:127" s="382" customFormat="1" ht="15.75" customHeight="1">
      <c r="A606" s="1066" t="s">
        <v>1227</v>
      </c>
      <c r="B606" s="1026">
        <v>597</v>
      </c>
      <c r="C606" s="987"/>
      <c r="D606" s="987"/>
      <c r="E606" s="987"/>
      <c r="F606" s="987"/>
      <c r="G606" s="987"/>
      <c r="H606" s="987"/>
      <c r="I606" s="987"/>
      <c r="J606" s="987"/>
      <c r="K606" s="987"/>
      <c r="L606" s="987"/>
      <c r="M606" s="1026"/>
      <c r="N606" s="987"/>
      <c r="O606" s="987"/>
      <c r="P606" s="987"/>
      <c r="Q606" s="987"/>
      <c r="R606" s="987"/>
      <c r="S606" s="987"/>
      <c r="T606" s="988"/>
      <c r="U606" s="1067" t="s">
        <v>1421</v>
      </c>
      <c r="V606" s="1068" t="s">
        <v>4177</v>
      </c>
      <c r="W606" s="1068" t="s">
        <v>2231</v>
      </c>
      <c r="X606" s="1069" t="s">
        <v>4184</v>
      </c>
      <c r="Y606" s="1070" t="s">
        <v>4185</v>
      </c>
      <c r="Z606" s="1071" t="s">
        <v>4186</v>
      </c>
      <c r="AA606" s="1072" t="s">
        <v>2260</v>
      </c>
      <c r="AB606" s="1073">
        <v>1</v>
      </c>
      <c r="AC606" s="1073" t="s">
        <v>2260</v>
      </c>
      <c r="AD606" s="1073" t="s">
        <v>2260</v>
      </c>
      <c r="AE606" s="1073" t="s">
        <v>2260</v>
      </c>
      <c r="AF606" s="1073" t="s">
        <v>2260</v>
      </c>
      <c r="AG606" s="1073" t="s">
        <v>2260</v>
      </c>
      <c r="AH606" s="1073" t="s">
        <v>2260</v>
      </c>
      <c r="AI606" s="1074">
        <f t="shared" si="9"/>
        <v>1</v>
      </c>
      <c r="AJ606" s="1075" t="s">
        <v>1852</v>
      </c>
      <c r="AK606" s="1075" t="s">
        <v>1826</v>
      </c>
      <c r="AL606" s="1075" t="s">
        <v>1827</v>
      </c>
      <c r="AM606" s="1076" t="s">
        <v>2247</v>
      </c>
      <c r="AN606" s="987" t="s">
        <v>1897</v>
      </c>
      <c r="AO606" s="987" t="s">
        <v>4187</v>
      </c>
      <c r="AP606" s="1243">
        <v>0</v>
      </c>
      <c r="AQ606" s="1045" t="s">
        <v>1828</v>
      </c>
      <c r="AR606" s="1078" t="s">
        <v>2260</v>
      </c>
      <c r="AS606" s="1079"/>
      <c r="AT606" s="1069"/>
      <c r="AU606" s="1069"/>
      <c r="AV606" s="1069"/>
      <c r="AW606" s="1080"/>
      <c r="AX606" s="1081"/>
      <c r="AY606" s="1044"/>
      <c r="AZ606" s="1045"/>
      <c r="BA606" s="1045"/>
      <c r="BB606" s="1045"/>
      <c r="BC606" s="1045"/>
      <c r="BD606" s="1045"/>
      <c r="BE606" s="1045"/>
      <c r="BF606" s="1045"/>
      <c r="BG606" s="1045"/>
      <c r="BH606" s="1045"/>
      <c r="BI606" s="1369"/>
      <c r="BJ606" s="1319"/>
      <c r="BK606" s="1319"/>
      <c r="BL606" s="1319"/>
      <c r="BM606" s="1319"/>
      <c r="BN606" s="1044"/>
      <c r="BO606" s="1045"/>
      <c r="BP606" s="1045"/>
      <c r="BQ606" s="1045"/>
      <c r="BR606" s="1045"/>
      <c r="BS606" s="1084"/>
      <c r="BT606" s="1045"/>
      <c r="BU606" s="1045"/>
      <c r="BV606" s="1045"/>
      <c r="BW606" s="1085"/>
      <c r="BX606" s="1084"/>
      <c r="BY606" s="1045"/>
      <c r="BZ606" s="1045"/>
      <c r="CA606" s="1045"/>
      <c r="CB606" s="1085"/>
      <c r="CC606" s="1086"/>
      <c r="CD606" s="1327"/>
      <c r="CE606" s="1328"/>
      <c r="CF606" s="1328"/>
      <c r="CG606" s="1328"/>
      <c r="CH606" s="1389"/>
      <c r="CI606" s="1369"/>
      <c r="CJ606" s="1319"/>
      <c r="CK606" s="1319"/>
      <c r="CL606" s="1319"/>
      <c r="CM606" s="1320"/>
      <c r="CN606" s="1369"/>
      <c r="CO606" s="1319"/>
      <c r="CP606" s="1319"/>
      <c r="CQ606" s="1319"/>
      <c r="CR606" s="1320"/>
      <c r="CS606" s="1369"/>
      <c r="CT606" s="1319"/>
      <c r="CU606" s="1319"/>
      <c r="CV606" s="1319"/>
      <c r="CW606" s="1320"/>
      <c r="CX606" s="1369"/>
      <c r="CY606" s="1319"/>
      <c r="CZ606" s="1319"/>
      <c r="DA606" s="1319"/>
      <c r="DB606" s="1320"/>
      <c r="DC606" s="1319"/>
      <c r="DD606" s="1319"/>
      <c r="DE606" s="1319"/>
      <c r="DF606" s="1319"/>
      <c r="DG606" s="1320"/>
      <c r="DH606" s="1369"/>
      <c r="DI606" s="1319"/>
      <c r="DJ606" s="1319"/>
      <c r="DK606" s="1319"/>
      <c r="DL606" s="1320"/>
      <c r="DM606" s="1743"/>
      <c r="DN606" s="1744"/>
      <c r="DO606" s="1744"/>
      <c r="DP606" s="1745"/>
      <c r="DQ606" s="1744"/>
      <c r="DR606" s="1744"/>
      <c r="DS606" s="1744"/>
      <c r="DT606" s="1745"/>
      <c r="DU606" s="1328"/>
      <c r="DV606" s="1664"/>
      <c r="DW606" s="1746"/>
    </row>
    <row r="607" spans="1:127" s="382" customFormat="1" ht="15.75" customHeight="1">
      <c r="A607" s="1066" t="s">
        <v>1227</v>
      </c>
      <c r="B607" s="1026">
        <v>598</v>
      </c>
      <c r="C607" s="987"/>
      <c r="D607" s="987"/>
      <c r="E607" s="987"/>
      <c r="F607" s="987"/>
      <c r="G607" s="987"/>
      <c r="H607" s="987"/>
      <c r="I607" s="987"/>
      <c r="J607" s="987"/>
      <c r="K607" s="987"/>
      <c r="L607" s="987"/>
      <c r="M607" s="1026"/>
      <c r="N607" s="987"/>
      <c r="O607" s="987"/>
      <c r="P607" s="987"/>
      <c r="Q607" s="987"/>
      <c r="R607" s="987"/>
      <c r="S607" s="987"/>
      <c r="T607" s="988"/>
      <c r="U607" s="1067" t="s">
        <v>1437</v>
      </c>
      <c r="V607" s="1068" t="s">
        <v>4177</v>
      </c>
      <c r="W607" s="1068" t="s">
        <v>2231</v>
      </c>
      <c r="X607" s="1069" t="s">
        <v>4188</v>
      </c>
      <c r="Y607" s="1070" t="s">
        <v>4189</v>
      </c>
      <c r="Z607" s="1071" t="s">
        <v>4190</v>
      </c>
      <c r="AA607" s="1072" t="s">
        <v>2260</v>
      </c>
      <c r="AB607" s="1073">
        <v>1</v>
      </c>
      <c r="AC607" s="1073" t="s">
        <v>2260</v>
      </c>
      <c r="AD607" s="1073" t="s">
        <v>2260</v>
      </c>
      <c r="AE607" s="1073" t="s">
        <v>2260</v>
      </c>
      <c r="AF607" s="1073" t="s">
        <v>2260</v>
      </c>
      <c r="AG607" s="1073" t="s">
        <v>2260</v>
      </c>
      <c r="AH607" s="1073" t="s">
        <v>2260</v>
      </c>
      <c r="AI607" s="1074">
        <f t="shared" si="9"/>
        <v>1</v>
      </c>
      <c r="AJ607" s="1075" t="s">
        <v>1852</v>
      </c>
      <c r="AK607" s="1075" t="s">
        <v>1826</v>
      </c>
      <c r="AL607" s="1075" t="s">
        <v>1827</v>
      </c>
      <c r="AM607" s="1076" t="s">
        <v>2247</v>
      </c>
      <c r="AN607" s="987" t="s">
        <v>1857</v>
      </c>
      <c r="AO607" s="987" t="s">
        <v>4191</v>
      </c>
      <c r="AP607" s="1243">
        <v>0</v>
      </c>
      <c r="AQ607" s="1045" t="s">
        <v>1828</v>
      </c>
      <c r="AR607" s="1078" t="s">
        <v>2260</v>
      </c>
      <c r="AS607" s="1079"/>
      <c r="AT607" s="1069"/>
      <c r="AU607" s="1069"/>
      <c r="AV607" s="1069"/>
      <c r="AW607" s="1080"/>
      <c r="AX607" s="1081"/>
      <c r="AY607" s="1044"/>
      <c r="AZ607" s="1045"/>
      <c r="BA607" s="1045"/>
      <c r="BB607" s="1045"/>
      <c r="BC607" s="1045"/>
      <c r="BD607" s="1045"/>
      <c r="BE607" s="1045"/>
      <c r="BF607" s="1045"/>
      <c r="BG607" s="1045"/>
      <c r="BH607" s="1045"/>
      <c r="BI607" s="1369"/>
      <c r="BJ607" s="1319"/>
      <c r="BK607" s="1319"/>
      <c r="BL607" s="1319"/>
      <c r="BM607" s="1319"/>
      <c r="BN607" s="1044"/>
      <c r="BO607" s="1045"/>
      <c r="BP607" s="1045"/>
      <c r="BQ607" s="1045"/>
      <c r="BR607" s="1045"/>
      <c r="BS607" s="1084"/>
      <c r="BT607" s="1045"/>
      <c r="BU607" s="1045"/>
      <c r="BV607" s="1045"/>
      <c r="BW607" s="1085"/>
      <c r="BX607" s="1084"/>
      <c r="BY607" s="1045"/>
      <c r="BZ607" s="1045"/>
      <c r="CA607" s="1045"/>
      <c r="CB607" s="1085"/>
      <c r="CC607" s="1086"/>
      <c r="CD607" s="1327"/>
      <c r="CE607" s="1328"/>
      <c r="CF607" s="1328"/>
      <c r="CG607" s="1328"/>
      <c r="CH607" s="1389"/>
      <c r="CI607" s="1369"/>
      <c r="CJ607" s="1319"/>
      <c r="CK607" s="1319"/>
      <c r="CL607" s="1319"/>
      <c r="CM607" s="1320"/>
      <c r="CN607" s="1369"/>
      <c r="CO607" s="1319"/>
      <c r="CP607" s="1319"/>
      <c r="CQ607" s="1319"/>
      <c r="CR607" s="1320"/>
      <c r="CS607" s="1369"/>
      <c r="CT607" s="1319"/>
      <c r="CU607" s="1319"/>
      <c r="CV607" s="1319"/>
      <c r="CW607" s="1320"/>
      <c r="CX607" s="1369"/>
      <c r="CY607" s="1319"/>
      <c r="CZ607" s="1319"/>
      <c r="DA607" s="1319"/>
      <c r="DB607" s="1320"/>
      <c r="DC607" s="1319"/>
      <c r="DD607" s="1319"/>
      <c r="DE607" s="1319"/>
      <c r="DF607" s="1319"/>
      <c r="DG607" s="1320"/>
      <c r="DH607" s="1369"/>
      <c r="DI607" s="1319"/>
      <c r="DJ607" s="1319"/>
      <c r="DK607" s="1319"/>
      <c r="DL607" s="1320"/>
      <c r="DM607" s="1743"/>
      <c r="DN607" s="1744"/>
      <c r="DO607" s="1744"/>
      <c r="DP607" s="1745"/>
      <c r="DQ607" s="1744"/>
      <c r="DR607" s="1744"/>
      <c r="DS607" s="1744"/>
      <c r="DT607" s="1745"/>
      <c r="DU607" s="1328"/>
      <c r="DV607" s="1664"/>
      <c r="DW607" s="1746"/>
    </row>
    <row r="608" spans="1:127" s="382" customFormat="1" ht="15.75" customHeight="1">
      <c r="A608" s="1066" t="s">
        <v>1227</v>
      </c>
      <c r="B608" s="1026">
        <v>599</v>
      </c>
      <c r="C608" s="987"/>
      <c r="D608" s="987"/>
      <c r="E608" s="987"/>
      <c r="F608" s="987"/>
      <c r="G608" s="987"/>
      <c r="H608" s="987"/>
      <c r="I608" s="987"/>
      <c r="J608" s="987"/>
      <c r="K608" s="987"/>
      <c r="L608" s="987"/>
      <c r="M608" s="1026"/>
      <c r="N608" s="987"/>
      <c r="O608" s="987"/>
      <c r="P608" s="987"/>
      <c r="Q608" s="987"/>
      <c r="R608" s="987"/>
      <c r="S608" s="987"/>
      <c r="T608" s="988"/>
      <c r="U608" s="1067" t="s">
        <v>1667</v>
      </c>
      <c r="V608" s="1068" t="s">
        <v>4177</v>
      </c>
      <c r="W608" s="1068" t="s">
        <v>2231</v>
      </c>
      <c r="X608" s="1069" t="s">
        <v>4192</v>
      </c>
      <c r="Y608" s="1070" t="s">
        <v>4193</v>
      </c>
      <c r="Z608" s="1071" t="s">
        <v>4194</v>
      </c>
      <c r="AA608" s="1072" t="s">
        <v>2260</v>
      </c>
      <c r="AB608" s="1073">
        <v>1</v>
      </c>
      <c r="AC608" s="1073" t="s">
        <v>2260</v>
      </c>
      <c r="AD608" s="1073" t="s">
        <v>2260</v>
      </c>
      <c r="AE608" s="1073" t="s">
        <v>2260</v>
      </c>
      <c r="AF608" s="1073" t="s">
        <v>2260</v>
      </c>
      <c r="AG608" s="1073" t="s">
        <v>2260</v>
      </c>
      <c r="AH608" s="1073" t="s">
        <v>2260</v>
      </c>
      <c r="AI608" s="1074">
        <f t="shared" si="9"/>
        <v>1</v>
      </c>
      <c r="AJ608" s="1075" t="s">
        <v>1825</v>
      </c>
      <c r="AK608" s="1075" t="s">
        <v>2260</v>
      </c>
      <c r="AL608" s="1075" t="s">
        <v>2260</v>
      </c>
      <c r="AM608" s="1076" t="s">
        <v>2247</v>
      </c>
      <c r="AN608" s="987" t="s">
        <v>1897</v>
      </c>
      <c r="AO608" s="987" t="s">
        <v>2560</v>
      </c>
      <c r="AP608" s="1243">
        <v>3</v>
      </c>
      <c r="AQ608" s="1045" t="s">
        <v>1838</v>
      </c>
      <c r="AR608" s="1078" t="s">
        <v>2260</v>
      </c>
      <c r="AS608" s="1079"/>
      <c r="AT608" s="1069"/>
      <c r="AU608" s="1069"/>
      <c r="AV608" s="1069"/>
      <c r="AW608" s="1080"/>
      <c r="AX608" s="1081"/>
      <c r="AY608" s="1044"/>
      <c r="AZ608" s="1045"/>
      <c r="BA608" s="1045"/>
      <c r="BB608" s="1045"/>
      <c r="BC608" s="1045"/>
      <c r="BD608" s="1045"/>
      <c r="BE608" s="1045"/>
      <c r="BF608" s="1045"/>
      <c r="BG608" s="1045"/>
      <c r="BH608" s="1045"/>
      <c r="BI608" s="1369"/>
      <c r="BJ608" s="1319"/>
      <c r="BK608" s="1319"/>
      <c r="BL608" s="1319"/>
      <c r="BM608" s="1319"/>
      <c r="BN608" s="1044"/>
      <c r="BO608" s="1045"/>
      <c r="BP608" s="1045"/>
      <c r="BQ608" s="1045"/>
      <c r="BR608" s="1045"/>
      <c r="BS608" s="1084"/>
      <c r="BT608" s="1045"/>
      <c r="BU608" s="1045"/>
      <c r="BV608" s="1045"/>
      <c r="BW608" s="1085"/>
      <c r="BX608" s="1084"/>
      <c r="BY608" s="1045"/>
      <c r="BZ608" s="1045"/>
      <c r="CA608" s="1045"/>
      <c r="CB608" s="1085"/>
      <c r="CC608" s="1086"/>
      <c r="CD608" s="1327"/>
      <c r="CE608" s="1328"/>
      <c r="CF608" s="1328"/>
      <c r="CG608" s="1328"/>
      <c r="CH608" s="1389"/>
      <c r="CI608" s="1369"/>
      <c r="CJ608" s="1319"/>
      <c r="CK608" s="1319"/>
      <c r="CL608" s="1319"/>
      <c r="CM608" s="1320"/>
      <c r="CN608" s="1369"/>
      <c r="CO608" s="1319"/>
      <c r="CP608" s="1319"/>
      <c r="CQ608" s="1319"/>
      <c r="CR608" s="1320"/>
      <c r="CS608" s="1369"/>
      <c r="CT608" s="1319"/>
      <c r="CU608" s="1319"/>
      <c r="CV608" s="1319"/>
      <c r="CW608" s="1320"/>
      <c r="CX608" s="1369"/>
      <c r="CY608" s="1319"/>
      <c r="CZ608" s="1319"/>
      <c r="DA608" s="1319"/>
      <c r="DB608" s="1320"/>
      <c r="DC608" s="1319"/>
      <c r="DD608" s="1319"/>
      <c r="DE608" s="1319"/>
      <c r="DF608" s="1319"/>
      <c r="DG608" s="1320"/>
      <c r="DH608" s="1369"/>
      <c r="DI608" s="1319"/>
      <c r="DJ608" s="1319"/>
      <c r="DK608" s="1319"/>
      <c r="DL608" s="1320"/>
      <c r="DM608" s="1743"/>
      <c r="DN608" s="1744"/>
      <c r="DO608" s="1744"/>
      <c r="DP608" s="1745"/>
      <c r="DQ608" s="1744"/>
      <c r="DR608" s="1744"/>
      <c r="DS608" s="1744"/>
      <c r="DT608" s="1745"/>
      <c r="DU608" s="1328"/>
      <c r="DV608" s="1664"/>
      <c r="DW608" s="1746"/>
    </row>
    <row r="609" spans="1:127" s="382" customFormat="1" ht="15.75" customHeight="1">
      <c r="A609" s="1066" t="s">
        <v>1227</v>
      </c>
      <c r="B609" s="1026">
        <v>600</v>
      </c>
      <c r="C609" s="987"/>
      <c r="D609" s="987"/>
      <c r="E609" s="987"/>
      <c r="F609" s="987"/>
      <c r="G609" s="987"/>
      <c r="H609" s="987"/>
      <c r="I609" s="987"/>
      <c r="J609" s="987"/>
      <c r="K609" s="987"/>
      <c r="L609" s="987"/>
      <c r="M609" s="1026"/>
      <c r="N609" s="987"/>
      <c r="O609" s="987"/>
      <c r="P609" s="987"/>
      <c r="Q609" s="987"/>
      <c r="R609" s="987"/>
      <c r="S609" s="987"/>
      <c r="T609" s="988"/>
      <c r="U609" s="1067" t="s">
        <v>1220</v>
      </c>
      <c r="V609" s="1068" t="s">
        <v>4195</v>
      </c>
      <c r="W609" s="1068" t="s">
        <v>2217</v>
      </c>
      <c r="X609" s="1069" t="s">
        <v>2631</v>
      </c>
      <c r="Y609" s="1070" t="s">
        <v>784</v>
      </c>
      <c r="Z609" s="1071" t="s">
        <v>4196</v>
      </c>
      <c r="AA609" s="1072" t="s">
        <v>2260</v>
      </c>
      <c r="AB609" s="1073" t="s">
        <v>2260</v>
      </c>
      <c r="AC609" s="1073">
        <v>1</v>
      </c>
      <c r="AD609" s="1073" t="s">
        <v>2260</v>
      </c>
      <c r="AE609" s="1073" t="s">
        <v>2260</v>
      </c>
      <c r="AF609" s="1073" t="s">
        <v>2260</v>
      </c>
      <c r="AG609" s="1073" t="s">
        <v>2260</v>
      </c>
      <c r="AH609" s="1073" t="s">
        <v>2260</v>
      </c>
      <c r="AI609" s="1074">
        <f t="shared" si="9"/>
        <v>1</v>
      </c>
      <c r="AJ609" s="1075" t="s">
        <v>1852</v>
      </c>
      <c r="AK609" s="1075" t="s">
        <v>1826</v>
      </c>
      <c r="AL609" s="1075" t="s">
        <v>1827</v>
      </c>
      <c r="AM609" s="1076" t="s">
        <v>2351</v>
      </c>
      <c r="AN609" s="987" t="s">
        <v>2439</v>
      </c>
      <c r="AO609" s="987" t="s">
        <v>4197</v>
      </c>
      <c r="AP609" s="1276">
        <v>2</v>
      </c>
      <c r="AQ609" s="1045" t="s">
        <v>1838</v>
      </c>
      <c r="AR609" s="1078" t="s">
        <v>784</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210</v>
      </c>
      <c r="CE609" s="1088" t="s">
        <v>210</v>
      </c>
      <c r="CF609" s="1088" t="s">
        <v>210</v>
      </c>
      <c r="CG609" s="1088" t="s">
        <v>210</v>
      </c>
      <c r="CH609" s="1089" t="s">
        <v>210</v>
      </c>
      <c r="CI609" s="1044">
        <v>4.09</v>
      </c>
      <c r="CJ609" s="1045">
        <v>4.09</v>
      </c>
      <c r="CK609" s="1045">
        <v>4.09</v>
      </c>
      <c r="CL609" s="1045">
        <v>4.09</v>
      </c>
      <c r="CM609" s="1086">
        <v>4.09</v>
      </c>
      <c r="CN609" s="1044">
        <v>2.56</v>
      </c>
      <c r="CO609" s="1045">
        <v>2.56</v>
      </c>
      <c r="CP609" s="1045">
        <v>2.56</v>
      </c>
      <c r="CQ609" s="1045">
        <v>2.56</v>
      </c>
      <c r="CR609" s="1086">
        <v>2.56</v>
      </c>
      <c r="CS609" s="1044" t="s">
        <v>2260</v>
      </c>
      <c r="CT609" s="1045" t="s">
        <v>2260</v>
      </c>
      <c r="CU609" s="1045" t="s">
        <v>2260</v>
      </c>
      <c r="CV609" s="1045" t="s">
        <v>2260</v>
      </c>
      <c r="CW609" s="1086" t="s">
        <v>2260</v>
      </c>
      <c r="CX609" s="1044" t="s">
        <v>2260</v>
      </c>
      <c r="CY609" s="1045" t="s">
        <v>2260</v>
      </c>
      <c r="CZ609" s="1045" t="s">
        <v>2260</v>
      </c>
      <c r="DA609" s="1045" t="s">
        <v>2260</v>
      </c>
      <c r="DB609" s="1086" t="s">
        <v>2260</v>
      </c>
      <c r="DC609" s="1045">
        <v>0.93</v>
      </c>
      <c r="DD609" s="1045">
        <v>0.9</v>
      </c>
      <c r="DE609" s="1045">
        <v>0.87</v>
      </c>
      <c r="DF609" s="1045">
        <v>0.8</v>
      </c>
      <c r="DG609" s="1086">
        <v>0.74</v>
      </c>
      <c r="DH609" s="1044" t="s">
        <v>4430</v>
      </c>
      <c r="DI609" s="1045" t="s">
        <v>4430</v>
      </c>
      <c r="DJ609" s="1045" t="s">
        <v>4430</v>
      </c>
      <c r="DK609" s="1045" t="s">
        <v>4430</v>
      </c>
      <c r="DL609" s="1086" t="s">
        <v>4430</v>
      </c>
      <c r="DM609" s="1090">
        <v>-5.69</v>
      </c>
      <c r="DN609" s="1091" t="s">
        <v>2260</v>
      </c>
      <c r="DO609" s="1091" t="s">
        <v>2260</v>
      </c>
      <c r="DP609" s="1092">
        <v>-18.177</v>
      </c>
      <c r="DQ609" s="1091">
        <v>5.69</v>
      </c>
      <c r="DR609" s="1091" t="s">
        <v>2260</v>
      </c>
      <c r="DS609" s="1091" t="s">
        <v>2260</v>
      </c>
      <c r="DT609" s="1092">
        <v>18.177</v>
      </c>
      <c r="DU609" s="1088" t="s">
        <v>2260</v>
      </c>
      <c r="DV609" s="1093">
        <v>1</v>
      </c>
      <c r="DW609" s="1094" t="s">
        <v>2260</v>
      </c>
    </row>
    <row r="610" spans="1:127" s="382" customFormat="1" ht="15.75" customHeight="1">
      <c r="A610" s="1066" t="s">
        <v>1227</v>
      </c>
      <c r="B610" s="1026">
        <v>601</v>
      </c>
      <c r="C610" s="987"/>
      <c r="D610" s="987"/>
      <c r="E610" s="987"/>
      <c r="F610" s="987"/>
      <c r="G610" s="987"/>
      <c r="H610" s="987"/>
      <c r="I610" s="987"/>
      <c r="J610" s="987"/>
      <c r="K610" s="987"/>
      <c r="L610" s="987"/>
      <c r="M610" s="1026"/>
      <c r="N610" s="987"/>
      <c r="O610" s="987"/>
      <c r="P610" s="987"/>
      <c r="Q610" s="987"/>
      <c r="R610" s="987"/>
      <c r="S610" s="987"/>
      <c r="T610" s="988"/>
      <c r="U610" s="1067" t="s">
        <v>1504</v>
      </c>
      <c r="V610" s="1068" t="s">
        <v>4195</v>
      </c>
      <c r="W610" s="1068" t="s">
        <v>2231</v>
      </c>
      <c r="X610" s="1069" t="s">
        <v>3398</v>
      </c>
      <c r="Y610" s="1070" t="s">
        <v>4198</v>
      </c>
      <c r="Z610" s="1071" t="s">
        <v>4199</v>
      </c>
      <c r="AA610" s="1072" t="s">
        <v>2260</v>
      </c>
      <c r="AB610" s="1073" t="s">
        <v>2260</v>
      </c>
      <c r="AC610" s="1073">
        <v>1</v>
      </c>
      <c r="AD610" s="1073" t="s">
        <v>2260</v>
      </c>
      <c r="AE610" s="1073" t="s">
        <v>2260</v>
      </c>
      <c r="AF610" s="1073" t="s">
        <v>2260</v>
      </c>
      <c r="AG610" s="1073" t="s">
        <v>2260</v>
      </c>
      <c r="AH610" s="1073" t="s">
        <v>2260</v>
      </c>
      <c r="AI610" s="1074">
        <f t="shared" si="9"/>
        <v>1</v>
      </c>
      <c r="AJ610" s="1075" t="s">
        <v>1852</v>
      </c>
      <c r="AK610" s="1075" t="s">
        <v>1826</v>
      </c>
      <c r="AL610" s="1075" t="s">
        <v>1827</v>
      </c>
      <c r="AM610" s="1076" t="s">
        <v>2351</v>
      </c>
      <c r="AN610" s="987" t="s">
        <v>2439</v>
      </c>
      <c r="AO610" s="987" t="s">
        <v>4197</v>
      </c>
      <c r="AP610" s="1276">
        <v>2</v>
      </c>
      <c r="AQ610" s="1045" t="s">
        <v>1838</v>
      </c>
      <c r="AR610" s="1078"/>
      <c r="AS610" s="1079"/>
      <c r="AT610" s="1069"/>
      <c r="AU610" s="1069"/>
      <c r="AV610" s="1069"/>
      <c r="AW610" s="1080"/>
      <c r="AX610" s="1081"/>
      <c r="AY610" s="1044"/>
      <c r="AZ610" s="1045"/>
      <c r="BA610" s="1045"/>
      <c r="BB610" s="1045"/>
      <c r="BC610" s="1045"/>
      <c r="BD610" s="1045"/>
      <c r="BE610" s="1045"/>
      <c r="BF610" s="1045"/>
      <c r="BG610" s="1095"/>
      <c r="BH610" s="1095"/>
      <c r="BI610" s="1660"/>
      <c r="BJ610" s="1661"/>
      <c r="BK610" s="1661"/>
      <c r="BL610" s="1661"/>
      <c r="BM610" s="1661"/>
      <c r="BN610" s="1044"/>
      <c r="BO610" s="1045"/>
      <c r="BP610" s="1045"/>
      <c r="BQ610" s="1045"/>
      <c r="BR610" s="1045"/>
      <c r="BS610" s="1084"/>
      <c r="BT610" s="1045"/>
      <c r="BU610" s="1045"/>
      <c r="BV610" s="1045"/>
      <c r="BW610" s="1085"/>
      <c r="BX610" s="1084"/>
      <c r="BY610" s="1045"/>
      <c r="BZ610" s="1045"/>
      <c r="CA610" s="1045"/>
      <c r="CB610" s="1085"/>
      <c r="CC610" s="1086"/>
      <c r="CD610" s="1327"/>
      <c r="CE610" s="1328"/>
      <c r="CF610" s="1328"/>
      <c r="CG610" s="1328"/>
      <c r="CH610" s="1389"/>
      <c r="CI610" s="1369"/>
      <c r="CJ610" s="1319"/>
      <c r="CK610" s="1319"/>
      <c r="CL610" s="1319"/>
      <c r="CM610" s="1320"/>
      <c r="CN610" s="1369"/>
      <c r="CO610" s="1319"/>
      <c r="CP610" s="1319"/>
      <c r="CQ610" s="1319"/>
      <c r="CR610" s="1320"/>
      <c r="CS610" s="1369"/>
      <c r="CT610" s="1319"/>
      <c r="CU610" s="1319"/>
      <c r="CV610" s="1319"/>
      <c r="CW610" s="1320"/>
      <c r="CX610" s="1369"/>
      <c r="CY610" s="1319"/>
      <c r="CZ610" s="1319"/>
      <c r="DA610" s="1319"/>
      <c r="DB610" s="1320"/>
      <c r="DC610" s="1319"/>
      <c r="DD610" s="1319"/>
      <c r="DE610" s="1319"/>
      <c r="DF610" s="1319"/>
      <c r="DG610" s="1320"/>
      <c r="DH610" s="1369"/>
      <c r="DI610" s="1319"/>
      <c r="DJ610" s="1319"/>
      <c r="DK610" s="1319"/>
      <c r="DL610" s="1320"/>
      <c r="DM610" s="1743"/>
      <c r="DN610" s="1744"/>
      <c r="DO610" s="1744"/>
      <c r="DP610" s="1745"/>
      <c r="DQ610" s="1744"/>
      <c r="DR610" s="1744"/>
      <c r="DS610" s="1744"/>
      <c r="DT610" s="1745"/>
      <c r="DU610" s="1328"/>
      <c r="DV610" s="1664"/>
      <c r="DW610" s="1746"/>
    </row>
    <row r="611" spans="1:127" s="382" customFormat="1" ht="15.75" customHeight="1">
      <c r="A611" s="1066" t="s">
        <v>1227</v>
      </c>
      <c r="B611" s="1026">
        <v>602</v>
      </c>
      <c r="C611" s="987"/>
      <c r="D611" s="987"/>
      <c r="E611" s="987"/>
      <c r="F611" s="987"/>
      <c r="G611" s="987"/>
      <c r="H611" s="987"/>
      <c r="I611" s="987"/>
      <c r="J611" s="987"/>
      <c r="K611" s="987"/>
      <c r="L611" s="987"/>
      <c r="M611" s="1026"/>
      <c r="N611" s="987"/>
      <c r="O611" s="987"/>
      <c r="P611" s="987"/>
      <c r="Q611" s="987"/>
      <c r="R611" s="987"/>
      <c r="S611" s="987"/>
      <c r="T611" s="988"/>
      <c r="U611" s="1067" t="s">
        <v>1515</v>
      </c>
      <c r="V611" s="1068" t="s">
        <v>4195</v>
      </c>
      <c r="W611" s="1068" t="s">
        <v>2223</v>
      </c>
      <c r="X611" s="1069" t="s">
        <v>4200</v>
      </c>
      <c r="Y611" s="1070" t="s">
        <v>4201</v>
      </c>
      <c r="Z611" s="1071" t="s">
        <v>4202</v>
      </c>
      <c r="AA611" s="1072" t="s">
        <v>2260</v>
      </c>
      <c r="AB611" s="1073" t="s">
        <v>2260</v>
      </c>
      <c r="AC611" s="1073">
        <v>1</v>
      </c>
      <c r="AD611" s="1073" t="s">
        <v>2260</v>
      </c>
      <c r="AE611" s="1073" t="s">
        <v>2260</v>
      </c>
      <c r="AF611" s="1073" t="s">
        <v>2260</v>
      </c>
      <c r="AG611" s="1073" t="s">
        <v>2260</v>
      </c>
      <c r="AH611" s="1073" t="s">
        <v>2260</v>
      </c>
      <c r="AI611" s="1074">
        <f t="shared" si="9"/>
        <v>1</v>
      </c>
      <c r="AJ611" s="1075" t="s">
        <v>1846</v>
      </c>
      <c r="AK611" s="1075" t="s">
        <v>1826</v>
      </c>
      <c r="AL611" s="1075" t="s">
        <v>1827</v>
      </c>
      <c r="AM611" s="1076" t="s">
        <v>2351</v>
      </c>
      <c r="AN611" s="987" t="s">
        <v>1897</v>
      </c>
      <c r="AO611" s="987" t="s">
        <v>2560</v>
      </c>
      <c r="AP611" s="1243">
        <v>0</v>
      </c>
      <c r="AQ611" s="1045" t="s">
        <v>1838</v>
      </c>
      <c r="AR611" s="1078" t="s">
        <v>2260</v>
      </c>
      <c r="AS611" s="1079"/>
      <c r="AT611" s="1069"/>
      <c r="AU611" s="1069"/>
      <c r="AV611" s="1069"/>
      <c r="AW611" s="1080"/>
      <c r="AX611" s="1081"/>
      <c r="AY611" s="1044"/>
      <c r="AZ611" s="1045"/>
      <c r="BA611" s="1045"/>
      <c r="BB611" s="1045"/>
      <c r="BC611" s="1045"/>
      <c r="BD611" s="1045"/>
      <c r="BE611" s="1045"/>
      <c r="BF611" s="1045"/>
      <c r="BG611" s="1045"/>
      <c r="BH611" s="1045"/>
      <c r="BI611" s="1369"/>
      <c r="BJ611" s="1319"/>
      <c r="BK611" s="1319"/>
      <c r="BL611" s="1319"/>
      <c r="BM611" s="1319"/>
      <c r="BN611" s="1044"/>
      <c r="BO611" s="1045"/>
      <c r="BP611" s="1045"/>
      <c r="BQ611" s="1045"/>
      <c r="BR611" s="1045"/>
      <c r="BS611" s="1084"/>
      <c r="BT611" s="1045"/>
      <c r="BU611" s="1045"/>
      <c r="BV611" s="1045"/>
      <c r="BW611" s="1085"/>
      <c r="BX611" s="1084"/>
      <c r="BY611" s="1045"/>
      <c r="BZ611" s="1045"/>
      <c r="CA611" s="1045"/>
      <c r="CB611" s="1085"/>
      <c r="CC611" s="1086"/>
      <c r="CD611" s="1327"/>
      <c r="CE611" s="1328"/>
      <c r="CF611" s="1328"/>
      <c r="CG611" s="1328"/>
      <c r="CH611" s="1389"/>
      <c r="CI611" s="1369"/>
      <c r="CJ611" s="1319"/>
      <c r="CK611" s="1319"/>
      <c r="CL611" s="1319"/>
      <c r="CM611" s="1320"/>
      <c r="CN611" s="1369"/>
      <c r="CO611" s="1319"/>
      <c r="CP611" s="1319"/>
      <c r="CQ611" s="1319"/>
      <c r="CR611" s="1320"/>
      <c r="CS611" s="1369"/>
      <c r="CT611" s="1319"/>
      <c r="CU611" s="1319"/>
      <c r="CV611" s="1319"/>
      <c r="CW611" s="1320"/>
      <c r="CX611" s="1369"/>
      <c r="CY611" s="1319"/>
      <c r="CZ611" s="1319"/>
      <c r="DA611" s="1319"/>
      <c r="DB611" s="1320"/>
      <c r="DC611" s="1319"/>
      <c r="DD611" s="1319"/>
      <c r="DE611" s="1319"/>
      <c r="DF611" s="1319"/>
      <c r="DG611" s="1320"/>
      <c r="DH611" s="1369"/>
      <c r="DI611" s="1319"/>
      <c r="DJ611" s="1319"/>
      <c r="DK611" s="1319"/>
      <c r="DL611" s="1320"/>
      <c r="DM611" s="1743"/>
      <c r="DN611" s="1744"/>
      <c r="DO611" s="1744"/>
      <c r="DP611" s="1745"/>
      <c r="DQ611" s="1744"/>
      <c r="DR611" s="1744"/>
      <c r="DS611" s="1744"/>
      <c r="DT611" s="1745"/>
      <c r="DU611" s="1328"/>
      <c r="DV611" s="1664"/>
      <c r="DW611" s="1746"/>
    </row>
    <row r="612" spans="1:127" s="382" customFormat="1" ht="15.75" customHeight="1">
      <c r="A612" s="1066" t="s">
        <v>1227</v>
      </c>
      <c r="B612" s="1026">
        <v>603</v>
      </c>
      <c r="C612" s="987"/>
      <c r="D612" s="987"/>
      <c r="E612" s="987"/>
      <c r="F612" s="987"/>
      <c r="G612" s="987"/>
      <c r="H612" s="987"/>
      <c r="I612" s="987"/>
      <c r="J612" s="987"/>
      <c r="K612" s="987"/>
      <c r="L612" s="987"/>
      <c r="M612" s="1026"/>
      <c r="N612" s="987"/>
      <c r="O612" s="987"/>
      <c r="P612" s="987"/>
      <c r="Q612" s="987"/>
      <c r="R612" s="987"/>
      <c r="S612" s="987"/>
      <c r="T612" s="988"/>
      <c r="U612" s="1067" t="s">
        <v>1526</v>
      </c>
      <c r="V612" s="1068" t="s">
        <v>4195</v>
      </c>
      <c r="W612" s="1068" t="s">
        <v>2223</v>
      </c>
      <c r="X612" s="1069" t="s">
        <v>4203</v>
      </c>
      <c r="Y612" s="1070" t="s">
        <v>4204</v>
      </c>
      <c r="Z612" s="1071" t="s">
        <v>4205</v>
      </c>
      <c r="AA612" s="1072" t="s">
        <v>2260</v>
      </c>
      <c r="AB612" s="1073" t="s">
        <v>2260</v>
      </c>
      <c r="AC612" s="1073">
        <v>1</v>
      </c>
      <c r="AD612" s="1073" t="s">
        <v>2260</v>
      </c>
      <c r="AE612" s="1073" t="s">
        <v>2260</v>
      </c>
      <c r="AF612" s="1073" t="s">
        <v>2260</v>
      </c>
      <c r="AG612" s="1073" t="s">
        <v>2260</v>
      </c>
      <c r="AH612" s="1073" t="s">
        <v>2260</v>
      </c>
      <c r="AI612" s="1074">
        <f t="shared" si="9"/>
        <v>1</v>
      </c>
      <c r="AJ612" s="1075" t="s">
        <v>1846</v>
      </c>
      <c r="AK612" s="1075" t="s">
        <v>1826</v>
      </c>
      <c r="AL612" s="1075" t="s">
        <v>1827</v>
      </c>
      <c r="AM612" s="1076" t="s">
        <v>2234</v>
      </c>
      <c r="AN612" s="987" t="s">
        <v>1857</v>
      </c>
      <c r="AO612" s="987" t="s">
        <v>4206</v>
      </c>
      <c r="AP612" s="1243">
        <v>0</v>
      </c>
      <c r="AQ612" s="1045" t="s">
        <v>1838</v>
      </c>
      <c r="AR612" s="1078" t="s">
        <v>2260</v>
      </c>
      <c r="AS612" s="1079"/>
      <c r="AT612" s="1069"/>
      <c r="AU612" s="1069"/>
      <c r="AV612" s="1069"/>
      <c r="AW612" s="1080"/>
      <c r="AX612" s="1081"/>
      <c r="AY612" s="1044"/>
      <c r="AZ612" s="1045"/>
      <c r="BA612" s="1045"/>
      <c r="BB612" s="1045"/>
      <c r="BC612" s="1045"/>
      <c r="BD612" s="1045"/>
      <c r="BE612" s="1045"/>
      <c r="BF612" s="1045"/>
      <c r="BG612" s="1045"/>
      <c r="BH612" s="1045"/>
      <c r="BI612" s="1369"/>
      <c r="BJ612" s="1319"/>
      <c r="BK612" s="1319"/>
      <c r="BL612" s="1319"/>
      <c r="BM612" s="1319"/>
      <c r="BN612" s="1044"/>
      <c r="BO612" s="1045"/>
      <c r="BP612" s="1045"/>
      <c r="BQ612" s="1045"/>
      <c r="BR612" s="1045"/>
      <c r="BS612" s="1084"/>
      <c r="BT612" s="1045"/>
      <c r="BU612" s="1045"/>
      <c r="BV612" s="1045"/>
      <c r="BW612" s="1085"/>
      <c r="BX612" s="1084"/>
      <c r="BY612" s="1045"/>
      <c r="BZ612" s="1045"/>
      <c r="CA612" s="1045"/>
      <c r="CB612" s="1085"/>
      <c r="CC612" s="1086"/>
      <c r="CD612" s="1327"/>
      <c r="CE612" s="1328"/>
      <c r="CF612" s="1328"/>
      <c r="CG612" s="1328"/>
      <c r="CH612" s="1389"/>
      <c r="CI612" s="1369"/>
      <c r="CJ612" s="1319"/>
      <c r="CK612" s="1319"/>
      <c r="CL612" s="1319"/>
      <c r="CM612" s="1320"/>
      <c r="CN612" s="1369"/>
      <c r="CO612" s="1319"/>
      <c r="CP612" s="1319"/>
      <c r="CQ612" s="1319"/>
      <c r="CR612" s="1320"/>
      <c r="CS612" s="1369"/>
      <c r="CT612" s="1319"/>
      <c r="CU612" s="1319"/>
      <c r="CV612" s="1319"/>
      <c r="CW612" s="1320"/>
      <c r="CX612" s="1369"/>
      <c r="CY612" s="1319"/>
      <c r="CZ612" s="1319"/>
      <c r="DA612" s="1319"/>
      <c r="DB612" s="1320"/>
      <c r="DC612" s="1319"/>
      <c r="DD612" s="1319"/>
      <c r="DE612" s="1319"/>
      <c r="DF612" s="1319"/>
      <c r="DG612" s="1320"/>
      <c r="DH612" s="1369"/>
      <c r="DI612" s="1319"/>
      <c r="DJ612" s="1319"/>
      <c r="DK612" s="1319"/>
      <c r="DL612" s="1320"/>
      <c r="DM612" s="1743"/>
      <c r="DN612" s="1744"/>
      <c r="DO612" s="1744"/>
      <c r="DP612" s="1745"/>
      <c r="DQ612" s="1744"/>
      <c r="DR612" s="1744"/>
      <c r="DS612" s="1744"/>
      <c r="DT612" s="1745"/>
      <c r="DU612" s="1328"/>
      <c r="DV612" s="1664"/>
      <c r="DW612" s="1746"/>
    </row>
    <row r="613" spans="1:127" s="382" customFormat="1" ht="15.75" customHeight="1">
      <c r="A613" s="1066" t="s">
        <v>1227</v>
      </c>
      <c r="B613" s="1026">
        <v>604</v>
      </c>
      <c r="C613" s="987"/>
      <c r="D613" s="987"/>
      <c r="E613" s="987"/>
      <c r="F613" s="987"/>
      <c r="G613" s="987"/>
      <c r="H613" s="987"/>
      <c r="I613" s="987"/>
      <c r="J613" s="987"/>
      <c r="K613" s="987"/>
      <c r="L613" s="987"/>
      <c r="M613" s="1026"/>
      <c r="N613" s="987"/>
      <c r="O613" s="987"/>
      <c r="P613" s="987"/>
      <c r="Q613" s="987"/>
      <c r="R613" s="987"/>
      <c r="S613" s="987"/>
      <c r="T613" s="988"/>
      <c r="U613" s="1067" t="s">
        <v>1280</v>
      </c>
      <c r="V613" s="1068" t="s">
        <v>4207</v>
      </c>
      <c r="W613" s="1068" t="s">
        <v>2217</v>
      </c>
      <c r="X613" s="1069" t="s">
        <v>4208</v>
      </c>
      <c r="Y613" s="1070" t="s">
        <v>179</v>
      </c>
      <c r="Z613" s="1071" t="s">
        <v>4209</v>
      </c>
      <c r="AA613" s="1072" t="s">
        <v>2260</v>
      </c>
      <c r="AB613" s="1073">
        <v>1</v>
      </c>
      <c r="AC613" s="1073" t="s">
        <v>2260</v>
      </c>
      <c r="AD613" s="1073" t="s">
        <v>2260</v>
      </c>
      <c r="AE613" s="1073" t="s">
        <v>2260</v>
      </c>
      <c r="AF613" s="1073" t="s">
        <v>2260</v>
      </c>
      <c r="AG613" s="1073" t="s">
        <v>2260</v>
      </c>
      <c r="AH613" s="1073" t="s">
        <v>2260</v>
      </c>
      <c r="AI613" s="1074">
        <f t="shared" si="9"/>
        <v>1</v>
      </c>
      <c r="AJ613" s="1075" t="s">
        <v>1852</v>
      </c>
      <c r="AK613" s="1075" t="s">
        <v>1826</v>
      </c>
      <c r="AL613" s="1075" t="s">
        <v>1827</v>
      </c>
      <c r="AM613" s="1076" t="s">
        <v>2220</v>
      </c>
      <c r="AN613" s="987" t="s">
        <v>4414</v>
      </c>
      <c r="AO613" s="987" t="s">
        <v>4415</v>
      </c>
      <c r="AP613" s="1276">
        <v>0</v>
      </c>
      <c r="AQ613" s="1045" t="s">
        <v>1838</v>
      </c>
      <c r="AR613" s="1078" t="s">
        <v>179</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210</v>
      </c>
      <c r="CE613" s="1088" t="s">
        <v>210</v>
      </c>
      <c r="CF613" s="1088" t="s">
        <v>210</v>
      </c>
      <c r="CG613" s="1088" t="s">
        <v>210</v>
      </c>
      <c r="CH613" s="1089" t="s">
        <v>210</v>
      </c>
      <c r="CI613" s="1321">
        <v>1.3391203703703704E-2</v>
      </c>
      <c r="CJ613" s="1322">
        <v>1.3391203703703704E-2</v>
      </c>
      <c r="CK613" s="1322">
        <v>1.3391203703703704E-2</v>
      </c>
      <c r="CL613" s="1322">
        <v>1.3391203703703704E-2</v>
      </c>
      <c r="CM613" s="1323">
        <v>1.3391203703703704E-2</v>
      </c>
      <c r="CN613" s="1321">
        <v>1.1793981481481482E-2</v>
      </c>
      <c r="CO613" s="1322">
        <v>1.1793981481481482E-2</v>
      </c>
      <c r="CP613" s="1322">
        <v>1.1793981481481482E-2</v>
      </c>
      <c r="CQ613" s="1322">
        <v>1.1793981481481482E-2</v>
      </c>
      <c r="CR613" s="1323">
        <v>1.1793981481481482E-2</v>
      </c>
      <c r="CS613" s="1118" t="s">
        <v>2260</v>
      </c>
      <c r="CT613" s="1119" t="s">
        <v>2260</v>
      </c>
      <c r="CU613" s="1119" t="s">
        <v>2260</v>
      </c>
      <c r="CV613" s="1119" t="s">
        <v>2260</v>
      </c>
      <c r="CW613" s="1122" t="s">
        <v>2260</v>
      </c>
      <c r="CX613" s="1118" t="s">
        <v>2260</v>
      </c>
      <c r="CY613" s="1119" t="s">
        <v>2260</v>
      </c>
      <c r="CZ613" s="1119" t="s">
        <v>2260</v>
      </c>
      <c r="DA613" s="1119" t="s">
        <v>2260</v>
      </c>
      <c r="DB613" s="1122" t="s">
        <v>2260</v>
      </c>
      <c r="DC613" s="1119">
        <v>9.0277777777777784E-4</v>
      </c>
      <c r="DD613" s="1119">
        <v>9.0277777777777784E-4</v>
      </c>
      <c r="DE613" s="1119">
        <v>9.0277777777777784E-4</v>
      </c>
      <c r="DF613" s="1119">
        <v>9.0277777777777784E-4</v>
      </c>
      <c r="DG613" s="1122">
        <v>9.0277777777777784E-4</v>
      </c>
      <c r="DH613" s="1118" t="s">
        <v>4430</v>
      </c>
      <c r="DI613" s="1119" t="s">
        <v>4430</v>
      </c>
      <c r="DJ613" s="1119" t="s">
        <v>4430</v>
      </c>
      <c r="DK613" s="1119" t="s">
        <v>4430</v>
      </c>
      <c r="DL613" s="1122" t="s">
        <v>4430</v>
      </c>
      <c r="DM613" s="1090">
        <v>-0.14000000000000001</v>
      </c>
      <c r="DN613" s="1091" t="s">
        <v>2260</v>
      </c>
      <c r="DO613" s="1091" t="s">
        <v>2260</v>
      </c>
      <c r="DP613" s="1092">
        <v>-0.3</v>
      </c>
      <c r="DQ613" s="1091">
        <v>0.14000000000000001</v>
      </c>
      <c r="DR613" s="1091" t="s">
        <v>2260</v>
      </c>
      <c r="DS613" s="1091" t="s">
        <v>2260</v>
      </c>
      <c r="DT613" s="1092">
        <v>0.3</v>
      </c>
      <c r="DU613" s="1088" t="s">
        <v>2260</v>
      </c>
      <c r="DV613" s="1093">
        <v>1</v>
      </c>
      <c r="DW613" s="1094" t="s">
        <v>2260</v>
      </c>
    </row>
    <row r="614" spans="1:127" s="382" customFormat="1" ht="15.75" customHeight="1">
      <c r="A614" s="1066" t="s">
        <v>1227</v>
      </c>
      <c r="B614" s="1026">
        <v>605</v>
      </c>
      <c r="C614" s="987"/>
      <c r="D614" s="987"/>
      <c r="E614" s="987"/>
      <c r="F614" s="987"/>
      <c r="G614" s="987"/>
      <c r="H614" s="987"/>
      <c r="I614" s="987"/>
      <c r="J614" s="987"/>
      <c r="K614" s="987"/>
      <c r="L614" s="987"/>
      <c r="M614" s="1026"/>
      <c r="N614" s="987"/>
      <c r="O614" s="987"/>
      <c r="P614" s="987"/>
      <c r="Q614" s="987"/>
      <c r="R614" s="987"/>
      <c r="S614" s="987"/>
      <c r="T614" s="988"/>
      <c r="U614" s="1067" t="s">
        <v>1285</v>
      </c>
      <c r="V614" s="1068" t="s">
        <v>4207</v>
      </c>
      <c r="W614" s="1068" t="s">
        <v>2231</v>
      </c>
      <c r="X614" s="1069" t="s">
        <v>4210</v>
      </c>
      <c r="Y614" s="1070" t="s">
        <v>567</v>
      </c>
      <c r="Z614" s="1071" t="s">
        <v>4211</v>
      </c>
      <c r="AA614" s="1072">
        <v>1</v>
      </c>
      <c r="AB614" s="1073" t="s">
        <v>2260</v>
      </c>
      <c r="AC614" s="1073" t="s">
        <v>2260</v>
      </c>
      <c r="AD614" s="1073" t="s">
        <v>2260</v>
      </c>
      <c r="AE614" s="1073" t="s">
        <v>2260</v>
      </c>
      <c r="AF614" s="1073" t="s">
        <v>2260</v>
      </c>
      <c r="AG614" s="1073" t="s">
        <v>2260</v>
      </c>
      <c r="AH614" s="1073" t="s">
        <v>2260</v>
      </c>
      <c r="AI614" s="1074">
        <f t="shared" si="9"/>
        <v>1</v>
      </c>
      <c r="AJ614" s="1075" t="s">
        <v>1825</v>
      </c>
      <c r="AK614" s="1075" t="s">
        <v>2260</v>
      </c>
      <c r="AL614" s="1075" t="s">
        <v>2260</v>
      </c>
      <c r="AM614" s="1076" t="s">
        <v>3028</v>
      </c>
      <c r="AN614" s="987" t="s">
        <v>321</v>
      </c>
      <c r="AO614" s="987" t="s">
        <v>4417</v>
      </c>
      <c r="AP614" s="1276">
        <v>1</v>
      </c>
      <c r="AQ614" s="1045" t="s">
        <v>1838</v>
      </c>
      <c r="AR614" s="1078" t="s">
        <v>567</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2260</v>
      </c>
      <c r="CE614" s="1088" t="s">
        <v>2260</v>
      </c>
      <c r="CF614" s="1088" t="s">
        <v>2260</v>
      </c>
      <c r="CG614" s="1088" t="s">
        <v>2260</v>
      </c>
      <c r="CH614" s="1089" t="s">
        <v>2260</v>
      </c>
      <c r="CI614" s="1044" t="s">
        <v>2260</v>
      </c>
      <c r="CJ614" s="1045" t="s">
        <v>2260</v>
      </c>
      <c r="CK614" s="1045" t="s">
        <v>2260</v>
      </c>
      <c r="CL614" s="1045" t="s">
        <v>2260</v>
      </c>
      <c r="CM614" s="1086" t="s">
        <v>2260</v>
      </c>
      <c r="CN614" s="1044" t="s">
        <v>2260</v>
      </c>
      <c r="CO614" s="1045" t="s">
        <v>2260</v>
      </c>
      <c r="CP614" s="1045" t="s">
        <v>2260</v>
      </c>
      <c r="CQ614" s="1045" t="s">
        <v>2260</v>
      </c>
      <c r="CR614" s="1086" t="s">
        <v>2260</v>
      </c>
      <c r="CS614" s="1044" t="s">
        <v>2260</v>
      </c>
      <c r="CT614" s="1045" t="s">
        <v>2260</v>
      </c>
      <c r="CU614" s="1045" t="s">
        <v>2260</v>
      </c>
      <c r="CV614" s="1045" t="s">
        <v>2260</v>
      </c>
      <c r="CW614" s="1086" t="s">
        <v>2260</v>
      </c>
      <c r="CX614" s="1044" t="s">
        <v>2260</v>
      </c>
      <c r="CY614" s="1045" t="s">
        <v>2260</v>
      </c>
      <c r="CZ614" s="1045" t="s">
        <v>2260</v>
      </c>
      <c r="DA614" s="1045" t="s">
        <v>2260</v>
      </c>
      <c r="DB614" s="1086" t="s">
        <v>2260</v>
      </c>
      <c r="DC614" s="1045" t="s">
        <v>2260</v>
      </c>
      <c r="DD614" s="1045" t="s">
        <v>2260</v>
      </c>
      <c r="DE614" s="1045" t="s">
        <v>2260</v>
      </c>
      <c r="DF614" s="1045" t="s">
        <v>2260</v>
      </c>
      <c r="DG614" s="1086" t="s">
        <v>2260</v>
      </c>
      <c r="DH614" s="1044" t="s">
        <v>2260</v>
      </c>
      <c r="DI614" s="1045" t="s">
        <v>2260</v>
      </c>
      <c r="DJ614" s="1045" t="s">
        <v>2260</v>
      </c>
      <c r="DK614" s="1045" t="s">
        <v>2260</v>
      </c>
      <c r="DL614" s="1086" t="s">
        <v>2260</v>
      </c>
      <c r="DM614" s="1090" t="s">
        <v>2260</v>
      </c>
      <c r="DN614" s="1091" t="s">
        <v>2260</v>
      </c>
      <c r="DO614" s="1091" t="s">
        <v>2260</v>
      </c>
      <c r="DP614" s="1092" t="s">
        <v>2260</v>
      </c>
      <c r="DQ614" s="1091" t="s">
        <v>2260</v>
      </c>
      <c r="DR614" s="1091" t="s">
        <v>2260</v>
      </c>
      <c r="DS614" s="1091" t="s">
        <v>2260</v>
      </c>
      <c r="DT614" s="1092" t="s">
        <v>2260</v>
      </c>
      <c r="DU614" s="1088" t="s">
        <v>2260</v>
      </c>
      <c r="DV614" s="1093">
        <v>1</v>
      </c>
      <c r="DW614" s="1094" t="s">
        <v>2260</v>
      </c>
    </row>
    <row r="615" spans="1:127" s="382" customFormat="1" ht="15.75" customHeight="1">
      <c r="A615" s="1066" t="s">
        <v>1227</v>
      </c>
      <c r="B615" s="1026">
        <v>606</v>
      </c>
      <c r="C615" s="987"/>
      <c r="D615" s="987"/>
      <c r="E615" s="987"/>
      <c r="F615" s="987"/>
      <c r="G615" s="987"/>
      <c r="H615" s="987"/>
      <c r="I615" s="987"/>
      <c r="J615" s="987"/>
      <c r="K615" s="987"/>
      <c r="L615" s="987"/>
      <c r="M615" s="1026"/>
      <c r="N615" s="987"/>
      <c r="O615" s="987"/>
      <c r="P615" s="987"/>
      <c r="Q615" s="987"/>
      <c r="R615" s="987"/>
      <c r="S615" s="987"/>
      <c r="T615" s="988"/>
      <c r="U615" s="1067" t="s">
        <v>1226</v>
      </c>
      <c r="V615" s="1068" t="s">
        <v>4207</v>
      </c>
      <c r="W615" s="1068" t="s">
        <v>2231</v>
      </c>
      <c r="X615" s="1069" t="s">
        <v>4212</v>
      </c>
      <c r="Y615" s="1070" t="s">
        <v>891</v>
      </c>
      <c r="Z615" s="1071" t="s">
        <v>4213</v>
      </c>
      <c r="AA615" s="1072" t="s">
        <v>2260</v>
      </c>
      <c r="AB615" s="1073" t="s">
        <v>2260</v>
      </c>
      <c r="AC615" s="1073">
        <v>1</v>
      </c>
      <c r="AD615" s="1073" t="s">
        <v>2260</v>
      </c>
      <c r="AE615" s="1073" t="s">
        <v>2260</v>
      </c>
      <c r="AF615" s="1073" t="s">
        <v>2260</v>
      </c>
      <c r="AG615" s="1073" t="s">
        <v>2260</v>
      </c>
      <c r="AH615" s="1073" t="s">
        <v>2260</v>
      </c>
      <c r="AI615" s="1074">
        <f t="shared" si="9"/>
        <v>1</v>
      </c>
      <c r="AJ615" s="1075" t="s">
        <v>1825</v>
      </c>
      <c r="AK615" s="1075" t="s">
        <v>2260</v>
      </c>
      <c r="AL615" s="1075" t="s">
        <v>2260</v>
      </c>
      <c r="AM615" s="1076" t="s">
        <v>2351</v>
      </c>
      <c r="AN615" s="987" t="s">
        <v>321</v>
      </c>
      <c r="AO615" s="987" t="s">
        <v>4417</v>
      </c>
      <c r="AP615" s="1276">
        <v>2</v>
      </c>
      <c r="AQ615" s="1045" t="s">
        <v>1838</v>
      </c>
      <c r="AR615" s="1078" t="s">
        <v>891</v>
      </c>
      <c r="AS615" s="1079"/>
      <c r="AT615" s="1069"/>
      <c r="AU615" s="1069"/>
      <c r="AV615" s="1069"/>
      <c r="AW615" s="1080"/>
      <c r="AX615" s="1081"/>
      <c r="AY615" s="1044"/>
      <c r="AZ615" s="1045"/>
      <c r="BA615" s="1045"/>
      <c r="BB615" s="1045"/>
      <c r="BC615" s="1045"/>
      <c r="BD615" s="1045"/>
      <c r="BE615" s="1045"/>
      <c r="BF615" s="1045"/>
      <c r="BG615" s="1045"/>
      <c r="BH615" s="1045"/>
      <c r="BI615" s="1044" t="s">
        <v>4506</v>
      </c>
      <c r="BJ615" s="1045" t="s">
        <v>4507</v>
      </c>
      <c r="BK615" s="1045" t="s">
        <v>4508</v>
      </c>
      <c r="BL615" s="1045" t="s">
        <v>4509</v>
      </c>
      <c r="BM615" s="1045" t="s">
        <v>4510</v>
      </c>
      <c r="BN615" s="1044"/>
      <c r="BO615" s="1045"/>
      <c r="BP615" s="1045"/>
      <c r="BQ615" s="1045"/>
      <c r="BR615" s="1045"/>
      <c r="BS615" s="1084"/>
      <c r="BT615" s="1045"/>
      <c r="BU615" s="1045"/>
      <c r="BV615" s="1045"/>
      <c r="BW615" s="1085"/>
      <c r="BX615" s="1084"/>
      <c r="BY615" s="1045"/>
      <c r="BZ615" s="1045"/>
      <c r="CA615" s="1045"/>
      <c r="CB615" s="1085"/>
      <c r="CC615" s="1086"/>
      <c r="CD615" s="1087" t="s">
        <v>2260</v>
      </c>
      <c r="CE615" s="1088" t="s">
        <v>2260</v>
      </c>
      <c r="CF615" s="1088" t="s">
        <v>2260</v>
      </c>
      <c r="CG615" s="1088" t="s">
        <v>2260</v>
      </c>
      <c r="CH615" s="1089" t="s">
        <v>2260</v>
      </c>
      <c r="CI615" s="1044" t="s">
        <v>2260</v>
      </c>
      <c r="CJ615" s="1045" t="s">
        <v>2260</v>
      </c>
      <c r="CK615" s="1045" t="s">
        <v>2260</v>
      </c>
      <c r="CL615" s="1045" t="s">
        <v>2260</v>
      </c>
      <c r="CM615" s="1086" t="s">
        <v>2260</v>
      </c>
      <c r="CN615" s="1044" t="s">
        <v>2260</v>
      </c>
      <c r="CO615" s="1045" t="s">
        <v>2260</v>
      </c>
      <c r="CP615" s="1045" t="s">
        <v>2260</v>
      </c>
      <c r="CQ615" s="1045" t="s">
        <v>2260</v>
      </c>
      <c r="CR615" s="1086" t="s">
        <v>2260</v>
      </c>
      <c r="CS615" s="1044" t="s">
        <v>2260</v>
      </c>
      <c r="CT615" s="1045" t="s">
        <v>2260</v>
      </c>
      <c r="CU615" s="1045" t="s">
        <v>2260</v>
      </c>
      <c r="CV615" s="1045" t="s">
        <v>2260</v>
      </c>
      <c r="CW615" s="1086" t="s">
        <v>2260</v>
      </c>
      <c r="CX615" s="1044" t="s">
        <v>2260</v>
      </c>
      <c r="CY615" s="1045" t="s">
        <v>2260</v>
      </c>
      <c r="CZ615" s="1045" t="s">
        <v>2260</v>
      </c>
      <c r="DA615" s="1045" t="s">
        <v>2260</v>
      </c>
      <c r="DB615" s="1086" t="s">
        <v>2260</v>
      </c>
      <c r="DC615" s="1045" t="s">
        <v>2260</v>
      </c>
      <c r="DD615" s="1045" t="s">
        <v>2260</v>
      </c>
      <c r="DE615" s="1045" t="s">
        <v>2260</v>
      </c>
      <c r="DF615" s="1045" t="s">
        <v>2260</v>
      </c>
      <c r="DG615" s="1086" t="s">
        <v>2260</v>
      </c>
      <c r="DH615" s="1044" t="s">
        <v>2260</v>
      </c>
      <c r="DI615" s="1045" t="s">
        <v>2260</v>
      </c>
      <c r="DJ615" s="1045" t="s">
        <v>2260</v>
      </c>
      <c r="DK615" s="1045" t="s">
        <v>2260</v>
      </c>
      <c r="DL615" s="1086" t="s">
        <v>2260</v>
      </c>
      <c r="DM615" s="1090" t="s">
        <v>2260</v>
      </c>
      <c r="DN615" s="1091" t="s">
        <v>2260</v>
      </c>
      <c r="DO615" s="1091" t="s">
        <v>2260</v>
      </c>
      <c r="DP615" s="1092" t="s">
        <v>2260</v>
      </c>
      <c r="DQ615" s="1091" t="s">
        <v>2260</v>
      </c>
      <c r="DR615" s="1091" t="s">
        <v>2260</v>
      </c>
      <c r="DS615" s="1091" t="s">
        <v>2260</v>
      </c>
      <c r="DT615" s="1092" t="s">
        <v>2260</v>
      </c>
      <c r="DU615" s="1088" t="s">
        <v>2260</v>
      </c>
      <c r="DV615" s="1093">
        <v>1</v>
      </c>
      <c r="DW615" s="1094" t="s">
        <v>2260</v>
      </c>
    </row>
    <row r="616" spans="1:127" s="382" customFormat="1" ht="15.75" customHeight="1">
      <c r="A616" s="1066" t="s">
        <v>1227</v>
      </c>
      <c r="B616" s="1026">
        <v>607</v>
      </c>
      <c r="C616" s="987"/>
      <c r="D616" s="987"/>
      <c r="E616" s="987"/>
      <c r="F616" s="987"/>
      <c r="G616" s="987"/>
      <c r="H616" s="987"/>
      <c r="I616" s="987"/>
      <c r="J616" s="987"/>
      <c r="K616" s="987"/>
      <c r="L616" s="987"/>
      <c r="M616" s="1026"/>
      <c r="N616" s="987"/>
      <c r="O616" s="987"/>
      <c r="P616" s="987"/>
      <c r="Q616" s="987"/>
      <c r="R616" s="987"/>
      <c r="S616" s="987"/>
      <c r="T616" s="988"/>
      <c r="U616" s="1067" t="s">
        <v>1283</v>
      </c>
      <c r="V616" s="1068" t="s">
        <v>4207</v>
      </c>
      <c r="W616" s="1068" t="s">
        <v>2223</v>
      </c>
      <c r="X616" s="1069" t="s">
        <v>4214</v>
      </c>
      <c r="Y616" s="1070" t="s">
        <v>203</v>
      </c>
      <c r="Z616" s="1071" t="s">
        <v>4215</v>
      </c>
      <c r="AA616" s="1072" t="s">
        <v>2260</v>
      </c>
      <c r="AB616" s="1073">
        <v>1</v>
      </c>
      <c r="AC616" s="1073" t="s">
        <v>2260</v>
      </c>
      <c r="AD616" s="1073" t="s">
        <v>2260</v>
      </c>
      <c r="AE616" s="1073" t="s">
        <v>2260</v>
      </c>
      <c r="AF616" s="1073" t="s">
        <v>2260</v>
      </c>
      <c r="AG616" s="1073" t="s">
        <v>2260</v>
      </c>
      <c r="AH616" s="1073" t="s">
        <v>2260</v>
      </c>
      <c r="AI616" s="1074">
        <f t="shared" si="9"/>
        <v>1</v>
      </c>
      <c r="AJ616" s="1075" t="s">
        <v>1846</v>
      </c>
      <c r="AK616" s="1075" t="s">
        <v>1826</v>
      </c>
      <c r="AL616" s="1075" t="s">
        <v>1827</v>
      </c>
      <c r="AM616" s="1076" t="s">
        <v>2363</v>
      </c>
      <c r="AN616" s="987" t="s">
        <v>2439</v>
      </c>
      <c r="AO616" s="987" t="s">
        <v>4419</v>
      </c>
      <c r="AP616" s="1276">
        <v>1</v>
      </c>
      <c r="AQ616" s="1045" t="s">
        <v>1838</v>
      </c>
      <c r="AR616" s="1078" t="s">
        <v>203</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210</v>
      </c>
      <c r="CE616" s="1088" t="s">
        <v>210</v>
      </c>
      <c r="CF616" s="1088" t="s">
        <v>210</v>
      </c>
      <c r="CG616" s="1088" t="s">
        <v>210</v>
      </c>
      <c r="CH616" s="1089" t="s">
        <v>210</v>
      </c>
      <c r="CI616" s="1044" t="s">
        <v>2260</v>
      </c>
      <c r="CJ616" s="1045" t="s">
        <v>2260</v>
      </c>
      <c r="CK616" s="1045" t="s">
        <v>2260</v>
      </c>
      <c r="CL616" s="1045" t="s">
        <v>2260</v>
      </c>
      <c r="CM616" s="1086" t="s">
        <v>2260</v>
      </c>
      <c r="CN616" s="1044">
        <v>225.9</v>
      </c>
      <c r="CO616" s="1045">
        <v>225.9</v>
      </c>
      <c r="CP616" s="1045">
        <v>225.9</v>
      </c>
      <c r="CQ616" s="1045">
        <v>225.9</v>
      </c>
      <c r="CR616" s="1086">
        <v>225.9</v>
      </c>
      <c r="CS616" s="1044" t="s">
        <v>2260</v>
      </c>
      <c r="CT616" s="1045" t="s">
        <v>2260</v>
      </c>
      <c r="CU616" s="1045" t="s">
        <v>2260</v>
      </c>
      <c r="CV616" s="1045" t="s">
        <v>2260</v>
      </c>
      <c r="CW616" s="1086" t="s">
        <v>2260</v>
      </c>
      <c r="CX616" s="1044" t="s">
        <v>2260</v>
      </c>
      <c r="CY616" s="1045" t="s">
        <v>2260</v>
      </c>
      <c r="CZ616" s="1045" t="s">
        <v>2260</v>
      </c>
      <c r="DA616" s="1045" t="s">
        <v>2260</v>
      </c>
      <c r="DB616" s="1086" t="s">
        <v>2260</v>
      </c>
      <c r="DC616" s="1045" t="s">
        <v>2260</v>
      </c>
      <c r="DD616" s="1045" t="s">
        <v>2260</v>
      </c>
      <c r="DE616" s="1045" t="s">
        <v>2260</v>
      </c>
      <c r="DF616" s="1045" t="s">
        <v>2260</v>
      </c>
      <c r="DG616" s="1086" t="s">
        <v>2260</v>
      </c>
      <c r="DH616" s="1044" t="s">
        <v>2260</v>
      </c>
      <c r="DI616" s="1045" t="s">
        <v>2260</v>
      </c>
      <c r="DJ616" s="1045" t="s">
        <v>2260</v>
      </c>
      <c r="DK616" s="1045" t="s">
        <v>2260</v>
      </c>
      <c r="DL616" s="1086" t="s">
        <v>2260</v>
      </c>
      <c r="DM616" s="1090">
        <v>-4.5999999999999999E-2</v>
      </c>
      <c r="DN616" s="1091">
        <v>-0.38</v>
      </c>
      <c r="DO616" s="1091" t="s">
        <v>2260</v>
      </c>
      <c r="DP616" s="1092" t="s">
        <v>2260</v>
      </c>
      <c r="DQ616" s="1091" t="s">
        <v>2260</v>
      </c>
      <c r="DR616" s="1091" t="s">
        <v>2260</v>
      </c>
      <c r="DS616" s="1091" t="s">
        <v>2260</v>
      </c>
      <c r="DT616" s="1092" t="s">
        <v>2260</v>
      </c>
      <c r="DU616" s="1088" t="s">
        <v>2260</v>
      </c>
      <c r="DV616" s="1093">
        <v>1</v>
      </c>
      <c r="DW616" s="1094" t="s">
        <v>2260</v>
      </c>
    </row>
    <row r="617" spans="1:127" s="382" customFormat="1" ht="15.75" customHeight="1">
      <c r="A617" s="1066" t="s">
        <v>1227</v>
      </c>
      <c r="B617" s="1026">
        <v>608</v>
      </c>
      <c r="C617" s="987"/>
      <c r="D617" s="987"/>
      <c r="E617" s="987"/>
      <c r="F617" s="987"/>
      <c r="G617" s="987"/>
      <c r="H617" s="987"/>
      <c r="I617" s="987"/>
      <c r="J617" s="987"/>
      <c r="K617" s="987"/>
      <c r="L617" s="987"/>
      <c r="M617" s="1026"/>
      <c r="N617" s="987"/>
      <c r="O617" s="987"/>
      <c r="P617" s="987"/>
      <c r="Q617" s="987"/>
      <c r="R617" s="987"/>
      <c r="S617" s="987"/>
      <c r="T617" s="988"/>
      <c r="U617" s="1067" t="s">
        <v>1284</v>
      </c>
      <c r="V617" s="1068" t="s">
        <v>4207</v>
      </c>
      <c r="W617" s="1068" t="s">
        <v>2231</v>
      </c>
      <c r="X617" s="1069" t="s">
        <v>4217</v>
      </c>
      <c r="Y617" s="1070" t="s">
        <v>209</v>
      </c>
      <c r="Z617" s="1071" t="s">
        <v>4218</v>
      </c>
      <c r="AA617" s="1072" t="s">
        <v>2260</v>
      </c>
      <c r="AB617" s="1073">
        <v>1</v>
      </c>
      <c r="AC617" s="1073" t="s">
        <v>2260</v>
      </c>
      <c r="AD617" s="1073" t="s">
        <v>2260</v>
      </c>
      <c r="AE617" s="1073" t="s">
        <v>2260</v>
      </c>
      <c r="AF617" s="1073" t="s">
        <v>2260</v>
      </c>
      <c r="AG617" s="1073" t="s">
        <v>2260</v>
      </c>
      <c r="AH617" s="1073" t="s">
        <v>2260</v>
      </c>
      <c r="AI617" s="1074">
        <f t="shared" si="9"/>
        <v>1</v>
      </c>
      <c r="AJ617" s="1075" t="s">
        <v>1846</v>
      </c>
      <c r="AK617" s="1075" t="s">
        <v>1826</v>
      </c>
      <c r="AL617" s="1075" t="s">
        <v>1827</v>
      </c>
      <c r="AM617" s="1076" t="s">
        <v>2238</v>
      </c>
      <c r="AN617" s="987" t="s">
        <v>321</v>
      </c>
      <c r="AO617" s="987" t="s">
        <v>4418</v>
      </c>
      <c r="AP617" s="1276">
        <v>2</v>
      </c>
      <c r="AQ617" s="1045" t="s">
        <v>1838</v>
      </c>
      <c r="AR617" s="1078" t="s">
        <v>209</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210</v>
      </c>
      <c r="CE617" s="1088" t="s">
        <v>210</v>
      </c>
      <c r="CF617" s="1088" t="s">
        <v>210</v>
      </c>
      <c r="CG617" s="1088" t="s">
        <v>210</v>
      </c>
      <c r="CH617" s="1089" t="s">
        <v>210</v>
      </c>
      <c r="CI617" s="1044" t="s">
        <v>2260</v>
      </c>
      <c r="CJ617" s="1045" t="s">
        <v>2260</v>
      </c>
      <c r="CK617" s="1045" t="s">
        <v>2260</v>
      </c>
      <c r="CL617" s="1045" t="s">
        <v>2260</v>
      </c>
      <c r="CM617" s="1086" t="s">
        <v>2260</v>
      </c>
      <c r="CN617" s="1044">
        <v>4.68</v>
      </c>
      <c r="CO617" s="1045">
        <v>4.68</v>
      </c>
      <c r="CP617" s="1045">
        <v>4.68</v>
      </c>
      <c r="CQ617" s="1045">
        <v>4.68</v>
      </c>
      <c r="CR617" s="1086">
        <v>4.68</v>
      </c>
      <c r="CS617" s="1044" t="s">
        <v>2260</v>
      </c>
      <c r="CT617" s="1045" t="s">
        <v>2260</v>
      </c>
      <c r="CU617" s="1045" t="s">
        <v>2260</v>
      </c>
      <c r="CV617" s="1045" t="s">
        <v>2260</v>
      </c>
      <c r="CW617" s="1086" t="s">
        <v>2260</v>
      </c>
      <c r="CX617" s="1044" t="s">
        <v>2260</v>
      </c>
      <c r="CY617" s="1045" t="s">
        <v>2260</v>
      </c>
      <c r="CZ617" s="1045" t="s">
        <v>2260</v>
      </c>
      <c r="DA617" s="1045" t="s">
        <v>2260</v>
      </c>
      <c r="DB617" s="1086" t="s">
        <v>2260</v>
      </c>
      <c r="DC617" s="1045" t="s">
        <v>2260</v>
      </c>
      <c r="DD617" s="1045" t="s">
        <v>2260</v>
      </c>
      <c r="DE617" s="1045" t="s">
        <v>2260</v>
      </c>
      <c r="DF617" s="1045" t="s">
        <v>2260</v>
      </c>
      <c r="DG617" s="1086" t="s">
        <v>2260</v>
      </c>
      <c r="DH617" s="1044" t="s">
        <v>2260</v>
      </c>
      <c r="DI617" s="1045" t="s">
        <v>2260</v>
      </c>
      <c r="DJ617" s="1045" t="s">
        <v>2260</v>
      </c>
      <c r="DK617" s="1045" t="s">
        <v>2260</v>
      </c>
      <c r="DL617" s="1086" t="s">
        <v>2260</v>
      </c>
      <c r="DM617" s="1090">
        <v>-0.24299999999999999</v>
      </c>
      <c r="DN617" s="1091" t="s">
        <v>2260</v>
      </c>
      <c r="DO617" s="1091" t="s">
        <v>2260</v>
      </c>
      <c r="DP617" s="1092" t="s">
        <v>2260</v>
      </c>
      <c r="DQ617" s="1091" t="s">
        <v>2260</v>
      </c>
      <c r="DR617" s="1091" t="s">
        <v>2260</v>
      </c>
      <c r="DS617" s="1091" t="s">
        <v>2260</v>
      </c>
      <c r="DT617" s="1092" t="s">
        <v>2260</v>
      </c>
      <c r="DU617" s="1088" t="s">
        <v>2260</v>
      </c>
      <c r="DV617" s="1093">
        <v>1</v>
      </c>
      <c r="DW617" s="1094" t="s">
        <v>2260</v>
      </c>
    </row>
    <row r="618" spans="1:127" s="382" customFormat="1" ht="15.75" customHeight="1">
      <c r="A618" s="1066" t="s">
        <v>1227</v>
      </c>
      <c r="B618" s="1026">
        <v>609</v>
      </c>
      <c r="C618" s="987"/>
      <c r="D618" s="987"/>
      <c r="E618" s="987"/>
      <c r="F618" s="987"/>
      <c r="G618" s="987"/>
      <c r="H618" s="987"/>
      <c r="I618" s="987"/>
      <c r="J618" s="987"/>
      <c r="K618" s="987"/>
      <c r="L618" s="987"/>
      <c r="M618" s="1026"/>
      <c r="N618" s="987"/>
      <c r="O618" s="987"/>
      <c r="P618" s="987"/>
      <c r="Q618" s="987"/>
      <c r="R618" s="987"/>
      <c r="S618" s="987"/>
      <c r="T618" s="988"/>
      <c r="U618" s="1067" t="s">
        <v>1222</v>
      </c>
      <c r="V618" s="1068" t="s">
        <v>4207</v>
      </c>
      <c r="W618" s="1068" t="s">
        <v>2223</v>
      </c>
      <c r="X618" s="1069" t="s">
        <v>4220</v>
      </c>
      <c r="Y618" s="1070" t="s">
        <v>795</v>
      </c>
      <c r="Z618" s="1071" t="s">
        <v>4221</v>
      </c>
      <c r="AA618" s="1072" t="s">
        <v>2260</v>
      </c>
      <c r="AB618" s="1073" t="s">
        <v>2260</v>
      </c>
      <c r="AC618" s="1073">
        <v>1</v>
      </c>
      <c r="AD618" s="1073" t="s">
        <v>2260</v>
      </c>
      <c r="AE618" s="1073" t="s">
        <v>2260</v>
      </c>
      <c r="AF618" s="1073" t="s">
        <v>2260</v>
      </c>
      <c r="AG618" s="1073" t="s">
        <v>2260</v>
      </c>
      <c r="AH618" s="1073" t="s">
        <v>2260</v>
      </c>
      <c r="AI618" s="1074">
        <f t="shared" si="9"/>
        <v>1</v>
      </c>
      <c r="AJ618" s="1075" t="s">
        <v>1846</v>
      </c>
      <c r="AK618" s="1075" t="s">
        <v>1826</v>
      </c>
      <c r="AL618" s="1075" t="s">
        <v>1827</v>
      </c>
      <c r="AM618" s="1076" t="s">
        <v>2234</v>
      </c>
      <c r="AN618" s="987" t="s">
        <v>2439</v>
      </c>
      <c r="AO618" s="987" t="s">
        <v>4432</v>
      </c>
      <c r="AP618" s="1276">
        <v>2</v>
      </c>
      <c r="AQ618" s="1045" t="s">
        <v>1838</v>
      </c>
      <c r="AR618" s="1078" t="s">
        <v>795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210</v>
      </c>
      <c r="CE618" s="1088" t="s">
        <v>210</v>
      </c>
      <c r="CF618" s="1088" t="s">
        <v>210</v>
      </c>
      <c r="CG618" s="1088" t="s">
        <v>210</v>
      </c>
      <c r="CH618" s="1089" t="s">
        <v>210</v>
      </c>
      <c r="CI618" s="1044" t="s">
        <v>2260</v>
      </c>
      <c r="CJ618" s="1045" t="s">
        <v>2260</v>
      </c>
      <c r="CK618" s="1045" t="s">
        <v>2260</v>
      </c>
      <c r="CL618" s="1045" t="s">
        <v>2260</v>
      </c>
      <c r="CM618" s="1086" t="s">
        <v>2260</v>
      </c>
      <c r="CN618" s="1044">
        <v>9.5</v>
      </c>
      <c r="CO618" s="1045">
        <v>9.5</v>
      </c>
      <c r="CP618" s="1045">
        <v>9.5</v>
      </c>
      <c r="CQ618" s="1045">
        <v>9.5</v>
      </c>
      <c r="CR618" s="1086">
        <v>9.5</v>
      </c>
      <c r="CS618" s="1044" t="s">
        <v>2260</v>
      </c>
      <c r="CT618" s="1045" t="s">
        <v>2260</v>
      </c>
      <c r="CU618" s="1045" t="s">
        <v>2260</v>
      </c>
      <c r="CV618" s="1045" t="s">
        <v>2260</v>
      </c>
      <c r="CW618" s="1086" t="s">
        <v>2260</v>
      </c>
      <c r="CX618" s="1044" t="s">
        <v>2260</v>
      </c>
      <c r="CY618" s="1045" t="s">
        <v>2260</v>
      </c>
      <c r="CZ618" s="1045" t="s">
        <v>2260</v>
      </c>
      <c r="DA618" s="1045" t="s">
        <v>2260</v>
      </c>
      <c r="DB618" s="1086" t="s">
        <v>2260</v>
      </c>
      <c r="DC618" s="1045" t="s">
        <v>2260</v>
      </c>
      <c r="DD618" s="1045" t="s">
        <v>2260</v>
      </c>
      <c r="DE618" s="1045" t="s">
        <v>2260</v>
      </c>
      <c r="DF618" s="1045" t="s">
        <v>2260</v>
      </c>
      <c r="DG618" s="1086" t="s">
        <v>2260</v>
      </c>
      <c r="DH618" s="1044" t="s">
        <v>2260</v>
      </c>
      <c r="DI618" s="1045" t="s">
        <v>2260</v>
      </c>
      <c r="DJ618" s="1045" t="s">
        <v>2260</v>
      </c>
      <c r="DK618" s="1045" t="s">
        <v>2260</v>
      </c>
      <c r="DL618" s="1086" t="s">
        <v>2260</v>
      </c>
      <c r="DM618" s="1090">
        <v>-0.125</v>
      </c>
      <c r="DN618" s="1091">
        <v>-0.99</v>
      </c>
      <c r="DO618" s="1091" t="s">
        <v>2260</v>
      </c>
      <c r="DP618" s="1092" t="s">
        <v>2260</v>
      </c>
      <c r="DQ618" s="1091" t="s">
        <v>2260</v>
      </c>
      <c r="DR618" s="1091" t="s">
        <v>2260</v>
      </c>
      <c r="DS618" s="1091" t="s">
        <v>2260</v>
      </c>
      <c r="DT618" s="1092" t="s">
        <v>2260</v>
      </c>
      <c r="DU618" s="1088" t="s">
        <v>2260</v>
      </c>
      <c r="DV618" s="1093">
        <v>1</v>
      </c>
      <c r="DW618" s="1094" t="s">
        <v>2260</v>
      </c>
    </row>
    <row r="619" spans="1:127" s="382" customFormat="1" ht="15.75" customHeight="1">
      <c r="A619" s="1066" t="s">
        <v>1227</v>
      </c>
      <c r="B619" s="1026">
        <v>610</v>
      </c>
      <c r="C619" s="987"/>
      <c r="D619" s="987"/>
      <c r="E619" s="987"/>
      <c r="F619" s="987"/>
      <c r="G619" s="987"/>
      <c r="H619" s="987"/>
      <c r="I619" s="987"/>
      <c r="J619" s="987"/>
      <c r="K619" s="987"/>
      <c r="L619" s="987"/>
      <c r="M619" s="1026"/>
      <c r="N619" s="987"/>
      <c r="O619" s="987"/>
      <c r="P619" s="987"/>
      <c r="Q619" s="987"/>
      <c r="R619" s="987"/>
      <c r="S619" s="987"/>
      <c r="T619" s="988"/>
      <c r="U619" s="1067" t="s">
        <v>1452</v>
      </c>
      <c r="V619" s="1068" t="s">
        <v>4207</v>
      </c>
      <c r="W619" s="1068" t="s">
        <v>2223</v>
      </c>
      <c r="X619" s="1069" t="s">
        <v>4223</v>
      </c>
      <c r="Y619" s="1070" t="s">
        <v>4224</v>
      </c>
      <c r="Z619" s="1071" t="s">
        <v>4225</v>
      </c>
      <c r="AA619" s="1072">
        <v>1</v>
      </c>
      <c r="AB619" s="1073" t="s">
        <v>2260</v>
      </c>
      <c r="AC619" s="1073" t="s">
        <v>2260</v>
      </c>
      <c r="AD619" s="1073" t="s">
        <v>2260</v>
      </c>
      <c r="AE619" s="1073" t="s">
        <v>2260</v>
      </c>
      <c r="AF619" s="1073" t="s">
        <v>2260</v>
      </c>
      <c r="AG619" s="1073" t="s">
        <v>2260</v>
      </c>
      <c r="AH619" s="1073" t="s">
        <v>2260</v>
      </c>
      <c r="AI619" s="1074">
        <f t="shared" si="9"/>
        <v>1</v>
      </c>
      <c r="AJ619" s="1075" t="s">
        <v>1846</v>
      </c>
      <c r="AK619" s="1075" t="s">
        <v>1826</v>
      </c>
      <c r="AL619" s="1075" t="s">
        <v>1827</v>
      </c>
      <c r="AM619" s="1076" t="s">
        <v>3028</v>
      </c>
      <c r="AN619" s="987" t="s">
        <v>1857</v>
      </c>
      <c r="AO619" s="987" t="s">
        <v>4226</v>
      </c>
      <c r="AP619" s="1243">
        <v>0</v>
      </c>
      <c r="AQ619" s="1045" t="s">
        <v>1838</v>
      </c>
      <c r="AR619" s="1078" t="s">
        <v>2260</v>
      </c>
      <c r="AS619" s="1079"/>
      <c r="AT619" s="1069"/>
      <c r="AU619" s="1069"/>
      <c r="AV619" s="1069"/>
      <c r="AW619" s="1080"/>
      <c r="AX619" s="1081"/>
      <c r="AY619" s="1044"/>
      <c r="AZ619" s="1045"/>
      <c r="BA619" s="1045"/>
      <c r="BB619" s="1045"/>
      <c r="BC619" s="1045"/>
      <c r="BD619" s="1045"/>
      <c r="BE619" s="1045"/>
      <c r="BF619" s="1045"/>
      <c r="BG619" s="1045"/>
      <c r="BH619" s="1045"/>
      <c r="BI619" s="1369"/>
      <c r="BJ619" s="1319"/>
      <c r="BK619" s="1319"/>
      <c r="BL619" s="1319"/>
      <c r="BM619" s="1319"/>
      <c r="BN619" s="1044"/>
      <c r="BO619" s="1045"/>
      <c r="BP619" s="1045"/>
      <c r="BQ619" s="1045"/>
      <c r="BR619" s="1045"/>
      <c r="BS619" s="1084"/>
      <c r="BT619" s="1045"/>
      <c r="BU619" s="1045"/>
      <c r="BV619" s="1045"/>
      <c r="BW619" s="1085"/>
      <c r="BX619" s="1084"/>
      <c r="BY619" s="1045"/>
      <c r="BZ619" s="1045"/>
      <c r="CA619" s="1045"/>
      <c r="CB619" s="1085"/>
      <c r="CC619" s="1086"/>
      <c r="CD619" s="1327"/>
      <c r="CE619" s="1328"/>
      <c r="CF619" s="1328"/>
      <c r="CG619" s="1328"/>
      <c r="CH619" s="1389"/>
      <c r="CI619" s="1369"/>
      <c r="CJ619" s="1319"/>
      <c r="CK619" s="1319"/>
      <c r="CL619" s="1319"/>
      <c r="CM619" s="1320"/>
      <c r="CN619" s="1369"/>
      <c r="CO619" s="1319"/>
      <c r="CP619" s="1319"/>
      <c r="CQ619" s="1319"/>
      <c r="CR619" s="1320"/>
      <c r="CS619" s="1369"/>
      <c r="CT619" s="1319"/>
      <c r="CU619" s="1319"/>
      <c r="CV619" s="1319"/>
      <c r="CW619" s="1320"/>
      <c r="CX619" s="1369"/>
      <c r="CY619" s="1319"/>
      <c r="CZ619" s="1319"/>
      <c r="DA619" s="1319"/>
      <c r="DB619" s="1320"/>
      <c r="DC619" s="1319"/>
      <c r="DD619" s="1319"/>
      <c r="DE619" s="1319"/>
      <c r="DF619" s="1319"/>
      <c r="DG619" s="1320"/>
      <c r="DH619" s="1369"/>
      <c r="DI619" s="1319"/>
      <c r="DJ619" s="1319"/>
      <c r="DK619" s="1319"/>
      <c r="DL619" s="1320"/>
      <c r="DM619" s="1743"/>
      <c r="DN619" s="1744"/>
      <c r="DO619" s="1744"/>
      <c r="DP619" s="1745"/>
      <c r="DQ619" s="1744"/>
      <c r="DR619" s="1744"/>
      <c r="DS619" s="1744"/>
      <c r="DT619" s="1745"/>
      <c r="DU619" s="1328"/>
      <c r="DV619" s="1664"/>
      <c r="DW619" s="1746"/>
    </row>
    <row r="620" spans="1:127" s="382" customFormat="1" ht="15.75" customHeight="1">
      <c r="A620" s="1066" t="s">
        <v>1227</v>
      </c>
      <c r="B620" s="1026">
        <v>611</v>
      </c>
      <c r="C620" s="987"/>
      <c r="D620" s="987"/>
      <c r="E620" s="987"/>
      <c r="F620" s="987"/>
      <c r="G620" s="987"/>
      <c r="H620" s="987"/>
      <c r="I620" s="987"/>
      <c r="J620" s="987"/>
      <c r="K620" s="987"/>
      <c r="L620" s="987"/>
      <c r="M620" s="1026"/>
      <c r="N620" s="987"/>
      <c r="O620" s="987"/>
      <c r="P620" s="987"/>
      <c r="Q620" s="987"/>
      <c r="R620" s="987"/>
      <c r="S620" s="987"/>
      <c r="T620" s="988"/>
      <c r="U620" s="1067" t="s">
        <v>1223</v>
      </c>
      <c r="V620" s="1068" t="s">
        <v>4227</v>
      </c>
      <c r="W620" s="1068" t="s">
        <v>2217</v>
      </c>
      <c r="X620" s="1069" t="s">
        <v>2613</v>
      </c>
      <c r="Y620" s="1070" t="s">
        <v>1085</v>
      </c>
      <c r="Z620" s="1071" t="s">
        <v>4228</v>
      </c>
      <c r="AA620" s="1072" t="s">
        <v>2260</v>
      </c>
      <c r="AB620" s="1073" t="s">
        <v>2260</v>
      </c>
      <c r="AC620" s="1073">
        <v>1</v>
      </c>
      <c r="AD620" s="1073" t="s">
        <v>2260</v>
      </c>
      <c r="AE620" s="1073" t="s">
        <v>2260</v>
      </c>
      <c r="AF620" s="1073" t="s">
        <v>2260</v>
      </c>
      <c r="AG620" s="1073" t="s">
        <v>2260</v>
      </c>
      <c r="AH620" s="1073" t="s">
        <v>2260</v>
      </c>
      <c r="AI620" s="1074">
        <f t="shared" si="9"/>
        <v>1</v>
      </c>
      <c r="AJ620" s="1075" t="s">
        <v>1846</v>
      </c>
      <c r="AK620" s="1075" t="s">
        <v>1826</v>
      </c>
      <c r="AL620" s="1075" t="s">
        <v>1827</v>
      </c>
      <c r="AM620" s="1076" t="s">
        <v>2387</v>
      </c>
      <c r="AN620" s="987" t="s">
        <v>321</v>
      </c>
      <c r="AO620" s="987" t="s">
        <v>2649</v>
      </c>
      <c r="AP620" s="1276">
        <v>2</v>
      </c>
      <c r="AQ620" s="1045" t="s">
        <v>1828</v>
      </c>
      <c r="AR620" s="1078" t="s">
        <v>1085</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210</v>
      </c>
      <c r="CE620" s="1088" t="s">
        <v>210</v>
      </c>
      <c r="CF620" s="1088" t="s">
        <v>210</v>
      </c>
      <c r="CG620" s="1088" t="s">
        <v>210</v>
      </c>
      <c r="CH620" s="1089" t="s">
        <v>210</v>
      </c>
      <c r="CI620" s="1044" t="s">
        <v>2260</v>
      </c>
      <c r="CJ620" s="1045" t="s">
        <v>2260</v>
      </c>
      <c r="CK620" s="1045" t="s">
        <v>2260</v>
      </c>
      <c r="CL620" s="1045" t="s">
        <v>2260</v>
      </c>
      <c r="CM620" s="1086" t="s">
        <v>2260</v>
      </c>
      <c r="CN620" s="1044">
        <v>97.7</v>
      </c>
      <c r="CO620" s="1045">
        <v>97.7</v>
      </c>
      <c r="CP620" s="1045">
        <v>97.7</v>
      </c>
      <c r="CQ620" s="1045">
        <v>97.7</v>
      </c>
      <c r="CR620" s="1086">
        <v>97.7</v>
      </c>
      <c r="CS620" s="1044">
        <v>99</v>
      </c>
      <c r="CT620" s="1045">
        <v>99</v>
      </c>
      <c r="CU620" s="1045">
        <v>99</v>
      </c>
      <c r="CV620" s="1045">
        <v>99</v>
      </c>
      <c r="CW620" s="1086">
        <v>99</v>
      </c>
      <c r="CX620" s="1044" t="s">
        <v>2260</v>
      </c>
      <c r="CY620" s="1045" t="s">
        <v>2260</v>
      </c>
      <c r="CZ620" s="1045" t="s">
        <v>2260</v>
      </c>
      <c r="DA620" s="1045" t="s">
        <v>2260</v>
      </c>
      <c r="DB620" s="1086" t="s">
        <v>2260</v>
      </c>
      <c r="DC620" s="1045" t="s">
        <v>2260</v>
      </c>
      <c r="DD620" s="1045" t="s">
        <v>2260</v>
      </c>
      <c r="DE620" s="1045" t="s">
        <v>2260</v>
      </c>
      <c r="DF620" s="1045" t="s">
        <v>2260</v>
      </c>
      <c r="DG620" s="1086" t="s">
        <v>2260</v>
      </c>
      <c r="DH620" s="1044" t="s">
        <v>2260</v>
      </c>
      <c r="DI620" s="1045" t="s">
        <v>2260</v>
      </c>
      <c r="DJ620" s="1045" t="s">
        <v>2260</v>
      </c>
      <c r="DK620" s="1045" t="s">
        <v>2260</v>
      </c>
      <c r="DL620" s="1086" t="s">
        <v>2260</v>
      </c>
      <c r="DM620" s="1090">
        <v>-0.53</v>
      </c>
      <c r="DN620" s="1091">
        <v>-2.2999999999999998</v>
      </c>
      <c r="DO620" s="1091" t="s">
        <v>2260</v>
      </c>
      <c r="DP620" s="1092" t="s">
        <v>2260</v>
      </c>
      <c r="DQ620" s="1091" t="s">
        <v>2260</v>
      </c>
      <c r="DR620" s="1091" t="s">
        <v>2260</v>
      </c>
      <c r="DS620" s="1091" t="s">
        <v>2260</v>
      </c>
      <c r="DT620" s="1092" t="s">
        <v>2260</v>
      </c>
      <c r="DU620" s="1088" t="s">
        <v>2260</v>
      </c>
      <c r="DV620" s="1093">
        <v>1</v>
      </c>
      <c r="DW620" s="1094" t="s">
        <v>2260</v>
      </c>
    </row>
    <row r="621" spans="1:127" s="382" customFormat="1" ht="15.75" customHeight="1">
      <c r="A621" s="1066" t="s">
        <v>1227</v>
      </c>
      <c r="B621" s="1026">
        <v>612</v>
      </c>
      <c r="C621" s="987"/>
      <c r="D621" s="987"/>
      <c r="E621" s="987"/>
      <c r="F621" s="987"/>
      <c r="G621" s="987"/>
      <c r="H621" s="987"/>
      <c r="I621" s="987"/>
      <c r="J621" s="987"/>
      <c r="K621" s="987"/>
      <c r="L621" s="987"/>
      <c r="M621" s="1026"/>
      <c r="N621" s="987"/>
      <c r="O621" s="987"/>
      <c r="P621" s="987"/>
      <c r="Q621" s="987"/>
      <c r="R621" s="987"/>
      <c r="S621" s="987"/>
      <c r="T621" s="988"/>
      <c r="U621" s="1067" t="s">
        <v>1235</v>
      </c>
      <c r="V621" s="1068" t="s">
        <v>4227</v>
      </c>
      <c r="W621" s="1068" t="s">
        <v>2217</v>
      </c>
      <c r="X621" s="1069" t="s">
        <v>2616</v>
      </c>
      <c r="Y621" s="1070" t="s">
        <v>788</v>
      </c>
      <c r="Z621" s="1071" t="s">
        <v>4230</v>
      </c>
      <c r="AA621" s="1072" t="s">
        <v>2260</v>
      </c>
      <c r="AB621" s="1073" t="s">
        <v>2260</v>
      </c>
      <c r="AC621" s="1073">
        <v>1</v>
      </c>
      <c r="AD621" s="1073" t="s">
        <v>2260</v>
      </c>
      <c r="AE621" s="1073" t="s">
        <v>2260</v>
      </c>
      <c r="AF621" s="1073" t="s">
        <v>2260</v>
      </c>
      <c r="AG621" s="1073" t="s">
        <v>2260</v>
      </c>
      <c r="AH621" s="1073" t="s">
        <v>2260</v>
      </c>
      <c r="AI621" s="1074">
        <f t="shared" si="9"/>
        <v>1</v>
      </c>
      <c r="AJ621" s="1075" t="s">
        <v>1852</v>
      </c>
      <c r="AK621" s="1075" t="s">
        <v>1826</v>
      </c>
      <c r="AL621" s="1075" t="s">
        <v>1827</v>
      </c>
      <c r="AM621" s="1076" t="s">
        <v>788</v>
      </c>
      <c r="AN621" s="987" t="s">
        <v>2439</v>
      </c>
      <c r="AO621" s="987" t="s">
        <v>4431</v>
      </c>
      <c r="AP621" s="1276">
        <v>2</v>
      </c>
      <c r="AQ621" s="1045" t="s">
        <v>1838</v>
      </c>
      <c r="AR621" s="1078" t="s">
        <v>788</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210</v>
      </c>
      <c r="CE621" s="1088" t="s">
        <v>210</v>
      </c>
      <c r="CF621" s="1088" t="s">
        <v>210</v>
      </c>
      <c r="CG621" s="1088" t="s">
        <v>210</v>
      </c>
      <c r="CH621" s="1089" t="s">
        <v>210</v>
      </c>
      <c r="CI621" s="1044">
        <v>98</v>
      </c>
      <c r="CJ621" s="1045">
        <v>98</v>
      </c>
      <c r="CK621" s="1045">
        <v>98</v>
      </c>
      <c r="CL621" s="1045">
        <v>98</v>
      </c>
      <c r="CM621" s="1086">
        <v>98</v>
      </c>
      <c r="CN621" s="1044">
        <v>41.6</v>
      </c>
      <c r="CO621" s="1045">
        <v>41.6</v>
      </c>
      <c r="CP621" s="1045">
        <v>41.6</v>
      </c>
      <c r="CQ621" s="1045">
        <v>41.6</v>
      </c>
      <c r="CR621" s="1086">
        <v>41.6</v>
      </c>
      <c r="CS621" s="1044" t="s">
        <v>2260</v>
      </c>
      <c r="CT621" s="1045" t="s">
        <v>2260</v>
      </c>
      <c r="CU621" s="1045" t="s">
        <v>2260</v>
      </c>
      <c r="CV621" s="1045" t="s">
        <v>2260</v>
      </c>
      <c r="CW621" s="1086" t="s">
        <v>2260</v>
      </c>
      <c r="CX621" s="1044" t="s">
        <v>2260</v>
      </c>
      <c r="CY621" s="1045" t="s">
        <v>2260</v>
      </c>
      <c r="CZ621" s="1045" t="s">
        <v>2260</v>
      </c>
      <c r="DA621" s="1045" t="s">
        <v>2260</v>
      </c>
      <c r="DB621" s="1086" t="s">
        <v>2260</v>
      </c>
      <c r="DC621" s="1045">
        <v>11.83</v>
      </c>
      <c r="DD621" s="1045">
        <v>11.46</v>
      </c>
      <c r="DE621" s="1045">
        <v>11.11</v>
      </c>
      <c r="DF621" s="1045">
        <v>10.82</v>
      </c>
      <c r="DG621" s="1086">
        <v>9.42</v>
      </c>
      <c r="DH621" s="1044" t="s">
        <v>4430</v>
      </c>
      <c r="DI621" s="1045" t="s">
        <v>4430</v>
      </c>
      <c r="DJ621" s="1045" t="s">
        <v>4430</v>
      </c>
      <c r="DK621" s="1045" t="s">
        <v>4430</v>
      </c>
      <c r="DL621" s="1086" t="s">
        <v>4430</v>
      </c>
      <c r="DM621" s="1090">
        <v>-0.27</v>
      </c>
      <c r="DN621" s="1091" t="s">
        <v>2260</v>
      </c>
      <c r="DO621" s="1091" t="s">
        <v>2260</v>
      </c>
      <c r="DP621" s="1269">
        <v>-0.85399999999999998</v>
      </c>
      <c r="DQ621" s="1091">
        <v>0.26</v>
      </c>
      <c r="DR621" s="1091" t="s">
        <v>2260</v>
      </c>
      <c r="DS621" s="1091" t="s">
        <v>2260</v>
      </c>
      <c r="DT621" s="1269">
        <v>0.85399999999999998</v>
      </c>
      <c r="DU621" s="1088" t="s">
        <v>2260</v>
      </c>
      <c r="DV621" s="1093">
        <v>1</v>
      </c>
      <c r="DW621" s="1094" t="s">
        <v>2260</v>
      </c>
    </row>
    <row r="622" spans="1:127" s="382" customFormat="1" ht="15.75" customHeight="1">
      <c r="A622" s="1066" t="s">
        <v>1227</v>
      </c>
      <c r="B622" s="1026">
        <v>613</v>
      </c>
      <c r="C622" s="987"/>
      <c r="D622" s="987"/>
      <c r="E622" s="987"/>
      <c r="F622" s="987"/>
      <c r="G622" s="987"/>
      <c r="H622" s="987"/>
      <c r="I622" s="987"/>
      <c r="J622" s="987"/>
      <c r="K622" s="987"/>
      <c r="L622" s="987"/>
      <c r="M622" s="1026"/>
      <c r="N622" s="987"/>
      <c r="O622" s="987"/>
      <c r="P622" s="987"/>
      <c r="Q622" s="987"/>
      <c r="R622" s="987"/>
      <c r="S622" s="987"/>
      <c r="T622" s="988"/>
      <c r="U622" s="1067" t="s">
        <v>1464</v>
      </c>
      <c r="V622" s="1068" t="s">
        <v>4227</v>
      </c>
      <c r="W622" s="1068" t="s">
        <v>2223</v>
      </c>
      <c r="X622" s="1069" t="s">
        <v>2619</v>
      </c>
      <c r="Y622" s="1070" t="s">
        <v>4232</v>
      </c>
      <c r="Z622" s="1071" t="s">
        <v>4233</v>
      </c>
      <c r="AA622" s="1072">
        <v>1</v>
      </c>
      <c r="AB622" s="1073" t="s">
        <v>2260</v>
      </c>
      <c r="AC622" s="1073" t="s">
        <v>2260</v>
      </c>
      <c r="AD622" s="1073" t="s">
        <v>2260</v>
      </c>
      <c r="AE622" s="1073" t="s">
        <v>2260</v>
      </c>
      <c r="AF622" s="1073" t="s">
        <v>2260</v>
      </c>
      <c r="AG622" s="1073" t="s">
        <v>2260</v>
      </c>
      <c r="AH622" s="1073" t="s">
        <v>2260</v>
      </c>
      <c r="AI622" s="1074">
        <f t="shared" si="9"/>
        <v>1</v>
      </c>
      <c r="AJ622" s="1075" t="s">
        <v>1852</v>
      </c>
      <c r="AK622" s="1075" t="s">
        <v>1826</v>
      </c>
      <c r="AL622" s="1075" t="s">
        <v>1827</v>
      </c>
      <c r="AM622" s="1076" t="s">
        <v>2290</v>
      </c>
      <c r="AN622" s="987" t="s">
        <v>1857</v>
      </c>
      <c r="AO622" s="987" t="s">
        <v>4234</v>
      </c>
      <c r="AP622" s="1243">
        <v>0</v>
      </c>
      <c r="AQ622" s="1045" t="s">
        <v>1838</v>
      </c>
      <c r="AR622" s="1078" t="s">
        <v>2260</v>
      </c>
      <c r="AS622" s="1079"/>
      <c r="AT622" s="1069"/>
      <c r="AU622" s="1069"/>
      <c r="AV622" s="1069"/>
      <c r="AW622" s="1080"/>
      <c r="AX622" s="1081"/>
      <c r="AY622" s="1044"/>
      <c r="AZ622" s="1045"/>
      <c r="BA622" s="1045"/>
      <c r="BB622" s="1045"/>
      <c r="BC622" s="1045"/>
      <c r="BD622" s="1045"/>
      <c r="BE622" s="1045"/>
      <c r="BF622" s="1045"/>
      <c r="BG622" s="1045"/>
      <c r="BH622" s="1045"/>
      <c r="BI622" s="1369"/>
      <c r="BJ622" s="1319"/>
      <c r="BK622" s="1319"/>
      <c r="BL622" s="1319"/>
      <c r="BM622" s="1319"/>
      <c r="BN622" s="1044"/>
      <c r="BO622" s="1045"/>
      <c r="BP622" s="1045"/>
      <c r="BQ622" s="1045"/>
      <c r="BR622" s="1045"/>
      <c r="BS622" s="1084"/>
      <c r="BT622" s="1045"/>
      <c r="BU622" s="1045"/>
      <c r="BV622" s="1045"/>
      <c r="BW622" s="1085"/>
      <c r="BX622" s="1084"/>
      <c r="BY622" s="1045"/>
      <c r="BZ622" s="1045"/>
      <c r="CA622" s="1045"/>
      <c r="CB622" s="1085"/>
      <c r="CC622" s="1086"/>
      <c r="CD622" s="1327"/>
      <c r="CE622" s="1328"/>
      <c r="CF622" s="1328"/>
      <c r="CG622" s="1328"/>
      <c r="CH622" s="1389"/>
      <c r="CI622" s="1369"/>
      <c r="CJ622" s="1319"/>
      <c r="CK622" s="1319"/>
      <c r="CL622" s="1319"/>
      <c r="CM622" s="1320"/>
      <c r="CN622" s="1369"/>
      <c r="CO622" s="1319"/>
      <c r="CP622" s="1319"/>
      <c r="CQ622" s="1319"/>
      <c r="CR622" s="1320"/>
      <c r="CS622" s="1369"/>
      <c r="CT622" s="1319"/>
      <c r="CU622" s="1319"/>
      <c r="CV622" s="1319"/>
      <c r="CW622" s="1320"/>
      <c r="CX622" s="1369"/>
      <c r="CY622" s="1319"/>
      <c r="CZ622" s="1319"/>
      <c r="DA622" s="1319"/>
      <c r="DB622" s="1320"/>
      <c r="DC622" s="1319"/>
      <c r="DD622" s="1319"/>
      <c r="DE622" s="1319"/>
      <c r="DF622" s="1319"/>
      <c r="DG622" s="1320"/>
      <c r="DH622" s="1369"/>
      <c r="DI622" s="1319"/>
      <c r="DJ622" s="1319"/>
      <c r="DK622" s="1319"/>
      <c r="DL622" s="1320"/>
      <c r="DM622" s="1743"/>
      <c r="DN622" s="1744"/>
      <c r="DO622" s="1744"/>
      <c r="DP622" s="1745"/>
      <c r="DQ622" s="1744"/>
      <c r="DR622" s="1744"/>
      <c r="DS622" s="1744"/>
      <c r="DT622" s="1745"/>
      <c r="DU622" s="1328"/>
      <c r="DV622" s="1664"/>
      <c r="DW622" s="1746"/>
    </row>
    <row r="623" spans="1:127" s="382" customFormat="1" ht="15.75" customHeight="1">
      <c r="A623" s="1066" t="s">
        <v>1227</v>
      </c>
      <c r="B623" s="1026">
        <v>614</v>
      </c>
      <c r="C623" s="987"/>
      <c r="D623" s="987"/>
      <c r="E623" s="987"/>
      <c r="F623" s="987"/>
      <c r="G623" s="987"/>
      <c r="H623" s="987"/>
      <c r="I623" s="987"/>
      <c r="J623" s="987"/>
      <c r="K623" s="987"/>
      <c r="L623" s="987"/>
      <c r="M623" s="1026"/>
      <c r="N623" s="987"/>
      <c r="O623" s="987"/>
      <c r="P623" s="987"/>
      <c r="Q623" s="987"/>
      <c r="R623" s="987"/>
      <c r="S623" s="987"/>
      <c r="T623" s="988"/>
      <c r="U623" s="1067" t="s">
        <v>1472</v>
      </c>
      <c r="V623" s="1068" t="s">
        <v>4227</v>
      </c>
      <c r="W623" s="1068" t="s">
        <v>2231</v>
      </c>
      <c r="X623" s="1069" t="s">
        <v>2624</v>
      </c>
      <c r="Y623" s="1070" t="s">
        <v>4235</v>
      </c>
      <c r="Z623" s="1071" t="s">
        <v>4236</v>
      </c>
      <c r="AA623" s="1072">
        <v>1</v>
      </c>
      <c r="AB623" s="1073" t="s">
        <v>2260</v>
      </c>
      <c r="AC623" s="1073" t="s">
        <v>2260</v>
      </c>
      <c r="AD623" s="1073" t="s">
        <v>2260</v>
      </c>
      <c r="AE623" s="1073" t="s">
        <v>2260</v>
      </c>
      <c r="AF623" s="1073" t="s">
        <v>2260</v>
      </c>
      <c r="AG623" s="1073" t="s">
        <v>2260</v>
      </c>
      <c r="AH623" s="1073" t="s">
        <v>2260</v>
      </c>
      <c r="AI623" s="1074">
        <f t="shared" si="9"/>
        <v>1</v>
      </c>
      <c r="AJ623" s="1075" t="s">
        <v>1852</v>
      </c>
      <c r="AK623" s="1075" t="s">
        <v>1826</v>
      </c>
      <c r="AL623" s="1075" t="s">
        <v>1827</v>
      </c>
      <c r="AM623" s="1076" t="s">
        <v>2523</v>
      </c>
      <c r="AN623" s="987" t="s">
        <v>321</v>
      </c>
      <c r="AO623" s="987" t="s">
        <v>4237</v>
      </c>
      <c r="AP623" s="1243">
        <v>0</v>
      </c>
      <c r="AQ623" s="1045" t="s">
        <v>1828</v>
      </c>
      <c r="AR623" s="1078" t="s">
        <v>2260</v>
      </c>
      <c r="AS623" s="1079"/>
      <c r="AT623" s="1069"/>
      <c r="AU623" s="1069"/>
      <c r="AV623" s="1069"/>
      <c r="AW623" s="1080"/>
      <c r="AX623" s="1081"/>
      <c r="AY623" s="1044"/>
      <c r="AZ623" s="1045"/>
      <c r="BA623" s="1045"/>
      <c r="BB623" s="1045"/>
      <c r="BC623" s="1045"/>
      <c r="BD623" s="1045"/>
      <c r="BE623" s="1045"/>
      <c r="BF623" s="1045"/>
      <c r="BG623" s="1045"/>
      <c r="BH623" s="1045"/>
      <c r="BI623" s="1369"/>
      <c r="BJ623" s="1319"/>
      <c r="BK623" s="1319"/>
      <c r="BL623" s="1319"/>
      <c r="BM623" s="1319"/>
      <c r="BN623" s="1044"/>
      <c r="BO623" s="1045"/>
      <c r="BP623" s="1045"/>
      <c r="BQ623" s="1045"/>
      <c r="BR623" s="1045"/>
      <c r="BS623" s="1084"/>
      <c r="BT623" s="1045"/>
      <c r="BU623" s="1045"/>
      <c r="BV623" s="1045"/>
      <c r="BW623" s="1085"/>
      <c r="BX623" s="1084"/>
      <c r="BY623" s="1045"/>
      <c r="BZ623" s="1045"/>
      <c r="CA623" s="1045"/>
      <c r="CB623" s="1085"/>
      <c r="CC623" s="1086"/>
      <c r="CD623" s="1327"/>
      <c r="CE623" s="1328"/>
      <c r="CF623" s="1328"/>
      <c r="CG623" s="1328"/>
      <c r="CH623" s="1389"/>
      <c r="CI623" s="1369"/>
      <c r="CJ623" s="1319"/>
      <c r="CK623" s="1319"/>
      <c r="CL623" s="1319"/>
      <c r="CM623" s="1320"/>
      <c r="CN623" s="1369"/>
      <c r="CO623" s="1319"/>
      <c r="CP623" s="1319"/>
      <c r="CQ623" s="1319"/>
      <c r="CR623" s="1320"/>
      <c r="CS623" s="1369"/>
      <c r="CT623" s="1319"/>
      <c r="CU623" s="1319"/>
      <c r="CV623" s="1319"/>
      <c r="CW623" s="1320"/>
      <c r="CX623" s="1369"/>
      <c r="CY623" s="1319"/>
      <c r="CZ623" s="1319"/>
      <c r="DA623" s="1319"/>
      <c r="DB623" s="1320"/>
      <c r="DC623" s="1319"/>
      <c r="DD623" s="1319"/>
      <c r="DE623" s="1319"/>
      <c r="DF623" s="1319"/>
      <c r="DG623" s="1320"/>
      <c r="DH623" s="1369"/>
      <c r="DI623" s="1319"/>
      <c r="DJ623" s="1319"/>
      <c r="DK623" s="1319"/>
      <c r="DL623" s="1320"/>
      <c r="DM623" s="1743"/>
      <c r="DN623" s="1744"/>
      <c r="DO623" s="1744"/>
      <c r="DP623" s="1745"/>
      <c r="DQ623" s="1744"/>
      <c r="DR623" s="1744"/>
      <c r="DS623" s="1744"/>
      <c r="DT623" s="1745"/>
      <c r="DU623" s="1328"/>
      <c r="DV623" s="1664"/>
      <c r="DW623" s="1746"/>
    </row>
    <row r="624" spans="1:127" s="382" customFormat="1" ht="15.75" customHeight="1">
      <c r="A624" s="1066" t="s">
        <v>1227</v>
      </c>
      <c r="B624" s="1026">
        <v>615</v>
      </c>
      <c r="C624" s="987"/>
      <c r="D624" s="987"/>
      <c r="E624" s="987"/>
      <c r="F624" s="987"/>
      <c r="G624" s="987"/>
      <c r="H624" s="987"/>
      <c r="I624" s="987"/>
      <c r="J624" s="987"/>
      <c r="K624" s="987"/>
      <c r="L624" s="987"/>
      <c r="M624" s="1026"/>
      <c r="N624" s="987"/>
      <c r="O624" s="987"/>
      <c r="P624" s="987"/>
      <c r="Q624" s="987"/>
      <c r="R624" s="987"/>
      <c r="S624" s="987"/>
      <c r="T624" s="988"/>
      <c r="U624" s="1067" t="s">
        <v>1536</v>
      </c>
      <c r="V624" s="1068" t="s">
        <v>4227</v>
      </c>
      <c r="W624" s="1068" t="s">
        <v>2217</v>
      </c>
      <c r="X624" s="1069" t="s">
        <v>2627</v>
      </c>
      <c r="Y624" s="1070" t="s">
        <v>2981</v>
      </c>
      <c r="Z624" s="1071" t="s">
        <v>4238</v>
      </c>
      <c r="AA624" s="1072">
        <v>0.03</v>
      </c>
      <c r="AB624" s="1073">
        <v>0.25</v>
      </c>
      <c r="AC624" s="1073">
        <v>0.54</v>
      </c>
      <c r="AD624" s="1073">
        <v>0.18</v>
      </c>
      <c r="AE624" s="1073" t="s">
        <v>2260</v>
      </c>
      <c r="AF624" s="1073" t="s">
        <v>2260</v>
      </c>
      <c r="AG624" s="1073" t="s">
        <v>2260</v>
      </c>
      <c r="AH624" s="1073" t="s">
        <v>2260</v>
      </c>
      <c r="AI624" s="1074">
        <f t="shared" si="9"/>
        <v>1</v>
      </c>
      <c r="AJ624" s="1075" t="s">
        <v>1846</v>
      </c>
      <c r="AK624" s="1075" t="s">
        <v>1826</v>
      </c>
      <c r="AL624" s="1075" t="s">
        <v>1827</v>
      </c>
      <c r="AM624" s="1076" t="s">
        <v>2408</v>
      </c>
      <c r="AN624" s="987" t="s">
        <v>1857</v>
      </c>
      <c r="AO624" s="987" t="s">
        <v>4239</v>
      </c>
      <c r="AP624" s="1243">
        <v>0</v>
      </c>
      <c r="AQ624" s="1045" t="s">
        <v>1838</v>
      </c>
      <c r="AR624" s="1078" t="s">
        <v>2260</v>
      </c>
      <c r="AS624" s="1079"/>
      <c r="AT624" s="1069"/>
      <c r="AU624" s="1069"/>
      <c r="AV624" s="1069"/>
      <c r="AW624" s="1080"/>
      <c r="AX624" s="1081"/>
      <c r="AY624" s="1044"/>
      <c r="AZ624" s="1045"/>
      <c r="BA624" s="1045"/>
      <c r="BB624" s="1045"/>
      <c r="BC624" s="1045"/>
      <c r="BD624" s="1045"/>
      <c r="BE624" s="1045"/>
      <c r="BF624" s="1045"/>
      <c r="BG624" s="1045"/>
      <c r="BH624" s="1045"/>
      <c r="BI624" s="1369"/>
      <c r="BJ624" s="1319"/>
      <c r="BK624" s="1319"/>
      <c r="BL624" s="1319"/>
      <c r="BM624" s="1319"/>
      <c r="BN624" s="1044"/>
      <c r="BO624" s="1045"/>
      <c r="BP624" s="1045"/>
      <c r="BQ624" s="1045"/>
      <c r="BR624" s="1045"/>
      <c r="BS624" s="1084"/>
      <c r="BT624" s="1045"/>
      <c r="BU624" s="1045"/>
      <c r="BV624" s="1045"/>
      <c r="BW624" s="1085"/>
      <c r="BX624" s="1084"/>
      <c r="BY624" s="1045"/>
      <c r="BZ624" s="1045"/>
      <c r="CA624" s="1045"/>
      <c r="CB624" s="1085"/>
      <c r="CC624" s="1086"/>
      <c r="CD624" s="1327"/>
      <c r="CE624" s="1328"/>
      <c r="CF624" s="1328"/>
      <c r="CG624" s="1328"/>
      <c r="CH624" s="1389"/>
      <c r="CI624" s="1369"/>
      <c r="CJ624" s="1319"/>
      <c r="CK624" s="1319"/>
      <c r="CL624" s="1319"/>
      <c r="CM624" s="1320"/>
      <c r="CN624" s="1369"/>
      <c r="CO624" s="1319"/>
      <c r="CP624" s="1319"/>
      <c r="CQ624" s="1319"/>
      <c r="CR624" s="1320"/>
      <c r="CS624" s="1369"/>
      <c r="CT624" s="1319"/>
      <c r="CU624" s="1319"/>
      <c r="CV624" s="1319"/>
      <c r="CW624" s="1320"/>
      <c r="CX624" s="1369"/>
      <c r="CY624" s="1319"/>
      <c r="CZ624" s="1319"/>
      <c r="DA624" s="1319"/>
      <c r="DB624" s="1320"/>
      <c r="DC624" s="1319"/>
      <c r="DD624" s="1319"/>
      <c r="DE624" s="1319"/>
      <c r="DF624" s="1319"/>
      <c r="DG624" s="1320"/>
      <c r="DH624" s="1369"/>
      <c r="DI624" s="1319"/>
      <c r="DJ624" s="1319"/>
      <c r="DK624" s="1319"/>
      <c r="DL624" s="1320"/>
      <c r="DM624" s="1743"/>
      <c r="DN624" s="1744"/>
      <c r="DO624" s="1744"/>
      <c r="DP624" s="1745"/>
      <c r="DQ624" s="1744"/>
      <c r="DR624" s="1744"/>
      <c r="DS624" s="1744"/>
      <c r="DT624" s="1745"/>
      <c r="DU624" s="1328"/>
      <c r="DV624" s="1664"/>
      <c r="DW624" s="1746"/>
    </row>
    <row r="625" spans="1:127" s="382" customFormat="1" ht="15.75" customHeight="1">
      <c r="A625" s="1066" t="s">
        <v>1227</v>
      </c>
      <c r="B625" s="1026">
        <v>616</v>
      </c>
      <c r="C625" s="987"/>
      <c r="D625" s="987"/>
      <c r="E625" s="987"/>
      <c r="F625" s="987"/>
      <c r="G625" s="987"/>
      <c r="H625" s="987"/>
      <c r="I625" s="987"/>
      <c r="J625" s="987"/>
      <c r="K625" s="987"/>
      <c r="L625" s="987"/>
      <c r="M625" s="1026"/>
      <c r="N625" s="987"/>
      <c r="O625" s="987"/>
      <c r="P625" s="987"/>
      <c r="Q625" s="987"/>
      <c r="R625" s="987"/>
      <c r="S625" s="987"/>
      <c r="T625" s="988"/>
      <c r="U625" s="1067" t="s">
        <v>1546</v>
      </c>
      <c r="V625" s="1068" t="s">
        <v>4227</v>
      </c>
      <c r="W625" s="1068" t="s">
        <v>2231</v>
      </c>
      <c r="X625" s="1069" t="s">
        <v>4240</v>
      </c>
      <c r="Y625" s="1070" t="s">
        <v>4241</v>
      </c>
      <c r="Z625" s="1071" t="s">
        <v>4242</v>
      </c>
      <c r="AA625" s="1072" t="s">
        <v>2260</v>
      </c>
      <c r="AB625" s="1073" t="s">
        <v>2260</v>
      </c>
      <c r="AC625" s="1073">
        <v>1</v>
      </c>
      <c r="AD625" s="1073" t="s">
        <v>2260</v>
      </c>
      <c r="AE625" s="1073" t="s">
        <v>2260</v>
      </c>
      <c r="AF625" s="1073" t="s">
        <v>2260</v>
      </c>
      <c r="AG625" s="1073" t="s">
        <v>2260</v>
      </c>
      <c r="AH625" s="1073" t="s">
        <v>2260</v>
      </c>
      <c r="AI625" s="1074">
        <f t="shared" si="9"/>
        <v>1</v>
      </c>
      <c r="AJ625" s="1075" t="s">
        <v>1852</v>
      </c>
      <c r="AK625" s="1075" t="s">
        <v>1826</v>
      </c>
      <c r="AL625" s="1075" t="s">
        <v>1827</v>
      </c>
      <c r="AM625" s="1076" t="s">
        <v>2537</v>
      </c>
      <c r="AN625" s="987" t="s">
        <v>1857</v>
      </c>
      <c r="AO625" s="987" t="s">
        <v>4243</v>
      </c>
      <c r="AP625" s="1243">
        <v>0</v>
      </c>
      <c r="AQ625" s="1045" t="s">
        <v>1828</v>
      </c>
      <c r="AR625" s="1078" t="s">
        <v>2260</v>
      </c>
      <c r="AS625" s="1079"/>
      <c r="AT625" s="1069"/>
      <c r="AU625" s="1069"/>
      <c r="AV625" s="1069"/>
      <c r="AW625" s="1080"/>
      <c r="AX625" s="1081"/>
      <c r="AY625" s="1044"/>
      <c r="AZ625" s="1045"/>
      <c r="BA625" s="1045"/>
      <c r="BB625" s="1045"/>
      <c r="BC625" s="1045"/>
      <c r="BD625" s="1045"/>
      <c r="BE625" s="1045"/>
      <c r="BF625" s="1045"/>
      <c r="BG625" s="1045"/>
      <c r="BH625" s="1045"/>
      <c r="BI625" s="1369"/>
      <c r="BJ625" s="1319"/>
      <c r="BK625" s="1319"/>
      <c r="BL625" s="1319"/>
      <c r="BM625" s="1319"/>
      <c r="BN625" s="1044"/>
      <c r="BO625" s="1045"/>
      <c r="BP625" s="1045"/>
      <c r="BQ625" s="1045"/>
      <c r="BR625" s="1045"/>
      <c r="BS625" s="1084"/>
      <c r="BT625" s="1045"/>
      <c r="BU625" s="1045"/>
      <c r="BV625" s="1045"/>
      <c r="BW625" s="1085"/>
      <c r="BX625" s="1084"/>
      <c r="BY625" s="1045"/>
      <c r="BZ625" s="1045"/>
      <c r="CA625" s="1045"/>
      <c r="CB625" s="1085"/>
      <c r="CC625" s="1086"/>
      <c r="CD625" s="1327"/>
      <c r="CE625" s="1328"/>
      <c r="CF625" s="1328"/>
      <c r="CG625" s="1328"/>
      <c r="CH625" s="1389"/>
      <c r="CI625" s="1369"/>
      <c r="CJ625" s="1319"/>
      <c r="CK625" s="1319"/>
      <c r="CL625" s="1319"/>
      <c r="CM625" s="1320"/>
      <c r="CN625" s="1369"/>
      <c r="CO625" s="1319"/>
      <c r="CP625" s="1319"/>
      <c r="CQ625" s="1319"/>
      <c r="CR625" s="1320"/>
      <c r="CS625" s="1369"/>
      <c r="CT625" s="1319"/>
      <c r="CU625" s="1319"/>
      <c r="CV625" s="1319"/>
      <c r="CW625" s="1320"/>
      <c r="CX625" s="1369"/>
      <c r="CY625" s="1319"/>
      <c r="CZ625" s="1319"/>
      <c r="DA625" s="1319"/>
      <c r="DB625" s="1320"/>
      <c r="DC625" s="1319"/>
      <c r="DD625" s="1319"/>
      <c r="DE625" s="1319"/>
      <c r="DF625" s="1319"/>
      <c r="DG625" s="1320"/>
      <c r="DH625" s="1369"/>
      <c r="DI625" s="1319"/>
      <c r="DJ625" s="1319"/>
      <c r="DK625" s="1319"/>
      <c r="DL625" s="1320"/>
      <c r="DM625" s="1743"/>
      <c r="DN625" s="1744"/>
      <c r="DO625" s="1744"/>
      <c r="DP625" s="1745"/>
      <c r="DQ625" s="1744"/>
      <c r="DR625" s="1744"/>
      <c r="DS625" s="1744"/>
      <c r="DT625" s="1745"/>
      <c r="DU625" s="1328"/>
      <c r="DV625" s="1664"/>
      <c r="DW625" s="1746"/>
    </row>
    <row r="626" spans="1:127" s="382" customFormat="1" ht="15.75" customHeight="1">
      <c r="A626" s="1066" t="s">
        <v>1227</v>
      </c>
      <c r="B626" s="1026">
        <v>617</v>
      </c>
      <c r="C626" s="987"/>
      <c r="D626" s="987"/>
      <c r="E626" s="987"/>
      <c r="F626" s="987"/>
      <c r="G626" s="987"/>
      <c r="H626" s="987"/>
      <c r="I626" s="987"/>
      <c r="J626" s="987"/>
      <c r="K626" s="987"/>
      <c r="L626" s="987"/>
      <c r="M626" s="1026"/>
      <c r="N626" s="987"/>
      <c r="O626" s="987"/>
      <c r="P626" s="987"/>
      <c r="Q626" s="987"/>
      <c r="R626" s="987"/>
      <c r="S626" s="987"/>
      <c r="T626" s="988"/>
      <c r="U626" s="1067" t="s">
        <v>1555</v>
      </c>
      <c r="V626" s="1068" t="s">
        <v>4227</v>
      </c>
      <c r="W626" s="1068" t="s">
        <v>2231</v>
      </c>
      <c r="X626" s="1069" t="s">
        <v>4244</v>
      </c>
      <c r="Y626" s="1070" t="s">
        <v>4245</v>
      </c>
      <c r="Z626" s="1071" t="s">
        <v>4246</v>
      </c>
      <c r="AA626" s="1072" t="s">
        <v>2260</v>
      </c>
      <c r="AB626" s="1073" t="s">
        <v>2260</v>
      </c>
      <c r="AC626" s="1073">
        <v>1</v>
      </c>
      <c r="AD626" s="1073" t="s">
        <v>2260</v>
      </c>
      <c r="AE626" s="1073" t="s">
        <v>2260</v>
      </c>
      <c r="AF626" s="1073" t="s">
        <v>2260</v>
      </c>
      <c r="AG626" s="1073" t="s">
        <v>2260</v>
      </c>
      <c r="AH626" s="1073" t="s">
        <v>2260</v>
      </c>
      <c r="AI626" s="1074">
        <f t="shared" si="9"/>
        <v>1</v>
      </c>
      <c r="AJ626" s="1075" t="s">
        <v>1852</v>
      </c>
      <c r="AK626" s="1075" t="s">
        <v>1826</v>
      </c>
      <c r="AL626" s="1075" t="s">
        <v>1827</v>
      </c>
      <c r="AM626" s="1076" t="s">
        <v>2537</v>
      </c>
      <c r="AN626" s="987" t="s">
        <v>1857</v>
      </c>
      <c r="AO626" s="987" t="s">
        <v>4247</v>
      </c>
      <c r="AP626" s="1243">
        <v>0</v>
      </c>
      <c r="AQ626" s="1045" t="s">
        <v>1828</v>
      </c>
      <c r="AR626" s="1078" t="s">
        <v>2260</v>
      </c>
      <c r="AS626" s="1079"/>
      <c r="AT626" s="1069"/>
      <c r="AU626" s="1069"/>
      <c r="AV626" s="1069"/>
      <c r="AW626" s="1080"/>
      <c r="AX626" s="1081"/>
      <c r="AY626" s="1044"/>
      <c r="AZ626" s="1045"/>
      <c r="BA626" s="1045"/>
      <c r="BB626" s="1045"/>
      <c r="BC626" s="1045"/>
      <c r="BD626" s="1045"/>
      <c r="BE626" s="1045"/>
      <c r="BF626" s="1045"/>
      <c r="BG626" s="1045"/>
      <c r="BH626" s="1045"/>
      <c r="BI626" s="1369"/>
      <c r="BJ626" s="1319"/>
      <c r="BK626" s="1319"/>
      <c r="BL626" s="1319"/>
      <c r="BM626" s="1319"/>
      <c r="BN626" s="1044"/>
      <c r="BO626" s="1045"/>
      <c r="BP626" s="1045"/>
      <c r="BQ626" s="1045"/>
      <c r="BR626" s="1045"/>
      <c r="BS626" s="1084"/>
      <c r="BT626" s="1045"/>
      <c r="BU626" s="1045"/>
      <c r="BV626" s="1045"/>
      <c r="BW626" s="1085"/>
      <c r="BX626" s="1084"/>
      <c r="BY626" s="1045"/>
      <c r="BZ626" s="1045"/>
      <c r="CA626" s="1045"/>
      <c r="CB626" s="1085"/>
      <c r="CC626" s="1086"/>
      <c r="CD626" s="1327"/>
      <c r="CE626" s="1328"/>
      <c r="CF626" s="1328"/>
      <c r="CG626" s="1328"/>
      <c r="CH626" s="1389"/>
      <c r="CI626" s="1369"/>
      <c r="CJ626" s="1319"/>
      <c r="CK626" s="1319"/>
      <c r="CL626" s="1319"/>
      <c r="CM626" s="1320"/>
      <c r="CN626" s="1369"/>
      <c r="CO626" s="1319"/>
      <c r="CP626" s="1319"/>
      <c r="CQ626" s="1319"/>
      <c r="CR626" s="1320"/>
      <c r="CS626" s="1369"/>
      <c r="CT626" s="1319"/>
      <c r="CU626" s="1319"/>
      <c r="CV626" s="1319"/>
      <c r="CW626" s="1320"/>
      <c r="CX626" s="1369"/>
      <c r="CY626" s="1319"/>
      <c r="CZ626" s="1319"/>
      <c r="DA626" s="1319"/>
      <c r="DB626" s="1320"/>
      <c r="DC626" s="1319"/>
      <c r="DD626" s="1319"/>
      <c r="DE626" s="1319"/>
      <c r="DF626" s="1319"/>
      <c r="DG626" s="1320"/>
      <c r="DH626" s="1369"/>
      <c r="DI626" s="1319"/>
      <c r="DJ626" s="1319"/>
      <c r="DK626" s="1319"/>
      <c r="DL626" s="1320"/>
      <c r="DM626" s="1743"/>
      <c r="DN626" s="1744"/>
      <c r="DO626" s="1744"/>
      <c r="DP626" s="1745"/>
      <c r="DQ626" s="1744"/>
      <c r="DR626" s="1744"/>
      <c r="DS626" s="1744"/>
      <c r="DT626" s="1745"/>
      <c r="DU626" s="1328"/>
      <c r="DV626" s="1664"/>
      <c r="DW626" s="1746"/>
    </row>
    <row r="627" spans="1:127" s="382" customFormat="1" ht="15.75" customHeight="1">
      <c r="A627" s="1066" t="s">
        <v>1227</v>
      </c>
      <c r="B627" s="1026">
        <v>618</v>
      </c>
      <c r="C627" s="987"/>
      <c r="D627" s="987"/>
      <c r="E627" s="987"/>
      <c r="F627" s="987"/>
      <c r="G627" s="987"/>
      <c r="H627" s="987"/>
      <c r="I627" s="987"/>
      <c r="J627" s="987"/>
      <c r="K627" s="987"/>
      <c r="L627" s="987"/>
      <c r="M627" s="1026"/>
      <c r="N627" s="987"/>
      <c r="O627" s="987"/>
      <c r="P627" s="987"/>
      <c r="Q627" s="987"/>
      <c r="R627" s="987"/>
      <c r="S627" s="987"/>
      <c r="T627" s="988"/>
      <c r="U627" s="1067" t="s">
        <v>1564</v>
      </c>
      <c r="V627" s="1068" t="s">
        <v>4227</v>
      </c>
      <c r="W627" s="1068" t="s">
        <v>2217</v>
      </c>
      <c r="X627" s="1069" t="s">
        <v>4248</v>
      </c>
      <c r="Y627" s="1070" t="s">
        <v>2600</v>
      </c>
      <c r="Z627" s="1071" t="s">
        <v>4249</v>
      </c>
      <c r="AA627" s="1072" t="s">
        <v>2260</v>
      </c>
      <c r="AB627" s="1073" t="s">
        <v>2260</v>
      </c>
      <c r="AC627" s="1073" t="s">
        <v>2260</v>
      </c>
      <c r="AD627" s="1073">
        <v>1</v>
      </c>
      <c r="AE627" s="1073" t="s">
        <v>2260</v>
      </c>
      <c r="AF627" s="1073" t="s">
        <v>2260</v>
      </c>
      <c r="AG627" s="1073" t="s">
        <v>2260</v>
      </c>
      <c r="AH627" s="1073" t="s">
        <v>2260</v>
      </c>
      <c r="AI627" s="1074">
        <f t="shared" si="9"/>
        <v>1</v>
      </c>
      <c r="AJ627" s="1075" t="s">
        <v>1846</v>
      </c>
      <c r="AK627" s="1075" t="s">
        <v>1826</v>
      </c>
      <c r="AL627" s="1075" t="s">
        <v>1827</v>
      </c>
      <c r="AM627" s="1076" t="s">
        <v>815</v>
      </c>
      <c r="AN627" s="987" t="s">
        <v>321</v>
      </c>
      <c r="AO627" s="987" t="s">
        <v>4250</v>
      </c>
      <c r="AP627" s="1243">
        <v>2</v>
      </c>
      <c r="AQ627" s="1045" t="s">
        <v>1828</v>
      </c>
      <c r="AR627" s="1078" t="s">
        <v>2260</v>
      </c>
      <c r="AS627" s="1079"/>
      <c r="AT627" s="1069"/>
      <c r="AU627" s="1069"/>
      <c r="AV627" s="1069"/>
      <c r="AW627" s="1080"/>
      <c r="AX627" s="1081"/>
      <c r="AY627" s="1044"/>
      <c r="AZ627" s="1045"/>
      <c r="BA627" s="1045"/>
      <c r="BB627" s="1045"/>
      <c r="BC627" s="1045"/>
      <c r="BD627" s="1045"/>
      <c r="BE627" s="1045"/>
      <c r="BF627" s="1045"/>
      <c r="BG627" s="1045"/>
      <c r="BH627" s="1045"/>
      <c r="BI627" s="1369"/>
      <c r="BJ627" s="1319"/>
      <c r="BK627" s="1319"/>
      <c r="BL627" s="1319"/>
      <c r="BM627" s="1319"/>
      <c r="BN627" s="1044"/>
      <c r="BO627" s="1045"/>
      <c r="BP627" s="1045"/>
      <c r="BQ627" s="1045"/>
      <c r="BR627" s="1045"/>
      <c r="BS627" s="1084"/>
      <c r="BT627" s="1045"/>
      <c r="BU627" s="1045"/>
      <c r="BV627" s="1045"/>
      <c r="BW627" s="1085"/>
      <c r="BX627" s="1084"/>
      <c r="BY627" s="1045"/>
      <c r="BZ627" s="1045"/>
      <c r="CA627" s="1045"/>
      <c r="CB627" s="1085"/>
      <c r="CC627" s="1086"/>
      <c r="CD627" s="1327"/>
      <c r="CE627" s="1328"/>
      <c r="CF627" s="1328"/>
      <c r="CG627" s="1328"/>
      <c r="CH627" s="1389"/>
      <c r="CI627" s="1369"/>
      <c r="CJ627" s="1319"/>
      <c r="CK627" s="1319"/>
      <c r="CL627" s="1319"/>
      <c r="CM627" s="1320"/>
      <c r="CN627" s="1369"/>
      <c r="CO627" s="1319"/>
      <c r="CP627" s="1319"/>
      <c r="CQ627" s="1319"/>
      <c r="CR627" s="1320"/>
      <c r="CS627" s="1369"/>
      <c r="CT627" s="1319"/>
      <c r="CU627" s="1319"/>
      <c r="CV627" s="1319"/>
      <c r="CW627" s="1320"/>
      <c r="CX627" s="1369"/>
      <c r="CY627" s="1319"/>
      <c r="CZ627" s="1319"/>
      <c r="DA627" s="1319"/>
      <c r="DB627" s="1320"/>
      <c r="DC627" s="1319"/>
      <c r="DD627" s="1319"/>
      <c r="DE627" s="1319"/>
      <c r="DF627" s="1319"/>
      <c r="DG627" s="1320"/>
      <c r="DH627" s="1369"/>
      <c r="DI627" s="1319"/>
      <c r="DJ627" s="1319"/>
      <c r="DK627" s="1319"/>
      <c r="DL627" s="1320"/>
      <c r="DM627" s="1743"/>
      <c r="DN627" s="1744"/>
      <c r="DO627" s="1744"/>
      <c r="DP627" s="1745"/>
      <c r="DQ627" s="1744"/>
      <c r="DR627" s="1744"/>
      <c r="DS627" s="1744"/>
      <c r="DT627" s="1745"/>
      <c r="DU627" s="1328"/>
      <c r="DV627" s="1664"/>
      <c r="DW627" s="1746"/>
    </row>
    <row r="628" spans="1:127" s="382" customFormat="1" ht="15.75" customHeight="1">
      <c r="A628" s="1066" t="s">
        <v>1227</v>
      </c>
      <c r="B628" s="1026">
        <v>619</v>
      </c>
      <c r="C628" s="987"/>
      <c r="D628" s="987"/>
      <c r="E628" s="987"/>
      <c r="F628" s="987"/>
      <c r="G628" s="987"/>
      <c r="H628" s="987"/>
      <c r="I628" s="987"/>
      <c r="J628" s="987"/>
      <c r="K628" s="987"/>
      <c r="L628" s="987"/>
      <c r="M628" s="1026"/>
      <c r="N628" s="987"/>
      <c r="O628" s="987"/>
      <c r="P628" s="987"/>
      <c r="Q628" s="987"/>
      <c r="R628" s="987"/>
      <c r="S628" s="987"/>
      <c r="T628" s="988"/>
      <c r="U628" s="1067" t="s">
        <v>1572</v>
      </c>
      <c r="V628" s="1068" t="s">
        <v>4227</v>
      </c>
      <c r="W628" s="1068" t="s">
        <v>2231</v>
      </c>
      <c r="X628" s="1069" t="s">
        <v>4251</v>
      </c>
      <c r="Y628" s="1070" t="s">
        <v>4252</v>
      </c>
      <c r="Z628" s="1071" t="s">
        <v>4253</v>
      </c>
      <c r="AA628" s="1072" t="s">
        <v>2260</v>
      </c>
      <c r="AB628" s="1073" t="s">
        <v>2260</v>
      </c>
      <c r="AC628" s="1073">
        <v>1</v>
      </c>
      <c r="AD628" s="1073" t="s">
        <v>2260</v>
      </c>
      <c r="AE628" s="1073" t="s">
        <v>2260</v>
      </c>
      <c r="AF628" s="1073" t="s">
        <v>2260</v>
      </c>
      <c r="AG628" s="1073" t="s">
        <v>2260</v>
      </c>
      <c r="AH628" s="1073" t="s">
        <v>2260</v>
      </c>
      <c r="AI628" s="1074">
        <f t="shared" si="9"/>
        <v>1</v>
      </c>
      <c r="AJ628" s="1075" t="s">
        <v>1835</v>
      </c>
      <c r="AK628" s="1075" t="s">
        <v>1826</v>
      </c>
      <c r="AL628" s="1075" t="s">
        <v>1827</v>
      </c>
      <c r="AM628" s="1076" t="s">
        <v>2387</v>
      </c>
      <c r="AN628" s="987" t="s">
        <v>1857</v>
      </c>
      <c r="AO628" s="987" t="s">
        <v>2440</v>
      </c>
      <c r="AP628" s="1243">
        <v>0</v>
      </c>
      <c r="AQ628" s="1045" t="s">
        <v>1828</v>
      </c>
      <c r="AR628" s="1078" t="s">
        <v>2260</v>
      </c>
      <c r="AS628" s="1079"/>
      <c r="AT628" s="1069"/>
      <c r="AU628" s="1069"/>
      <c r="AV628" s="1069"/>
      <c r="AW628" s="1080"/>
      <c r="AX628" s="1081"/>
      <c r="AY628" s="1044"/>
      <c r="AZ628" s="1045"/>
      <c r="BA628" s="1045"/>
      <c r="BB628" s="1045"/>
      <c r="BC628" s="1045"/>
      <c r="BD628" s="1045"/>
      <c r="BE628" s="1045"/>
      <c r="BF628" s="1045"/>
      <c r="BG628" s="1045"/>
      <c r="BH628" s="1045"/>
      <c r="BI628" s="1369"/>
      <c r="BJ628" s="1319"/>
      <c r="BK628" s="1319"/>
      <c r="BL628" s="1319"/>
      <c r="BM628" s="1319"/>
      <c r="BN628" s="1044"/>
      <c r="BO628" s="1045"/>
      <c r="BP628" s="1045"/>
      <c r="BQ628" s="1045"/>
      <c r="BR628" s="1045"/>
      <c r="BS628" s="1084"/>
      <c r="BT628" s="1045"/>
      <c r="BU628" s="1045"/>
      <c r="BV628" s="1045"/>
      <c r="BW628" s="1085"/>
      <c r="BX628" s="1084"/>
      <c r="BY628" s="1045"/>
      <c r="BZ628" s="1045"/>
      <c r="CA628" s="1045"/>
      <c r="CB628" s="1085"/>
      <c r="CC628" s="1086"/>
      <c r="CD628" s="1327"/>
      <c r="CE628" s="1328"/>
      <c r="CF628" s="1328"/>
      <c r="CG628" s="1328"/>
      <c r="CH628" s="1389"/>
      <c r="CI628" s="1369"/>
      <c r="CJ628" s="1319"/>
      <c r="CK628" s="1319"/>
      <c r="CL628" s="1319"/>
      <c r="CM628" s="1320"/>
      <c r="CN628" s="1369"/>
      <c r="CO628" s="1319"/>
      <c r="CP628" s="1319"/>
      <c r="CQ628" s="1319"/>
      <c r="CR628" s="1320"/>
      <c r="CS628" s="1369"/>
      <c r="CT628" s="1319"/>
      <c r="CU628" s="1319"/>
      <c r="CV628" s="1319"/>
      <c r="CW628" s="1320"/>
      <c r="CX628" s="1369"/>
      <c r="CY628" s="1319"/>
      <c r="CZ628" s="1319"/>
      <c r="DA628" s="1319"/>
      <c r="DB628" s="1320"/>
      <c r="DC628" s="1319"/>
      <c r="DD628" s="1319"/>
      <c r="DE628" s="1319"/>
      <c r="DF628" s="1319"/>
      <c r="DG628" s="1320"/>
      <c r="DH628" s="1369"/>
      <c r="DI628" s="1319"/>
      <c r="DJ628" s="1319"/>
      <c r="DK628" s="1319"/>
      <c r="DL628" s="1320"/>
      <c r="DM628" s="1743"/>
      <c r="DN628" s="1744"/>
      <c r="DO628" s="1744"/>
      <c r="DP628" s="1745"/>
      <c r="DQ628" s="1744"/>
      <c r="DR628" s="1744"/>
      <c r="DS628" s="1744"/>
      <c r="DT628" s="1745"/>
      <c r="DU628" s="1328"/>
      <c r="DV628" s="1664"/>
      <c r="DW628" s="1746"/>
    </row>
    <row r="629" spans="1:127" s="382" customFormat="1" ht="15.75" customHeight="1">
      <c r="A629" s="1066" t="s">
        <v>1227</v>
      </c>
      <c r="B629" s="1026">
        <v>620</v>
      </c>
      <c r="C629" s="987"/>
      <c r="D629" s="987"/>
      <c r="E629" s="987"/>
      <c r="F629" s="987"/>
      <c r="G629" s="987"/>
      <c r="H629" s="987"/>
      <c r="I629" s="987"/>
      <c r="J629" s="987"/>
      <c r="K629" s="987"/>
      <c r="L629" s="987"/>
      <c r="M629" s="1026"/>
      <c r="N629" s="987"/>
      <c r="O629" s="987"/>
      <c r="P629" s="987"/>
      <c r="Q629" s="987"/>
      <c r="R629" s="987"/>
      <c r="S629" s="987"/>
      <c r="T629" s="988"/>
      <c r="U629" s="1067" t="s">
        <v>1579</v>
      </c>
      <c r="V629" s="1068" t="s">
        <v>4227</v>
      </c>
      <c r="W629" s="1068" t="s">
        <v>2231</v>
      </c>
      <c r="X629" s="1069" t="s">
        <v>4254</v>
      </c>
      <c r="Y629" s="1070" t="s">
        <v>4255</v>
      </c>
      <c r="Z629" s="1071" t="s">
        <v>4255</v>
      </c>
      <c r="AA629" s="1072" t="s">
        <v>2260</v>
      </c>
      <c r="AB629" s="1073" t="s">
        <v>2260</v>
      </c>
      <c r="AC629" s="1073">
        <v>1</v>
      </c>
      <c r="AD629" s="1073" t="s">
        <v>2260</v>
      </c>
      <c r="AE629" s="1073" t="s">
        <v>2260</v>
      </c>
      <c r="AF629" s="1073" t="s">
        <v>2260</v>
      </c>
      <c r="AG629" s="1073" t="s">
        <v>2260</v>
      </c>
      <c r="AH629" s="1073" t="s">
        <v>2260</v>
      </c>
      <c r="AI629" s="1074">
        <f t="shared" si="9"/>
        <v>1</v>
      </c>
      <c r="AJ629" s="1075" t="s">
        <v>1846</v>
      </c>
      <c r="AK629" s="1075" t="s">
        <v>1826</v>
      </c>
      <c r="AL629" s="1075" t="s">
        <v>1827</v>
      </c>
      <c r="AM629" s="1076" t="s">
        <v>2387</v>
      </c>
      <c r="AN629" s="987" t="s">
        <v>1857</v>
      </c>
      <c r="AO629" s="987" t="s">
        <v>4256</v>
      </c>
      <c r="AP629" s="1243">
        <v>1</v>
      </c>
      <c r="AQ629" s="1045" t="s">
        <v>1828</v>
      </c>
      <c r="AR629" s="1078" t="s">
        <v>2260</v>
      </c>
      <c r="AS629" s="1079"/>
      <c r="AT629" s="1069"/>
      <c r="AU629" s="1069"/>
      <c r="AV629" s="1069"/>
      <c r="AW629" s="1080"/>
      <c r="AX629" s="1081"/>
      <c r="AY629" s="1044"/>
      <c r="AZ629" s="1045"/>
      <c r="BA629" s="1045"/>
      <c r="BB629" s="1045"/>
      <c r="BC629" s="1045"/>
      <c r="BD629" s="1045"/>
      <c r="BE629" s="1045"/>
      <c r="BF629" s="1045"/>
      <c r="BG629" s="1045"/>
      <c r="BH629" s="1045"/>
      <c r="BI629" s="1369"/>
      <c r="BJ629" s="1319"/>
      <c r="BK629" s="1319"/>
      <c r="BL629" s="1319"/>
      <c r="BM629" s="1319"/>
      <c r="BN629" s="1044"/>
      <c r="BO629" s="1045"/>
      <c r="BP629" s="1045"/>
      <c r="BQ629" s="1045"/>
      <c r="BR629" s="1045"/>
      <c r="BS629" s="1084"/>
      <c r="BT629" s="1045"/>
      <c r="BU629" s="1045"/>
      <c r="BV629" s="1045"/>
      <c r="BW629" s="1085"/>
      <c r="BX629" s="1084"/>
      <c r="BY629" s="1045"/>
      <c r="BZ629" s="1045"/>
      <c r="CA629" s="1045"/>
      <c r="CB629" s="1085"/>
      <c r="CC629" s="1086"/>
      <c r="CD629" s="1327"/>
      <c r="CE629" s="1328"/>
      <c r="CF629" s="1328"/>
      <c r="CG629" s="1328"/>
      <c r="CH629" s="1389"/>
      <c r="CI629" s="1369"/>
      <c r="CJ629" s="1319"/>
      <c r="CK629" s="1319"/>
      <c r="CL629" s="1319"/>
      <c r="CM629" s="1320"/>
      <c r="CN629" s="1369"/>
      <c r="CO629" s="1319"/>
      <c r="CP629" s="1319"/>
      <c r="CQ629" s="1319"/>
      <c r="CR629" s="1320"/>
      <c r="CS629" s="1369"/>
      <c r="CT629" s="1319"/>
      <c r="CU629" s="1319"/>
      <c r="CV629" s="1319"/>
      <c r="CW629" s="1320"/>
      <c r="CX629" s="1369"/>
      <c r="CY629" s="1319"/>
      <c r="CZ629" s="1319"/>
      <c r="DA629" s="1319"/>
      <c r="DB629" s="1320"/>
      <c r="DC629" s="1319"/>
      <c r="DD629" s="1319"/>
      <c r="DE629" s="1319"/>
      <c r="DF629" s="1319"/>
      <c r="DG629" s="1320"/>
      <c r="DH629" s="1369"/>
      <c r="DI629" s="1319"/>
      <c r="DJ629" s="1319"/>
      <c r="DK629" s="1319"/>
      <c r="DL629" s="1320"/>
      <c r="DM629" s="1743"/>
      <c r="DN629" s="1744"/>
      <c r="DO629" s="1744"/>
      <c r="DP629" s="1745"/>
      <c r="DQ629" s="1744"/>
      <c r="DR629" s="1744"/>
      <c r="DS629" s="1744"/>
      <c r="DT629" s="1745"/>
      <c r="DU629" s="1328"/>
      <c r="DV629" s="1664"/>
      <c r="DW629" s="1746"/>
    </row>
    <row r="630" spans="1:127" s="382" customFormat="1" ht="15.75" customHeight="1">
      <c r="A630" s="1066" t="s">
        <v>1227</v>
      </c>
      <c r="B630" s="1026">
        <v>621</v>
      </c>
      <c r="C630" s="987"/>
      <c r="D630" s="987"/>
      <c r="E630" s="987"/>
      <c r="F630" s="987"/>
      <c r="G630" s="987"/>
      <c r="H630" s="987"/>
      <c r="I630" s="987"/>
      <c r="J630" s="987"/>
      <c r="K630" s="987"/>
      <c r="L630" s="987"/>
      <c r="M630" s="1026"/>
      <c r="N630" s="987"/>
      <c r="O630" s="987"/>
      <c r="P630" s="987"/>
      <c r="Q630" s="987"/>
      <c r="R630" s="987"/>
      <c r="S630" s="987"/>
      <c r="T630" s="988"/>
      <c r="U630" s="1067" t="s">
        <v>1583</v>
      </c>
      <c r="V630" s="1068" t="s">
        <v>4227</v>
      </c>
      <c r="W630" s="1068" t="s">
        <v>2231</v>
      </c>
      <c r="X630" s="1069" t="s">
        <v>4257</v>
      </c>
      <c r="Y630" s="1070" t="s">
        <v>4258</v>
      </c>
      <c r="Z630" s="1071" t="s">
        <v>4259</v>
      </c>
      <c r="AA630" s="1072" t="s">
        <v>2260</v>
      </c>
      <c r="AB630" s="1073" t="s">
        <v>2260</v>
      </c>
      <c r="AC630" s="1073">
        <v>1</v>
      </c>
      <c r="AD630" s="1073" t="s">
        <v>2260</v>
      </c>
      <c r="AE630" s="1073" t="s">
        <v>2260</v>
      </c>
      <c r="AF630" s="1073" t="s">
        <v>2260</v>
      </c>
      <c r="AG630" s="1073" t="s">
        <v>2260</v>
      </c>
      <c r="AH630" s="1073" t="s">
        <v>2260</v>
      </c>
      <c r="AI630" s="1074">
        <f t="shared" si="9"/>
        <v>1</v>
      </c>
      <c r="AJ630" s="1075" t="s">
        <v>1835</v>
      </c>
      <c r="AK630" s="1075" t="s">
        <v>1826</v>
      </c>
      <c r="AL630" s="1075" t="s">
        <v>1827</v>
      </c>
      <c r="AM630" s="1076" t="s">
        <v>2387</v>
      </c>
      <c r="AN630" s="987" t="s">
        <v>1857</v>
      </c>
      <c r="AO630" s="987" t="s">
        <v>4260</v>
      </c>
      <c r="AP630" s="1243">
        <v>1</v>
      </c>
      <c r="AQ630" s="1045" t="s">
        <v>1828</v>
      </c>
      <c r="AR630" s="1078" t="s">
        <v>2260</v>
      </c>
      <c r="AS630" s="1079"/>
      <c r="AT630" s="1069"/>
      <c r="AU630" s="1069"/>
      <c r="AV630" s="1069"/>
      <c r="AW630" s="1080"/>
      <c r="AX630" s="1081"/>
      <c r="AY630" s="1044"/>
      <c r="AZ630" s="1045"/>
      <c r="BA630" s="1045"/>
      <c r="BB630" s="1045"/>
      <c r="BC630" s="1045"/>
      <c r="BD630" s="1045"/>
      <c r="BE630" s="1045"/>
      <c r="BF630" s="1045"/>
      <c r="BG630" s="1045"/>
      <c r="BH630" s="1045"/>
      <c r="BI630" s="1369"/>
      <c r="BJ630" s="1319"/>
      <c r="BK630" s="1319"/>
      <c r="BL630" s="1319"/>
      <c r="BM630" s="1319"/>
      <c r="BN630" s="1044"/>
      <c r="BO630" s="1045"/>
      <c r="BP630" s="1045"/>
      <c r="BQ630" s="1045"/>
      <c r="BR630" s="1045"/>
      <c r="BS630" s="1084"/>
      <c r="BT630" s="1045"/>
      <c r="BU630" s="1045"/>
      <c r="BV630" s="1045"/>
      <c r="BW630" s="1085"/>
      <c r="BX630" s="1084"/>
      <c r="BY630" s="1045"/>
      <c r="BZ630" s="1045"/>
      <c r="CA630" s="1045"/>
      <c r="CB630" s="1085"/>
      <c r="CC630" s="1086"/>
      <c r="CD630" s="1327"/>
      <c r="CE630" s="1328"/>
      <c r="CF630" s="1328"/>
      <c r="CG630" s="1328"/>
      <c r="CH630" s="1389"/>
      <c r="CI630" s="1369"/>
      <c r="CJ630" s="1319"/>
      <c r="CK630" s="1319"/>
      <c r="CL630" s="1319"/>
      <c r="CM630" s="1320"/>
      <c r="CN630" s="1369"/>
      <c r="CO630" s="1319"/>
      <c r="CP630" s="1319"/>
      <c r="CQ630" s="1319"/>
      <c r="CR630" s="1320"/>
      <c r="CS630" s="1369"/>
      <c r="CT630" s="1319"/>
      <c r="CU630" s="1319"/>
      <c r="CV630" s="1319"/>
      <c r="CW630" s="1320"/>
      <c r="CX630" s="1369"/>
      <c r="CY630" s="1319"/>
      <c r="CZ630" s="1319"/>
      <c r="DA630" s="1319"/>
      <c r="DB630" s="1320"/>
      <c r="DC630" s="1319"/>
      <c r="DD630" s="1319"/>
      <c r="DE630" s="1319"/>
      <c r="DF630" s="1319"/>
      <c r="DG630" s="1320"/>
      <c r="DH630" s="1369"/>
      <c r="DI630" s="1319"/>
      <c r="DJ630" s="1319"/>
      <c r="DK630" s="1319"/>
      <c r="DL630" s="1320"/>
      <c r="DM630" s="1743"/>
      <c r="DN630" s="1744"/>
      <c r="DO630" s="1744"/>
      <c r="DP630" s="1745"/>
      <c r="DQ630" s="1744"/>
      <c r="DR630" s="1744"/>
      <c r="DS630" s="1744"/>
      <c r="DT630" s="1745"/>
      <c r="DU630" s="1328"/>
      <c r="DV630" s="1664"/>
      <c r="DW630" s="1746"/>
    </row>
    <row r="631" spans="1:127" s="382" customFormat="1" ht="15.75" customHeight="1">
      <c r="A631" s="1066" t="s">
        <v>1227</v>
      </c>
      <c r="B631" s="1026">
        <v>622</v>
      </c>
      <c r="C631" s="987"/>
      <c r="D631" s="987"/>
      <c r="E631" s="987"/>
      <c r="F631" s="987"/>
      <c r="G631" s="987"/>
      <c r="H631" s="987"/>
      <c r="I631" s="987"/>
      <c r="J631" s="987"/>
      <c r="K631" s="987"/>
      <c r="L631" s="987"/>
      <c r="M631" s="1026"/>
      <c r="N631" s="987"/>
      <c r="O631" s="987"/>
      <c r="P631" s="987"/>
      <c r="Q631" s="987"/>
      <c r="R631" s="987"/>
      <c r="S631" s="987"/>
      <c r="T631" s="988"/>
      <c r="U631" s="1067" t="s">
        <v>1478</v>
      </c>
      <c r="V631" s="1068" t="s">
        <v>4227</v>
      </c>
      <c r="W631" s="1068" t="s">
        <v>2231</v>
      </c>
      <c r="X631" s="1069" t="s">
        <v>4261</v>
      </c>
      <c r="Y631" s="1070" t="s">
        <v>4262</v>
      </c>
      <c r="Z631" s="1071" t="s">
        <v>4263</v>
      </c>
      <c r="AA631" s="1072">
        <v>1</v>
      </c>
      <c r="AB631" s="1073" t="s">
        <v>2260</v>
      </c>
      <c r="AC631" s="1073" t="s">
        <v>2260</v>
      </c>
      <c r="AD631" s="1073" t="s">
        <v>2260</v>
      </c>
      <c r="AE631" s="1073" t="s">
        <v>2260</v>
      </c>
      <c r="AF631" s="1073" t="s">
        <v>2260</v>
      </c>
      <c r="AG631" s="1073" t="s">
        <v>2260</v>
      </c>
      <c r="AH631" s="1073" t="s">
        <v>2260</v>
      </c>
      <c r="AI631" s="1074">
        <f t="shared" si="9"/>
        <v>1</v>
      </c>
      <c r="AJ631" s="1075" t="s">
        <v>1852</v>
      </c>
      <c r="AK631" s="1075" t="s">
        <v>1826</v>
      </c>
      <c r="AL631" s="1075" t="s">
        <v>1827</v>
      </c>
      <c r="AM631" s="1076" t="s">
        <v>2290</v>
      </c>
      <c r="AN631" s="987" t="s">
        <v>1857</v>
      </c>
      <c r="AO631" s="987" t="s">
        <v>4234</v>
      </c>
      <c r="AP631" s="1243">
        <v>0</v>
      </c>
      <c r="AQ631" s="1045" t="s">
        <v>1838</v>
      </c>
      <c r="AR631" s="1078" t="s">
        <v>2260</v>
      </c>
      <c r="AS631" s="1079"/>
      <c r="AT631" s="1069"/>
      <c r="AU631" s="1069"/>
      <c r="AV631" s="1069"/>
      <c r="AW631" s="1080"/>
      <c r="AX631" s="1081"/>
      <c r="AY631" s="1044"/>
      <c r="AZ631" s="1045"/>
      <c r="BA631" s="1045"/>
      <c r="BB631" s="1045"/>
      <c r="BC631" s="1045"/>
      <c r="BD631" s="1045"/>
      <c r="BE631" s="1045"/>
      <c r="BF631" s="1045"/>
      <c r="BG631" s="1045"/>
      <c r="BH631" s="1045"/>
      <c r="BI631" s="1369"/>
      <c r="BJ631" s="1319"/>
      <c r="BK631" s="1319"/>
      <c r="BL631" s="1319"/>
      <c r="BM631" s="1319"/>
      <c r="BN631" s="1044"/>
      <c r="BO631" s="1045"/>
      <c r="BP631" s="1045"/>
      <c r="BQ631" s="1045"/>
      <c r="BR631" s="1045"/>
      <c r="BS631" s="1084"/>
      <c r="BT631" s="1045"/>
      <c r="BU631" s="1045"/>
      <c r="BV631" s="1045"/>
      <c r="BW631" s="1085"/>
      <c r="BX631" s="1084"/>
      <c r="BY631" s="1045"/>
      <c r="BZ631" s="1045"/>
      <c r="CA631" s="1045"/>
      <c r="CB631" s="1085"/>
      <c r="CC631" s="1086"/>
      <c r="CD631" s="1327"/>
      <c r="CE631" s="1328"/>
      <c r="CF631" s="1328"/>
      <c r="CG631" s="1328"/>
      <c r="CH631" s="1389"/>
      <c r="CI631" s="1369"/>
      <c r="CJ631" s="1319"/>
      <c r="CK631" s="1319"/>
      <c r="CL631" s="1319"/>
      <c r="CM631" s="1320"/>
      <c r="CN631" s="1369"/>
      <c r="CO631" s="1319"/>
      <c r="CP631" s="1319"/>
      <c r="CQ631" s="1319"/>
      <c r="CR631" s="1320"/>
      <c r="CS631" s="1369"/>
      <c r="CT631" s="1319"/>
      <c r="CU631" s="1319"/>
      <c r="CV631" s="1319"/>
      <c r="CW631" s="1320"/>
      <c r="CX631" s="1369"/>
      <c r="CY631" s="1319"/>
      <c r="CZ631" s="1319"/>
      <c r="DA631" s="1319"/>
      <c r="DB631" s="1320"/>
      <c r="DC631" s="1319"/>
      <c r="DD631" s="1319"/>
      <c r="DE631" s="1319"/>
      <c r="DF631" s="1319"/>
      <c r="DG631" s="1320"/>
      <c r="DH631" s="1369"/>
      <c r="DI631" s="1319"/>
      <c r="DJ631" s="1319"/>
      <c r="DK631" s="1319"/>
      <c r="DL631" s="1320"/>
      <c r="DM631" s="1743"/>
      <c r="DN631" s="1744"/>
      <c r="DO631" s="1744"/>
      <c r="DP631" s="1745"/>
      <c r="DQ631" s="1744"/>
      <c r="DR631" s="1744"/>
      <c r="DS631" s="1744"/>
      <c r="DT631" s="1745"/>
      <c r="DU631" s="1328"/>
      <c r="DV631" s="1664"/>
      <c r="DW631" s="1746"/>
    </row>
    <row r="632" spans="1:127" s="382" customFormat="1" ht="15.75" customHeight="1">
      <c r="A632" s="1066" t="s">
        <v>1227</v>
      </c>
      <c r="B632" s="1026">
        <v>623</v>
      </c>
      <c r="C632" s="987"/>
      <c r="D632" s="987"/>
      <c r="E632" s="987"/>
      <c r="F632" s="987"/>
      <c r="G632" s="987"/>
      <c r="H632" s="987"/>
      <c r="I632" s="987"/>
      <c r="J632" s="987"/>
      <c r="K632" s="987"/>
      <c r="L632" s="987"/>
      <c r="M632" s="1026"/>
      <c r="N632" s="987"/>
      <c r="O632" s="987"/>
      <c r="P632" s="987"/>
      <c r="Q632" s="987"/>
      <c r="R632" s="987"/>
      <c r="S632" s="987"/>
      <c r="T632" s="988"/>
      <c r="U632" s="1067" t="s">
        <v>1681</v>
      </c>
      <c r="V632" s="1068" t="s">
        <v>2260</v>
      </c>
      <c r="W632" s="1068" t="s">
        <v>2260</v>
      </c>
      <c r="X632" s="1069" t="s">
        <v>2331</v>
      </c>
      <c r="Y632" s="1070" t="s">
        <v>2332</v>
      </c>
      <c r="Z632" s="1071" t="s">
        <v>2260</v>
      </c>
      <c r="AA632" s="1072" t="s">
        <v>2260</v>
      </c>
      <c r="AB632" s="1073" t="s">
        <v>2260</v>
      </c>
      <c r="AC632" s="1073" t="s">
        <v>2260</v>
      </c>
      <c r="AD632" s="1073" t="s">
        <v>2260</v>
      </c>
      <c r="AE632" s="1073" t="s">
        <v>2260</v>
      </c>
      <c r="AF632" s="1073" t="s">
        <v>2260</v>
      </c>
      <c r="AG632" s="1073" t="s">
        <v>2260</v>
      </c>
      <c r="AH632" s="1073" t="s">
        <v>2260</v>
      </c>
      <c r="AI632" s="1074">
        <f t="shared" si="9"/>
        <v>0</v>
      </c>
      <c r="AJ632" s="1075" t="s">
        <v>1825</v>
      </c>
      <c r="AK632" s="1075" t="s">
        <v>2260</v>
      </c>
      <c r="AL632" s="1075" t="s">
        <v>2260</v>
      </c>
      <c r="AM632" s="1076" t="s">
        <v>2260</v>
      </c>
      <c r="AN632" s="987" t="s">
        <v>2260</v>
      </c>
      <c r="AO632" s="987" t="s">
        <v>2333</v>
      </c>
      <c r="AP632" s="1244">
        <v>0</v>
      </c>
      <c r="AQ632" s="1045" t="s">
        <v>2260</v>
      </c>
      <c r="AR632" s="1078" t="s">
        <v>2260</v>
      </c>
      <c r="AS632" s="1079"/>
      <c r="AT632" s="1069"/>
      <c r="AU632" s="1069"/>
      <c r="AV632" s="1069"/>
      <c r="AW632" s="1080"/>
      <c r="AX632" s="1081"/>
      <c r="AY632" s="1044"/>
      <c r="AZ632" s="1045"/>
      <c r="BA632" s="1045"/>
      <c r="BB632" s="1045"/>
      <c r="BC632" s="1045"/>
      <c r="BD632" s="1045"/>
      <c r="BE632" s="1045"/>
      <c r="BF632" s="1045"/>
      <c r="BG632" s="1045"/>
      <c r="BH632" s="1045"/>
      <c r="BI632" s="1369"/>
      <c r="BJ632" s="1319"/>
      <c r="BK632" s="1319"/>
      <c r="BL632" s="1319"/>
      <c r="BM632" s="1319"/>
      <c r="BN632" s="1044"/>
      <c r="BO632" s="1045"/>
      <c r="BP632" s="1045"/>
      <c r="BQ632" s="1045"/>
      <c r="BR632" s="1045"/>
      <c r="BS632" s="1084"/>
      <c r="BT632" s="1045"/>
      <c r="BU632" s="1045"/>
      <c r="BV632" s="1045"/>
      <c r="BW632" s="1085"/>
      <c r="BX632" s="1084"/>
      <c r="BY632" s="1045"/>
      <c r="BZ632" s="1045"/>
      <c r="CA632" s="1045"/>
      <c r="CB632" s="1085"/>
      <c r="CC632" s="1086"/>
      <c r="CD632" s="1327"/>
      <c r="CE632" s="1328"/>
      <c r="CF632" s="1328"/>
      <c r="CG632" s="1328"/>
      <c r="CH632" s="1389"/>
      <c r="CI632" s="1369"/>
      <c r="CJ632" s="1319"/>
      <c r="CK632" s="1319"/>
      <c r="CL632" s="1319"/>
      <c r="CM632" s="1320"/>
      <c r="CN632" s="1369"/>
      <c r="CO632" s="1319"/>
      <c r="CP632" s="1319"/>
      <c r="CQ632" s="1319"/>
      <c r="CR632" s="1320"/>
      <c r="CS632" s="1369"/>
      <c r="CT632" s="1319"/>
      <c r="CU632" s="1319"/>
      <c r="CV632" s="1319"/>
      <c r="CW632" s="1320"/>
      <c r="CX632" s="1369"/>
      <c r="CY632" s="1319"/>
      <c r="CZ632" s="1319"/>
      <c r="DA632" s="1319"/>
      <c r="DB632" s="1320"/>
      <c r="DC632" s="1319"/>
      <c r="DD632" s="1319"/>
      <c r="DE632" s="1319"/>
      <c r="DF632" s="1319"/>
      <c r="DG632" s="1320"/>
      <c r="DH632" s="1369"/>
      <c r="DI632" s="1319"/>
      <c r="DJ632" s="1319"/>
      <c r="DK632" s="1319"/>
      <c r="DL632" s="1320"/>
      <c r="DM632" s="1743"/>
      <c r="DN632" s="1744"/>
      <c r="DO632" s="1744"/>
      <c r="DP632" s="1745"/>
      <c r="DQ632" s="1744"/>
      <c r="DR632" s="1744"/>
      <c r="DS632" s="1744"/>
      <c r="DT632" s="1745"/>
      <c r="DU632" s="1328"/>
      <c r="DV632" s="1664"/>
      <c r="DW632" s="1746"/>
    </row>
    <row r="633" spans="1:127" s="382" customFormat="1" ht="15.75" customHeight="1">
      <c r="A633" s="1066" t="s">
        <v>1227</v>
      </c>
      <c r="B633" s="1026">
        <v>624</v>
      </c>
      <c r="C633" s="987"/>
      <c r="D633" s="987"/>
      <c r="E633" s="987"/>
      <c r="F633" s="987"/>
      <c r="G633" s="987"/>
      <c r="H633" s="987"/>
      <c r="I633" s="987"/>
      <c r="J633" s="987"/>
      <c r="K633" s="987"/>
      <c r="L633" s="987"/>
      <c r="M633" s="1026"/>
      <c r="N633" s="987"/>
      <c r="O633" s="987"/>
      <c r="P633" s="987"/>
      <c r="Q633" s="987"/>
      <c r="R633" s="987"/>
      <c r="S633" s="987"/>
      <c r="T633" s="988"/>
      <c r="U633" s="1067" t="s">
        <v>1484</v>
      </c>
      <c r="V633" s="1068" t="s">
        <v>2260</v>
      </c>
      <c r="W633" s="1068" t="s">
        <v>2260</v>
      </c>
      <c r="X633" s="1069" t="s">
        <v>4265</v>
      </c>
      <c r="Y633" s="1070" t="s">
        <v>4266</v>
      </c>
      <c r="Z633" s="1071" t="s">
        <v>2260</v>
      </c>
      <c r="AA633" s="1072" t="s">
        <v>2260</v>
      </c>
      <c r="AB633" s="1073">
        <v>1</v>
      </c>
      <c r="AC633" s="1073" t="s">
        <v>2260</v>
      </c>
      <c r="AD633" s="1073" t="s">
        <v>2260</v>
      </c>
      <c r="AE633" s="1073" t="s">
        <v>2260</v>
      </c>
      <c r="AF633" s="1073" t="s">
        <v>2260</v>
      </c>
      <c r="AG633" s="1073" t="s">
        <v>2260</v>
      </c>
      <c r="AH633" s="1073" t="s">
        <v>2260</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69"/>
      <c r="BJ633" s="1319"/>
      <c r="BK633" s="1319"/>
      <c r="BL633" s="1319"/>
      <c r="BM633" s="1319"/>
      <c r="BN633" s="1044"/>
      <c r="BO633" s="1045"/>
      <c r="BP633" s="1045"/>
      <c r="BQ633" s="1045"/>
      <c r="BR633" s="1045"/>
      <c r="BS633" s="1084"/>
      <c r="BT633" s="1045"/>
      <c r="BU633" s="1045"/>
      <c r="BV633" s="1045"/>
      <c r="BW633" s="1085"/>
      <c r="BX633" s="1084"/>
      <c r="BY633" s="1045"/>
      <c r="BZ633" s="1045"/>
      <c r="CA633" s="1045"/>
      <c r="CB633" s="1085"/>
      <c r="CC633" s="1086"/>
      <c r="CD633" s="1327"/>
      <c r="CE633" s="1328"/>
      <c r="CF633" s="1328"/>
      <c r="CG633" s="1328"/>
      <c r="CH633" s="1389"/>
      <c r="CI633" s="1369"/>
      <c r="CJ633" s="1319"/>
      <c r="CK633" s="1319"/>
      <c r="CL633" s="1319"/>
      <c r="CM633" s="1320"/>
      <c r="CN633" s="1369"/>
      <c r="CO633" s="1319"/>
      <c r="CP633" s="1319"/>
      <c r="CQ633" s="1319"/>
      <c r="CR633" s="1320"/>
      <c r="CS633" s="1369"/>
      <c r="CT633" s="1319"/>
      <c r="CU633" s="1319"/>
      <c r="CV633" s="1319"/>
      <c r="CW633" s="1320"/>
      <c r="CX633" s="1369"/>
      <c r="CY633" s="1319"/>
      <c r="CZ633" s="1319"/>
      <c r="DA633" s="1319"/>
      <c r="DB633" s="1320"/>
      <c r="DC633" s="1319"/>
      <c r="DD633" s="1319"/>
      <c r="DE633" s="1319"/>
      <c r="DF633" s="1319"/>
      <c r="DG633" s="1320"/>
      <c r="DH633" s="1369"/>
      <c r="DI633" s="1319"/>
      <c r="DJ633" s="1319"/>
      <c r="DK633" s="1319"/>
      <c r="DL633" s="1320"/>
      <c r="DM633" s="1743"/>
      <c r="DN633" s="1744"/>
      <c r="DO633" s="1744"/>
      <c r="DP633" s="1745"/>
      <c r="DQ633" s="1744"/>
      <c r="DR633" s="1744"/>
      <c r="DS633" s="1744"/>
      <c r="DT633" s="1745"/>
      <c r="DU633" s="1328"/>
      <c r="DV633" s="1664"/>
      <c r="DW633" s="1746"/>
    </row>
    <row r="634" spans="1:127" s="382" customFormat="1" ht="15.75" customHeight="1">
      <c r="A634" s="1066" t="s">
        <v>1227</v>
      </c>
      <c r="B634" s="1026">
        <v>625</v>
      </c>
      <c r="C634" s="987"/>
      <c r="D634" s="987"/>
      <c r="E634" s="987"/>
      <c r="F634" s="987"/>
      <c r="G634" s="987"/>
      <c r="H634" s="987"/>
      <c r="I634" s="987"/>
      <c r="J634" s="987"/>
      <c r="K634" s="987"/>
      <c r="L634" s="987"/>
      <c r="M634" s="1026"/>
      <c r="N634" s="987"/>
      <c r="O634" s="987"/>
      <c r="P634" s="987"/>
      <c r="Q634" s="987"/>
      <c r="R634" s="987"/>
      <c r="S634" s="987"/>
      <c r="T634" s="988"/>
      <c r="U634" s="1067" t="s">
        <v>1693</v>
      </c>
      <c r="V634" s="1068" t="s">
        <v>2260</v>
      </c>
      <c r="W634" s="1068" t="s">
        <v>2260</v>
      </c>
      <c r="X634" s="1069" t="s">
        <v>3812</v>
      </c>
      <c r="Y634" s="1070" t="s">
        <v>2840</v>
      </c>
      <c r="Z634" s="1071" t="s">
        <v>2260</v>
      </c>
      <c r="AA634" s="1072" t="s">
        <v>2260</v>
      </c>
      <c r="AB634" s="1073" t="s">
        <v>2260</v>
      </c>
      <c r="AC634" s="1073" t="s">
        <v>2260</v>
      </c>
      <c r="AD634" s="1073" t="s">
        <v>2260</v>
      </c>
      <c r="AE634" s="1073" t="s">
        <v>2260</v>
      </c>
      <c r="AF634" s="1073" t="s">
        <v>2260</v>
      </c>
      <c r="AG634" s="1073" t="s">
        <v>2260</v>
      </c>
      <c r="AH634" s="1073" t="s">
        <v>2260</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69"/>
      <c r="BJ634" s="1319"/>
      <c r="BK634" s="1319"/>
      <c r="BL634" s="1319"/>
      <c r="BM634" s="1319"/>
      <c r="BN634" s="1044"/>
      <c r="BO634" s="1045"/>
      <c r="BP634" s="1045"/>
      <c r="BQ634" s="1045"/>
      <c r="BR634" s="1045"/>
      <c r="BS634" s="1084"/>
      <c r="BT634" s="1045"/>
      <c r="BU634" s="1045"/>
      <c r="BV634" s="1045"/>
      <c r="BW634" s="1085"/>
      <c r="BX634" s="1084"/>
      <c r="BY634" s="1045"/>
      <c r="BZ634" s="1045"/>
      <c r="CA634" s="1045"/>
      <c r="CB634" s="1085"/>
      <c r="CC634" s="1086"/>
      <c r="CD634" s="1327"/>
      <c r="CE634" s="1328"/>
      <c r="CF634" s="1328"/>
      <c r="CG634" s="1328"/>
      <c r="CH634" s="1389"/>
      <c r="CI634" s="1369"/>
      <c r="CJ634" s="1319"/>
      <c r="CK634" s="1319"/>
      <c r="CL634" s="1319"/>
      <c r="CM634" s="1320"/>
      <c r="CN634" s="1369"/>
      <c r="CO634" s="1319"/>
      <c r="CP634" s="1319"/>
      <c r="CQ634" s="1319"/>
      <c r="CR634" s="1320"/>
      <c r="CS634" s="1369"/>
      <c r="CT634" s="1319"/>
      <c r="CU634" s="1319"/>
      <c r="CV634" s="1319"/>
      <c r="CW634" s="1320"/>
      <c r="CX634" s="1369"/>
      <c r="CY634" s="1319"/>
      <c r="CZ634" s="1319"/>
      <c r="DA634" s="1319"/>
      <c r="DB634" s="1320"/>
      <c r="DC634" s="1319"/>
      <c r="DD634" s="1319"/>
      <c r="DE634" s="1319"/>
      <c r="DF634" s="1319"/>
      <c r="DG634" s="1320"/>
      <c r="DH634" s="1369"/>
      <c r="DI634" s="1319"/>
      <c r="DJ634" s="1319"/>
      <c r="DK634" s="1319"/>
      <c r="DL634" s="1320"/>
      <c r="DM634" s="1743"/>
      <c r="DN634" s="1744"/>
      <c r="DO634" s="1744"/>
      <c r="DP634" s="1745"/>
      <c r="DQ634" s="1744"/>
      <c r="DR634" s="1744"/>
      <c r="DS634" s="1744"/>
      <c r="DT634" s="1745"/>
      <c r="DU634" s="1328"/>
      <c r="DV634" s="1664"/>
      <c r="DW634" s="1746"/>
    </row>
    <row r="635" spans="1:127" s="382" customFormat="1" ht="15.75" customHeight="1">
      <c r="A635" s="1066" t="s">
        <v>1227</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4511</v>
      </c>
      <c r="V635" s="1068" t="s">
        <v>2260</v>
      </c>
      <c r="W635" s="1068" t="s">
        <v>2260</v>
      </c>
      <c r="X635" s="1069" t="s">
        <v>1876</v>
      </c>
      <c r="Y635" s="1070" t="s">
        <v>4269</v>
      </c>
      <c r="Z635" s="1071" t="s">
        <v>2260</v>
      </c>
      <c r="AA635" s="1072" t="s">
        <v>2260</v>
      </c>
      <c r="AB635" s="1073" t="s">
        <v>2260</v>
      </c>
      <c r="AC635" s="1073" t="s">
        <v>2260</v>
      </c>
      <c r="AD635" s="1073" t="s">
        <v>2260</v>
      </c>
      <c r="AE635" s="1073" t="s">
        <v>2260</v>
      </c>
      <c r="AF635" s="1073" t="s">
        <v>2260</v>
      </c>
      <c r="AG635" s="1073" t="s">
        <v>2260</v>
      </c>
      <c r="AH635" s="1073" t="s">
        <v>2260</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69"/>
      <c r="BJ635" s="1319"/>
      <c r="BK635" s="1319"/>
      <c r="BL635" s="1319"/>
      <c r="BM635" s="1319"/>
      <c r="BN635" s="1044"/>
      <c r="BO635" s="1045"/>
      <c r="BP635" s="1045"/>
      <c r="BQ635" s="1045"/>
      <c r="BR635" s="1045"/>
      <c r="BS635" s="1084"/>
      <c r="BT635" s="1045"/>
      <c r="BU635" s="1045"/>
      <c r="BV635" s="1045"/>
      <c r="BW635" s="1085"/>
      <c r="BX635" s="1084"/>
      <c r="BY635" s="1045"/>
      <c r="BZ635" s="1045"/>
      <c r="CA635" s="1045"/>
      <c r="CB635" s="1085"/>
      <c r="CC635" s="1086"/>
      <c r="CD635" s="1327"/>
      <c r="CE635" s="1328"/>
      <c r="CF635" s="1328"/>
      <c r="CG635" s="1328"/>
      <c r="CH635" s="1389"/>
      <c r="CI635" s="1369"/>
      <c r="CJ635" s="1319"/>
      <c r="CK635" s="1319"/>
      <c r="CL635" s="1319"/>
      <c r="CM635" s="1320"/>
      <c r="CN635" s="1369"/>
      <c r="CO635" s="1319"/>
      <c r="CP635" s="1319"/>
      <c r="CQ635" s="1319"/>
      <c r="CR635" s="1320"/>
      <c r="CS635" s="1369"/>
      <c r="CT635" s="1319"/>
      <c r="CU635" s="1319"/>
      <c r="CV635" s="1319"/>
      <c r="CW635" s="1320"/>
      <c r="CX635" s="1369"/>
      <c r="CY635" s="1319"/>
      <c r="CZ635" s="1319"/>
      <c r="DA635" s="1319"/>
      <c r="DB635" s="1320"/>
      <c r="DC635" s="1319"/>
      <c r="DD635" s="1319"/>
      <c r="DE635" s="1319"/>
      <c r="DF635" s="1319"/>
      <c r="DG635" s="1320"/>
      <c r="DH635" s="1369"/>
      <c r="DI635" s="1319"/>
      <c r="DJ635" s="1319"/>
      <c r="DK635" s="1319"/>
      <c r="DL635" s="1320"/>
      <c r="DM635" s="1743"/>
      <c r="DN635" s="1744"/>
      <c r="DO635" s="1744"/>
      <c r="DP635" s="1745"/>
      <c r="DQ635" s="1744"/>
      <c r="DR635" s="1744"/>
      <c r="DS635" s="1744"/>
      <c r="DT635" s="1745"/>
      <c r="DU635" s="1328"/>
      <c r="DV635" s="1664"/>
      <c r="DW635" s="1746"/>
    </row>
    <row r="636" spans="1:127" s="382" customFormat="1" ht="15.75" customHeight="1">
      <c r="A636" s="1066" t="s">
        <v>1241</v>
      </c>
      <c r="B636" s="1026">
        <v>627</v>
      </c>
      <c r="C636" s="987"/>
      <c r="D636" s="987"/>
      <c r="E636" s="987"/>
      <c r="F636" s="987"/>
      <c r="G636" s="987"/>
      <c r="H636" s="987"/>
      <c r="I636" s="987"/>
      <c r="J636" s="987"/>
      <c r="K636" s="987"/>
      <c r="L636" s="987"/>
      <c r="M636" s="1026"/>
      <c r="N636" s="987"/>
      <c r="O636" s="987"/>
      <c r="P636" s="987"/>
      <c r="Q636" s="987"/>
      <c r="R636" s="987"/>
      <c r="S636" s="987"/>
      <c r="T636" s="988"/>
      <c r="U636" s="1067" t="s">
        <v>1320</v>
      </c>
      <c r="V636" s="1068" t="s">
        <v>4270</v>
      </c>
      <c r="W636" s="1068" t="s">
        <v>2223</v>
      </c>
      <c r="X636" s="1069">
        <v>1</v>
      </c>
      <c r="Y636" s="1070" t="s">
        <v>4271</v>
      </c>
      <c r="Z636" s="1071" t="s">
        <v>4272</v>
      </c>
      <c r="AA636" s="1072">
        <v>0.57999999999999996</v>
      </c>
      <c r="AB636" s="1073">
        <v>0</v>
      </c>
      <c r="AC636" s="1073">
        <v>0.42</v>
      </c>
      <c r="AD636" s="1073">
        <v>0</v>
      </c>
      <c r="AE636" s="1073">
        <v>0</v>
      </c>
      <c r="AF636" s="1073">
        <v>0</v>
      </c>
      <c r="AG636" s="1073">
        <v>0</v>
      </c>
      <c r="AH636" s="1073">
        <v>0</v>
      </c>
      <c r="AI636" s="1074">
        <f t="shared" si="9"/>
        <v>1</v>
      </c>
      <c r="AJ636" s="1075" t="s">
        <v>1835</v>
      </c>
      <c r="AK636" s="1075" t="s">
        <v>1826</v>
      </c>
      <c r="AL636" s="1075" t="s">
        <v>1837</v>
      </c>
      <c r="AM636" s="1076" t="s">
        <v>2537</v>
      </c>
      <c r="AN636" s="987" t="s">
        <v>1857</v>
      </c>
      <c r="AO636" s="987" t="s">
        <v>4273</v>
      </c>
      <c r="AP636" s="802">
        <v>0</v>
      </c>
      <c r="AQ636" s="1045" t="s">
        <v>1828</v>
      </c>
      <c r="AR636" s="1078" t="s">
        <v>2260</v>
      </c>
      <c r="AS636" s="1079"/>
      <c r="AT636" s="1069"/>
      <c r="AU636" s="1069"/>
      <c r="AV636" s="1069"/>
      <c r="AW636" s="1080"/>
      <c r="AX636" s="1081"/>
      <c r="AY636" s="1044"/>
      <c r="AZ636" s="1045"/>
      <c r="BA636" s="1045"/>
      <c r="BB636" s="1045"/>
      <c r="BC636" s="1045"/>
      <c r="BD636" s="1045"/>
      <c r="BE636" s="1045"/>
      <c r="BF636" s="1045"/>
      <c r="BG636" s="1045"/>
      <c r="BH636" s="1045"/>
      <c r="BI636" s="1369"/>
      <c r="BJ636" s="1319"/>
      <c r="BK636" s="1319"/>
      <c r="BL636" s="1319"/>
      <c r="BM636" s="1319"/>
      <c r="BN636" s="1044"/>
      <c r="BO636" s="1045"/>
      <c r="BP636" s="1045"/>
      <c r="BQ636" s="1045"/>
      <c r="BR636" s="1045"/>
      <c r="BS636" s="1084"/>
      <c r="BT636" s="1045"/>
      <c r="BU636" s="1045"/>
      <c r="BV636" s="1045"/>
      <c r="BW636" s="1085"/>
      <c r="BX636" s="1084"/>
      <c r="BY636" s="1045"/>
      <c r="BZ636" s="1045"/>
      <c r="CA636" s="1045"/>
      <c r="CB636" s="1085"/>
      <c r="CC636" s="1086"/>
      <c r="CD636" s="1327"/>
      <c r="CE636" s="1328"/>
      <c r="CF636" s="1328"/>
      <c r="CG636" s="1328"/>
      <c r="CH636" s="1389"/>
      <c r="CI636" s="1369"/>
      <c r="CJ636" s="1319"/>
      <c r="CK636" s="1319"/>
      <c r="CL636" s="1319"/>
      <c r="CM636" s="1320"/>
      <c r="CN636" s="1369"/>
      <c r="CO636" s="1319"/>
      <c r="CP636" s="1319"/>
      <c r="CQ636" s="1319"/>
      <c r="CR636" s="1320"/>
      <c r="CS636" s="1369"/>
      <c r="CT636" s="1319"/>
      <c r="CU636" s="1319"/>
      <c r="CV636" s="1319"/>
      <c r="CW636" s="1320"/>
      <c r="CX636" s="1369"/>
      <c r="CY636" s="1319"/>
      <c r="CZ636" s="1319"/>
      <c r="DA636" s="1319"/>
      <c r="DB636" s="1320"/>
      <c r="DC636" s="1319"/>
      <c r="DD636" s="1319"/>
      <c r="DE636" s="1319"/>
      <c r="DF636" s="1319"/>
      <c r="DG636" s="1320"/>
      <c r="DH636" s="1369"/>
      <c r="DI636" s="1319"/>
      <c r="DJ636" s="1319"/>
      <c r="DK636" s="1319"/>
      <c r="DL636" s="1320"/>
      <c r="DM636" s="1743"/>
      <c r="DN636" s="1744"/>
      <c r="DO636" s="1744"/>
      <c r="DP636" s="1745"/>
      <c r="DQ636" s="1744"/>
      <c r="DR636" s="1744"/>
      <c r="DS636" s="1744"/>
      <c r="DT636" s="1745"/>
      <c r="DU636" s="1328"/>
      <c r="DV636" s="1664"/>
      <c r="DW636" s="1746"/>
    </row>
    <row r="637" spans="1:127" s="382" customFormat="1" ht="15.75" customHeight="1">
      <c r="A637" s="1066" t="s">
        <v>1241</v>
      </c>
      <c r="B637" s="1026">
        <v>628</v>
      </c>
      <c r="C637" s="987"/>
      <c r="D637" s="987"/>
      <c r="E637" s="987"/>
      <c r="F637" s="987"/>
      <c r="G637" s="987"/>
      <c r="H637" s="987"/>
      <c r="I637" s="987"/>
      <c r="J637" s="987"/>
      <c r="K637" s="987"/>
      <c r="L637" s="987"/>
      <c r="M637" s="1026"/>
      <c r="N637" s="987"/>
      <c r="O637" s="987"/>
      <c r="P637" s="987"/>
      <c r="Q637" s="987"/>
      <c r="R637" s="987"/>
      <c r="S637" s="987"/>
      <c r="T637" s="988"/>
      <c r="U637" s="1067" t="s">
        <v>1337</v>
      </c>
      <c r="V637" s="1068" t="s">
        <v>4274</v>
      </c>
      <c r="W637" s="1068" t="s">
        <v>2217</v>
      </c>
      <c r="X637" s="1069">
        <v>2</v>
      </c>
      <c r="Y637" s="1070" t="s">
        <v>4275</v>
      </c>
      <c r="Z637" s="1071" t="s">
        <v>4276</v>
      </c>
      <c r="AA637" s="1072">
        <v>0.7</v>
      </c>
      <c r="AB637" s="1073">
        <v>0</v>
      </c>
      <c r="AC637" s="1073">
        <v>0.3</v>
      </c>
      <c r="AD637" s="1073">
        <v>0</v>
      </c>
      <c r="AE637" s="1073">
        <v>0</v>
      </c>
      <c r="AF637" s="1073">
        <v>0</v>
      </c>
      <c r="AG637" s="1073">
        <v>0</v>
      </c>
      <c r="AH637" s="1073">
        <v>0</v>
      </c>
      <c r="AI637" s="1074">
        <f t="shared" si="9"/>
        <v>1</v>
      </c>
      <c r="AJ637" s="1075" t="s">
        <v>1852</v>
      </c>
      <c r="AK637" s="1075" t="s">
        <v>1826</v>
      </c>
      <c r="AL637" s="1075" t="s">
        <v>1837</v>
      </c>
      <c r="AM637" s="1076" t="s">
        <v>2387</v>
      </c>
      <c r="AN637" s="987" t="s">
        <v>1857</v>
      </c>
      <c r="AO637" s="987" t="s">
        <v>4277</v>
      </c>
      <c r="AP637" s="802">
        <v>0</v>
      </c>
      <c r="AQ637" s="1045" t="s">
        <v>1828</v>
      </c>
      <c r="AR637" s="1078" t="s">
        <v>2260</v>
      </c>
      <c r="AS637" s="1079"/>
      <c r="AT637" s="1069"/>
      <c r="AU637" s="1069"/>
      <c r="AV637" s="1069"/>
      <c r="AW637" s="1080"/>
      <c r="AX637" s="1081"/>
      <c r="AY637" s="1044"/>
      <c r="AZ637" s="1045"/>
      <c r="BA637" s="1045"/>
      <c r="BB637" s="1045"/>
      <c r="BC637" s="1045"/>
      <c r="BD637" s="1045"/>
      <c r="BE637" s="1045"/>
      <c r="BF637" s="1045"/>
      <c r="BG637" s="1045"/>
      <c r="BH637" s="1045"/>
      <c r="BI637" s="1369"/>
      <c r="BJ637" s="1319"/>
      <c r="BK637" s="1319"/>
      <c r="BL637" s="1319"/>
      <c r="BM637" s="1319"/>
      <c r="BN637" s="1044"/>
      <c r="BO637" s="1045"/>
      <c r="BP637" s="1045"/>
      <c r="BQ637" s="1045"/>
      <c r="BR637" s="1045"/>
      <c r="BS637" s="1084"/>
      <c r="BT637" s="1045"/>
      <c r="BU637" s="1045"/>
      <c r="BV637" s="1045"/>
      <c r="BW637" s="1085"/>
      <c r="BX637" s="1084"/>
      <c r="BY637" s="1045"/>
      <c r="BZ637" s="1045"/>
      <c r="CA637" s="1045"/>
      <c r="CB637" s="1085"/>
      <c r="CC637" s="1086"/>
      <c r="CD637" s="1327"/>
      <c r="CE637" s="1328"/>
      <c r="CF637" s="1328"/>
      <c r="CG637" s="1328"/>
      <c r="CH637" s="1389"/>
      <c r="CI637" s="1369"/>
      <c r="CJ637" s="1319"/>
      <c r="CK637" s="1319"/>
      <c r="CL637" s="1319"/>
      <c r="CM637" s="1320"/>
      <c r="CN637" s="1369"/>
      <c r="CO637" s="1319"/>
      <c r="CP637" s="1319"/>
      <c r="CQ637" s="1319"/>
      <c r="CR637" s="1320"/>
      <c r="CS637" s="1369"/>
      <c r="CT637" s="1319"/>
      <c r="CU637" s="1319"/>
      <c r="CV637" s="1319"/>
      <c r="CW637" s="1320"/>
      <c r="CX637" s="1369"/>
      <c r="CY637" s="1319"/>
      <c r="CZ637" s="1319"/>
      <c r="DA637" s="1319"/>
      <c r="DB637" s="1320"/>
      <c r="DC637" s="1319"/>
      <c r="DD637" s="1319"/>
      <c r="DE637" s="1319"/>
      <c r="DF637" s="1319"/>
      <c r="DG637" s="1320"/>
      <c r="DH637" s="1369"/>
      <c r="DI637" s="1319"/>
      <c r="DJ637" s="1319"/>
      <c r="DK637" s="1319"/>
      <c r="DL637" s="1320"/>
      <c r="DM637" s="1743"/>
      <c r="DN637" s="1744"/>
      <c r="DO637" s="1744"/>
      <c r="DP637" s="1745"/>
      <c r="DQ637" s="1744"/>
      <c r="DR637" s="1744"/>
      <c r="DS637" s="1744"/>
      <c r="DT637" s="1745"/>
      <c r="DU637" s="1328"/>
      <c r="DV637" s="1664"/>
      <c r="DW637" s="1746"/>
    </row>
    <row r="638" spans="1:127" s="382" customFormat="1" ht="15.75" customHeight="1">
      <c r="A638" s="1066" t="s">
        <v>1241</v>
      </c>
      <c r="B638" s="1026">
        <v>629</v>
      </c>
      <c r="C638" s="987"/>
      <c r="D638" s="987"/>
      <c r="E638" s="987"/>
      <c r="F638" s="987"/>
      <c r="G638" s="987"/>
      <c r="H638" s="987"/>
      <c r="I638" s="987"/>
      <c r="J638" s="987"/>
      <c r="K638" s="987"/>
      <c r="L638" s="987"/>
      <c r="M638" s="1026"/>
      <c r="N638" s="987"/>
      <c r="O638" s="987"/>
      <c r="P638" s="987"/>
      <c r="Q638" s="987"/>
      <c r="R638" s="987"/>
      <c r="S638" s="987"/>
      <c r="T638" s="988"/>
      <c r="U638" s="1067" t="s">
        <v>1603</v>
      </c>
      <c r="V638" s="1068" t="s">
        <v>4274</v>
      </c>
      <c r="W638" s="1068" t="s">
        <v>2231</v>
      </c>
      <c r="X638" s="1069">
        <v>3</v>
      </c>
      <c r="Y638" s="1070" t="s">
        <v>4278</v>
      </c>
      <c r="Z638" s="1071" t="s">
        <v>4279</v>
      </c>
      <c r="AA638" s="1072">
        <v>0.69</v>
      </c>
      <c r="AB638" s="1073">
        <v>0</v>
      </c>
      <c r="AC638" s="1073">
        <v>0.31</v>
      </c>
      <c r="AD638" s="1073">
        <v>0</v>
      </c>
      <c r="AE638" s="1073">
        <v>0</v>
      </c>
      <c r="AF638" s="1073">
        <v>0</v>
      </c>
      <c r="AG638" s="1073">
        <v>0</v>
      </c>
      <c r="AH638" s="1073">
        <v>0</v>
      </c>
      <c r="AI638" s="1074">
        <f t="shared" si="9"/>
        <v>1</v>
      </c>
      <c r="AJ638" s="1075" t="s">
        <v>1825</v>
      </c>
      <c r="AK638" s="1075" t="s">
        <v>2260</v>
      </c>
      <c r="AL638" s="1075" t="s">
        <v>2260</v>
      </c>
      <c r="AM638" s="1076" t="s">
        <v>2280</v>
      </c>
      <c r="AN638" s="987" t="s">
        <v>321</v>
      </c>
      <c r="AO638" s="987" t="s">
        <v>4280</v>
      </c>
      <c r="AP638" s="802">
        <v>1</v>
      </c>
      <c r="AQ638" s="1045" t="s">
        <v>1828</v>
      </c>
      <c r="AR638" s="1078" t="s">
        <v>2260</v>
      </c>
      <c r="AS638" s="1079"/>
      <c r="AT638" s="1069"/>
      <c r="AU638" s="1069"/>
      <c r="AV638" s="1069"/>
      <c r="AW638" s="1080"/>
      <c r="AX638" s="1081"/>
      <c r="AY638" s="1044"/>
      <c r="AZ638" s="1045"/>
      <c r="BA638" s="1045"/>
      <c r="BB638" s="1045"/>
      <c r="BC638" s="1045"/>
      <c r="BD638" s="1045"/>
      <c r="BE638" s="1045"/>
      <c r="BF638" s="1045"/>
      <c r="BG638" s="1045"/>
      <c r="BH638" s="1045"/>
      <c r="BI638" s="1369"/>
      <c r="BJ638" s="1319"/>
      <c r="BK638" s="1319"/>
      <c r="BL638" s="1319"/>
      <c r="BM638" s="1319"/>
      <c r="BN638" s="1044"/>
      <c r="BO638" s="1045"/>
      <c r="BP638" s="1045"/>
      <c r="BQ638" s="1045"/>
      <c r="BR638" s="1045"/>
      <c r="BS638" s="1084"/>
      <c r="BT638" s="1045"/>
      <c r="BU638" s="1045"/>
      <c r="BV638" s="1045"/>
      <c r="BW638" s="1085"/>
      <c r="BX638" s="1084"/>
      <c r="BY638" s="1045"/>
      <c r="BZ638" s="1045"/>
      <c r="CA638" s="1045"/>
      <c r="CB638" s="1085"/>
      <c r="CC638" s="1086"/>
      <c r="CD638" s="1327"/>
      <c r="CE638" s="1328"/>
      <c r="CF638" s="1328"/>
      <c r="CG638" s="1328"/>
      <c r="CH638" s="1389"/>
      <c r="CI638" s="1369"/>
      <c r="CJ638" s="1319"/>
      <c r="CK638" s="1319"/>
      <c r="CL638" s="1319"/>
      <c r="CM638" s="1320"/>
      <c r="CN638" s="1369"/>
      <c r="CO638" s="1319"/>
      <c r="CP638" s="1319"/>
      <c r="CQ638" s="1319"/>
      <c r="CR638" s="1320"/>
      <c r="CS638" s="1369"/>
      <c r="CT638" s="1319"/>
      <c r="CU638" s="1319"/>
      <c r="CV638" s="1319"/>
      <c r="CW638" s="1320"/>
      <c r="CX638" s="1369"/>
      <c r="CY638" s="1319"/>
      <c r="CZ638" s="1319"/>
      <c r="DA638" s="1319"/>
      <c r="DB638" s="1320"/>
      <c r="DC638" s="1319"/>
      <c r="DD638" s="1319"/>
      <c r="DE638" s="1319"/>
      <c r="DF638" s="1319"/>
      <c r="DG638" s="1320"/>
      <c r="DH638" s="1369"/>
      <c r="DI638" s="1319"/>
      <c r="DJ638" s="1319"/>
      <c r="DK638" s="1319"/>
      <c r="DL638" s="1320"/>
      <c r="DM638" s="1743"/>
      <c r="DN638" s="1744"/>
      <c r="DO638" s="1744"/>
      <c r="DP638" s="1745"/>
      <c r="DQ638" s="1744"/>
      <c r="DR638" s="1744"/>
      <c r="DS638" s="1744"/>
      <c r="DT638" s="1745"/>
      <c r="DU638" s="1328"/>
      <c r="DV638" s="1664"/>
      <c r="DW638" s="1746"/>
    </row>
    <row r="639" spans="1:127" s="382" customFormat="1" ht="15.75" customHeight="1">
      <c r="A639" s="1066" t="s">
        <v>1241</v>
      </c>
      <c r="B639" s="1026">
        <v>630</v>
      </c>
      <c r="C639" s="987"/>
      <c r="D639" s="987"/>
      <c r="E639" s="987"/>
      <c r="F639" s="987"/>
      <c r="G639" s="987"/>
      <c r="H639" s="987"/>
      <c r="I639" s="987"/>
      <c r="J639" s="987"/>
      <c r="K639" s="987"/>
      <c r="L639" s="987"/>
      <c r="M639" s="1026"/>
      <c r="N639" s="987"/>
      <c r="O639" s="987"/>
      <c r="P639" s="987"/>
      <c r="Q639" s="987"/>
      <c r="R639" s="987"/>
      <c r="S639" s="987"/>
      <c r="T639" s="988"/>
      <c r="U639" s="1067" t="s">
        <v>1505</v>
      </c>
      <c r="V639" s="1068" t="s">
        <v>4274</v>
      </c>
      <c r="W639" s="1068" t="s">
        <v>2217</v>
      </c>
      <c r="X639" s="1069">
        <v>4</v>
      </c>
      <c r="Y639" s="1070" t="s">
        <v>4281</v>
      </c>
      <c r="Z639" s="1071" t="s">
        <v>4282</v>
      </c>
      <c r="AA639" s="1072">
        <v>0.04</v>
      </c>
      <c r="AB639" s="1073">
        <v>0</v>
      </c>
      <c r="AC639" s="1073">
        <v>0.96</v>
      </c>
      <c r="AD639" s="1073">
        <v>0</v>
      </c>
      <c r="AE639" s="1073">
        <v>0</v>
      </c>
      <c r="AF639" s="1073">
        <v>0</v>
      </c>
      <c r="AG639" s="1073">
        <v>0</v>
      </c>
      <c r="AH639" s="1073">
        <v>0</v>
      </c>
      <c r="AI639" s="1074">
        <f t="shared" si="9"/>
        <v>1</v>
      </c>
      <c r="AJ639" s="1075" t="s">
        <v>1852</v>
      </c>
      <c r="AK639" s="1075" t="s">
        <v>1826</v>
      </c>
      <c r="AL639" s="1075" t="s">
        <v>1837</v>
      </c>
      <c r="AM639" s="1076" t="s">
        <v>2387</v>
      </c>
      <c r="AN639" s="987" t="s">
        <v>1860</v>
      </c>
      <c r="AO639" s="987" t="s">
        <v>4512</v>
      </c>
      <c r="AP639" s="802">
        <v>2</v>
      </c>
      <c r="AQ639" s="1045" t="s">
        <v>1828</v>
      </c>
      <c r="AR639" s="1078" t="s">
        <v>2260</v>
      </c>
      <c r="AS639" s="1079"/>
      <c r="AT639" s="1069"/>
      <c r="AU639" s="1069"/>
      <c r="AV639" s="1069"/>
      <c r="AW639" s="1080"/>
      <c r="AX639" s="1081"/>
      <c r="AY639" s="1044"/>
      <c r="AZ639" s="1045"/>
      <c r="BA639" s="1045"/>
      <c r="BB639" s="1045"/>
      <c r="BC639" s="1045"/>
      <c r="BD639" s="1045"/>
      <c r="BE639" s="1045"/>
      <c r="BF639" s="1045"/>
      <c r="BG639" s="1045"/>
      <c r="BH639" s="1045"/>
      <c r="BI639" s="1369"/>
      <c r="BJ639" s="1319"/>
      <c r="BK639" s="1319"/>
      <c r="BL639" s="1319"/>
      <c r="BM639" s="1319"/>
      <c r="BN639" s="1044"/>
      <c r="BO639" s="1045"/>
      <c r="BP639" s="1045"/>
      <c r="BQ639" s="1045"/>
      <c r="BR639" s="1045"/>
      <c r="BS639" s="1084"/>
      <c r="BT639" s="1045"/>
      <c r="BU639" s="1045"/>
      <c r="BV639" s="1045"/>
      <c r="BW639" s="1085"/>
      <c r="BX639" s="1084"/>
      <c r="BY639" s="1045"/>
      <c r="BZ639" s="1045"/>
      <c r="CA639" s="1045"/>
      <c r="CB639" s="1085"/>
      <c r="CC639" s="1086"/>
      <c r="CD639" s="1327"/>
      <c r="CE639" s="1328"/>
      <c r="CF639" s="1328"/>
      <c r="CG639" s="1328"/>
      <c r="CH639" s="1389"/>
      <c r="CI639" s="1369"/>
      <c r="CJ639" s="1319"/>
      <c r="CK639" s="1319"/>
      <c r="CL639" s="1319"/>
      <c r="CM639" s="1320"/>
      <c r="CN639" s="1369"/>
      <c r="CO639" s="1319"/>
      <c r="CP639" s="1319"/>
      <c r="CQ639" s="1319"/>
      <c r="CR639" s="1320"/>
      <c r="CS639" s="1369"/>
      <c r="CT639" s="1319"/>
      <c r="CU639" s="1319"/>
      <c r="CV639" s="1319"/>
      <c r="CW639" s="1320"/>
      <c r="CX639" s="1369"/>
      <c r="CY639" s="1319"/>
      <c r="CZ639" s="1319"/>
      <c r="DA639" s="1319"/>
      <c r="DB639" s="1320"/>
      <c r="DC639" s="1319"/>
      <c r="DD639" s="1319"/>
      <c r="DE639" s="1319"/>
      <c r="DF639" s="1319"/>
      <c r="DG639" s="1320"/>
      <c r="DH639" s="1369"/>
      <c r="DI639" s="1319"/>
      <c r="DJ639" s="1319"/>
      <c r="DK639" s="1319"/>
      <c r="DL639" s="1320"/>
      <c r="DM639" s="1743"/>
      <c r="DN639" s="1744"/>
      <c r="DO639" s="1744"/>
      <c r="DP639" s="1745"/>
      <c r="DQ639" s="1744"/>
      <c r="DR639" s="1744"/>
      <c r="DS639" s="1744"/>
      <c r="DT639" s="1745"/>
      <c r="DU639" s="1328"/>
      <c r="DV639" s="1664"/>
      <c r="DW639" s="1746"/>
    </row>
    <row r="640" spans="1:127" s="382" customFormat="1" ht="15.75" customHeight="1">
      <c r="A640" s="1066" t="s">
        <v>1241</v>
      </c>
      <c r="B640" s="1026">
        <v>631</v>
      </c>
      <c r="C640" s="987"/>
      <c r="D640" s="987"/>
      <c r="E640" s="987"/>
      <c r="F640" s="987"/>
      <c r="G640" s="987"/>
      <c r="H640" s="987"/>
      <c r="I640" s="987"/>
      <c r="J640" s="987"/>
      <c r="K640" s="987"/>
      <c r="L640" s="987"/>
      <c r="M640" s="1026"/>
      <c r="N640" s="987"/>
      <c r="O640" s="987"/>
      <c r="P640" s="987"/>
      <c r="Q640" s="987"/>
      <c r="R640" s="987"/>
      <c r="S640" s="987"/>
      <c r="T640" s="988"/>
      <c r="U640" s="1067" t="s">
        <v>1620</v>
      </c>
      <c r="V640" s="1068" t="s">
        <v>4274</v>
      </c>
      <c r="W640" s="1068" t="s">
        <v>2231</v>
      </c>
      <c r="X640" s="1069">
        <v>5</v>
      </c>
      <c r="Y640" s="1070" t="s">
        <v>4284</v>
      </c>
      <c r="Z640" s="1071" t="s">
        <v>4285</v>
      </c>
      <c r="AA640" s="1072">
        <v>0.7</v>
      </c>
      <c r="AB640" s="1073">
        <v>0</v>
      </c>
      <c r="AC640" s="1073">
        <v>0</v>
      </c>
      <c r="AD640" s="1073">
        <v>0.3</v>
      </c>
      <c r="AE640" s="1073">
        <v>0</v>
      </c>
      <c r="AF640" s="1073">
        <v>0</v>
      </c>
      <c r="AG640" s="1073">
        <v>0</v>
      </c>
      <c r="AH640" s="1073">
        <v>0</v>
      </c>
      <c r="AI640" s="1074">
        <f t="shared" si="9"/>
        <v>1</v>
      </c>
      <c r="AJ640" s="1075" t="s">
        <v>1825</v>
      </c>
      <c r="AK640" s="1075" t="s">
        <v>2260</v>
      </c>
      <c r="AL640" s="1075" t="s">
        <v>2260</v>
      </c>
      <c r="AM640" s="1076" t="s">
        <v>2387</v>
      </c>
      <c r="AN640" s="987" t="s">
        <v>1857</v>
      </c>
      <c r="AO640" s="987" t="s">
        <v>4286</v>
      </c>
      <c r="AP640" s="802">
        <v>0</v>
      </c>
      <c r="AQ640" s="1045" t="s">
        <v>1828</v>
      </c>
      <c r="AR640" s="1078" t="s">
        <v>2260</v>
      </c>
      <c r="AS640" s="1079"/>
      <c r="AT640" s="1069"/>
      <c r="AU640" s="1069"/>
      <c r="AV640" s="1069"/>
      <c r="AW640" s="1080"/>
      <c r="AX640" s="1081"/>
      <c r="AY640" s="1044"/>
      <c r="AZ640" s="1045"/>
      <c r="BA640" s="1045"/>
      <c r="BB640" s="1045"/>
      <c r="BC640" s="1045"/>
      <c r="BD640" s="1045"/>
      <c r="BE640" s="1045"/>
      <c r="BF640" s="1045"/>
      <c r="BG640" s="1045"/>
      <c r="BH640" s="1045"/>
      <c r="BI640" s="1369"/>
      <c r="BJ640" s="1319"/>
      <c r="BK640" s="1319"/>
      <c r="BL640" s="1319"/>
      <c r="BM640" s="1319"/>
      <c r="BN640" s="1044"/>
      <c r="BO640" s="1045"/>
      <c r="BP640" s="1045"/>
      <c r="BQ640" s="1045"/>
      <c r="BR640" s="1045"/>
      <c r="BS640" s="1084"/>
      <c r="BT640" s="1045"/>
      <c r="BU640" s="1045"/>
      <c r="BV640" s="1045"/>
      <c r="BW640" s="1085"/>
      <c r="BX640" s="1084"/>
      <c r="BY640" s="1045"/>
      <c r="BZ640" s="1045"/>
      <c r="CA640" s="1045"/>
      <c r="CB640" s="1085"/>
      <c r="CC640" s="1086"/>
      <c r="CD640" s="1327"/>
      <c r="CE640" s="1328"/>
      <c r="CF640" s="1328"/>
      <c r="CG640" s="1328"/>
      <c r="CH640" s="1389"/>
      <c r="CI640" s="1369"/>
      <c r="CJ640" s="1319"/>
      <c r="CK640" s="1319"/>
      <c r="CL640" s="1319"/>
      <c r="CM640" s="1320"/>
      <c r="CN640" s="1369"/>
      <c r="CO640" s="1319"/>
      <c r="CP640" s="1319"/>
      <c r="CQ640" s="1319"/>
      <c r="CR640" s="1320"/>
      <c r="CS640" s="1369"/>
      <c r="CT640" s="1319"/>
      <c r="CU640" s="1319"/>
      <c r="CV640" s="1319"/>
      <c r="CW640" s="1320"/>
      <c r="CX640" s="1369"/>
      <c r="CY640" s="1319"/>
      <c r="CZ640" s="1319"/>
      <c r="DA640" s="1319"/>
      <c r="DB640" s="1320"/>
      <c r="DC640" s="1319"/>
      <c r="DD640" s="1319"/>
      <c r="DE640" s="1319"/>
      <c r="DF640" s="1319"/>
      <c r="DG640" s="1320"/>
      <c r="DH640" s="1369"/>
      <c r="DI640" s="1319"/>
      <c r="DJ640" s="1319"/>
      <c r="DK640" s="1319"/>
      <c r="DL640" s="1320"/>
      <c r="DM640" s="1743"/>
      <c r="DN640" s="1744"/>
      <c r="DO640" s="1744"/>
      <c r="DP640" s="1745"/>
      <c r="DQ640" s="1744"/>
      <c r="DR640" s="1744"/>
      <c r="DS640" s="1744"/>
      <c r="DT640" s="1745"/>
      <c r="DU640" s="1328"/>
      <c r="DV640" s="1664"/>
      <c r="DW640" s="1746"/>
    </row>
    <row r="641" spans="1:127" s="382" customFormat="1" ht="15.75" customHeight="1">
      <c r="A641" s="1066" t="s">
        <v>1241</v>
      </c>
      <c r="B641" s="1026">
        <v>632</v>
      </c>
      <c r="C641" s="987"/>
      <c r="D641" s="987"/>
      <c r="E641" s="987"/>
      <c r="F641" s="987"/>
      <c r="G641" s="987"/>
      <c r="H641" s="987"/>
      <c r="I641" s="987"/>
      <c r="J641" s="987"/>
      <c r="K641" s="987"/>
      <c r="L641" s="987"/>
      <c r="M641" s="1026"/>
      <c r="N641" s="987"/>
      <c r="O641" s="987"/>
      <c r="P641" s="987"/>
      <c r="Q641" s="987"/>
      <c r="R641" s="987"/>
      <c r="S641" s="987"/>
      <c r="T641" s="988"/>
      <c r="U641" s="1067" t="s">
        <v>1516</v>
      </c>
      <c r="V641" s="1068" t="s">
        <v>4274</v>
      </c>
      <c r="W641" s="1068" t="s">
        <v>2231</v>
      </c>
      <c r="X641" s="1069" t="s">
        <v>4287</v>
      </c>
      <c r="Y641" s="1070" t="s">
        <v>4288</v>
      </c>
      <c r="Z641" s="1071" t="s">
        <v>4289</v>
      </c>
      <c r="AA641" s="1072">
        <v>0.09</v>
      </c>
      <c r="AB641" s="1073">
        <v>0.12</v>
      </c>
      <c r="AC641" s="1073">
        <v>0.24</v>
      </c>
      <c r="AD641" s="1073">
        <v>0.55000000000000004</v>
      </c>
      <c r="AE641" s="1073">
        <v>0</v>
      </c>
      <c r="AF641" s="1073">
        <v>0</v>
      </c>
      <c r="AG641" s="1073">
        <v>0</v>
      </c>
      <c r="AH641" s="1073">
        <v>0</v>
      </c>
      <c r="AI641" s="1074">
        <f t="shared" si="9"/>
        <v>1</v>
      </c>
      <c r="AJ641" s="1075" t="s">
        <v>1852</v>
      </c>
      <c r="AK641" s="1075" t="s">
        <v>1826</v>
      </c>
      <c r="AL641" s="1075" t="s">
        <v>1827</v>
      </c>
      <c r="AM641" s="1076" t="s">
        <v>2408</v>
      </c>
      <c r="AN641" s="987" t="s">
        <v>321</v>
      </c>
      <c r="AO641" s="987" t="s">
        <v>2917</v>
      </c>
      <c r="AP641" s="802">
        <v>1</v>
      </c>
      <c r="AQ641" s="1045" t="s">
        <v>1828</v>
      </c>
      <c r="AR641" s="1078" t="s">
        <v>2260</v>
      </c>
      <c r="AS641" s="1079"/>
      <c r="AT641" s="1069"/>
      <c r="AU641" s="1069"/>
      <c r="AV641" s="1069"/>
      <c r="AW641" s="1080"/>
      <c r="AX641" s="1081"/>
      <c r="AY641" s="1044"/>
      <c r="AZ641" s="1045"/>
      <c r="BA641" s="1045"/>
      <c r="BB641" s="1045"/>
      <c r="BC641" s="1045"/>
      <c r="BD641" s="1045"/>
      <c r="BE641" s="1045"/>
      <c r="BF641" s="1045"/>
      <c r="BG641" s="1045"/>
      <c r="BH641" s="1045"/>
      <c r="BI641" s="1369"/>
      <c r="BJ641" s="1319"/>
      <c r="BK641" s="1319"/>
      <c r="BL641" s="1319"/>
      <c r="BM641" s="1319"/>
      <c r="BN641" s="1044"/>
      <c r="BO641" s="1045"/>
      <c r="BP641" s="1045"/>
      <c r="BQ641" s="1045"/>
      <c r="BR641" s="1045"/>
      <c r="BS641" s="1084"/>
      <c r="BT641" s="1045"/>
      <c r="BU641" s="1045"/>
      <c r="BV641" s="1045"/>
      <c r="BW641" s="1085"/>
      <c r="BX641" s="1084"/>
      <c r="BY641" s="1045"/>
      <c r="BZ641" s="1045"/>
      <c r="CA641" s="1045"/>
      <c r="CB641" s="1085"/>
      <c r="CC641" s="1086"/>
      <c r="CD641" s="1327"/>
      <c r="CE641" s="1328"/>
      <c r="CF641" s="1328"/>
      <c r="CG641" s="1328"/>
      <c r="CH641" s="1389"/>
      <c r="CI641" s="1369"/>
      <c r="CJ641" s="1319"/>
      <c r="CK641" s="1319"/>
      <c r="CL641" s="1319"/>
      <c r="CM641" s="1320"/>
      <c r="CN641" s="1369"/>
      <c r="CO641" s="1319"/>
      <c r="CP641" s="1319"/>
      <c r="CQ641" s="1319"/>
      <c r="CR641" s="1320"/>
      <c r="CS641" s="1369"/>
      <c r="CT641" s="1319"/>
      <c r="CU641" s="1319"/>
      <c r="CV641" s="1319"/>
      <c r="CW641" s="1320"/>
      <c r="CX641" s="1369"/>
      <c r="CY641" s="1319"/>
      <c r="CZ641" s="1319"/>
      <c r="DA641" s="1319"/>
      <c r="DB641" s="1320"/>
      <c r="DC641" s="1319"/>
      <c r="DD641" s="1319"/>
      <c r="DE641" s="1319"/>
      <c r="DF641" s="1319"/>
      <c r="DG641" s="1320"/>
      <c r="DH641" s="1369"/>
      <c r="DI641" s="1319"/>
      <c r="DJ641" s="1319"/>
      <c r="DK641" s="1319"/>
      <c r="DL641" s="1320"/>
      <c r="DM641" s="1743"/>
      <c r="DN641" s="1744"/>
      <c r="DO641" s="1744"/>
      <c r="DP641" s="1745"/>
      <c r="DQ641" s="1744"/>
      <c r="DR641" s="1744"/>
      <c r="DS641" s="1744"/>
      <c r="DT641" s="1745"/>
      <c r="DU641" s="1328"/>
      <c r="DV641" s="1664"/>
      <c r="DW641" s="1746"/>
    </row>
    <row r="642" spans="1:127" s="382" customFormat="1" ht="15.75" customHeight="1">
      <c r="A642" s="1066" t="s">
        <v>1241</v>
      </c>
      <c r="B642" s="1026">
        <v>633</v>
      </c>
      <c r="C642" s="987"/>
      <c r="D642" s="987"/>
      <c r="E642" s="987"/>
      <c r="F642" s="987"/>
      <c r="G642" s="987"/>
      <c r="H642" s="987"/>
      <c r="I642" s="987"/>
      <c r="J642" s="987"/>
      <c r="K642" s="987"/>
      <c r="L642" s="987"/>
      <c r="M642" s="1026"/>
      <c r="N642" s="987"/>
      <c r="O642" s="987"/>
      <c r="P642" s="987"/>
      <c r="Q642" s="987"/>
      <c r="R642" s="987"/>
      <c r="S642" s="987"/>
      <c r="T642" s="988"/>
      <c r="U642" s="1067" t="s">
        <v>1637</v>
      </c>
      <c r="V642" s="1068" t="s">
        <v>2260</v>
      </c>
      <c r="W642" s="1068" t="s">
        <v>2260</v>
      </c>
      <c r="X642" s="1069" t="s">
        <v>4290</v>
      </c>
      <c r="Y642" s="1070" t="s">
        <v>4291</v>
      </c>
      <c r="Z642" s="1071" t="s">
        <v>2260</v>
      </c>
      <c r="AA642" s="1072">
        <v>0.09</v>
      </c>
      <c r="AB642" s="1073">
        <v>0.12</v>
      </c>
      <c r="AC642" s="1073">
        <v>0.24</v>
      </c>
      <c r="AD642" s="1073">
        <v>0.55000000000000004</v>
      </c>
      <c r="AE642" s="1073">
        <v>0</v>
      </c>
      <c r="AF642" s="1073">
        <v>0</v>
      </c>
      <c r="AG642" s="1073">
        <v>0</v>
      </c>
      <c r="AH642" s="1073">
        <v>0</v>
      </c>
      <c r="AI642" s="1074">
        <f t="shared" si="9"/>
        <v>1</v>
      </c>
      <c r="AJ642" s="1075" t="s">
        <v>1825</v>
      </c>
      <c r="AK642" s="1075" t="s">
        <v>2260</v>
      </c>
      <c r="AL642" s="1075" t="s">
        <v>2260</v>
      </c>
      <c r="AM642" s="1076" t="s">
        <v>2260</v>
      </c>
      <c r="AN642" s="987" t="s">
        <v>321</v>
      </c>
      <c r="AO642" s="987" t="s">
        <v>4292</v>
      </c>
      <c r="AP642" s="802">
        <v>1</v>
      </c>
      <c r="AQ642" s="1045" t="s">
        <v>321</v>
      </c>
      <c r="AR642" s="1078" t="s">
        <v>2260</v>
      </c>
      <c r="AS642" s="1079"/>
      <c r="AT642" s="1069"/>
      <c r="AU642" s="1069"/>
      <c r="AV642" s="1069"/>
      <c r="AW642" s="1080"/>
      <c r="AX642" s="1081"/>
      <c r="AY642" s="1044"/>
      <c r="AZ642" s="1045"/>
      <c r="BA642" s="1045"/>
      <c r="BB642" s="1045"/>
      <c r="BC642" s="1045"/>
      <c r="BD642" s="1045"/>
      <c r="BE642" s="1045"/>
      <c r="BF642" s="1045"/>
      <c r="BG642" s="1045"/>
      <c r="BH642" s="1045"/>
      <c r="BI642" s="1369"/>
      <c r="BJ642" s="1319"/>
      <c r="BK642" s="1319"/>
      <c r="BL642" s="1319"/>
      <c r="BM642" s="1319"/>
      <c r="BN642" s="1044"/>
      <c r="BO642" s="1045"/>
      <c r="BP642" s="1045"/>
      <c r="BQ642" s="1045"/>
      <c r="BR642" s="1045"/>
      <c r="BS642" s="1084"/>
      <c r="BT642" s="1045"/>
      <c r="BU642" s="1045"/>
      <c r="BV642" s="1045"/>
      <c r="BW642" s="1085"/>
      <c r="BX642" s="1084"/>
      <c r="BY642" s="1045"/>
      <c r="BZ642" s="1045"/>
      <c r="CA642" s="1045"/>
      <c r="CB642" s="1085"/>
      <c r="CC642" s="1086"/>
      <c r="CD642" s="1327"/>
      <c r="CE642" s="1328"/>
      <c r="CF642" s="1328"/>
      <c r="CG642" s="1328"/>
      <c r="CH642" s="1389"/>
      <c r="CI642" s="1369"/>
      <c r="CJ642" s="1319"/>
      <c r="CK642" s="1319"/>
      <c r="CL642" s="1319"/>
      <c r="CM642" s="1320"/>
      <c r="CN642" s="1369"/>
      <c r="CO642" s="1319"/>
      <c r="CP642" s="1319"/>
      <c r="CQ642" s="1319"/>
      <c r="CR642" s="1320"/>
      <c r="CS642" s="1369"/>
      <c r="CT642" s="1319"/>
      <c r="CU642" s="1319"/>
      <c r="CV642" s="1319"/>
      <c r="CW642" s="1320"/>
      <c r="CX642" s="1369"/>
      <c r="CY642" s="1319"/>
      <c r="CZ642" s="1319"/>
      <c r="DA642" s="1319"/>
      <c r="DB642" s="1320"/>
      <c r="DC642" s="1319"/>
      <c r="DD642" s="1319"/>
      <c r="DE642" s="1319"/>
      <c r="DF642" s="1319"/>
      <c r="DG642" s="1320"/>
      <c r="DH642" s="1369"/>
      <c r="DI642" s="1319"/>
      <c r="DJ642" s="1319"/>
      <c r="DK642" s="1319"/>
      <c r="DL642" s="1320"/>
      <c r="DM642" s="1743"/>
      <c r="DN642" s="1744"/>
      <c r="DO642" s="1744"/>
      <c r="DP642" s="1745"/>
      <c r="DQ642" s="1744"/>
      <c r="DR642" s="1744"/>
      <c r="DS642" s="1744"/>
      <c r="DT642" s="1745"/>
      <c r="DU642" s="1328"/>
      <c r="DV642" s="1664"/>
      <c r="DW642" s="1746"/>
    </row>
    <row r="643" spans="1:127" s="382" customFormat="1" ht="15.75" customHeight="1">
      <c r="A643" s="1066" t="s">
        <v>1241</v>
      </c>
      <c r="B643" s="1026">
        <v>634</v>
      </c>
      <c r="C643" s="987"/>
      <c r="D643" s="987"/>
      <c r="E643" s="987"/>
      <c r="F643" s="987"/>
      <c r="G643" s="987"/>
      <c r="H643" s="987"/>
      <c r="I643" s="987"/>
      <c r="J643" s="987"/>
      <c r="K643" s="987"/>
      <c r="L643" s="987"/>
      <c r="M643" s="1026"/>
      <c r="N643" s="987"/>
      <c r="O643" s="987"/>
      <c r="P643" s="987"/>
      <c r="Q643" s="987"/>
      <c r="R643" s="987"/>
      <c r="S643" s="987"/>
      <c r="T643" s="988"/>
      <c r="U643" s="1067" t="s">
        <v>1354</v>
      </c>
      <c r="V643" s="1068" t="s">
        <v>4293</v>
      </c>
      <c r="W643" s="1068" t="s">
        <v>2231</v>
      </c>
      <c r="X643" s="1069">
        <v>7</v>
      </c>
      <c r="Y643" s="1070" t="s">
        <v>4294</v>
      </c>
      <c r="Z643" s="1071" t="s">
        <v>4295</v>
      </c>
      <c r="AA643" s="1072">
        <v>0.36</v>
      </c>
      <c r="AB643" s="1073">
        <v>0.26</v>
      </c>
      <c r="AC643" s="1073">
        <v>0.24</v>
      </c>
      <c r="AD643" s="1073">
        <v>0.14000000000000001</v>
      </c>
      <c r="AE643" s="1073">
        <v>0</v>
      </c>
      <c r="AF643" s="1073">
        <v>0</v>
      </c>
      <c r="AG643" s="1073">
        <v>0</v>
      </c>
      <c r="AH643" s="1073">
        <v>0</v>
      </c>
      <c r="AI643" s="1074">
        <f t="shared" si="9"/>
        <v>1</v>
      </c>
      <c r="AJ643" s="1075" t="s">
        <v>1846</v>
      </c>
      <c r="AK643" s="1075" t="s">
        <v>1826</v>
      </c>
      <c r="AL643" s="1075" t="s">
        <v>1827</v>
      </c>
      <c r="AM643" s="1076" t="s">
        <v>2610</v>
      </c>
      <c r="AN643" s="987" t="s">
        <v>1857</v>
      </c>
      <c r="AO643" s="987" t="s">
        <v>4296</v>
      </c>
      <c r="AP643" s="802">
        <v>0</v>
      </c>
      <c r="AQ643" s="1045" t="s">
        <v>1828</v>
      </c>
      <c r="AR643" s="1078" t="s">
        <v>2260</v>
      </c>
      <c r="AS643" s="1079"/>
      <c r="AT643" s="1069"/>
      <c r="AU643" s="1069"/>
      <c r="AV643" s="1069"/>
      <c r="AW643" s="1080"/>
      <c r="AX643" s="1081"/>
      <c r="AY643" s="1044"/>
      <c r="AZ643" s="1045"/>
      <c r="BA643" s="1045"/>
      <c r="BB643" s="1045"/>
      <c r="BC643" s="1045"/>
      <c r="BD643" s="1045"/>
      <c r="BE643" s="1045"/>
      <c r="BF643" s="1045"/>
      <c r="BG643" s="1045"/>
      <c r="BH643" s="1045"/>
      <c r="BI643" s="1369"/>
      <c r="BJ643" s="1319"/>
      <c r="BK643" s="1319"/>
      <c r="BL643" s="1319"/>
      <c r="BM643" s="1319"/>
      <c r="BN643" s="1044"/>
      <c r="BO643" s="1045"/>
      <c r="BP643" s="1045"/>
      <c r="BQ643" s="1045"/>
      <c r="BR643" s="1045"/>
      <c r="BS643" s="1084"/>
      <c r="BT643" s="1045"/>
      <c r="BU643" s="1045"/>
      <c r="BV643" s="1045"/>
      <c r="BW643" s="1085"/>
      <c r="BX643" s="1084"/>
      <c r="BY643" s="1045"/>
      <c r="BZ643" s="1045"/>
      <c r="CA643" s="1045"/>
      <c r="CB643" s="1085"/>
      <c r="CC643" s="1086"/>
      <c r="CD643" s="1327"/>
      <c r="CE643" s="1328"/>
      <c r="CF643" s="1328"/>
      <c r="CG643" s="1328"/>
      <c r="CH643" s="1389"/>
      <c r="CI643" s="1369"/>
      <c r="CJ643" s="1319"/>
      <c r="CK643" s="1319"/>
      <c r="CL643" s="1319"/>
      <c r="CM643" s="1320"/>
      <c r="CN643" s="1369"/>
      <c r="CO643" s="1319"/>
      <c r="CP643" s="1319"/>
      <c r="CQ643" s="1319"/>
      <c r="CR643" s="1320"/>
      <c r="CS643" s="1369"/>
      <c r="CT643" s="1319"/>
      <c r="CU643" s="1319"/>
      <c r="CV643" s="1319"/>
      <c r="CW643" s="1320"/>
      <c r="CX643" s="1369"/>
      <c r="CY643" s="1319"/>
      <c r="CZ643" s="1319"/>
      <c r="DA643" s="1319"/>
      <c r="DB643" s="1320"/>
      <c r="DC643" s="1319"/>
      <c r="DD643" s="1319"/>
      <c r="DE643" s="1319"/>
      <c r="DF643" s="1319"/>
      <c r="DG643" s="1320"/>
      <c r="DH643" s="1369"/>
      <c r="DI643" s="1319"/>
      <c r="DJ643" s="1319"/>
      <c r="DK643" s="1319"/>
      <c r="DL643" s="1320"/>
      <c r="DM643" s="1743"/>
      <c r="DN643" s="1744"/>
      <c r="DO643" s="1744"/>
      <c r="DP643" s="1745"/>
      <c r="DQ643" s="1744"/>
      <c r="DR643" s="1744"/>
      <c r="DS643" s="1744"/>
      <c r="DT643" s="1745"/>
      <c r="DU643" s="1328"/>
      <c r="DV643" s="1664"/>
      <c r="DW643" s="1746"/>
    </row>
    <row r="644" spans="1:127" s="382" customFormat="1" ht="15.75" customHeight="1">
      <c r="A644" s="1066" t="s">
        <v>1241</v>
      </c>
      <c r="B644" s="1026">
        <v>635</v>
      </c>
      <c r="C644" s="987"/>
      <c r="D644" s="987"/>
      <c r="E644" s="987"/>
      <c r="F644" s="987"/>
      <c r="G644" s="987"/>
      <c r="H644" s="987"/>
      <c r="I644" s="987"/>
      <c r="J644" s="987"/>
      <c r="K644" s="987"/>
      <c r="L644" s="987"/>
      <c r="M644" s="1026"/>
      <c r="N644" s="987"/>
      <c r="O644" s="987"/>
      <c r="P644" s="987"/>
      <c r="Q644" s="987"/>
      <c r="R644" s="987"/>
      <c r="S644" s="987"/>
      <c r="T644" s="988"/>
      <c r="U644" s="1067" t="s">
        <v>1653</v>
      </c>
      <c r="V644" s="1068" t="s">
        <v>4270</v>
      </c>
      <c r="W644" s="1068" t="s">
        <v>2217</v>
      </c>
      <c r="X644" s="1069">
        <v>8</v>
      </c>
      <c r="Y644" s="1070" t="s">
        <v>4297</v>
      </c>
      <c r="Z644" s="1071" t="s">
        <v>4298</v>
      </c>
      <c r="AA644" s="1072">
        <v>0</v>
      </c>
      <c r="AB644" s="1073">
        <v>7.0000000000000007E-2</v>
      </c>
      <c r="AC644" s="1073">
        <v>0.28999999999999998</v>
      </c>
      <c r="AD644" s="1073">
        <v>0.64</v>
      </c>
      <c r="AE644" s="1073">
        <v>0</v>
      </c>
      <c r="AF644" s="1073">
        <v>0</v>
      </c>
      <c r="AG644" s="1073">
        <v>0</v>
      </c>
      <c r="AH644" s="1073">
        <v>0</v>
      </c>
      <c r="AI644" s="1074">
        <f t="shared" si="9"/>
        <v>1</v>
      </c>
      <c r="AJ644" s="1075" t="s">
        <v>1825</v>
      </c>
      <c r="AK644" s="1075" t="s">
        <v>2260</v>
      </c>
      <c r="AL644" s="1075" t="s">
        <v>2260</v>
      </c>
      <c r="AM644" s="1076" t="s">
        <v>2229</v>
      </c>
      <c r="AN644" s="987" t="s">
        <v>165</v>
      </c>
      <c r="AO644" s="987" t="s">
        <v>4299</v>
      </c>
      <c r="AP644" s="802">
        <v>0</v>
      </c>
      <c r="AQ644" s="1045" t="s">
        <v>1828</v>
      </c>
      <c r="AR644" s="1078" t="s">
        <v>2260</v>
      </c>
      <c r="AS644" s="1079"/>
      <c r="AT644" s="1069"/>
      <c r="AU644" s="1069"/>
      <c r="AV644" s="1069"/>
      <c r="AW644" s="1080"/>
      <c r="AX644" s="1081"/>
      <c r="AY644" s="1044"/>
      <c r="AZ644" s="1045"/>
      <c r="BA644" s="1045"/>
      <c r="BB644" s="1045"/>
      <c r="BC644" s="1045"/>
      <c r="BD644" s="1045"/>
      <c r="BE644" s="1045"/>
      <c r="BF644" s="1045"/>
      <c r="BG644" s="1045"/>
      <c r="BH644" s="1045"/>
      <c r="BI644" s="1369"/>
      <c r="BJ644" s="1319"/>
      <c r="BK644" s="1319"/>
      <c r="BL644" s="1319"/>
      <c r="BM644" s="1319"/>
      <c r="BN644" s="1044"/>
      <c r="BO644" s="1045"/>
      <c r="BP644" s="1045"/>
      <c r="BQ644" s="1045"/>
      <c r="BR644" s="1045"/>
      <c r="BS644" s="1084"/>
      <c r="BT644" s="1045"/>
      <c r="BU644" s="1045"/>
      <c r="BV644" s="1045"/>
      <c r="BW644" s="1085"/>
      <c r="BX644" s="1084"/>
      <c r="BY644" s="1045"/>
      <c r="BZ644" s="1045"/>
      <c r="CA644" s="1045"/>
      <c r="CB644" s="1085"/>
      <c r="CC644" s="1086"/>
      <c r="CD644" s="1327"/>
      <c r="CE644" s="1328"/>
      <c r="CF644" s="1328"/>
      <c r="CG644" s="1328"/>
      <c r="CH644" s="1389"/>
      <c r="CI644" s="1369"/>
      <c r="CJ644" s="1319"/>
      <c r="CK644" s="1319"/>
      <c r="CL644" s="1319"/>
      <c r="CM644" s="1320"/>
      <c r="CN644" s="1369"/>
      <c r="CO644" s="1319"/>
      <c r="CP644" s="1319"/>
      <c r="CQ644" s="1319"/>
      <c r="CR644" s="1320"/>
      <c r="CS644" s="1369"/>
      <c r="CT644" s="1319"/>
      <c r="CU644" s="1319"/>
      <c r="CV644" s="1319"/>
      <c r="CW644" s="1320"/>
      <c r="CX644" s="1369"/>
      <c r="CY644" s="1319"/>
      <c r="CZ644" s="1319"/>
      <c r="DA644" s="1319"/>
      <c r="DB644" s="1320"/>
      <c r="DC644" s="1319"/>
      <c r="DD644" s="1319"/>
      <c r="DE644" s="1319"/>
      <c r="DF644" s="1319"/>
      <c r="DG644" s="1320"/>
      <c r="DH644" s="1369"/>
      <c r="DI644" s="1319"/>
      <c r="DJ644" s="1319"/>
      <c r="DK644" s="1319"/>
      <c r="DL644" s="1320"/>
      <c r="DM644" s="1743"/>
      <c r="DN644" s="1744"/>
      <c r="DO644" s="1744"/>
      <c r="DP644" s="1745"/>
      <c r="DQ644" s="1744"/>
      <c r="DR644" s="1744"/>
      <c r="DS644" s="1744"/>
      <c r="DT644" s="1745"/>
      <c r="DU644" s="1328"/>
      <c r="DV644" s="1664"/>
      <c r="DW644" s="1746"/>
    </row>
    <row r="645" spans="1:127" s="382" customFormat="1" ht="15.75" customHeight="1">
      <c r="A645" s="1066" t="s">
        <v>1241</v>
      </c>
      <c r="B645" s="1026">
        <v>636</v>
      </c>
      <c r="C645" s="987"/>
      <c r="D645" s="987"/>
      <c r="E645" s="987"/>
      <c r="F645" s="987"/>
      <c r="G645" s="987"/>
      <c r="H645" s="987"/>
      <c r="I645" s="987"/>
      <c r="J645" s="987"/>
      <c r="K645" s="987"/>
      <c r="L645" s="987"/>
      <c r="M645" s="1026"/>
      <c r="N645" s="987"/>
      <c r="O645" s="987"/>
      <c r="P645" s="987"/>
      <c r="Q645" s="987"/>
      <c r="R645" s="987"/>
      <c r="S645" s="987"/>
      <c r="T645" s="988"/>
      <c r="U645" s="1067" t="s">
        <v>1527</v>
      </c>
      <c r="V645" s="1068" t="s">
        <v>4293</v>
      </c>
      <c r="W645" s="1068" t="s">
        <v>2231</v>
      </c>
      <c r="X645" s="1069">
        <v>9</v>
      </c>
      <c r="Y645" s="1070" t="s">
        <v>4300</v>
      </c>
      <c r="Z645" s="1071" t="s">
        <v>4301</v>
      </c>
      <c r="AA645" s="1072">
        <v>0</v>
      </c>
      <c r="AB645" s="1073">
        <v>0.32</v>
      </c>
      <c r="AC645" s="1073">
        <v>0.68</v>
      </c>
      <c r="AD645" s="1073">
        <v>0</v>
      </c>
      <c r="AE645" s="1073">
        <v>0</v>
      </c>
      <c r="AF645" s="1073">
        <v>0</v>
      </c>
      <c r="AG645" s="1073">
        <v>0</v>
      </c>
      <c r="AH645" s="1073">
        <v>0</v>
      </c>
      <c r="AI645" s="1074">
        <f t="shared" si="9"/>
        <v>1</v>
      </c>
      <c r="AJ645" s="1075" t="s">
        <v>1852</v>
      </c>
      <c r="AK645" s="1075" t="s">
        <v>1826</v>
      </c>
      <c r="AL645" s="1075" t="s">
        <v>1827</v>
      </c>
      <c r="AM645" s="1076" t="s">
        <v>2348</v>
      </c>
      <c r="AN645" s="987" t="s">
        <v>1857</v>
      </c>
      <c r="AO645" s="987" t="s">
        <v>4302</v>
      </c>
      <c r="AP645" s="802">
        <v>2</v>
      </c>
      <c r="AQ645" s="1045" t="s">
        <v>1828</v>
      </c>
      <c r="AR645" s="1078" t="s">
        <v>2260</v>
      </c>
      <c r="AS645" s="1079"/>
      <c r="AT645" s="1069"/>
      <c r="AU645" s="1069"/>
      <c r="AV645" s="1069"/>
      <c r="AW645" s="1080"/>
      <c r="AX645" s="1081"/>
      <c r="AY645" s="1044"/>
      <c r="AZ645" s="1045"/>
      <c r="BA645" s="1045"/>
      <c r="BB645" s="1045"/>
      <c r="BC645" s="1045"/>
      <c r="BD645" s="1045"/>
      <c r="BE645" s="1045"/>
      <c r="BF645" s="1045"/>
      <c r="BG645" s="1045"/>
      <c r="BH645" s="1045"/>
      <c r="BI645" s="1369"/>
      <c r="BJ645" s="1319"/>
      <c r="BK645" s="1319"/>
      <c r="BL645" s="1319"/>
      <c r="BM645" s="1319"/>
      <c r="BN645" s="1044"/>
      <c r="BO645" s="1045"/>
      <c r="BP645" s="1045"/>
      <c r="BQ645" s="1045"/>
      <c r="BR645" s="1045"/>
      <c r="BS645" s="1084"/>
      <c r="BT645" s="1045"/>
      <c r="BU645" s="1045"/>
      <c r="BV645" s="1045"/>
      <c r="BW645" s="1085"/>
      <c r="BX645" s="1084"/>
      <c r="BY645" s="1045"/>
      <c r="BZ645" s="1045"/>
      <c r="CA645" s="1045"/>
      <c r="CB645" s="1085"/>
      <c r="CC645" s="1086"/>
      <c r="CD645" s="1327"/>
      <c r="CE645" s="1328"/>
      <c r="CF645" s="1328"/>
      <c r="CG645" s="1328"/>
      <c r="CH645" s="1389"/>
      <c r="CI645" s="1369"/>
      <c r="CJ645" s="1319"/>
      <c r="CK645" s="1319"/>
      <c r="CL645" s="1319"/>
      <c r="CM645" s="1320"/>
      <c r="CN645" s="1369"/>
      <c r="CO645" s="1319"/>
      <c r="CP645" s="1319"/>
      <c r="CQ645" s="1319"/>
      <c r="CR645" s="1320"/>
      <c r="CS645" s="1369"/>
      <c r="CT645" s="1319"/>
      <c r="CU645" s="1319"/>
      <c r="CV645" s="1319"/>
      <c r="CW645" s="1320"/>
      <c r="CX645" s="1369"/>
      <c r="CY645" s="1319"/>
      <c r="CZ645" s="1319"/>
      <c r="DA645" s="1319"/>
      <c r="DB645" s="1320"/>
      <c r="DC645" s="1319"/>
      <c r="DD645" s="1319"/>
      <c r="DE645" s="1319"/>
      <c r="DF645" s="1319"/>
      <c r="DG645" s="1320"/>
      <c r="DH645" s="1369"/>
      <c r="DI645" s="1319"/>
      <c r="DJ645" s="1319"/>
      <c r="DK645" s="1319"/>
      <c r="DL645" s="1320"/>
      <c r="DM645" s="1743"/>
      <c r="DN645" s="1744"/>
      <c r="DO645" s="1744"/>
      <c r="DP645" s="1745"/>
      <c r="DQ645" s="1744"/>
      <c r="DR645" s="1744"/>
      <c r="DS645" s="1744"/>
      <c r="DT645" s="1745"/>
      <c r="DU645" s="1328"/>
      <c r="DV645" s="1664"/>
      <c r="DW645" s="1746"/>
    </row>
    <row r="646" spans="1:127" s="382" customFormat="1" ht="15.75" customHeight="1">
      <c r="A646" s="1066" t="s">
        <v>1241</v>
      </c>
      <c r="B646" s="1026">
        <v>637</v>
      </c>
      <c r="C646" s="987"/>
      <c r="D646" s="987"/>
      <c r="E646" s="987"/>
      <c r="F646" s="987"/>
      <c r="G646" s="987"/>
      <c r="H646" s="987"/>
      <c r="I646" s="987"/>
      <c r="J646" s="987"/>
      <c r="K646" s="987"/>
      <c r="L646" s="987"/>
      <c r="M646" s="1026"/>
      <c r="N646" s="987"/>
      <c r="O646" s="987"/>
      <c r="P646" s="987"/>
      <c r="Q646" s="987"/>
      <c r="R646" s="987"/>
      <c r="S646" s="987"/>
      <c r="T646" s="988"/>
      <c r="U646" s="1067" t="s">
        <v>1775</v>
      </c>
      <c r="V646" s="1068" t="s">
        <v>4303</v>
      </c>
      <c r="W646" s="1068" t="s">
        <v>2231</v>
      </c>
      <c r="X646" s="1069">
        <v>10</v>
      </c>
      <c r="Y646" s="1070" t="s">
        <v>2254</v>
      </c>
      <c r="Z646" s="1071" t="s">
        <v>4304</v>
      </c>
      <c r="AA646" s="1072">
        <v>0</v>
      </c>
      <c r="AB646" s="1073">
        <v>0.26</v>
      </c>
      <c r="AC646" s="1073">
        <v>0.74</v>
      </c>
      <c r="AD646" s="1073">
        <v>0</v>
      </c>
      <c r="AE646" s="1073">
        <v>0</v>
      </c>
      <c r="AF646" s="1073">
        <v>0</v>
      </c>
      <c r="AG646" s="1073">
        <v>0</v>
      </c>
      <c r="AH646" s="1073">
        <v>0</v>
      </c>
      <c r="AI646" s="1074">
        <f t="shared" si="9"/>
        <v>1</v>
      </c>
      <c r="AJ646" s="1075" t="s">
        <v>1852</v>
      </c>
      <c r="AK646" s="1075" t="s">
        <v>1826</v>
      </c>
      <c r="AL646" s="1075" t="s">
        <v>1827</v>
      </c>
      <c r="AM646" s="1076" t="s">
        <v>1891</v>
      </c>
      <c r="AN646" s="987" t="s">
        <v>1897</v>
      </c>
      <c r="AO646" s="987" t="s">
        <v>3195</v>
      </c>
      <c r="AP646" s="802">
        <v>2</v>
      </c>
      <c r="AQ646" s="1045" t="s">
        <v>1828</v>
      </c>
      <c r="AR646" s="1078" t="s">
        <v>2254</v>
      </c>
      <c r="AS646" s="1079"/>
      <c r="AT646" s="1069"/>
      <c r="AU646" s="1069"/>
      <c r="AV646" s="1069"/>
      <c r="AW646" s="1080"/>
      <c r="AX646" s="1081"/>
      <c r="AY646" s="1044"/>
      <c r="AZ646" s="1045"/>
      <c r="BA646" s="1045"/>
      <c r="BB646" s="1045"/>
      <c r="BC646" s="1045"/>
      <c r="BD646" s="1045"/>
      <c r="BE646" s="1045"/>
      <c r="BF646" s="1045"/>
      <c r="BG646" s="1045"/>
      <c r="BH646" s="1045"/>
      <c r="BI646" s="1044" t="s">
        <v>2260</v>
      </c>
      <c r="BJ646" s="1045" t="s">
        <v>2260</v>
      </c>
      <c r="BK646" s="1045" t="s">
        <v>2260</v>
      </c>
      <c r="BL646" s="1045" t="s">
        <v>2260</v>
      </c>
      <c r="BM646" s="1045" t="s">
        <v>2260</v>
      </c>
      <c r="BN646" s="1044"/>
      <c r="BO646" s="1045"/>
      <c r="BP646" s="1045"/>
      <c r="BQ646" s="1045"/>
      <c r="BR646" s="1045"/>
      <c r="BS646" s="1084"/>
      <c r="BT646" s="1045"/>
      <c r="BU646" s="1045"/>
      <c r="BV646" s="1045"/>
      <c r="BW646" s="1085"/>
      <c r="BX646" s="1084"/>
      <c r="BY646" s="1045"/>
      <c r="BZ646" s="1045"/>
      <c r="CA646" s="1045"/>
      <c r="CB646" s="1085"/>
      <c r="CC646" s="1086"/>
      <c r="CD646" s="1087" t="s">
        <v>210</v>
      </c>
      <c r="CE646" s="1088" t="s">
        <v>210</v>
      </c>
      <c r="CF646" s="1088" t="s">
        <v>210</v>
      </c>
      <c r="CG646" s="1088" t="s">
        <v>210</v>
      </c>
      <c r="CH646" s="1089" t="s">
        <v>210</v>
      </c>
      <c r="CI646" s="1044" t="s">
        <v>2260</v>
      </c>
      <c r="CJ646" s="1045" t="s">
        <v>2260</v>
      </c>
      <c r="CK646" s="1045" t="s">
        <v>2260</v>
      </c>
      <c r="CL646" s="1045" t="s">
        <v>2260</v>
      </c>
      <c r="CM646" s="1086" t="s">
        <v>2260</v>
      </c>
      <c r="CN646" s="1044" t="s">
        <v>2260</v>
      </c>
      <c r="CO646" s="1045" t="s">
        <v>2260</v>
      </c>
      <c r="CP646" s="1045" t="s">
        <v>2260</v>
      </c>
      <c r="CQ646" s="1045" t="s">
        <v>2260</v>
      </c>
      <c r="CR646" s="1086" t="s">
        <v>2260</v>
      </c>
      <c r="CS646" s="1044" t="s">
        <v>2260</v>
      </c>
      <c r="CT646" s="1045" t="s">
        <v>2260</v>
      </c>
      <c r="CU646" s="1045" t="s">
        <v>2260</v>
      </c>
      <c r="CV646" s="1045" t="s">
        <v>2260</v>
      </c>
      <c r="CW646" s="1086" t="s">
        <v>2260</v>
      </c>
      <c r="CX646" s="1044" t="s">
        <v>2260</v>
      </c>
      <c r="CY646" s="1045" t="s">
        <v>2260</v>
      </c>
      <c r="CZ646" s="1045" t="s">
        <v>2260</v>
      </c>
      <c r="DA646" s="1045" t="s">
        <v>2260</v>
      </c>
      <c r="DB646" s="1086" t="s">
        <v>2260</v>
      </c>
      <c r="DC646" s="1045" t="s">
        <v>2260</v>
      </c>
      <c r="DD646" s="1045" t="s">
        <v>2260</v>
      </c>
      <c r="DE646" s="1045" t="s">
        <v>2260</v>
      </c>
      <c r="DF646" s="1045" t="s">
        <v>2260</v>
      </c>
      <c r="DG646" s="1086" t="s">
        <v>2260</v>
      </c>
      <c r="DH646" s="1044" t="s">
        <v>2260</v>
      </c>
      <c r="DI646" s="1045" t="s">
        <v>2260</v>
      </c>
      <c r="DJ646" s="1045" t="s">
        <v>2260</v>
      </c>
      <c r="DK646" s="1045" t="s">
        <v>2260</v>
      </c>
      <c r="DL646" s="1086" t="s">
        <v>2260</v>
      </c>
      <c r="DM646" s="1090" t="s">
        <v>2260</v>
      </c>
      <c r="DN646" s="1091" t="s">
        <v>2260</v>
      </c>
      <c r="DO646" s="1091" t="s">
        <v>2260</v>
      </c>
      <c r="DP646" s="1092" t="s">
        <v>2260</v>
      </c>
      <c r="DQ646" s="1091" t="s">
        <v>2260</v>
      </c>
      <c r="DR646" s="1091" t="s">
        <v>2260</v>
      </c>
      <c r="DS646" s="1091" t="s">
        <v>2260</v>
      </c>
      <c r="DT646" s="1092" t="s">
        <v>2260</v>
      </c>
      <c r="DU646" s="1088" t="s">
        <v>2260</v>
      </c>
      <c r="DV646" s="1093">
        <v>1</v>
      </c>
      <c r="DW646" s="1094" t="s">
        <v>2260</v>
      </c>
    </row>
    <row r="647" spans="1:127" s="382" customFormat="1" ht="15.75" customHeight="1">
      <c r="A647" s="1066" t="s">
        <v>1241</v>
      </c>
      <c r="B647" s="1026">
        <v>638</v>
      </c>
      <c r="C647" s="987"/>
      <c r="D647" s="987"/>
      <c r="E647" s="987"/>
      <c r="F647" s="987"/>
      <c r="G647" s="987"/>
      <c r="H647" s="987"/>
      <c r="I647" s="987"/>
      <c r="J647" s="987"/>
      <c r="K647" s="987"/>
      <c r="L647" s="987"/>
      <c r="M647" s="1026"/>
      <c r="N647" s="987"/>
      <c r="O647" s="987"/>
      <c r="P647" s="987"/>
      <c r="Q647" s="987"/>
      <c r="R647" s="987"/>
      <c r="S647" s="987"/>
      <c r="T647" s="988"/>
      <c r="U647" s="1067" t="s">
        <v>1668</v>
      </c>
      <c r="V647" s="1068" t="s">
        <v>4270</v>
      </c>
      <c r="W647" s="1068" t="s">
        <v>2231</v>
      </c>
      <c r="X647" s="1069">
        <v>11</v>
      </c>
      <c r="Y647" s="1070" t="s">
        <v>4305</v>
      </c>
      <c r="Z647" s="1071" t="s">
        <v>4306</v>
      </c>
      <c r="AA647" s="1072">
        <v>0</v>
      </c>
      <c r="AB647" s="1073">
        <v>0</v>
      </c>
      <c r="AC647" s="1073">
        <v>0</v>
      </c>
      <c r="AD647" s="1073">
        <v>0</v>
      </c>
      <c r="AE647" s="1073">
        <v>1</v>
      </c>
      <c r="AF647" s="1073">
        <v>0</v>
      </c>
      <c r="AG647" s="1073">
        <v>0</v>
      </c>
      <c r="AH647" s="1073">
        <v>0</v>
      </c>
      <c r="AI647" s="1074">
        <f t="shared" si="9"/>
        <v>1</v>
      </c>
      <c r="AJ647" s="1075" t="s">
        <v>1825</v>
      </c>
      <c r="AK647" s="1075" t="s">
        <v>2260</v>
      </c>
      <c r="AL647" s="1075" t="s">
        <v>2260</v>
      </c>
      <c r="AM647" s="1076" t="s">
        <v>2396</v>
      </c>
      <c r="AN647" s="987" t="s">
        <v>321</v>
      </c>
      <c r="AO647" s="987" t="s">
        <v>4307</v>
      </c>
      <c r="AP647" s="802">
        <v>0</v>
      </c>
      <c r="AQ647" s="1045" t="s">
        <v>1828</v>
      </c>
      <c r="AR647" s="1078" t="s">
        <v>2260</v>
      </c>
      <c r="AS647" s="1079"/>
      <c r="AT647" s="1069"/>
      <c r="AU647" s="1069"/>
      <c r="AV647" s="1069"/>
      <c r="AW647" s="1080"/>
      <c r="AX647" s="1081"/>
      <c r="AY647" s="1044"/>
      <c r="AZ647" s="1045"/>
      <c r="BA647" s="1045"/>
      <c r="BB647" s="1045"/>
      <c r="BC647" s="1045"/>
      <c r="BD647" s="1045"/>
      <c r="BE647" s="1045"/>
      <c r="BF647" s="1045"/>
      <c r="BG647" s="1045"/>
      <c r="BH647" s="1045"/>
      <c r="BI647" s="1369"/>
      <c r="BJ647" s="1319"/>
      <c r="BK647" s="1319"/>
      <c r="BL647" s="1319"/>
      <c r="BM647" s="1319"/>
      <c r="BN647" s="1044"/>
      <c r="BO647" s="1045"/>
      <c r="BP647" s="1045"/>
      <c r="BQ647" s="1045"/>
      <c r="BR647" s="1045"/>
      <c r="BS647" s="1084"/>
      <c r="BT647" s="1045"/>
      <c r="BU647" s="1045"/>
      <c r="BV647" s="1045"/>
      <c r="BW647" s="1085"/>
      <c r="BX647" s="1084"/>
      <c r="BY647" s="1045"/>
      <c r="BZ647" s="1045"/>
      <c r="CA647" s="1045"/>
      <c r="CB647" s="1085"/>
      <c r="CC647" s="1086"/>
      <c r="CD647" s="1327"/>
      <c r="CE647" s="1328"/>
      <c r="CF647" s="1328"/>
      <c r="CG647" s="1328"/>
      <c r="CH647" s="1389"/>
      <c r="CI647" s="1369"/>
      <c r="CJ647" s="1319"/>
      <c r="CK647" s="1319"/>
      <c r="CL647" s="1319"/>
      <c r="CM647" s="1320"/>
      <c r="CN647" s="1369"/>
      <c r="CO647" s="1319"/>
      <c r="CP647" s="1319"/>
      <c r="CQ647" s="1319"/>
      <c r="CR647" s="1320"/>
      <c r="CS647" s="1369"/>
      <c r="CT647" s="1319"/>
      <c r="CU647" s="1319"/>
      <c r="CV647" s="1319"/>
      <c r="CW647" s="1320"/>
      <c r="CX647" s="1369"/>
      <c r="CY647" s="1319"/>
      <c r="CZ647" s="1319"/>
      <c r="DA647" s="1319"/>
      <c r="DB647" s="1320"/>
      <c r="DC647" s="1319"/>
      <c r="DD647" s="1319"/>
      <c r="DE647" s="1319"/>
      <c r="DF647" s="1319"/>
      <c r="DG647" s="1320"/>
      <c r="DH647" s="1369"/>
      <c r="DI647" s="1319"/>
      <c r="DJ647" s="1319"/>
      <c r="DK647" s="1319"/>
      <c r="DL647" s="1320"/>
      <c r="DM647" s="1743"/>
      <c r="DN647" s="1744"/>
      <c r="DO647" s="1744"/>
      <c r="DP647" s="1745"/>
      <c r="DQ647" s="1744"/>
      <c r="DR647" s="1744"/>
      <c r="DS647" s="1744"/>
      <c r="DT647" s="1745"/>
      <c r="DU647" s="1328"/>
      <c r="DV647" s="1664"/>
      <c r="DW647" s="1746"/>
    </row>
    <row r="648" spans="1:127" s="382" customFormat="1" ht="15.75" customHeight="1">
      <c r="A648" s="1066" t="s">
        <v>1241</v>
      </c>
      <c r="B648" s="1026">
        <v>639</v>
      </c>
      <c r="C648" s="987"/>
      <c r="D648" s="987"/>
      <c r="E648" s="987"/>
      <c r="F648" s="987"/>
      <c r="G648" s="987"/>
      <c r="H648" s="987"/>
      <c r="I648" s="987"/>
      <c r="J648" s="987"/>
      <c r="K648" s="987"/>
      <c r="L648" s="987"/>
      <c r="M648" s="1026"/>
      <c r="N648" s="987"/>
      <c r="O648" s="987"/>
      <c r="P648" s="987"/>
      <c r="Q648" s="987"/>
      <c r="R648" s="987"/>
      <c r="S648" s="987"/>
      <c r="T648" s="988"/>
      <c r="U648" s="1067" t="s">
        <v>1682</v>
      </c>
      <c r="V648" s="1068" t="s">
        <v>4303</v>
      </c>
      <c r="W648" s="1068" t="s">
        <v>2223</v>
      </c>
      <c r="X648" s="1069">
        <v>12</v>
      </c>
      <c r="Y648" s="1070" t="s">
        <v>4308</v>
      </c>
      <c r="Z648" s="1071" t="s">
        <v>4309</v>
      </c>
      <c r="AA648" s="1072">
        <v>0</v>
      </c>
      <c r="AB648" s="1073">
        <v>0</v>
      </c>
      <c r="AC648" s="1073">
        <v>0</v>
      </c>
      <c r="AD648" s="1073">
        <v>0</v>
      </c>
      <c r="AE648" s="1073">
        <v>1</v>
      </c>
      <c r="AF648" s="1073">
        <v>0</v>
      </c>
      <c r="AG648" s="1073">
        <v>0</v>
      </c>
      <c r="AH648" s="1073">
        <v>0</v>
      </c>
      <c r="AI648" s="1074">
        <f t="shared" si="9"/>
        <v>1</v>
      </c>
      <c r="AJ648" s="1075" t="s">
        <v>1825</v>
      </c>
      <c r="AK648" s="1075" t="s">
        <v>2260</v>
      </c>
      <c r="AL648" s="1075" t="s">
        <v>2260</v>
      </c>
      <c r="AM648" s="1076" t="s">
        <v>2396</v>
      </c>
      <c r="AN648" s="987" t="s">
        <v>1857</v>
      </c>
      <c r="AO648" s="987" t="s">
        <v>4310</v>
      </c>
      <c r="AP648" s="802">
        <v>0</v>
      </c>
      <c r="AQ648" s="1045" t="s">
        <v>1828</v>
      </c>
      <c r="AR648" s="1078" t="s">
        <v>2260</v>
      </c>
      <c r="AS648" s="1079"/>
      <c r="AT648" s="1069"/>
      <c r="AU648" s="1069"/>
      <c r="AV648" s="1069"/>
      <c r="AW648" s="1080"/>
      <c r="AX648" s="1081"/>
      <c r="AY648" s="1044"/>
      <c r="AZ648" s="1045"/>
      <c r="BA648" s="1045"/>
      <c r="BB648" s="1045"/>
      <c r="BC648" s="1045"/>
      <c r="BD648" s="1045"/>
      <c r="BE648" s="1045"/>
      <c r="BF648" s="1045"/>
      <c r="BG648" s="1045"/>
      <c r="BH648" s="1045"/>
      <c r="BI648" s="1369"/>
      <c r="BJ648" s="1319"/>
      <c r="BK648" s="1319"/>
      <c r="BL648" s="1319"/>
      <c r="BM648" s="1319"/>
      <c r="BN648" s="1044"/>
      <c r="BO648" s="1045"/>
      <c r="BP648" s="1045"/>
      <c r="BQ648" s="1045"/>
      <c r="BR648" s="1045"/>
      <c r="BS648" s="1084"/>
      <c r="BT648" s="1045"/>
      <c r="BU648" s="1045"/>
      <c r="BV648" s="1045"/>
      <c r="BW648" s="1085"/>
      <c r="BX648" s="1084"/>
      <c r="BY648" s="1045"/>
      <c r="BZ648" s="1045"/>
      <c r="CA648" s="1045"/>
      <c r="CB648" s="1085"/>
      <c r="CC648" s="1086"/>
      <c r="CD648" s="1327"/>
      <c r="CE648" s="1328"/>
      <c r="CF648" s="1328"/>
      <c r="CG648" s="1328"/>
      <c r="CH648" s="1389"/>
      <c r="CI648" s="1369"/>
      <c r="CJ648" s="1319"/>
      <c r="CK648" s="1319"/>
      <c r="CL648" s="1319"/>
      <c r="CM648" s="1320"/>
      <c r="CN648" s="1369"/>
      <c r="CO648" s="1319"/>
      <c r="CP648" s="1319"/>
      <c r="CQ648" s="1319"/>
      <c r="CR648" s="1320"/>
      <c r="CS648" s="1369"/>
      <c r="CT648" s="1319"/>
      <c r="CU648" s="1319"/>
      <c r="CV648" s="1319"/>
      <c r="CW648" s="1320"/>
      <c r="CX648" s="1369"/>
      <c r="CY648" s="1319"/>
      <c r="CZ648" s="1319"/>
      <c r="DA648" s="1319"/>
      <c r="DB648" s="1320"/>
      <c r="DC648" s="1319"/>
      <c r="DD648" s="1319"/>
      <c r="DE648" s="1319"/>
      <c r="DF648" s="1319"/>
      <c r="DG648" s="1320"/>
      <c r="DH648" s="1369"/>
      <c r="DI648" s="1319"/>
      <c r="DJ648" s="1319"/>
      <c r="DK648" s="1319"/>
      <c r="DL648" s="1320"/>
      <c r="DM648" s="1743"/>
      <c r="DN648" s="1744"/>
      <c r="DO648" s="1744"/>
      <c r="DP648" s="1745"/>
      <c r="DQ648" s="1744"/>
      <c r="DR648" s="1744"/>
      <c r="DS648" s="1744"/>
      <c r="DT648" s="1745"/>
      <c r="DU648" s="1328"/>
      <c r="DV648" s="1664"/>
      <c r="DW648" s="1746"/>
    </row>
    <row r="649" spans="1:127" s="382" customFormat="1" ht="15.75" customHeight="1">
      <c r="A649" s="1066" t="s">
        <v>1241</v>
      </c>
      <c r="B649" s="1026">
        <v>640</v>
      </c>
      <c r="C649" s="987"/>
      <c r="D649" s="987"/>
      <c r="E649" s="987"/>
      <c r="F649" s="987"/>
      <c r="G649" s="987"/>
      <c r="H649" s="987"/>
      <c r="I649" s="987"/>
      <c r="J649" s="987"/>
      <c r="K649" s="987"/>
      <c r="L649" s="987"/>
      <c r="M649" s="1026"/>
      <c r="N649" s="987"/>
      <c r="O649" s="987"/>
      <c r="P649" s="987"/>
      <c r="Q649" s="987"/>
      <c r="R649" s="987"/>
      <c r="S649" s="987"/>
      <c r="T649" s="988"/>
      <c r="U649" s="1067" t="s">
        <v>1694</v>
      </c>
      <c r="V649" s="1068" t="s">
        <v>4270</v>
      </c>
      <c r="W649" s="1068" t="s">
        <v>2223</v>
      </c>
      <c r="X649" s="1069">
        <v>13</v>
      </c>
      <c r="Y649" s="1070" t="s">
        <v>4311</v>
      </c>
      <c r="Z649" s="1071" t="s">
        <v>4312</v>
      </c>
      <c r="AA649" s="1072">
        <v>0</v>
      </c>
      <c r="AB649" s="1073">
        <v>0</v>
      </c>
      <c r="AC649" s="1073">
        <v>0</v>
      </c>
      <c r="AD649" s="1073">
        <v>0</v>
      </c>
      <c r="AE649" s="1073">
        <v>1</v>
      </c>
      <c r="AF649" s="1073">
        <v>0</v>
      </c>
      <c r="AG649" s="1073">
        <v>0</v>
      </c>
      <c r="AH649" s="1073">
        <v>0</v>
      </c>
      <c r="AI649" s="1074">
        <f t="shared" si="9"/>
        <v>1</v>
      </c>
      <c r="AJ649" s="1075" t="s">
        <v>1825</v>
      </c>
      <c r="AK649" s="1075" t="s">
        <v>2260</v>
      </c>
      <c r="AL649" s="1075" t="s">
        <v>2260</v>
      </c>
      <c r="AM649" s="1076" t="s">
        <v>2396</v>
      </c>
      <c r="AN649" s="987" t="s">
        <v>321</v>
      </c>
      <c r="AO649" s="987" t="s">
        <v>4313</v>
      </c>
      <c r="AP649" s="802">
        <v>2</v>
      </c>
      <c r="AQ649" s="1045" t="s">
        <v>1838</v>
      </c>
      <c r="AR649" s="1078" t="s">
        <v>2260</v>
      </c>
      <c r="AS649" s="1079"/>
      <c r="AT649" s="1069"/>
      <c r="AU649" s="1069"/>
      <c r="AV649" s="1069"/>
      <c r="AW649" s="1080"/>
      <c r="AX649" s="1081"/>
      <c r="AY649" s="1044"/>
      <c r="AZ649" s="1045"/>
      <c r="BA649" s="1045"/>
      <c r="BB649" s="1045"/>
      <c r="BC649" s="1045"/>
      <c r="BD649" s="1045"/>
      <c r="BE649" s="1045"/>
      <c r="BF649" s="1045"/>
      <c r="BG649" s="1045"/>
      <c r="BH649" s="1045"/>
      <c r="BI649" s="1369"/>
      <c r="BJ649" s="1319"/>
      <c r="BK649" s="1319"/>
      <c r="BL649" s="1319"/>
      <c r="BM649" s="1319"/>
      <c r="BN649" s="1044"/>
      <c r="BO649" s="1045"/>
      <c r="BP649" s="1045"/>
      <c r="BQ649" s="1045"/>
      <c r="BR649" s="1045"/>
      <c r="BS649" s="1084"/>
      <c r="BT649" s="1045"/>
      <c r="BU649" s="1045"/>
      <c r="BV649" s="1045"/>
      <c r="BW649" s="1085"/>
      <c r="BX649" s="1084"/>
      <c r="BY649" s="1045"/>
      <c r="BZ649" s="1045"/>
      <c r="CA649" s="1045"/>
      <c r="CB649" s="1085"/>
      <c r="CC649" s="1086"/>
      <c r="CD649" s="1327"/>
      <c r="CE649" s="1328"/>
      <c r="CF649" s="1328"/>
      <c r="CG649" s="1328"/>
      <c r="CH649" s="1389"/>
      <c r="CI649" s="1369"/>
      <c r="CJ649" s="1319"/>
      <c r="CK649" s="1319"/>
      <c r="CL649" s="1319"/>
      <c r="CM649" s="1320"/>
      <c r="CN649" s="1369"/>
      <c r="CO649" s="1319"/>
      <c r="CP649" s="1319"/>
      <c r="CQ649" s="1319"/>
      <c r="CR649" s="1320"/>
      <c r="CS649" s="1369"/>
      <c r="CT649" s="1319"/>
      <c r="CU649" s="1319"/>
      <c r="CV649" s="1319"/>
      <c r="CW649" s="1320"/>
      <c r="CX649" s="1369"/>
      <c r="CY649" s="1319"/>
      <c r="CZ649" s="1319"/>
      <c r="DA649" s="1319"/>
      <c r="DB649" s="1320"/>
      <c r="DC649" s="1319"/>
      <c r="DD649" s="1319"/>
      <c r="DE649" s="1319"/>
      <c r="DF649" s="1319"/>
      <c r="DG649" s="1320"/>
      <c r="DH649" s="1369"/>
      <c r="DI649" s="1319"/>
      <c r="DJ649" s="1319"/>
      <c r="DK649" s="1319"/>
      <c r="DL649" s="1320"/>
      <c r="DM649" s="1743"/>
      <c r="DN649" s="1744"/>
      <c r="DO649" s="1744"/>
      <c r="DP649" s="1745"/>
      <c r="DQ649" s="1744"/>
      <c r="DR649" s="1744"/>
      <c r="DS649" s="1744"/>
      <c r="DT649" s="1745"/>
      <c r="DU649" s="1328"/>
      <c r="DV649" s="1664"/>
      <c r="DW649" s="1746"/>
    </row>
    <row r="650" spans="1:127" s="382" customFormat="1" ht="15.75" customHeight="1">
      <c r="A650" s="1066" t="s">
        <v>1241</v>
      </c>
      <c r="B650" s="1026">
        <v>641</v>
      </c>
      <c r="C650" s="987"/>
      <c r="D650" s="987"/>
      <c r="E650" s="987"/>
      <c r="F650" s="987"/>
      <c r="G650" s="987"/>
      <c r="H650" s="987"/>
      <c r="I650" s="987"/>
      <c r="J650" s="987"/>
      <c r="K650" s="987"/>
      <c r="L650" s="987"/>
      <c r="M650" s="1026"/>
      <c r="N650" s="987"/>
      <c r="O650" s="987"/>
      <c r="P650" s="987"/>
      <c r="Q650" s="987"/>
      <c r="R650" s="987"/>
      <c r="S650" s="987"/>
      <c r="T650" s="988"/>
      <c r="U650" s="1067" t="s">
        <v>1704</v>
      </c>
      <c r="V650" s="1068" t="s">
        <v>4303</v>
      </c>
      <c r="W650" s="1068" t="s">
        <v>2231</v>
      </c>
      <c r="X650" s="1069">
        <v>14</v>
      </c>
      <c r="Y650" s="1070" t="s">
        <v>4314</v>
      </c>
      <c r="Z650" s="1071" t="s">
        <v>4315</v>
      </c>
      <c r="AA650" s="1072">
        <v>0</v>
      </c>
      <c r="AB650" s="1073">
        <v>0</v>
      </c>
      <c r="AC650" s="1073">
        <v>0</v>
      </c>
      <c r="AD650" s="1073">
        <v>0</v>
      </c>
      <c r="AE650" s="1073">
        <v>1</v>
      </c>
      <c r="AF650" s="1073">
        <v>0</v>
      </c>
      <c r="AG650" s="1073">
        <v>0</v>
      </c>
      <c r="AH650" s="1073">
        <v>0</v>
      </c>
      <c r="AI650" s="1074">
        <f t="shared" ref="AI650:AI678" si="10">SUM(AA650:AH650)</f>
        <v>1</v>
      </c>
      <c r="AJ650" s="1075" t="s">
        <v>1825</v>
      </c>
      <c r="AK650" s="1075" t="s">
        <v>2260</v>
      </c>
      <c r="AL650" s="1075" t="s">
        <v>2260</v>
      </c>
      <c r="AM650" s="1076" t="s">
        <v>2396</v>
      </c>
      <c r="AN650" s="987" t="s">
        <v>321</v>
      </c>
      <c r="AO650" s="987" t="s">
        <v>2398</v>
      </c>
      <c r="AP650" s="802">
        <v>0</v>
      </c>
      <c r="AQ650" s="1045" t="s">
        <v>1828</v>
      </c>
      <c r="AR650" s="1078" t="s">
        <v>2260</v>
      </c>
      <c r="AS650" s="1079"/>
      <c r="AT650" s="1069"/>
      <c r="AU650" s="1069"/>
      <c r="AV650" s="1069"/>
      <c r="AW650" s="1080"/>
      <c r="AX650" s="1081"/>
      <c r="AY650" s="1044"/>
      <c r="AZ650" s="1045"/>
      <c r="BA650" s="1045"/>
      <c r="BB650" s="1045"/>
      <c r="BC650" s="1045"/>
      <c r="BD650" s="1045"/>
      <c r="BE650" s="1045"/>
      <c r="BF650" s="1045"/>
      <c r="BG650" s="1045"/>
      <c r="BH650" s="1045"/>
      <c r="BI650" s="1369"/>
      <c r="BJ650" s="1319"/>
      <c r="BK650" s="1319"/>
      <c r="BL650" s="1319"/>
      <c r="BM650" s="1319"/>
      <c r="BN650" s="1044"/>
      <c r="BO650" s="1045"/>
      <c r="BP650" s="1045"/>
      <c r="BQ650" s="1045"/>
      <c r="BR650" s="1045"/>
      <c r="BS650" s="1084"/>
      <c r="BT650" s="1045"/>
      <c r="BU650" s="1045"/>
      <c r="BV650" s="1045"/>
      <c r="BW650" s="1085"/>
      <c r="BX650" s="1084"/>
      <c r="BY650" s="1045"/>
      <c r="BZ650" s="1045"/>
      <c r="CA650" s="1045"/>
      <c r="CB650" s="1085"/>
      <c r="CC650" s="1086"/>
      <c r="CD650" s="1327"/>
      <c r="CE650" s="1328"/>
      <c r="CF650" s="1328"/>
      <c r="CG650" s="1328"/>
      <c r="CH650" s="1389"/>
      <c r="CI650" s="1369"/>
      <c r="CJ650" s="1319"/>
      <c r="CK650" s="1319"/>
      <c r="CL650" s="1319"/>
      <c r="CM650" s="1320"/>
      <c r="CN650" s="1369"/>
      <c r="CO650" s="1319"/>
      <c r="CP650" s="1319"/>
      <c r="CQ650" s="1319"/>
      <c r="CR650" s="1320"/>
      <c r="CS650" s="1369"/>
      <c r="CT650" s="1319"/>
      <c r="CU650" s="1319"/>
      <c r="CV650" s="1319"/>
      <c r="CW650" s="1320"/>
      <c r="CX650" s="1369"/>
      <c r="CY650" s="1319"/>
      <c r="CZ650" s="1319"/>
      <c r="DA650" s="1319"/>
      <c r="DB650" s="1320"/>
      <c r="DC650" s="1319"/>
      <c r="DD650" s="1319"/>
      <c r="DE650" s="1319"/>
      <c r="DF650" s="1319"/>
      <c r="DG650" s="1320"/>
      <c r="DH650" s="1369"/>
      <c r="DI650" s="1319"/>
      <c r="DJ650" s="1319"/>
      <c r="DK650" s="1319"/>
      <c r="DL650" s="1320"/>
      <c r="DM650" s="1743"/>
      <c r="DN650" s="1744"/>
      <c r="DO650" s="1744"/>
      <c r="DP650" s="1745"/>
      <c r="DQ650" s="1744"/>
      <c r="DR650" s="1744"/>
      <c r="DS650" s="1744"/>
      <c r="DT650" s="1745"/>
      <c r="DU650" s="1328"/>
      <c r="DV650" s="1664"/>
      <c r="DW650" s="1746"/>
    </row>
    <row r="651" spans="1:127" s="382" customFormat="1" ht="15.75" customHeight="1">
      <c r="A651" s="1066" t="s">
        <v>1241</v>
      </c>
      <c r="B651" s="1026">
        <v>642</v>
      </c>
      <c r="C651" s="987"/>
      <c r="D651" s="987"/>
      <c r="E651" s="987"/>
      <c r="F651" s="987"/>
      <c r="G651" s="987"/>
      <c r="H651" s="987"/>
      <c r="I651" s="987"/>
      <c r="J651" s="987"/>
      <c r="K651" s="987"/>
      <c r="L651" s="987"/>
      <c r="M651" s="1026"/>
      <c r="N651" s="987"/>
      <c r="O651" s="987"/>
      <c r="P651" s="987"/>
      <c r="Q651" s="987"/>
      <c r="R651" s="987"/>
      <c r="S651" s="987"/>
      <c r="T651" s="988"/>
      <c r="U651" s="1067" t="s">
        <v>1714</v>
      </c>
      <c r="V651" s="1068" t="s">
        <v>4303</v>
      </c>
      <c r="W651" s="1068" t="s">
        <v>2231</v>
      </c>
      <c r="X651" s="1069">
        <v>15</v>
      </c>
      <c r="Y651" s="1070" t="s">
        <v>4316</v>
      </c>
      <c r="Z651" s="1071" t="s">
        <v>4317</v>
      </c>
      <c r="AA651" s="1072">
        <v>0</v>
      </c>
      <c r="AB651" s="1073">
        <v>0</v>
      </c>
      <c r="AC651" s="1073">
        <v>0</v>
      </c>
      <c r="AD651" s="1073">
        <v>0</v>
      </c>
      <c r="AE651" s="1073">
        <v>1</v>
      </c>
      <c r="AF651" s="1073">
        <v>0</v>
      </c>
      <c r="AG651" s="1073">
        <v>0</v>
      </c>
      <c r="AH651" s="1073">
        <v>0</v>
      </c>
      <c r="AI651" s="1074">
        <f t="shared" si="10"/>
        <v>1</v>
      </c>
      <c r="AJ651" s="1075" t="s">
        <v>1825</v>
      </c>
      <c r="AK651" s="1075" t="s">
        <v>2260</v>
      </c>
      <c r="AL651" s="1075" t="s">
        <v>2260</v>
      </c>
      <c r="AM651" s="1076" t="s">
        <v>2396</v>
      </c>
      <c r="AN651" s="987" t="s">
        <v>321</v>
      </c>
      <c r="AO651" s="987" t="s">
        <v>4318</v>
      </c>
      <c r="AP651" s="802">
        <v>0</v>
      </c>
      <c r="AQ651" s="1045" t="s">
        <v>1828</v>
      </c>
      <c r="AR651" s="1078" t="s">
        <v>2260</v>
      </c>
      <c r="AS651" s="1079"/>
      <c r="AT651" s="1069"/>
      <c r="AU651" s="1069"/>
      <c r="AV651" s="1069"/>
      <c r="AW651" s="1080"/>
      <c r="AX651" s="1081"/>
      <c r="AY651" s="1044"/>
      <c r="AZ651" s="1045"/>
      <c r="BA651" s="1045"/>
      <c r="BB651" s="1045"/>
      <c r="BC651" s="1045"/>
      <c r="BD651" s="1045"/>
      <c r="BE651" s="1045"/>
      <c r="BF651" s="1045"/>
      <c r="BG651" s="1045"/>
      <c r="BH651" s="1045"/>
      <c r="BI651" s="1369"/>
      <c r="BJ651" s="1319"/>
      <c r="BK651" s="1319"/>
      <c r="BL651" s="1319"/>
      <c r="BM651" s="1319"/>
      <c r="BN651" s="1044"/>
      <c r="BO651" s="1045"/>
      <c r="BP651" s="1045"/>
      <c r="BQ651" s="1045"/>
      <c r="BR651" s="1045"/>
      <c r="BS651" s="1084"/>
      <c r="BT651" s="1045"/>
      <c r="BU651" s="1045"/>
      <c r="BV651" s="1045"/>
      <c r="BW651" s="1085"/>
      <c r="BX651" s="1084"/>
      <c r="BY651" s="1045"/>
      <c r="BZ651" s="1045"/>
      <c r="CA651" s="1045"/>
      <c r="CB651" s="1085"/>
      <c r="CC651" s="1086"/>
      <c r="CD651" s="1327"/>
      <c r="CE651" s="1328"/>
      <c r="CF651" s="1328"/>
      <c r="CG651" s="1328"/>
      <c r="CH651" s="1389"/>
      <c r="CI651" s="1369"/>
      <c r="CJ651" s="1319"/>
      <c r="CK651" s="1319"/>
      <c r="CL651" s="1319"/>
      <c r="CM651" s="1320"/>
      <c r="CN651" s="1369"/>
      <c r="CO651" s="1319"/>
      <c r="CP651" s="1319"/>
      <c r="CQ651" s="1319"/>
      <c r="CR651" s="1320"/>
      <c r="CS651" s="1369"/>
      <c r="CT651" s="1319"/>
      <c r="CU651" s="1319"/>
      <c r="CV651" s="1319"/>
      <c r="CW651" s="1320"/>
      <c r="CX651" s="1369"/>
      <c r="CY651" s="1319"/>
      <c r="CZ651" s="1319"/>
      <c r="DA651" s="1319"/>
      <c r="DB651" s="1320"/>
      <c r="DC651" s="1319"/>
      <c r="DD651" s="1319"/>
      <c r="DE651" s="1319"/>
      <c r="DF651" s="1319"/>
      <c r="DG651" s="1320"/>
      <c r="DH651" s="1369"/>
      <c r="DI651" s="1319"/>
      <c r="DJ651" s="1319"/>
      <c r="DK651" s="1319"/>
      <c r="DL651" s="1320"/>
      <c r="DM651" s="1743"/>
      <c r="DN651" s="1744"/>
      <c r="DO651" s="1744"/>
      <c r="DP651" s="1745"/>
      <c r="DQ651" s="1744"/>
      <c r="DR651" s="1744"/>
      <c r="DS651" s="1744"/>
      <c r="DT651" s="1745"/>
      <c r="DU651" s="1328"/>
      <c r="DV651" s="1664"/>
      <c r="DW651" s="1746"/>
    </row>
    <row r="652" spans="1:127" s="382" customFormat="1" ht="15.75" customHeight="1">
      <c r="A652" s="1066" t="s">
        <v>1241</v>
      </c>
      <c r="B652" s="1026">
        <v>643</v>
      </c>
      <c r="C652" s="987"/>
      <c r="D652" s="987"/>
      <c r="E652" s="987"/>
      <c r="F652" s="987"/>
      <c r="G652" s="987"/>
      <c r="H652" s="987"/>
      <c r="I652" s="987"/>
      <c r="J652" s="987"/>
      <c r="K652" s="987"/>
      <c r="L652" s="987"/>
      <c r="M652" s="1026"/>
      <c r="N652" s="987"/>
      <c r="O652" s="987"/>
      <c r="P652" s="987"/>
      <c r="Q652" s="987"/>
      <c r="R652" s="987"/>
      <c r="S652" s="987"/>
      <c r="T652" s="988"/>
      <c r="U652" s="1067" t="s">
        <v>1722</v>
      </c>
      <c r="V652" s="1068" t="s">
        <v>4303</v>
      </c>
      <c r="W652" s="1068" t="s">
        <v>2231</v>
      </c>
      <c r="X652" s="1069">
        <v>16</v>
      </c>
      <c r="Y652" s="1070" t="s">
        <v>4319</v>
      </c>
      <c r="Z652" s="1071" t="s">
        <v>4320</v>
      </c>
      <c r="AA652" s="1072">
        <v>0</v>
      </c>
      <c r="AB652" s="1073">
        <v>0</v>
      </c>
      <c r="AC652" s="1073">
        <v>0</v>
      </c>
      <c r="AD652" s="1073">
        <v>0</v>
      </c>
      <c r="AE652" s="1073">
        <v>1</v>
      </c>
      <c r="AF652" s="1073">
        <v>0</v>
      </c>
      <c r="AG652" s="1073">
        <v>0</v>
      </c>
      <c r="AH652" s="1073">
        <v>0</v>
      </c>
      <c r="AI652" s="1074">
        <f t="shared" si="10"/>
        <v>1</v>
      </c>
      <c r="AJ652" s="1075" t="s">
        <v>1825</v>
      </c>
      <c r="AK652" s="1075" t="s">
        <v>2260</v>
      </c>
      <c r="AL652" s="1075" t="s">
        <v>2260</v>
      </c>
      <c r="AM652" s="1076" t="s">
        <v>2396</v>
      </c>
      <c r="AN652" s="987" t="s">
        <v>321</v>
      </c>
      <c r="AO652" s="987" t="s">
        <v>4321</v>
      </c>
      <c r="AP652" s="802">
        <v>0</v>
      </c>
      <c r="AQ652" s="1045" t="s">
        <v>1828</v>
      </c>
      <c r="AR652" s="1078" t="s">
        <v>2260</v>
      </c>
      <c r="AS652" s="1079"/>
      <c r="AT652" s="1069"/>
      <c r="AU652" s="1069"/>
      <c r="AV652" s="1069"/>
      <c r="AW652" s="1080"/>
      <c r="AX652" s="1081"/>
      <c r="AY652" s="1044"/>
      <c r="AZ652" s="1045"/>
      <c r="BA652" s="1045"/>
      <c r="BB652" s="1045"/>
      <c r="BC652" s="1045"/>
      <c r="BD652" s="1045"/>
      <c r="BE652" s="1045"/>
      <c r="BF652" s="1045"/>
      <c r="BG652" s="1045"/>
      <c r="BH652" s="1045"/>
      <c r="BI652" s="1369"/>
      <c r="BJ652" s="1319"/>
      <c r="BK652" s="1319"/>
      <c r="BL652" s="1319"/>
      <c r="BM652" s="1319"/>
      <c r="BN652" s="1044"/>
      <c r="BO652" s="1045"/>
      <c r="BP652" s="1045"/>
      <c r="BQ652" s="1045"/>
      <c r="BR652" s="1045"/>
      <c r="BS652" s="1084"/>
      <c r="BT652" s="1045"/>
      <c r="BU652" s="1045"/>
      <c r="BV652" s="1045"/>
      <c r="BW652" s="1085"/>
      <c r="BX652" s="1084"/>
      <c r="BY652" s="1045"/>
      <c r="BZ652" s="1045"/>
      <c r="CA652" s="1045"/>
      <c r="CB652" s="1085"/>
      <c r="CC652" s="1086"/>
      <c r="CD652" s="1327"/>
      <c r="CE652" s="1328"/>
      <c r="CF652" s="1328"/>
      <c r="CG652" s="1328"/>
      <c r="CH652" s="1389"/>
      <c r="CI652" s="1369"/>
      <c r="CJ652" s="1319"/>
      <c r="CK652" s="1319"/>
      <c r="CL652" s="1319"/>
      <c r="CM652" s="1320"/>
      <c r="CN652" s="1369"/>
      <c r="CO652" s="1319"/>
      <c r="CP652" s="1319"/>
      <c r="CQ652" s="1319"/>
      <c r="CR652" s="1320"/>
      <c r="CS652" s="1369"/>
      <c r="CT652" s="1319"/>
      <c r="CU652" s="1319"/>
      <c r="CV652" s="1319"/>
      <c r="CW652" s="1320"/>
      <c r="CX652" s="1369"/>
      <c r="CY652" s="1319"/>
      <c r="CZ652" s="1319"/>
      <c r="DA652" s="1319"/>
      <c r="DB652" s="1320"/>
      <c r="DC652" s="1319"/>
      <c r="DD652" s="1319"/>
      <c r="DE652" s="1319"/>
      <c r="DF652" s="1319"/>
      <c r="DG652" s="1320"/>
      <c r="DH652" s="1369"/>
      <c r="DI652" s="1319"/>
      <c r="DJ652" s="1319"/>
      <c r="DK652" s="1319"/>
      <c r="DL652" s="1320"/>
      <c r="DM652" s="1743"/>
      <c r="DN652" s="1744"/>
      <c r="DO652" s="1744"/>
      <c r="DP652" s="1745"/>
      <c r="DQ652" s="1744"/>
      <c r="DR652" s="1744"/>
      <c r="DS652" s="1744"/>
      <c r="DT652" s="1745"/>
      <c r="DU652" s="1328"/>
      <c r="DV652" s="1664"/>
      <c r="DW652" s="1746"/>
    </row>
    <row r="653" spans="1:127" s="382" customFormat="1" ht="15.75" customHeight="1">
      <c r="A653" s="1066" t="s">
        <v>1241</v>
      </c>
      <c r="B653" s="1026">
        <v>644</v>
      </c>
      <c r="C653" s="987"/>
      <c r="D653" s="987"/>
      <c r="E653" s="987"/>
      <c r="F653" s="987"/>
      <c r="G653" s="987"/>
      <c r="H653" s="987"/>
      <c r="I653" s="987"/>
      <c r="J653" s="987"/>
      <c r="K653" s="987"/>
      <c r="L653" s="987"/>
      <c r="M653" s="1026"/>
      <c r="N653" s="987"/>
      <c r="O653" s="987"/>
      <c r="P653" s="987"/>
      <c r="Q653" s="987"/>
      <c r="R653" s="987"/>
      <c r="S653" s="987"/>
      <c r="T653" s="988"/>
      <c r="U653" s="1067" t="s">
        <v>1371</v>
      </c>
      <c r="V653" s="1068" t="s">
        <v>4270</v>
      </c>
      <c r="W653" s="1068" t="s">
        <v>2231</v>
      </c>
      <c r="X653" s="1069">
        <v>17</v>
      </c>
      <c r="Y653" s="1070" t="s">
        <v>2745</v>
      </c>
      <c r="Z653" s="1071" t="s">
        <v>4322</v>
      </c>
      <c r="AA653" s="1072">
        <v>0</v>
      </c>
      <c r="AB653" s="1073">
        <v>0</v>
      </c>
      <c r="AC653" s="1073">
        <v>0</v>
      </c>
      <c r="AD653" s="1073">
        <v>0</v>
      </c>
      <c r="AE653" s="1073">
        <v>1</v>
      </c>
      <c r="AF653" s="1073">
        <v>0</v>
      </c>
      <c r="AG653" s="1073">
        <v>0</v>
      </c>
      <c r="AH653" s="1073">
        <v>0</v>
      </c>
      <c r="AI653" s="1074">
        <f t="shared" si="10"/>
        <v>1</v>
      </c>
      <c r="AJ653" s="1075" t="s">
        <v>1846</v>
      </c>
      <c r="AK653" s="1075" t="s">
        <v>1826</v>
      </c>
      <c r="AL653" s="1075" t="s">
        <v>1827</v>
      </c>
      <c r="AM653" s="1076" t="s">
        <v>2396</v>
      </c>
      <c r="AN653" s="987" t="s">
        <v>321</v>
      </c>
      <c r="AO653" s="987" t="s">
        <v>4323</v>
      </c>
      <c r="AP653" s="802">
        <v>0</v>
      </c>
      <c r="AQ653" s="1045" t="s">
        <v>1828</v>
      </c>
      <c r="AR653" s="1078" t="s">
        <v>2260</v>
      </c>
      <c r="AS653" s="1079"/>
      <c r="AT653" s="1069"/>
      <c r="AU653" s="1069"/>
      <c r="AV653" s="1069"/>
      <c r="AW653" s="1080"/>
      <c r="AX653" s="1081"/>
      <c r="AY653" s="1044"/>
      <c r="AZ653" s="1045"/>
      <c r="BA653" s="1045"/>
      <c r="BB653" s="1045"/>
      <c r="BC653" s="1045"/>
      <c r="BD653" s="1045"/>
      <c r="BE653" s="1045"/>
      <c r="BF653" s="1045"/>
      <c r="BG653" s="1045"/>
      <c r="BH653" s="1045"/>
      <c r="BI653" s="1369"/>
      <c r="BJ653" s="1319"/>
      <c r="BK653" s="1319"/>
      <c r="BL653" s="1319"/>
      <c r="BM653" s="1319"/>
      <c r="BN653" s="1044"/>
      <c r="BO653" s="1045"/>
      <c r="BP653" s="1045"/>
      <c r="BQ653" s="1045"/>
      <c r="BR653" s="1045"/>
      <c r="BS653" s="1084"/>
      <c r="BT653" s="1045"/>
      <c r="BU653" s="1045"/>
      <c r="BV653" s="1045"/>
      <c r="BW653" s="1085"/>
      <c r="BX653" s="1084"/>
      <c r="BY653" s="1045"/>
      <c r="BZ653" s="1045"/>
      <c r="CA653" s="1045"/>
      <c r="CB653" s="1085"/>
      <c r="CC653" s="1086"/>
      <c r="CD653" s="1327"/>
      <c r="CE653" s="1328"/>
      <c r="CF653" s="1328"/>
      <c r="CG653" s="1328"/>
      <c r="CH653" s="1389"/>
      <c r="CI653" s="1369"/>
      <c r="CJ653" s="1319"/>
      <c r="CK653" s="1319"/>
      <c r="CL653" s="1319"/>
      <c r="CM653" s="1320"/>
      <c r="CN653" s="1369"/>
      <c r="CO653" s="1319"/>
      <c r="CP653" s="1319"/>
      <c r="CQ653" s="1319"/>
      <c r="CR653" s="1320"/>
      <c r="CS653" s="1369"/>
      <c r="CT653" s="1319"/>
      <c r="CU653" s="1319"/>
      <c r="CV653" s="1319"/>
      <c r="CW653" s="1320"/>
      <c r="CX653" s="1369"/>
      <c r="CY653" s="1319"/>
      <c r="CZ653" s="1319"/>
      <c r="DA653" s="1319"/>
      <c r="DB653" s="1320"/>
      <c r="DC653" s="1319"/>
      <c r="DD653" s="1319"/>
      <c r="DE653" s="1319"/>
      <c r="DF653" s="1319"/>
      <c r="DG653" s="1320"/>
      <c r="DH653" s="1369"/>
      <c r="DI653" s="1319"/>
      <c r="DJ653" s="1319"/>
      <c r="DK653" s="1319"/>
      <c r="DL653" s="1320"/>
      <c r="DM653" s="1743"/>
      <c r="DN653" s="1744"/>
      <c r="DO653" s="1744"/>
      <c r="DP653" s="1745"/>
      <c r="DQ653" s="1744"/>
      <c r="DR653" s="1744"/>
      <c r="DS653" s="1744"/>
      <c r="DT653" s="1745"/>
      <c r="DU653" s="1328"/>
      <c r="DV653" s="1664"/>
      <c r="DW653" s="1746"/>
    </row>
    <row r="654" spans="1:127" s="382" customFormat="1" ht="15.75" customHeight="1">
      <c r="A654" s="1066" t="s">
        <v>1241</v>
      </c>
      <c r="B654" s="1026">
        <v>645</v>
      </c>
      <c r="C654" s="987"/>
      <c r="D654" s="987"/>
      <c r="E654" s="987"/>
      <c r="F654" s="987"/>
      <c r="G654" s="987"/>
      <c r="H654" s="987"/>
      <c r="I654" s="987"/>
      <c r="J654" s="987"/>
      <c r="K654" s="987"/>
      <c r="L654" s="987"/>
      <c r="M654" s="1026"/>
      <c r="N654" s="987"/>
      <c r="O654" s="987"/>
      <c r="P654" s="987"/>
      <c r="Q654" s="987"/>
      <c r="R654" s="987"/>
      <c r="S654" s="987"/>
      <c r="T654" s="988"/>
      <c r="U654" s="1067" t="s">
        <v>1388</v>
      </c>
      <c r="V654" s="1068" t="s">
        <v>4270</v>
      </c>
      <c r="W654" s="1068" t="s">
        <v>2231</v>
      </c>
      <c r="X654" s="1069">
        <v>18</v>
      </c>
      <c r="Y654" s="1070" t="s">
        <v>2402</v>
      </c>
      <c r="Z654" s="1071" t="s">
        <v>4324</v>
      </c>
      <c r="AA654" s="1072">
        <v>0</v>
      </c>
      <c r="AB654" s="1073">
        <v>0</v>
      </c>
      <c r="AC654" s="1073">
        <v>0</v>
      </c>
      <c r="AD654" s="1073">
        <v>0</v>
      </c>
      <c r="AE654" s="1073">
        <v>1</v>
      </c>
      <c r="AF654" s="1073">
        <v>0</v>
      </c>
      <c r="AG654" s="1073">
        <v>0</v>
      </c>
      <c r="AH654" s="1073">
        <v>0</v>
      </c>
      <c r="AI654" s="1074">
        <f t="shared" si="10"/>
        <v>1</v>
      </c>
      <c r="AJ654" s="1075" t="s">
        <v>1852</v>
      </c>
      <c r="AK654" s="1075" t="s">
        <v>1826</v>
      </c>
      <c r="AL654" s="1075" t="s">
        <v>1827</v>
      </c>
      <c r="AM654" s="1076" t="s">
        <v>2396</v>
      </c>
      <c r="AN654" s="987" t="s">
        <v>321</v>
      </c>
      <c r="AO654" s="987" t="s">
        <v>4325</v>
      </c>
      <c r="AP654" s="802">
        <v>2</v>
      </c>
      <c r="AQ654" s="1045" t="s">
        <v>1838</v>
      </c>
      <c r="AR654" s="1078" t="s">
        <v>2260</v>
      </c>
      <c r="AS654" s="1079"/>
      <c r="AT654" s="1069"/>
      <c r="AU654" s="1069"/>
      <c r="AV654" s="1069"/>
      <c r="AW654" s="1080"/>
      <c r="AX654" s="1081"/>
      <c r="AY654" s="1044"/>
      <c r="AZ654" s="1045"/>
      <c r="BA654" s="1045"/>
      <c r="BB654" s="1045"/>
      <c r="BC654" s="1045"/>
      <c r="BD654" s="1045"/>
      <c r="BE654" s="1045"/>
      <c r="BF654" s="1045"/>
      <c r="BG654" s="1045"/>
      <c r="BH654" s="1045"/>
      <c r="BI654" s="1369"/>
      <c r="BJ654" s="1319"/>
      <c r="BK654" s="1319"/>
      <c r="BL654" s="1319"/>
      <c r="BM654" s="1319"/>
      <c r="BN654" s="1044"/>
      <c r="BO654" s="1045"/>
      <c r="BP654" s="1045"/>
      <c r="BQ654" s="1045"/>
      <c r="BR654" s="1045"/>
      <c r="BS654" s="1084"/>
      <c r="BT654" s="1045"/>
      <c r="BU654" s="1045"/>
      <c r="BV654" s="1045"/>
      <c r="BW654" s="1085"/>
      <c r="BX654" s="1084"/>
      <c r="BY654" s="1045"/>
      <c r="BZ654" s="1045"/>
      <c r="CA654" s="1045"/>
      <c r="CB654" s="1085"/>
      <c r="CC654" s="1086"/>
      <c r="CD654" s="1327"/>
      <c r="CE654" s="1328"/>
      <c r="CF654" s="1328"/>
      <c r="CG654" s="1328"/>
      <c r="CH654" s="1389"/>
      <c r="CI654" s="1369"/>
      <c r="CJ654" s="1319"/>
      <c r="CK654" s="1319"/>
      <c r="CL654" s="1319"/>
      <c r="CM654" s="1320"/>
      <c r="CN654" s="1369"/>
      <c r="CO654" s="1319"/>
      <c r="CP654" s="1319"/>
      <c r="CQ654" s="1319"/>
      <c r="CR654" s="1320"/>
      <c r="CS654" s="1369"/>
      <c r="CT654" s="1319"/>
      <c r="CU654" s="1319"/>
      <c r="CV654" s="1319"/>
      <c r="CW654" s="1320"/>
      <c r="CX654" s="1369"/>
      <c r="CY654" s="1319"/>
      <c r="CZ654" s="1319"/>
      <c r="DA654" s="1319"/>
      <c r="DB654" s="1320"/>
      <c r="DC654" s="1319"/>
      <c r="DD654" s="1319"/>
      <c r="DE654" s="1319"/>
      <c r="DF654" s="1319"/>
      <c r="DG654" s="1320"/>
      <c r="DH654" s="1369"/>
      <c r="DI654" s="1319"/>
      <c r="DJ654" s="1319"/>
      <c r="DK654" s="1319"/>
      <c r="DL654" s="1320"/>
      <c r="DM654" s="1743"/>
      <c r="DN654" s="1744"/>
      <c r="DO654" s="1744"/>
      <c r="DP654" s="1745"/>
      <c r="DQ654" s="1744"/>
      <c r="DR654" s="1744"/>
      <c r="DS654" s="1744"/>
      <c r="DT654" s="1745"/>
      <c r="DU654" s="1328"/>
      <c r="DV654" s="1664"/>
      <c r="DW654" s="1746"/>
    </row>
    <row r="655" spans="1:127" s="382" customFormat="1" ht="15.75" customHeight="1">
      <c r="A655" s="1066" t="s">
        <v>1241</v>
      </c>
      <c r="B655" s="1026">
        <v>646</v>
      </c>
      <c r="C655" s="987"/>
      <c r="D655" s="987"/>
      <c r="E655" s="987"/>
      <c r="F655" s="987"/>
      <c r="G655" s="987"/>
      <c r="H655" s="987"/>
      <c r="I655" s="987"/>
      <c r="J655" s="987"/>
      <c r="K655" s="987"/>
      <c r="L655" s="987"/>
      <c r="M655" s="1026"/>
      <c r="N655" s="987"/>
      <c r="O655" s="987"/>
      <c r="P655" s="987"/>
      <c r="Q655" s="987"/>
      <c r="R655" s="987"/>
      <c r="S655" s="987"/>
      <c r="T655" s="988"/>
      <c r="U655" s="1067" t="s">
        <v>1792</v>
      </c>
      <c r="V655" s="1068" t="s">
        <v>4303</v>
      </c>
      <c r="W655" s="1068" t="s">
        <v>2231</v>
      </c>
      <c r="X655" s="1069">
        <v>19</v>
      </c>
      <c r="Y655" s="1070" t="s">
        <v>2251</v>
      </c>
      <c r="Z655" s="1071" t="s">
        <v>4326</v>
      </c>
      <c r="AA655" s="1072">
        <v>0</v>
      </c>
      <c r="AB655" s="1073">
        <v>0</v>
      </c>
      <c r="AC655" s="1073">
        <v>0</v>
      </c>
      <c r="AD655" s="1073">
        <v>0</v>
      </c>
      <c r="AE655" s="1073">
        <v>1</v>
      </c>
      <c r="AF655" s="1073">
        <v>0</v>
      </c>
      <c r="AG655" s="1073">
        <v>0</v>
      </c>
      <c r="AH655" s="1073">
        <v>0</v>
      </c>
      <c r="AI655" s="1074">
        <f t="shared" si="10"/>
        <v>1</v>
      </c>
      <c r="AJ655" s="1075" t="s">
        <v>1852</v>
      </c>
      <c r="AK655" s="1075" t="s">
        <v>1826</v>
      </c>
      <c r="AL655" s="1075" t="s">
        <v>1827</v>
      </c>
      <c r="AM655" s="1076" t="s">
        <v>1888</v>
      </c>
      <c r="AN655" s="987" t="s">
        <v>1897</v>
      </c>
      <c r="AO655" s="987" t="s">
        <v>3204</v>
      </c>
      <c r="AP655" s="802">
        <v>2</v>
      </c>
      <c r="AQ655" s="1045" t="s">
        <v>1828</v>
      </c>
      <c r="AR655" s="1078" t="s">
        <v>2251</v>
      </c>
      <c r="AS655" s="1079"/>
      <c r="AT655" s="1069"/>
      <c r="AU655" s="1069"/>
      <c r="AV655" s="1069"/>
      <c r="AW655" s="1080"/>
      <c r="AX655" s="1081"/>
      <c r="AY655" s="1044"/>
      <c r="AZ655" s="1045"/>
      <c r="BA655" s="1045"/>
      <c r="BB655" s="1045"/>
      <c r="BC655" s="1045"/>
      <c r="BD655" s="1045"/>
      <c r="BE655" s="1045"/>
      <c r="BF655" s="1045"/>
      <c r="BG655" s="1045"/>
      <c r="BH655" s="1045"/>
      <c r="BI655" s="1044" t="s">
        <v>2260</v>
      </c>
      <c r="BJ655" s="1045" t="s">
        <v>2260</v>
      </c>
      <c r="BK655" s="1045" t="s">
        <v>2260</v>
      </c>
      <c r="BL655" s="1045" t="s">
        <v>2260</v>
      </c>
      <c r="BM655" s="1045" t="s">
        <v>2260</v>
      </c>
      <c r="BN655" s="1044"/>
      <c r="BO655" s="1045"/>
      <c r="BP655" s="1045"/>
      <c r="BQ655" s="1045"/>
      <c r="BR655" s="1045"/>
      <c r="BS655" s="1084"/>
      <c r="BT655" s="1045"/>
      <c r="BU655" s="1045"/>
      <c r="BV655" s="1045"/>
      <c r="BW655" s="1085"/>
      <c r="BX655" s="1084"/>
      <c r="BY655" s="1045"/>
      <c r="BZ655" s="1045"/>
      <c r="CA655" s="1045"/>
      <c r="CB655" s="1085"/>
      <c r="CC655" s="1086"/>
      <c r="CD655" s="1087" t="s">
        <v>210</v>
      </c>
      <c r="CE655" s="1088" t="s">
        <v>210</v>
      </c>
      <c r="CF655" s="1088" t="s">
        <v>210</v>
      </c>
      <c r="CG655" s="1088" t="s">
        <v>210</v>
      </c>
      <c r="CH655" s="1089" t="s">
        <v>210</v>
      </c>
      <c r="CI655" s="1044" t="s">
        <v>2260</v>
      </c>
      <c r="CJ655" s="1045" t="s">
        <v>2260</v>
      </c>
      <c r="CK655" s="1045" t="s">
        <v>2260</v>
      </c>
      <c r="CL655" s="1045" t="s">
        <v>2260</v>
      </c>
      <c r="CM655" s="1086" t="s">
        <v>2260</v>
      </c>
      <c r="CN655" s="1044" t="s">
        <v>2260</v>
      </c>
      <c r="CO655" s="1045" t="s">
        <v>2260</v>
      </c>
      <c r="CP655" s="1045" t="s">
        <v>2260</v>
      </c>
      <c r="CQ655" s="1045" t="s">
        <v>2260</v>
      </c>
      <c r="CR655" s="1086" t="s">
        <v>2260</v>
      </c>
      <c r="CS655" s="1044" t="s">
        <v>2260</v>
      </c>
      <c r="CT655" s="1045" t="s">
        <v>2260</v>
      </c>
      <c r="CU655" s="1045" t="s">
        <v>2260</v>
      </c>
      <c r="CV655" s="1045" t="s">
        <v>2260</v>
      </c>
      <c r="CW655" s="1086" t="s">
        <v>2260</v>
      </c>
      <c r="CX655" s="1044" t="s">
        <v>2260</v>
      </c>
      <c r="CY655" s="1045" t="s">
        <v>2260</v>
      </c>
      <c r="CZ655" s="1045" t="s">
        <v>2260</v>
      </c>
      <c r="DA655" s="1045" t="s">
        <v>2260</v>
      </c>
      <c r="DB655" s="1086" t="s">
        <v>2260</v>
      </c>
      <c r="DC655" s="1045" t="s">
        <v>2260</v>
      </c>
      <c r="DD655" s="1045" t="s">
        <v>2260</v>
      </c>
      <c r="DE655" s="1045" t="s">
        <v>2260</v>
      </c>
      <c r="DF655" s="1045" t="s">
        <v>2260</v>
      </c>
      <c r="DG655" s="1086" t="s">
        <v>2260</v>
      </c>
      <c r="DH655" s="1044" t="s">
        <v>2260</v>
      </c>
      <c r="DI655" s="1045" t="s">
        <v>2260</v>
      </c>
      <c r="DJ655" s="1045" t="s">
        <v>2260</v>
      </c>
      <c r="DK655" s="1045" t="s">
        <v>2260</v>
      </c>
      <c r="DL655" s="1086" t="s">
        <v>2260</v>
      </c>
      <c r="DM655" s="1090" t="s">
        <v>2260</v>
      </c>
      <c r="DN655" s="1091" t="s">
        <v>2260</v>
      </c>
      <c r="DO655" s="1091" t="s">
        <v>2260</v>
      </c>
      <c r="DP655" s="1092" t="s">
        <v>2260</v>
      </c>
      <c r="DQ655" s="1091" t="s">
        <v>2260</v>
      </c>
      <c r="DR655" s="1091" t="s">
        <v>2260</v>
      </c>
      <c r="DS655" s="1091" t="s">
        <v>2260</v>
      </c>
      <c r="DT655" s="1092" t="s">
        <v>2260</v>
      </c>
      <c r="DU655" s="1088" t="s">
        <v>2260</v>
      </c>
      <c r="DV655" s="1093">
        <v>1</v>
      </c>
      <c r="DW655" s="1094" t="s">
        <v>2260</v>
      </c>
    </row>
    <row r="656" spans="1:127" s="382" customFormat="1" ht="15.75" customHeight="1">
      <c r="A656" s="1066" t="s">
        <v>1241</v>
      </c>
      <c r="B656" s="1026">
        <v>647</v>
      </c>
      <c r="C656" s="987"/>
      <c r="D656" s="987"/>
      <c r="E656" s="987"/>
      <c r="F656" s="987"/>
      <c r="G656" s="987"/>
      <c r="H656" s="987"/>
      <c r="I656" s="987"/>
      <c r="J656" s="987"/>
      <c r="K656" s="987"/>
      <c r="L656" s="987"/>
      <c r="M656" s="1026"/>
      <c r="N656" s="987"/>
      <c r="O656" s="987"/>
      <c r="P656" s="987"/>
      <c r="Q656" s="987"/>
      <c r="R656" s="987"/>
      <c r="S656" s="987"/>
      <c r="T656" s="988"/>
      <c r="U656" s="1067" t="s">
        <v>1288</v>
      </c>
      <c r="V656" s="1068" t="s">
        <v>4293</v>
      </c>
      <c r="W656" s="1068" t="s">
        <v>2217</v>
      </c>
      <c r="X656" s="1069">
        <v>20</v>
      </c>
      <c r="Y656" s="1070" t="s">
        <v>172</v>
      </c>
      <c r="Z656" s="1071" t="s">
        <v>4327</v>
      </c>
      <c r="AA656" s="1072">
        <v>0</v>
      </c>
      <c r="AB656" s="1073">
        <v>1</v>
      </c>
      <c r="AC656" s="1073">
        <v>0</v>
      </c>
      <c r="AD656" s="1073">
        <v>0</v>
      </c>
      <c r="AE656" s="1073">
        <v>0</v>
      </c>
      <c r="AF656" s="1073">
        <v>0</v>
      </c>
      <c r="AG656" s="1073">
        <v>0</v>
      </c>
      <c r="AH656" s="1073">
        <v>0</v>
      </c>
      <c r="AI656" s="1074">
        <f t="shared" si="10"/>
        <v>1</v>
      </c>
      <c r="AJ656" s="1075" t="s">
        <v>1846</v>
      </c>
      <c r="AK656" s="1075" t="s">
        <v>1826</v>
      </c>
      <c r="AL656" s="1075" t="s">
        <v>1827</v>
      </c>
      <c r="AM656" s="1076" t="s">
        <v>2247</v>
      </c>
      <c r="AN656" s="987" t="s">
        <v>2439</v>
      </c>
      <c r="AO656" s="987" t="s">
        <v>4420</v>
      </c>
      <c r="AP656" s="2042">
        <v>2</v>
      </c>
      <c r="AQ656" s="1045" t="s">
        <v>1838</v>
      </c>
      <c r="AR656" s="1078" t="s">
        <v>172</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210</v>
      </c>
      <c r="CE656" s="1088" t="s">
        <v>210</v>
      </c>
      <c r="CF656" s="1088" t="s">
        <v>210</v>
      </c>
      <c r="CG656" s="1088" t="s">
        <v>210</v>
      </c>
      <c r="CH656" s="1089" t="s">
        <v>210</v>
      </c>
      <c r="CI656" s="1044" t="s">
        <v>2260</v>
      </c>
      <c r="CJ656" s="1045" t="s">
        <v>2260</v>
      </c>
      <c r="CK656" s="1045" t="s">
        <v>2260</v>
      </c>
      <c r="CL656" s="1045" t="s">
        <v>2260</v>
      </c>
      <c r="CM656" s="1086" t="s">
        <v>2260</v>
      </c>
      <c r="CN656" s="1044">
        <v>9.5</v>
      </c>
      <c r="CO656" s="1045">
        <v>9.5</v>
      </c>
      <c r="CP656" s="1045">
        <v>9.5</v>
      </c>
      <c r="CQ656" s="1045">
        <v>9.5</v>
      </c>
      <c r="CR656" s="1086">
        <v>9.5</v>
      </c>
      <c r="CS656" s="1044">
        <v>2</v>
      </c>
      <c r="CT656" s="1045">
        <v>2</v>
      </c>
      <c r="CU656" s="1179">
        <v>1.5</v>
      </c>
      <c r="CV656" s="1179">
        <v>1.5</v>
      </c>
      <c r="CW656" s="1180">
        <v>1.5</v>
      </c>
      <c r="CX656" s="1044" t="s">
        <v>2260</v>
      </c>
      <c r="CY656" s="1045" t="s">
        <v>2260</v>
      </c>
      <c r="CZ656" s="1045" t="s">
        <v>2260</v>
      </c>
      <c r="DA656" s="1045" t="s">
        <v>2260</v>
      </c>
      <c r="DB656" s="1086" t="s">
        <v>2260</v>
      </c>
      <c r="DC656" s="1045" t="s">
        <v>2260</v>
      </c>
      <c r="DD656" s="1045" t="s">
        <v>2260</v>
      </c>
      <c r="DE656" s="1045" t="s">
        <v>2260</v>
      </c>
      <c r="DF656" s="1045" t="s">
        <v>2260</v>
      </c>
      <c r="DG656" s="1086" t="s">
        <v>2260</v>
      </c>
      <c r="DH656" s="1044" t="s">
        <v>2260</v>
      </c>
      <c r="DI656" s="1045" t="s">
        <v>2260</v>
      </c>
      <c r="DJ656" s="1045" t="s">
        <v>2260</v>
      </c>
      <c r="DK656" s="1045" t="s">
        <v>2260</v>
      </c>
      <c r="DL656" s="1086" t="s">
        <v>2260</v>
      </c>
      <c r="DM656" s="1090">
        <v>-1.226</v>
      </c>
      <c r="DN656" s="1091" t="s">
        <v>2260</v>
      </c>
      <c r="DO656" s="1091" t="s">
        <v>2260</v>
      </c>
      <c r="DP656" s="1092" t="s">
        <v>2260</v>
      </c>
      <c r="DQ656" s="1091">
        <v>0</v>
      </c>
      <c r="DR656" s="1091" t="s">
        <v>2260</v>
      </c>
      <c r="DS656" s="1091" t="s">
        <v>2260</v>
      </c>
      <c r="DT656" s="1092" t="s">
        <v>2260</v>
      </c>
      <c r="DU656" s="1088" t="s">
        <v>2260</v>
      </c>
      <c r="DV656" s="1093">
        <v>1</v>
      </c>
      <c r="DW656" s="1094" t="s">
        <v>2260</v>
      </c>
    </row>
    <row r="657" spans="1:127" s="382" customFormat="1" ht="15.75" customHeight="1">
      <c r="A657" s="1066" t="s">
        <v>1241</v>
      </c>
      <c r="B657" s="1026">
        <v>648</v>
      </c>
      <c r="C657" s="987"/>
      <c r="D657" s="987"/>
      <c r="E657" s="987"/>
      <c r="F657" s="987"/>
      <c r="G657" s="987"/>
      <c r="H657" s="987"/>
      <c r="I657" s="987"/>
      <c r="J657" s="987"/>
      <c r="K657" s="987"/>
      <c r="L657" s="987"/>
      <c r="M657" s="1026"/>
      <c r="N657" s="987"/>
      <c r="O657" s="987"/>
      <c r="P657" s="987"/>
      <c r="Q657" s="987"/>
      <c r="R657" s="987"/>
      <c r="S657" s="987"/>
      <c r="T657" s="988"/>
      <c r="U657" s="1067" t="s">
        <v>1289</v>
      </c>
      <c r="V657" s="1068" t="s">
        <v>4293</v>
      </c>
      <c r="W657" s="1068" t="s">
        <v>2217</v>
      </c>
      <c r="X657" s="1069">
        <v>21</v>
      </c>
      <c r="Y657" s="1070" t="s">
        <v>179</v>
      </c>
      <c r="Z657" s="1071" t="s">
        <v>4329</v>
      </c>
      <c r="AA657" s="1072">
        <v>0</v>
      </c>
      <c r="AB657" s="1073">
        <v>1</v>
      </c>
      <c r="AC657" s="1073">
        <v>0</v>
      </c>
      <c r="AD657" s="1073">
        <v>0</v>
      </c>
      <c r="AE657" s="1073">
        <v>0</v>
      </c>
      <c r="AF657" s="1073">
        <v>0</v>
      </c>
      <c r="AG657" s="1073">
        <v>0</v>
      </c>
      <c r="AH657" s="1073">
        <v>0</v>
      </c>
      <c r="AI657" s="1074">
        <f t="shared" si="10"/>
        <v>1</v>
      </c>
      <c r="AJ657" s="1075" t="s">
        <v>1852</v>
      </c>
      <c r="AK657" s="1075" t="s">
        <v>1826</v>
      </c>
      <c r="AL657" s="1075" t="s">
        <v>1827</v>
      </c>
      <c r="AM657" s="1076" t="s">
        <v>2220</v>
      </c>
      <c r="AN657" s="987" t="s">
        <v>4414</v>
      </c>
      <c r="AO657" s="987" t="s">
        <v>4415</v>
      </c>
      <c r="AP657" s="2042">
        <v>0</v>
      </c>
      <c r="AQ657" s="1045" t="s">
        <v>1838</v>
      </c>
      <c r="AR657" s="1078" t="s">
        <v>179</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210</v>
      </c>
      <c r="CE657" s="1088" t="s">
        <v>210</v>
      </c>
      <c r="CF657" s="1088" t="s">
        <v>210</v>
      </c>
      <c r="CG657" s="1088" t="s">
        <v>210</v>
      </c>
      <c r="CH657" s="1089" t="s">
        <v>210</v>
      </c>
      <c r="CI657" s="1321">
        <v>1.3391203703703704E-2</v>
      </c>
      <c r="CJ657" s="1322">
        <v>1.3391203703703704E-2</v>
      </c>
      <c r="CK657" s="1322">
        <v>1.3391203703703704E-2</v>
      </c>
      <c r="CL657" s="1322">
        <v>1.3391203703703704E-2</v>
      </c>
      <c r="CM657" s="1323">
        <v>1.3391203703703704E-2</v>
      </c>
      <c r="CN657" s="1321">
        <v>1.1793981481481482E-2</v>
      </c>
      <c r="CO657" s="1322">
        <v>1.1793981481481482E-2</v>
      </c>
      <c r="CP657" s="1322">
        <v>1.1793981481481482E-2</v>
      </c>
      <c r="CQ657" s="1322">
        <v>1.1793981481481482E-2</v>
      </c>
      <c r="CR657" s="1323">
        <v>1.1793981481481482E-2</v>
      </c>
      <c r="CS657" s="1118" t="s">
        <v>2260</v>
      </c>
      <c r="CT657" s="1119" t="s">
        <v>2260</v>
      </c>
      <c r="CU657" s="1119" t="s">
        <v>2260</v>
      </c>
      <c r="CV657" s="1119" t="s">
        <v>2260</v>
      </c>
      <c r="CW657" s="1122" t="s">
        <v>2260</v>
      </c>
      <c r="CX657" s="1118" t="s">
        <v>2260</v>
      </c>
      <c r="CY657" s="1119" t="s">
        <v>2260</v>
      </c>
      <c r="CZ657" s="1119" t="s">
        <v>2260</v>
      </c>
      <c r="DA657" s="1119" t="s">
        <v>2260</v>
      </c>
      <c r="DB657" s="1122" t="s">
        <v>2260</v>
      </c>
      <c r="DC657" s="1119">
        <v>6.9444444444444447E-4</v>
      </c>
      <c r="DD657" s="1119">
        <v>6.9444444444444447E-4</v>
      </c>
      <c r="DE657" s="1119">
        <v>6.9444444444444447E-4</v>
      </c>
      <c r="DF657" s="1119">
        <v>6.9444444444444447E-4</v>
      </c>
      <c r="DG657" s="1122">
        <v>6.9444444444444447E-4</v>
      </c>
      <c r="DH657" s="1118" t="s">
        <v>4430</v>
      </c>
      <c r="DI657" s="1119" t="s">
        <v>4430</v>
      </c>
      <c r="DJ657" s="1119" t="s">
        <v>4430</v>
      </c>
      <c r="DK657" s="1119" t="s">
        <v>4430</v>
      </c>
      <c r="DL657" s="1122" t="s">
        <v>4430</v>
      </c>
      <c r="DM657" s="1090">
        <v>-1.228</v>
      </c>
      <c r="DN657" s="1091" t="s">
        <v>2260</v>
      </c>
      <c r="DO657" s="1091" t="s">
        <v>2260</v>
      </c>
      <c r="DP657" s="1092">
        <v>-3.173</v>
      </c>
      <c r="DQ657" s="1091">
        <v>1.228</v>
      </c>
      <c r="DR657" s="1091" t="s">
        <v>2260</v>
      </c>
      <c r="DS657" s="1091" t="s">
        <v>2260</v>
      </c>
      <c r="DT657" s="1092">
        <v>3.173</v>
      </c>
      <c r="DU657" s="1088" t="s">
        <v>2260</v>
      </c>
      <c r="DV657" s="1093">
        <v>1</v>
      </c>
      <c r="DW657" s="1094" t="s">
        <v>2260</v>
      </c>
    </row>
    <row r="658" spans="1:127" s="382" customFormat="1" ht="15.75" customHeight="1">
      <c r="A658" s="1023" t="s">
        <v>1241</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1300</v>
      </c>
      <c r="V658" s="1029" t="s">
        <v>4293</v>
      </c>
      <c r="W658" s="1029" t="s">
        <v>2217</v>
      </c>
      <c r="X658" s="1030">
        <v>22</v>
      </c>
      <c r="Y658" s="1031" t="s">
        <v>705</v>
      </c>
      <c r="Z658" s="1032" t="s">
        <v>4331</v>
      </c>
      <c r="AA658" s="1033">
        <v>0</v>
      </c>
      <c r="AB658" s="1034">
        <v>1</v>
      </c>
      <c r="AC658" s="1034">
        <v>0</v>
      </c>
      <c r="AD658" s="1034">
        <v>0</v>
      </c>
      <c r="AE658" s="1034">
        <v>0</v>
      </c>
      <c r="AF658" s="1034">
        <v>0</v>
      </c>
      <c r="AG658" s="1034">
        <v>0</v>
      </c>
      <c r="AH658" s="1034">
        <v>0</v>
      </c>
      <c r="AI658" s="1035">
        <f t="shared" si="10"/>
        <v>1</v>
      </c>
      <c r="AJ658" s="1036" t="s">
        <v>1852</v>
      </c>
      <c r="AK658" s="1036" t="s">
        <v>1826</v>
      </c>
      <c r="AL658" s="1036" t="s">
        <v>1827</v>
      </c>
      <c r="AM658" s="1037" t="s">
        <v>705</v>
      </c>
      <c r="AN658" s="1031" t="s">
        <v>321</v>
      </c>
      <c r="AO658" s="1031" t="s">
        <v>4416</v>
      </c>
      <c r="AP658" s="1049">
        <v>1</v>
      </c>
      <c r="AQ658" s="802" t="s">
        <v>1828</v>
      </c>
      <c r="AR658" s="1040" t="s">
        <v>705</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210</v>
      </c>
      <c r="CE658" s="1054" t="s">
        <v>210</v>
      </c>
      <c r="CF658" s="1054" t="s">
        <v>210</v>
      </c>
      <c r="CG658" s="1054" t="s">
        <v>210</v>
      </c>
      <c r="CH658" s="1055" t="s">
        <v>210</v>
      </c>
      <c r="CI658" s="1460">
        <v>-20</v>
      </c>
      <c r="CJ658" s="1460">
        <v>-20</v>
      </c>
      <c r="CK658" s="1460">
        <v>-20</v>
      </c>
      <c r="CL658" s="1460">
        <v>-20</v>
      </c>
      <c r="CM658" s="1460">
        <v>-20</v>
      </c>
      <c r="CN658" s="1460">
        <v>0</v>
      </c>
      <c r="CO658" s="1460">
        <v>0</v>
      </c>
      <c r="CP658" s="1460">
        <v>0</v>
      </c>
      <c r="CQ658" s="1460">
        <v>0</v>
      </c>
      <c r="CR658" s="1460">
        <v>0</v>
      </c>
      <c r="CS658" s="1048" t="s">
        <v>2260</v>
      </c>
      <c r="CT658" s="1049" t="s">
        <v>2260</v>
      </c>
      <c r="CU658" s="1049" t="s">
        <v>2260</v>
      </c>
      <c r="CV658" s="1049" t="s">
        <v>2260</v>
      </c>
      <c r="CW658" s="1052" t="s">
        <v>2260</v>
      </c>
      <c r="CX658" s="1048" t="s">
        <v>2260</v>
      </c>
      <c r="CY658" s="1049" t="s">
        <v>2260</v>
      </c>
      <c r="CZ658" s="1049" t="s">
        <v>2260</v>
      </c>
      <c r="DA658" s="1049" t="s">
        <v>2260</v>
      </c>
      <c r="DB658" s="1052" t="s">
        <v>2260</v>
      </c>
      <c r="DC658" s="1325" t="s">
        <v>4430</v>
      </c>
      <c r="DD658" s="1325" t="s">
        <v>4430</v>
      </c>
      <c r="DE658" s="1325" t="s">
        <v>4430</v>
      </c>
      <c r="DF658" s="1325" t="s">
        <v>4430</v>
      </c>
      <c r="DG658" s="1325" t="s">
        <v>4430</v>
      </c>
      <c r="DH658" s="1181" t="s">
        <v>2260</v>
      </c>
      <c r="DI658" s="1182" t="s">
        <v>2260</v>
      </c>
      <c r="DJ658" s="1182" t="s">
        <v>2260</v>
      </c>
      <c r="DK658" s="1182" t="s">
        <v>2260</v>
      </c>
      <c r="DL658" s="1184" t="s">
        <v>2260</v>
      </c>
      <c r="DM658" s="1060">
        <v>-0.16700000000000001</v>
      </c>
      <c r="DN658" s="1189">
        <v>-0.253</v>
      </c>
      <c r="DO658" s="1061" t="s">
        <v>2260</v>
      </c>
      <c r="DP658" s="1188" t="s">
        <v>2260</v>
      </c>
      <c r="DQ658" s="1061">
        <v>0.13900000000000001</v>
      </c>
      <c r="DR658" s="1061" t="s">
        <v>2260</v>
      </c>
      <c r="DS658" s="1061" t="s">
        <v>2260</v>
      </c>
      <c r="DT658" s="1188" t="s">
        <v>2260</v>
      </c>
      <c r="DU658" s="1054" t="s">
        <v>2260</v>
      </c>
      <c r="DV658" s="1063">
        <v>1</v>
      </c>
      <c r="DW658" s="1064" t="s">
        <v>2260</v>
      </c>
    </row>
    <row r="659" spans="1:127" s="382" customFormat="1" ht="15.75" customHeight="1">
      <c r="A659" s="1066" t="s">
        <v>1241</v>
      </c>
      <c r="B659" s="1026">
        <v>650</v>
      </c>
      <c r="C659" s="987"/>
      <c r="D659" s="987"/>
      <c r="E659" s="987"/>
      <c r="F659" s="987"/>
      <c r="G659" s="987"/>
      <c r="H659" s="987"/>
      <c r="I659" s="987"/>
      <c r="J659" s="987"/>
      <c r="K659" s="987"/>
      <c r="L659" s="987"/>
      <c r="M659" s="1026"/>
      <c r="N659" s="987"/>
      <c r="O659" s="987"/>
      <c r="P659" s="987"/>
      <c r="Q659" s="987"/>
      <c r="R659" s="987"/>
      <c r="S659" s="987"/>
      <c r="T659" s="988"/>
      <c r="U659" s="1067" t="s">
        <v>1293</v>
      </c>
      <c r="V659" s="1068" t="s">
        <v>4293</v>
      </c>
      <c r="W659" s="1068" t="s">
        <v>2231</v>
      </c>
      <c r="X659" s="1069">
        <v>23</v>
      </c>
      <c r="Y659" s="1070" t="s">
        <v>209</v>
      </c>
      <c r="Z659" s="1071" t="s">
        <v>4333</v>
      </c>
      <c r="AA659" s="1072">
        <v>0</v>
      </c>
      <c r="AB659" s="1073">
        <v>1</v>
      </c>
      <c r="AC659" s="1073">
        <v>0</v>
      </c>
      <c r="AD659" s="1073">
        <v>0</v>
      </c>
      <c r="AE659" s="1073">
        <v>0</v>
      </c>
      <c r="AF659" s="1073">
        <v>0</v>
      </c>
      <c r="AG659" s="1073">
        <v>0</v>
      </c>
      <c r="AH659" s="1073">
        <v>0</v>
      </c>
      <c r="AI659" s="1074">
        <f t="shared" si="10"/>
        <v>1</v>
      </c>
      <c r="AJ659" s="1075" t="s">
        <v>1846</v>
      </c>
      <c r="AK659" s="1075" t="s">
        <v>1826</v>
      </c>
      <c r="AL659" s="1075" t="s">
        <v>1827</v>
      </c>
      <c r="AM659" s="1076" t="s">
        <v>2238</v>
      </c>
      <c r="AN659" s="987" t="s">
        <v>321</v>
      </c>
      <c r="AO659" s="987" t="s">
        <v>4418</v>
      </c>
      <c r="AP659" s="2042">
        <v>2</v>
      </c>
      <c r="AQ659" s="1045" t="s">
        <v>1838</v>
      </c>
      <c r="AR659" s="1078" t="s">
        <v>209</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210</v>
      </c>
      <c r="CE659" s="1088" t="s">
        <v>210</v>
      </c>
      <c r="CF659" s="1088" t="s">
        <v>210</v>
      </c>
      <c r="CG659" s="1088" t="s">
        <v>210</v>
      </c>
      <c r="CH659" s="1089" t="s">
        <v>210</v>
      </c>
      <c r="CI659" s="1044" t="s">
        <v>2260</v>
      </c>
      <c r="CJ659" s="1045" t="s">
        <v>2260</v>
      </c>
      <c r="CK659" s="1045" t="s">
        <v>2260</v>
      </c>
      <c r="CL659" s="1045" t="s">
        <v>2260</v>
      </c>
      <c r="CM659" s="1086" t="s">
        <v>2260</v>
      </c>
      <c r="CN659" s="1044">
        <v>10.23</v>
      </c>
      <c r="CO659" s="1045">
        <v>10.23</v>
      </c>
      <c r="CP659" s="1045">
        <v>10.23</v>
      </c>
      <c r="CQ659" s="1045">
        <v>10.23</v>
      </c>
      <c r="CR659" s="1086">
        <v>10.23</v>
      </c>
      <c r="CS659" s="1181">
        <v>6.14</v>
      </c>
      <c r="CT659" s="1182">
        <v>5.3</v>
      </c>
      <c r="CU659" s="1182">
        <v>4.4800000000000004</v>
      </c>
      <c r="CV659" s="1182">
        <v>3.64</v>
      </c>
      <c r="CW659" s="1184">
        <v>2.81</v>
      </c>
      <c r="CX659" s="1044" t="s">
        <v>2260</v>
      </c>
      <c r="CY659" s="1045" t="s">
        <v>2260</v>
      </c>
      <c r="CZ659" s="1045" t="s">
        <v>2260</v>
      </c>
      <c r="DA659" s="1045" t="s">
        <v>2260</v>
      </c>
      <c r="DB659" s="1086" t="s">
        <v>2260</v>
      </c>
      <c r="DC659" s="1045" t="s">
        <v>2260</v>
      </c>
      <c r="DD659" s="1045" t="s">
        <v>2260</v>
      </c>
      <c r="DE659" s="1045" t="s">
        <v>2260</v>
      </c>
      <c r="DF659" s="1045" t="s">
        <v>2260</v>
      </c>
      <c r="DG659" s="1086" t="s">
        <v>2260</v>
      </c>
      <c r="DH659" s="1044" t="s">
        <v>2260</v>
      </c>
      <c r="DI659" s="1045" t="s">
        <v>2260</v>
      </c>
      <c r="DJ659" s="1045" t="s">
        <v>2260</v>
      </c>
      <c r="DK659" s="1045" t="s">
        <v>2260</v>
      </c>
      <c r="DL659" s="1086" t="s">
        <v>2260</v>
      </c>
      <c r="DM659" s="1090">
        <v>-1.7989999999999999</v>
      </c>
      <c r="DN659" s="1091" t="s">
        <v>2260</v>
      </c>
      <c r="DO659" s="1091" t="s">
        <v>2260</v>
      </c>
      <c r="DP659" s="1092" t="s">
        <v>2260</v>
      </c>
      <c r="DQ659" s="1091" t="s">
        <v>2260</v>
      </c>
      <c r="DR659" s="1091" t="s">
        <v>2260</v>
      </c>
      <c r="DS659" s="1091" t="s">
        <v>2260</v>
      </c>
      <c r="DT659" s="1092" t="s">
        <v>2260</v>
      </c>
      <c r="DU659" s="1088" t="s">
        <v>2260</v>
      </c>
      <c r="DV659" s="1093">
        <v>1</v>
      </c>
      <c r="DW659" s="1094" t="s">
        <v>2260</v>
      </c>
    </row>
    <row r="660" spans="1:127" s="382" customFormat="1" ht="15.75" customHeight="1">
      <c r="A660" s="1066" t="s">
        <v>1241</v>
      </c>
      <c r="B660" s="1026">
        <v>651</v>
      </c>
      <c r="C660" s="987"/>
      <c r="D660" s="987"/>
      <c r="E660" s="987"/>
      <c r="F660" s="987"/>
      <c r="G660" s="987"/>
      <c r="H660" s="987"/>
      <c r="I660" s="987"/>
      <c r="J660" s="987"/>
      <c r="K660" s="987"/>
      <c r="L660" s="987"/>
      <c r="M660" s="1026"/>
      <c r="N660" s="987"/>
      <c r="O660" s="987"/>
      <c r="P660" s="987"/>
      <c r="Q660" s="987"/>
      <c r="R660" s="987"/>
      <c r="S660" s="987"/>
      <c r="T660" s="988"/>
      <c r="U660" s="1067" t="s">
        <v>1292</v>
      </c>
      <c r="V660" s="1068" t="s">
        <v>4293</v>
      </c>
      <c r="W660" s="1068" t="s">
        <v>2217</v>
      </c>
      <c r="X660" s="1069">
        <v>24</v>
      </c>
      <c r="Y660" s="1070" t="s">
        <v>203</v>
      </c>
      <c r="Z660" s="1071" t="s">
        <v>4335</v>
      </c>
      <c r="AA660" s="1072">
        <v>0</v>
      </c>
      <c r="AB660" s="1073">
        <v>1</v>
      </c>
      <c r="AC660" s="1073">
        <v>0</v>
      </c>
      <c r="AD660" s="1073">
        <v>0</v>
      </c>
      <c r="AE660" s="1073">
        <v>0</v>
      </c>
      <c r="AF660" s="1073">
        <v>0</v>
      </c>
      <c r="AG660" s="1073">
        <v>0</v>
      </c>
      <c r="AH660" s="1073">
        <v>0</v>
      </c>
      <c r="AI660" s="1074">
        <f t="shared" si="10"/>
        <v>1</v>
      </c>
      <c r="AJ660" s="1075" t="s">
        <v>1846</v>
      </c>
      <c r="AK660" s="1075" t="s">
        <v>1826</v>
      </c>
      <c r="AL660" s="1075" t="s">
        <v>1827</v>
      </c>
      <c r="AM660" s="1076" t="s">
        <v>2363</v>
      </c>
      <c r="AN660" s="987" t="s">
        <v>2439</v>
      </c>
      <c r="AO660" s="987" t="s">
        <v>4419</v>
      </c>
      <c r="AP660" s="2042">
        <v>1</v>
      </c>
      <c r="AQ660" s="1045" t="s">
        <v>1838</v>
      </c>
      <c r="AR660" s="1078" t="s">
        <v>203</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210</v>
      </c>
      <c r="CE660" s="1088" t="s">
        <v>210</v>
      </c>
      <c r="CF660" s="1088" t="s">
        <v>210</v>
      </c>
      <c r="CG660" s="1088" t="s">
        <v>210</v>
      </c>
      <c r="CH660" s="1089" t="s">
        <v>210</v>
      </c>
      <c r="CI660" s="1044" t="s">
        <v>2260</v>
      </c>
      <c r="CJ660" s="1045" t="s">
        <v>2260</v>
      </c>
      <c r="CK660" s="1045" t="s">
        <v>2260</v>
      </c>
      <c r="CL660" s="1045" t="s">
        <v>2260</v>
      </c>
      <c r="CM660" s="1086" t="s">
        <v>2260</v>
      </c>
      <c r="CN660" s="1044" t="s">
        <v>2260</v>
      </c>
      <c r="CO660" s="1045" t="s">
        <v>2260</v>
      </c>
      <c r="CP660" s="1045" t="s">
        <v>2260</v>
      </c>
      <c r="CQ660" s="1045" t="s">
        <v>2260</v>
      </c>
      <c r="CR660" s="1086" t="s">
        <v>2260</v>
      </c>
      <c r="CS660" s="1183">
        <v>196.1</v>
      </c>
      <c r="CT660" s="1185">
        <v>193.6</v>
      </c>
      <c r="CU660" s="1185">
        <v>191</v>
      </c>
      <c r="CV660" s="1185">
        <v>188.4</v>
      </c>
      <c r="CW660" s="1186">
        <v>185.8</v>
      </c>
      <c r="CX660" s="1044" t="s">
        <v>2260</v>
      </c>
      <c r="CY660" s="1045" t="s">
        <v>2260</v>
      </c>
      <c r="CZ660" s="1045" t="s">
        <v>2260</v>
      </c>
      <c r="DA660" s="1045" t="s">
        <v>2260</v>
      </c>
      <c r="DB660" s="1086" t="s">
        <v>2260</v>
      </c>
      <c r="DC660" s="1045" t="s">
        <v>2260</v>
      </c>
      <c r="DD660" s="1045" t="s">
        <v>2260</v>
      </c>
      <c r="DE660" s="1045" t="s">
        <v>2260</v>
      </c>
      <c r="DF660" s="1045" t="s">
        <v>2260</v>
      </c>
      <c r="DG660" s="1086" t="s">
        <v>2260</v>
      </c>
      <c r="DH660" s="1044" t="s">
        <v>2260</v>
      </c>
      <c r="DI660" s="1045" t="s">
        <v>2260</v>
      </c>
      <c r="DJ660" s="1045" t="s">
        <v>2260</v>
      </c>
      <c r="DK660" s="1045" t="s">
        <v>2260</v>
      </c>
      <c r="DL660" s="1086" t="s">
        <v>2260</v>
      </c>
      <c r="DM660" s="1090">
        <v>-0.16700000000000001</v>
      </c>
      <c r="DN660" s="1091" t="s">
        <v>2260</v>
      </c>
      <c r="DO660" s="1091" t="s">
        <v>2260</v>
      </c>
      <c r="DP660" s="1092" t="s">
        <v>2260</v>
      </c>
      <c r="DQ660" s="1091" t="s">
        <v>2260</v>
      </c>
      <c r="DR660" s="1091" t="s">
        <v>2260</v>
      </c>
      <c r="DS660" s="1091" t="s">
        <v>2260</v>
      </c>
      <c r="DT660" s="1092" t="s">
        <v>2260</v>
      </c>
      <c r="DU660" s="1088" t="s">
        <v>2260</v>
      </c>
      <c r="DV660" s="1093">
        <v>1</v>
      </c>
      <c r="DW660" s="1094" t="s">
        <v>2260</v>
      </c>
    </row>
    <row r="661" spans="1:127" s="382" customFormat="1" ht="15.75" customHeight="1">
      <c r="A661" s="1023" t="s">
        <v>1241</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1298</v>
      </c>
      <c r="V661" s="1029" t="s">
        <v>4293</v>
      </c>
      <c r="W661" s="1029" t="s">
        <v>2217</v>
      </c>
      <c r="X661" s="1030">
        <v>25</v>
      </c>
      <c r="Y661" s="1031" t="s">
        <v>1084</v>
      </c>
      <c r="Z661" s="1032" t="s">
        <v>4337</v>
      </c>
      <c r="AA661" s="1033">
        <v>0</v>
      </c>
      <c r="AB661" s="1034">
        <v>1</v>
      </c>
      <c r="AC661" s="1034">
        <v>0</v>
      </c>
      <c r="AD661" s="1034">
        <v>0</v>
      </c>
      <c r="AE661" s="1034">
        <v>0</v>
      </c>
      <c r="AF661" s="1034">
        <v>0</v>
      </c>
      <c r="AG661" s="1034">
        <v>0</v>
      </c>
      <c r="AH661" s="1034">
        <v>0</v>
      </c>
      <c r="AI661" s="1035">
        <f t="shared" si="10"/>
        <v>1</v>
      </c>
      <c r="AJ661" s="1036" t="s">
        <v>1852</v>
      </c>
      <c r="AK661" s="1036" t="s">
        <v>1826</v>
      </c>
      <c r="AL661" s="1389" t="s">
        <v>1837</v>
      </c>
      <c r="AM661" s="1037" t="s">
        <v>2348</v>
      </c>
      <c r="AN661" s="1031" t="s">
        <v>2397</v>
      </c>
      <c r="AO661" s="1031" t="s">
        <v>4416</v>
      </c>
      <c r="AP661" s="1049">
        <v>1</v>
      </c>
      <c r="AQ661" s="802" t="s">
        <v>1828</v>
      </c>
      <c r="AR661" s="1040" t="s">
        <v>1084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210</v>
      </c>
      <c r="CE661" s="1054" t="s">
        <v>210</v>
      </c>
      <c r="CF661" s="1054" t="s">
        <v>210</v>
      </c>
      <c r="CG661" s="1054" t="s">
        <v>210</v>
      </c>
      <c r="CH661" s="1055" t="s">
        <v>210</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2260</v>
      </c>
      <c r="CT661" s="1049" t="s">
        <v>2260</v>
      </c>
      <c r="CU661" s="1049" t="s">
        <v>2260</v>
      </c>
      <c r="CV661" s="1049" t="s">
        <v>2260</v>
      </c>
      <c r="CW661" s="1052" t="s">
        <v>2260</v>
      </c>
      <c r="CX661" s="1048" t="s">
        <v>2260</v>
      </c>
      <c r="CY661" s="1049" t="s">
        <v>2260</v>
      </c>
      <c r="CZ661" s="1049" t="s">
        <v>2260</v>
      </c>
      <c r="DA661" s="1049" t="s">
        <v>2260</v>
      </c>
      <c r="DB661" s="1052" t="s">
        <v>2260</v>
      </c>
      <c r="DC661" s="1056">
        <v>12.3</v>
      </c>
      <c r="DD661" s="1056">
        <v>12.3</v>
      </c>
      <c r="DE661" s="1056">
        <v>12.3</v>
      </c>
      <c r="DF661" s="1056">
        <v>12.3</v>
      </c>
      <c r="DG661" s="1057">
        <v>12.3</v>
      </c>
      <c r="DH661" s="1058" t="s">
        <v>4430</v>
      </c>
      <c r="DI661" s="1049" t="s">
        <v>4430</v>
      </c>
      <c r="DJ661" s="1049" t="s">
        <v>4430</v>
      </c>
      <c r="DK661" s="1049" t="s">
        <v>4430</v>
      </c>
      <c r="DL661" s="1052" t="s">
        <v>4430</v>
      </c>
      <c r="DM661" s="1060">
        <v>-0.222</v>
      </c>
      <c r="DN661" s="1061" t="s">
        <v>2260</v>
      </c>
      <c r="DO661" s="1061" t="s">
        <v>2260</v>
      </c>
      <c r="DP661" s="1126">
        <v>-0.78700000000000003</v>
      </c>
      <c r="DQ661" s="1061">
        <v>0.185</v>
      </c>
      <c r="DR661" s="1061" t="s">
        <v>2260</v>
      </c>
      <c r="DS661" s="1061" t="s">
        <v>2260</v>
      </c>
      <c r="DT661" s="1062">
        <v>0.78700000000000003</v>
      </c>
      <c r="DU661" s="1054" t="s">
        <v>2260</v>
      </c>
      <c r="DV661" s="1063">
        <v>1</v>
      </c>
      <c r="DW661" s="1064" t="s">
        <v>2260</v>
      </c>
    </row>
    <row r="662" spans="1:127" s="382" customFormat="1" ht="15.75" customHeight="1">
      <c r="A662" s="1066" t="s">
        <v>1241</v>
      </c>
      <c r="B662" s="1026">
        <v>653</v>
      </c>
      <c r="C662" s="987"/>
      <c r="D662" s="987"/>
      <c r="E662" s="987"/>
      <c r="F662" s="987"/>
      <c r="G662" s="987"/>
      <c r="H662" s="987"/>
      <c r="I662" s="987"/>
      <c r="J662" s="987"/>
      <c r="K662" s="987"/>
      <c r="L662" s="987"/>
      <c r="M662" s="1026"/>
      <c r="N662" s="987"/>
      <c r="O662" s="987"/>
      <c r="P662" s="987"/>
      <c r="Q662" s="987"/>
      <c r="R662" s="987"/>
      <c r="S662" s="987"/>
      <c r="T662" s="988"/>
      <c r="U662" s="1067" t="s">
        <v>1405</v>
      </c>
      <c r="V662" s="1068" t="s">
        <v>4293</v>
      </c>
      <c r="W662" s="1068" t="s">
        <v>2217</v>
      </c>
      <c r="X662" s="1069">
        <v>26</v>
      </c>
      <c r="Y662" s="1070" t="s">
        <v>4339</v>
      </c>
      <c r="Z662" s="1071" t="s">
        <v>4340</v>
      </c>
      <c r="AA662" s="1072">
        <v>0</v>
      </c>
      <c r="AB662" s="1073">
        <v>1</v>
      </c>
      <c r="AC662" s="1073">
        <v>0</v>
      </c>
      <c r="AD662" s="1073">
        <v>0</v>
      </c>
      <c r="AE662" s="1073">
        <v>0</v>
      </c>
      <c r="AF662" s="1073">
        <v>0</v>
      </c>
      <c r="AG662" s="1073">
        <v>0</v>
      </c>
      <c r="AH662" s="1073">
        <v>0</v>
      </c>
      <c r="AI662" s="1074">
        <f t="shared" si="10"/>
        <v>1</v>
      </c>
      <c r="AJ662" s="1075" t="s">
        <v>1852</v>
      </c>
      <c r="AK662" s="1075" t="s">
        <v>1826</v>
      </c>
      <c r="AL662" s="1075" t="s">
        <v>1827</v>
      </c>
      <c r="AM662" s="1076" t="s">
        <v>2421</v>
      </c>
      <c r="AN662" s="987" t="s">
        <v>439</v>
      </c>
      <c r="AO662" s="987" t="s">
        <v>4423</v>
      </c>
      <c r="AP662" s="802">
        <v>2</v>
      </c>
      <c r="AQ662" s="1045" t="s">
        <v>1838</v>
      </c>
      <c r="AR662" s="1078"/>
      <c r="AS662" s="1079"/>
      <c r="AT662" s="1069"/>
      <c r="AU662" s="1069"/>
      <c r="AV662" s="1069"/>
      <c r="AW662" s="1080"/>
      <c r="AX662" s="1081"/>
      <c r="AY662" s="1044"/>
      <c r="AZ662" s="1045"/>
      <c r="BA662" s="1045"/>
      <c r="BB662" s="1045"/>
      <c r="BC662" s="1045"/>
      <c r="BD662" s="1045"/>
      <c r="BE662" s="1045"/>
      <c r="BF662" s="1045"/>
      <c r="BG662" s="1045"/>
      <c r="BH662" s="1045"/>
      <c r="BI662" s="1369"/>
      <c r="BJ662" s="1319"/>
      <c r="BK662" s="1319"/>
      <c r="BL662" s="1319"/>
      <c r="BM662" s="1319"/>
      <c r="BN662" s="1044"/>
      <c r="BO662" s="1045"/>
      <c r="BP662" s="1045"/>
      <c r="BQ662" s="1045"/>
      <c r="BR662" s="1045"/>
      <c r="BS662" s="1084"/>
      <c r="BT662" s="1045"/>
      <c r="BU662" s="1045"/>
      <c r="BV662" s="1045"/>
      <c r="BW662" s="1085"/>
      <c r="BX662" s="1084"/>
      <c r="BY662" s="1045"/>
      <c r="BZ662" s="1045"/>
      <c r="CA662" s="1045"/>
      <c r="CB662" s="1085"/>
      <c r="CC662" s="1086"/>
      <c r="CD662" s="1327"/>
      <c r="CE662" s="1328"/>
      <c r="CF662" s="1328"/>
      <c r="CG662" s="1328"/>
      <c r="CH662" s="1389"/>
      <c r="CI662" s="1369"/>
      <c r="CJ662" s="1319"/>
      <c r="CK662" s="1319"/>
      <c r="CL662" s="1319"/>
      <c r="CM662" s="1320"/>
      <c r="CN662" s="1369"/>
      <c r="CO662" s="1319"/>
      <c r="CP662" s="1319"/>
      <c r="CQ662" s="1319"/>
      <c r="CR662" s="1320"/>
      <c r="CS662" s="1369"/>
      <c r="CT662" s="1319"/>
      <c r="CU662" s="1319"/>
      <c r="CV662" s="1319"/>
      <c r="CW662" s="1320"/>
      <c r="CX662" s="1369"/>
      <c r="CY662" s="1319"/>
      <c r="CZ662" s="1319"/>
      <c r="DA662" s="1319"/>
      <c r="DB662" s="1320"/>
      <c r="DC662" s="1319"/>
      <c r="DD662" s="1319"/>
      <c r="DE662" s="1319"/>
      <c r="DF662" s="1319"/>
      <c r="DG662" s="1320"/>
      <c r="DH662" s="1369"/>
      <c r="DI662" s="1319"/>
      <c r="DJ662" s="1319"/>
      <c r="DK662" s="1319"/>
      <c r="DL662" s="1320"/>
      <c r="DM662" s="1743"/>
      <c r="DN662" s="1744"/>
      <c r="DO662" s="1744"/>
      <c r="DP662" s="1745"/>
      <c r="DQ662" s="1744"/>
      <c r="DR662" s="1744"/>
      <c r="DS662" s="1744"/>
      <c r="DT662" s="1745"/>
      <c r="DU662" s="1328"/>
      <c r="DV662" s="1664"/>
      <c r="DW662" s="1746"/>
    </row>
    <row r="663" spans="1:127" s="382" customFormat="1" ht="15.75" customHeight="1">
      <c r="A663" s="1066" t="s">
        <v>1241</v>
      </c>
      <c r="B663" s="1026">
        <v>654</v>
      </c>
      <c r="C663" s="987"/>
      <c r="D663" s="987"/>
      <c r="E663" s="987"/>
      <c r="F663" s="987"/>
      <c r="G663" s="987"/>
      <c r="H663" s="987"/>
      <c r="I663" s="987"/>
      <c r="J663" s="987"/>
      <c r="K663" s="987"/>
      <c r="L663" s="987"/>
      <c r="M663" s="1026"/>
      <c r="N663" s="987"/>
      <c r="O663" s="987"/>
      <c r="P663" s="987"/>
      <c r="Q663" s="987"/>
      <c r="R663" s="987"/>
      <c r="S663" s="987"/>
      <c r="T663" s="988"/>
      <c r="U663" s="1067" t="s">
        <v>1422</v>
      </c>
      <c r="V663" s="1068" t="s">
        <v>4293</v>
      </c>
      <c r="W663" s="1068" t="s">
        <v>2217</v>
      </c>
      <c r="X663" s="1069">
        <v>27</v>
      </c>
      <c r="Y663" s="1070" t="s">
        <v>4342</v>
      </c>
      <c r="Z663" s="1071" t="s">
        <v>4343</v>
      </c>
      <c r="AA663" s="1072">
        <v>0</v>
      </c>
      <c r="AB663" s="1073">
        <v>1</v>
      </c>
      <c r="AC663" s="1073">
        <v>0</v>
      </c>
      <c r="AD663" s="1073">
        <v>0</v>
      </c>
      <c r="AE663" s="1073">
        <v>0</v>
      </c>
      <c r="AF663" s="1073">
        <v>0</v>
      </c>
      <c r="AG663" s="1073">
        <v>0</v>
      </c>
      <c r="AH663" s="1073">
        <v>0</v>
      </c>
      <c r="AI663" s="1074">
        <f t="shared" si="10"/>
        <v>1</v>
      </c>
      <c r="AJ663" s="1075" t="s">
        <v>1852</v>
      </c>
      <c r="AK663" s="1075" t="s">
        <v>1826</v>
      </c>
      <c r="AL663" s="1075" t="s">
        <v>1827</v>
      </c>
      <c r="AM663" s="1076" t="s">
        <v>2220</v>
      </c>
      <c r="AN663" s="987" t="s">
        <v>1857</v>
      </c>
      <c r="AO663" s="987" t="s">
        <v>4344</v>
      </c>
      <c r="AP663" s="802">
        <v>0</v>
      </c>
      <c r="AQ663" s="1045" t="s">
        <v>1838</v>
      </c>
      <c r="AR663" s="1078" t="s">
        <v>2260</v>
      </c>
      <c r="AS663" s="1079"/>
      <c r="AT663" s="1069"/>
      <c r="AU663" s="1069"/>
      <c r="AV663" s="1069"/>
      <c r="AW663" s="1080"/>
      <c r="AX663" s="1081"/>
      <c r="AY663" s="1044"/>
      <c r="AZ663" s="1045"/>
      <c r="BA663" s="1045"/>
      <c r="BB663" s="1045"/>
      <c r="BC663" s="1045"/>
      <c r="BD663" s="1045"/>
      <c r="BE663" s="1045"/>
      <c r="BF663" s="1045"/>
      <c r="BG663" s="1045"/>
      <c r="BH663" s="1045"/>
      <c r="BI663" s="1369"/>
      <c r="BJ663" s="1319"/>
      <c r="BK663" s="1319"/>
      <c r="BL663" s="1319"/>
      <c r="BM663" s="1319"/>
      <c r="BN663" s="1044"/>
      <c r="BO663" s="1045"/>
      <c r="BP663" s="1045"/>
      <c r="BQ663" s="1045"/>
      <c r="BR663" s="1045"/>
      <c r="BS663" s="1084"/>
      <c r="BT663" s="1045"/>
      <c r="BU663" s="1045"/>
      <c r="BV663" s="1045"/>
      <c r="BW663" s="1085"/>
      <c r="BX663" s="1084"/>
      <c r="BY663" s="1045"/>
      <c r="BZ663" s="1045"/>
      <c r="CA663" s="1045"/>
      <c r="CB663" s="1085"/>
      <c r="CC663" s="1086"/>
      <c r="CD663" s="1327"/>
      <c r="CE663" s="1328"/>
      <c r="CF663" s="1328"/>
      <c r="CG663" s="1328"/>
      <c r="CH663" s="1389"/>
      <c r="CI663" s="1369"/>
      <c r="CJ663" s="1319"/>
      <c r="CK663" s="1319"/>
      <c r="CL663" s="1319"/>
      <c r="CM663" s="1320"/>
      <c r="CN663" s="1369"/>
      <c r="CO663" s="1319"/>
      <c r="CP663" s="1319"/>
      <c r="CQ663" s="1319"/>
      <c r="CR663" s="1320"/>
      <c r="CS663" s="1369"/>
      <c r="CT663" s="1319"/>
      <c r="CU663" s="1319"/>
      <c r="CV663" s="1319"/>
      <c r="CW663" s="1320"/>
      <c r="CX663" s="1369"/>
      <c r="CY663" s="1319"/>
      <c r="CZ663" s="1319"/>
      <c r="DA663" s="1319"/>
      <c r="DB663" s="1320"/>
      <c r="DC663" s="1319"/>
      <c r="DD663" s="1319"/>
      <c r="DE663" s="1319"/>
      <c r="DF663" s="1319"/>
      <c r="DG663" s="1320"/>
      <c r="DH663" s="1369"/>
      <c r="DI663" s="1319"/>
      <c r="DJ663" s="1319"/>
      <c r="DK663" s="1319"/>
      <c r="DL663" s="1320"/>
      <c r="DM663" s="1743"/>
      <c r="DN663" s="1744"/>
      <c r="DO663" s="1744"/>
      <c r="DP663" s="1745"/>
      <c r="DQ663" s="1744"/>
      <c r="DR663" s="1744"/>
      <c r="DS663" s="1744"/>
      <c r="DT663" s="1745"/>
      <c r="DU663" s="1328"/>
      <c r="DV663" s="1664"/>
      <c r="DW663" s="1746"/>
    </row>
    <row r="664" spans="1:127" s="382" customFormat="1" ht="15.75" customHeight="1">
      <c r="A664" s="1066" t="s">
        <v>1241</v>
      </c>
      <c r="B664" s="1026">
        <v>655</v>
      </c>
      <c r="C664" s="987"/>
      <c r="D664" s="987"/>
      <c r="E664" s="987"/>
      <c r="F664" s="987"/>
      <c r="G664" s="987"/>
      <c r="H664" s="987"/>
      <c r="I664" s="987"/>
      <c r="J664" s="987"/>
      <c r="K664" s="987"/>
      <c r="L664" s="987"/>
      <c r="M664" s="1026"/>
      <c r="N664" s="987"/>
      <c r="O664" s="987"/>
      <c r="P664" s="987"/>
      <c r="Q664" s="987"/>
      <c r="R664" s="987"/>
      <c r="S664" s="987"/>
      <c r="T664" s="988"/>
      <c r="U664" s="1067" t="s">
        <v>1438</v>
      </c>
      <c r="V664" s="1068" t="s">
        <v>4293</v>
      </c>
      <c r="W664" s="1068" t="s">
        <v>2223</v>
      </c>
      <c r="X664" s="1069">
        <v>28</v>
      </c>
      <c r="Y664" s="1070" t="s">
        <v>2297</v>
      </c>
      <c r="Z664" s="1071" t="s">
        <v>4345</v>
      </c>
      <c r="AA664" s="1072">
        <v>0</v>
      </c>
      <c r="AB664" s="1073">
        <v>1</v>
      </c>
      <c r="AC664" s="1073">
        <v>0</v>
      </c>
      <c r="AD664" s="1073">
        <v>0</v>
      </c>
      <c r="AE664" s="1073">
        <v>0</v>
      </c>
      <c r="AF664" s="1073">
        <v>0</v>
      </c>
      <c r="AG664" s="1073">
        <v>0</v>
      </c>
      <c r="AH664" s="1073">
        <v>0</v>
      </c>
      <c r="AI664" s="1074">
        <f t="shared" si="10"/>
        <v>1</v>
      </c>
      <c r="AJ664" s="1075" t="s">
        <v>1852</v>
      </c>
      <c r="AK664" s="1075" t="s">
        <v>1826</v>
      </c>
      <c r="AL664" s="1075" t="s">
        <v>1827</v>
      </c>
      <c r="AM664" s="1076" t="s">
        <v>2297</v>
      </c>
      <c r="AN664" s="987" t="s">
        <v>2439</v>
      </c>
      <c r="AO664" s="987" t="s">
        <v>4421</v>
      </c>
      <c r="AP664" s="802">
        <v>0</v>
      </c>
      <c r="AQ664" s="1045" t="s">
        <v>1838</v>
      </c>
      <c r="AR664" s="1078"/>
      <c r="AS664" s="1079"/>
      <c r="AT664" s="1069"/>
      <c r="AU664" s="1069"/>
      <c r="AV664" s="1069"/>
      <c r="AW664" s="1080"/>
      <c r="AX664" s="1081"/>
      <c r="AY664" s="1044"/>
      <c r="AZ664" s="1045"/>
      <c r="BA664" s="1045"/>
      <c r="BB664" s="1045"/>
      <c r="BC664" s="1045"/>
      <c r="BD664" s="1045"/>
      <c r="BE664" s="1045"/>
      <c r="BF664" s="1045"/>
      <c r="BG664" s="1045"/>
      <c r="BH664" s="1045"/>
      <c r="BI664" s="1369"/>
      <c r="BJ664" s="1319"/>
      <c r="BK664" s="1319"/>
      <c r="BL664" s="1319"/>
      <c r="BM664" s="1319"/>
      <c r="BN664" s="1044"/>
      <c r="BO664" s="1045"/>
      <c r="BP664" s="1045"/>
      <c r="BQ664" s="1045"/>
      <c r="BR664" s="1045"/>
      <c r="BS664" s="1084"/>
      <c r="BT664" s="1045"/>
      <c r="BU664" s="1045"/>
      <c r="BV664" s="1045"/>
      <c r="BW664" s="1085"/>
      <c r="BX664" s="1084"/>
      <c r="BY664" s="1045"/>
      <c r="BZ664" s="1045"/>
      <c r="CA664" s="1045"/>
      <c r="CB664" s="1085"/>
      <c r="CC664" s="1086"/>
      <c r="CD664" s="1327"/>
      <c r="CE664" s="1328"/>
      <c r="CF664" s="1328"/>
      <c r="CG664" s="1328"/>
      <c r="CH664" s="1389"/>
      <c r="CI664" s="1369"/>
      <c r="CJ664" s="1319"/>
      <c r="CK664" s="1319"/>
      <c r="CL664" s="1319"/>
      <c r="CM664" s="1320"/>
      <c r="CN664" s="1369"/>
      <c r="CO664" s="1319"/>
      <c r="CP664" s="1319"/>
      <c r="CQ664" s="1319"/>
      <c r="CR664" s="1320"/>
      <c r="CS664" s="1369"/>
      <c r="CT664" s="1319"/>
      <c r="CU664" s="1319"/>
      <c r="CV664" s="1319"/>
      <c r="CW664" s="1320"/>
      <c r="CX664" s="1369"/>
      <c r="CY664" s="1319"/>
      <c r="CZ664" s="1319"/>
      <c r="DA664" s="1319"/>
      <c r="DB664" s="1320"/>
      <c r="DC664" s="1319"/>
      <c r="DD664" s="1319"/>
      <c r="DE664" s="1319"/>
      <c r="DF664" s="1319"/>
      <c r="DG664" s="1320"/>
      <c r="DH664" s="1369"/>
      <c r="DI664" s="1319"/>
      <c r="DJ664" s="1319"/>
      <c r="DK664" s="1319"/>
      <c r="DL664" s="1320"/>
      <c r="DM664" s="1743"/>
      <c r="DN664" s="1744"/>
      <c r="DO664" s="1744"/>
      <c r="DP664" s="1745"/>
      <c r="DQ664" s="1744"/>
      <c r="DR664" s="1744"/>
      <c r="DS664" s="1744"/>
      <c r="DT664" s="1745"/>
      <c r="DU664" s="1328"/>
      <c r="DV664" s="1664"/>
      <c r="DW664" s="1746"/>
    </row>
    <row r="665" spans="1:127" s="382" customFormat="1" ht="15.75" customHeight="1">
      <c r="A665" s="1066" t="s">
        <v>1241</v>
      </c>
      <c r="B665" s="1026">
        <v>656</v>
      </c>
      <c r="C665" s="987"/>
      <c r="D665" s="987"/>
      <c r="E665" s="987"/>
      <c r="F665" s="987"/>
      <c r="G665" s="987"/>
      <c r="H665" s="987"/>
      <c r="I665" s="987"/>
      <c r="J665" s="987"/>
      <c r="K665" s="987"/>
      <c r="L665" s="987"/>
      <c r="M665" s="1026"/>
      <c r="N665" s="987"/>
      <c r="O665" s="987"/>
      <c r="P665" s="987"/>
      <c r="Q665" s="987"/>
      <c r="R665" s="987"/>
      <c r="S665" s="987"/>
      <c r="T665" s="988"/>
      <c r="U665" s="1067" t="s">
        <v>1453</v>
      </c>
      <c r="V665" s="1068" t="s">
        <v>4293</v>
      </c>
      <c r="W665" s="1068" t="s">
        <v>2231</v>
      </c>
      <c r="X665" s="1069">
        <v>29</v>
      </c>
      <c r="Y665" s="1070" t="s">
        <v>4347</v>
      </c>
      <c r="Z665" s="1071" t="s">
        <v>4348</v>
      </c>
      <c r="AA665" s="1072">
        <v>0</v>
      </c>
      <c r="AB665" s="1073">
        <v>1</v>
      </c>
      <c r="AC665" s="1073">
        <v>0</v>
      </c>
      <c r="AD665" s="1073">
        <v>0</v>
      </c>
      <c r="AE665" s="1073">
        <v>0</v>
      </c>
      <c r="AF665" s="1073">
        <v>0</v>
      </c>
      <c r="AG665" s="1073">
        <v>0</v>
      </c>
      <c r="AH665" s="1073">
        <v>0</v>
      </c>
      <c r="AI665" s="1074">
        <f t="shared" si="10"/>
        <v>1</v>
      </c>
      <c r="AJ665" s="1075" t="s">
        <v>1852</v>
      </c>
      <c r="AK665" s="1075" t="s">
        <v>1826</v>
      </c>
      <c r="AL665" s="1075" t="s">
        <v>1827</v>
      </c>
      <c r="AM665" s="1076" t="s">
        <v>2220</v>
      </c>
      <c r="AN665" s="987" t="s">
        <v>1857</v>
      </c>
      <c r="AO665" s="987" t="s">
        <v>4349</v>
      </c>
      <c r="AP665" s="802">
        <v>0</v>
      </c>
      <c r="AQ665" s="1045" t="s">
        <v>1828</v>
      </c>
      <c r="AR665" s="1078" t="s">
        <v>2260</v>
      </c>
      <c r="AS665" s="1079"/>
      <c r="AT665" s="1069"/>
      <c r="AU665" s="1069"/>
      <c r="AV665" s="1069"/>
      <c r="AW665" s="1080"/>
      <c r="AX665" s="1081"/>
      <c r="AY665" s="1044"/>
      <c r="AZ665" s="1045"/>
      <c r="BA665" s="1045"/>
      <c r="BB665" s="1045"/>
      <c r="BC665" s="1045"/>
      <c r="BD665" s="1045"/>
      <c r="BE665" s="1045"/>
      <c r="BF665" s="1045"/>
      <c r="BG665" s="1045"/>
      <c r="BH665" s="1045"/>
      <c r="BI665" s="1369"/>
      <c r="BJ665" s="1319"/>
      <c r="BK665" s="1319"/>
      <c r="BL665" s="1319"/>
      <c r="BM665" s="1319"/>
      <c r="BN665" s="1044"/>
      <c r="BO665" s="1045"/>
      <c r="BP665" s="1045"/>
      <c r="BQ665" s="1045"/>
      <c r="BR665" s="1045"/>
      <c r="BS665" s="1084"/>
      <c r="BT665" s="1045"/>
      <c r="BU665" s="1045"/>
      <c r="BV665" s="1045"/>
      <c r="BW665" s="1085"/>
      <c r="BX665" s="1084"/>
      <c r="BY665" s="1045"/>
      <c r="BZ665" s="1045"/>
      <c r="CA665" s="1045"/>
      <c r="CB665" s="1085"/>
      <c r="CC665" s="1086"/>
      <c r="CD665" s="1327"/>
      <c r="CE665" s="1328"/>
      <c r="CF665" s="1328"/>
      <c r="CG665" s="1328"/>
      <c r="CH665" s="1389"/>
      <c r="CI665" s="1369"/>
      <c r="CJ665" s="1319"/>
      <c r="CK665" s="1319"/>
      <c r="CL665" s="1319"/>
      <c r="CM665" s="1320"/>
      <c r="CN665" s="1369"/>
      <c r="CO665" s="1319"/>
      <c r="CP665" s="1319"/>
      <c r="CQ665" s="1319"/>
      <c r="CR665" s="1320"/>
      <c r="CS665" s="1369"/>
      <c r="CT665" s="1319"/>
      <c r="CU665" s="1319"/>
      <c r="CV665" s="1319"/>
      <c r="CW665" s="1320"/>
      <c r="CX665" s="1369"/>
      <c r="CY665" s="1319"/>
      <c r="CZ665" s="1319"/>
      <c r="DA665" s="1319"/>
      <c r="DB665" s="1320"/>
      <c r="DC665" s="1319"/>
      <c r="DD665" s="1319"/>
      <c r="DE665" s="1319"/>
      <c r="DF665" s="1319"/>
      <c r="DG665" s="1320"/>
      <c r="DH665" s="1369"/>
      <c r="DI665" s="1319"/>
      <c r="DJ665" s="1319"/>
      <c r="DK665" s="1319"/>
      <c r="DL665" s="1320"/>
      <c r="DM665" s="1743"/>
      <c r="DN665" s="1744"/>
      <c r="DO665" s="1744"/>
      <c r="DP665" s="1745"/>
      <c r="DQ665" s="1744"/>
      <c r="DR665" s="1744"/>
      <c r="DS665" s="1744"/>
      <c r="DT665" s="1745"/>
      <c r="DU665" s="1328"/>
      <c r="DV665" s="1664"/>
      <c r="DW665" s="1746"/>
    </row>
    <row r="666" spans="1:127" s="382" customFormat="1" ht="15.75" customHeight="1">
      <c r="A666" s="1023" t="s">
        <v>1241</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1248</v>
      </c>
      <c r="V666" s="1029" t="s">
        <v>4274</v>
      </c>
      <c r="W666" s="1029" t="s">
        <v>2217</v>
      </c>
      <c r="X666" s="1030">
        <v>30</v>
      </c>
      <c r="Y666" s="1031" t="s">
        <v>788</v>
      </c>
      <c r="Z666" s="1032" t="s">
        <v>4350</v>
      </c>
      <c r="AA666" s="1033">
        <v>0</v>
      </c>
      <c r="AB666" s="1034">
        <v>0</v>
      </c>
      <c r="AC666" s="1034">
        <v>1</v>
      </c>
      <c r="AD666" s="1034">
        <v>0</v>
      </c>
      <c r="AE666" s="1034">
        <v>0</v>
      </c>
      <c r="AF666" s="1034">
        <v>0</v>
      </c>
      <c r="AG666" s="1034">
        <v>0</v>
      </c>
      <c r="AH666" s="1034">
        <v>0</v>
      </c>
      <c r="AI666" s="1035">
        <f t="shared" si="10"/>
        <v>1</v>
      </c>
      <c r="AJ666" s="1036" t="s">
        <v>1852</v>
      </c>
      <c r="AK666" s="1036" t="s">
        <v>1826</v>
      </c>
      <c r="AL666" s="1036" t="s">
        <v>1827</v>
      </c>
      <c r="AM666" s="1037" t="s">
        <v>788</v>
      </c>
      <c r="AN666" s="1031" t="s">
        <v>2439</v>
      </c>
      <c r="AO666" s="1031" t="s">
        <v>4431</v>
      </c>
      <c r="AP666" s="1049">
        <v>2</v>
      </c>
      <c r="AQ666" s="1049" t="s">
        <v>1838</v>
      </c>
      <c r="AR666" s="1040" t="s">
        <v>788</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210</v>
      </c>
      <c r="CE666" s="1054" t="s">
        <v>210</v>
      </c>
      <c r="CF666" s="1054" t="s">
        <v>210</v>
      </c>
      <c r="CG666" s="1054" t="s">
        <v>210</v>
      </c>
      <c r="CH666" s="1055" t="s">
        <v>210</v>
      </c>
      <c r="CI666" s="1058">
        <v>98</v>
      </c>
      <c r="CJ666" s="1056">
        <v>98</v>
      </c>
      <c r="CK666" s="1056">
        <v>98</v>
      </c>
      <c r="CL666" s="1056">
        <v>98</v>
      </c>
      <c r="CM666" s="1057">
        <v>98</v>
      </c>
      <c r="CN666" s="1121">
        <v>41.6</v>
      </c>
      <c r="CO666" s="1056">
        <v>41.6</v>
      </c>
      <c r="CP666" s="1056">
        <v>41.6</v>
      </c>
      <c r="CQ666" s="1056">
        <v>41.6</v>
      </c>
      <c r="CR666" s="1057">
        <v>41.6</v>
      </c>
      <c r="CS666" s="1048" t="s">
        <v>2260</v>
      </c>
      <c r="CT666" s="1049" t="s">
        <v>2260</v>
      </c>
      <c r="CU666" s="1049" t="s">
        <v>2260</v>
      </c>
      <c r="CV666" s="1049" t="s">
        <v>2260</v>
      </c>
      <c r="CW666" s="1052" t="s">
        <v>2260</v>
      </c>
      <c r="CX666" s="1048" t="s">
        <v>2260</v>
      </c>
      <c r="CY666" s="1049" t="s">
        <v>2260</v>
      </c>
      <c r="CZ666" s="1049" t="s">
        <v>2260</v>
      </c>
      <c r="DA666" s="1049" t="s">
        <v>2260</v>
      </c>
      <c r="DB666" s="1052" t="s">
        <v>2260</v>
      </c>
      <c r="DC666" s="1056">
        <v>11.83</v>
      </c>
      <c r="DD666" s="1056">
        <v>11.46</v>
      </c>
      <c r="DE666" s="1056">
        <v>11.11</v>
      </c>
      <c r="DF666" s="1056">
        <v>10.82</v>
      </c>
      <c r="DG666" s="1057">
        <v>9.42</v>
      </c>
      <c r="DH666" s="1058" t="s">
        <v>4430</v>
      </c>
      <c r="DI666" s="1049" t="s">
        <v>4430</v>
      </c>
      <c r="DJ666" s="1049" t="s">
        <v>4430</v>
      </c>
      <c r="DK666" s="1049" t="s">
        <v>4430</v>
      </c>
      <c r="DL666" s="1052" t="s">
        <v>4430</v>
      </c>
      <c r="DM666" s="1060">
        <v>-0.68600000000000005</v>
      </c>
      <c r="DN666" s="1061" t="s">
        <v>2260</v>
      </c>
      <c r="DO666" s="1061" t="s">
        <v>2260</v>
      </c>
      <c r="DP666" s="1269">
        <v>-1.1950000000000001</v>
      </c>
      <c r="DQ666" s="1061">
        <v>0.436</v>
      </c>
      <c r="DR666" s="1061" t="s">
        <v>2260</v>
      </c>
      <c r="DS666" s="1061" t="s">
        <v>2260</v>
      </c>
      <c r="DT666" s="1269">
        <v>0.6</v>
      </c>
      <c r="DU666" s="1054" t="s">
        <v>2260</v>
      </c>
      <c r="DV666" s="1063">
        <v>1</v>
      </c>
      <c r="DW666" s="1064" t="s">
        <v>2260</v>
      </c>
    </row>
    <row r="667" spans="1:127" s="382" customFormat="1" ht="15.75" customHeight="1">
      <c r="A667" s="1023" t="s">
        <v>1241</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1234</v>
      </c>
      <c r="V667" s="1029" t="s">
        <v>4274</v>
      </c>
      <c r="W667" s="1029" t="s">
        <v>2217</v>
      </c>
      <c r="X667" s="1030">
        <v>31</v>
      </c>
      <c r="Y667" s="1031" t="s">
        <v>784</v>
      </c>
      <c r="Z667" s="1032" t="s">
        <v>4352</v>
      </c>
      <c r="AA667" s="1033">
        <v>0</v>
      </c>
      <c r="AB667" s="1034">
        <v>0</v>
      </c>
      <c r="AC667" s="1034">
        <v>1</v>
      </c>
      <c r="AD667" s="1034">
        <v>0</v>
      </c>
      <c r="AE667" s="1034">
        <v>0</v>
      </c>
      <c r="AF667" s="1034">
        <v>0</v>
      </c>
      <c r="AG667" s="1034">
        <v>0</v>
      </c>
      <c r="AH667" s="1034">
        <v>0</v>
      </c>
      <c r="AI667" s="1035">
        <f t="shared" si="10"/>
        <v>1</v>
      </c>
      <c r="AJ667" s="1036" t="s">
        <v>1852</v>
      </c>
      <c r="AK667" s="1036" t="s">
        <v>1826</v>
      </c>
      <c r="AL667" s="1036" t="s">
        <v>1827</v>
      </c>
      <c r="AM667" s="1037" t="s">
        <v>2351</v>
      </c>
      <c r="AN667" s="1031" t="s">
        <v>2439</v>
      </c>
      <c r="AO667" s="1031" t="s">
        <v>4197</v>
      </c>
      <c r="AP667" s="1049">
        <v>2</v>
      </c>
      <c r="AQ667" s="1049" t="s">
        <v>1838</v>
      </c>
      <c r="AR667" s="1040" t="s">
        <v>784</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210</v>
      </c>
      <c r="CE667" s="1054" t="s">
        <v>210</v>
      </c>
      <c r="CF667" s="1054" t="s">
        <v>210</v>
      </c>
      <c r="CG667" s="1054" t="s">
        <v>210</v>
      </c>
      <c r="CH667" s="1055" t="s">
        <v>210</v>
      </c>
      <c r="CI667" s="1058" t="s">
        <v>2260</v>
      </c>
      <c r="CJ667" s="1056" t="s">
        <v>2260</v>
      </c>
      <c r="CK667" s="1056" t="s">
        <v>2260</v>
      </c>
      <c r="CL667" s="1056" t="s">
        <v>2260</v>
      </c>
      <c r="CM667" s="1057" t="s">
        <v>2260</v>
      </c>
      <c r="CN667" s="1058">
        <v>2.75</v>
      </c>
      <c r="CO667" s="1182">
        <v>3.2</v>
      </c>
      <c r="CP667" s="1182">
        <v>3.8</v>
      </c>
      <c r="CQ667" s="1182">
        <v>4.3</v>
      </c>
      <c r="CR667" s="1184">
        <v>4.9000000000000004</v>
      </c>
      <c r="CS667" s="1048" t="s">
        <v>2260</v>
      </c>
      <c r="CT667" s="1049" t="s">
        <v>2260</v>
      </c>
      <c r="CU667" s="1049" t="s">
        <v>2260</v>
      </c>
      <c r="CV667" s="1049" t="s">
        <v>2260</v>
      </c>
      <c r="CW667" s="1052" t="s">
        <v>2260</v>
      </c>
      <c r="CX667" s="1048" t="s">
        <v>2260</v>
      </c>
      <c r="CY667" s="1049" t="s">
        <v>2260</v>
      </c>
      <c r="CZ667" s="1049" t="s">
        <v>2260</v>
      </c>
      <c r="DA667" s="1049" t="s">
        <v>2260</v>
      </c>
      <c r="DB667" s="1052" t="s">
        <v>2260</v>
      </c>
      <c r="DC667" s="1056">
        <v>0.82</v>
      </c>
      <c r="DD667" s="1056">
        <v>0.81</v>
      </c>
      <c r="DE667" s="1056">
        <v>0.8</v>
      </c>
      <c r="DF667" s="1056">
        <v>0.69</v>
      </c>
      <c r="DG667" s="1057">
        <v>0.63</v>
      </c>
      <c r="DH667" s="1058" t="s">
        <v>2260</v>
      </c>
      <c r="DI667" s="1049" t="s">
        <v>2260</v>
      </c>
      <c r="DJ667" s="1049" t="s">
        <v>2260</v>
      </c>
      <c r="DK667" s="1049" t="s">
        <v>2260</v>
      </c>
      <c r="DL667" s="1052" t="s">
        <v>2260</v>
      </c>
      <c r="DM667" s="1060">
        <v>-8.4350000000000005</v>
      </c>
      <c r="DN667" s="1061" t="s">
        <v>2260</v>
      </c>
      <c r="DO667" s="1061" t="s">
        <v>2260</v>
      </c>
      <c r="DP667" s="1126" t="s">
        <v>2260</v>
      </c>
      <c r="DQ667" s="1061">
        <v>8.4350000000000005</v>
      </c>
      <c r="DR667" s="1061" t="s">
        <v>2260</v>
      </c>
      <c r="DS667" s="1061" t="s">
        <v>2260</v>
      </c>
      <c r="DT667" s="1062" t="s">
        <v>2260</v>
      </c>
      <c r="DU667" s="1054" t="s">
        <v>2260</v>
      </c>
      <c r="DV667" s="1063">
        <v>1</v>
      </c>
      <c r="DW667" s="1064" t="s">
        <v>2260</v>
      </c>
    </row>
    <row r="668" spans="1:127" s="382" customFormat="1" ht="15.75" customHeight="1">
      <c r="A668" s="1066" t="s">
        <v>1241</v>
      </c>
      <c r="B668" s="1026">
        <v>659</v>
      </c>
      <c r="C668" s="987"/>
      <c r="D668" s="987"/>
      <c r="E668" s="987"/>
      <c r="F668" s="987"/>
      <c r="G668" s="987"/>
      <c r="H668" s="987"/>
      <c r="I668" s="987"/>
      <c r="J668" s="987"/>
      <c r="K668" s="987"/>
      <c r="L668" s="987"/>
      <c r="M668" s="1026"/>
      <c r="N668" s="987"/>
      <c r="O668" s="987"/>
      <c r="P668" s="987"/>
      <c r="Q668" s="987"/>
      <c r="R668" s="987"/>
      <c r="S668" s="987"/>
      <c r="T668" s="988"/>
      <c r="U668" s="1067" t="s">
        <v>1237</v>
      </c>
      <c r="V668" s="1068" t="s">
        <v>4274</v>
      </c>
      <c r="W668" s="1068" t="s">
        <v>2231</v>
      </c>
      <c r="X668" s="1069">
        <v>32</v>
      </c>
      <c r="Y668" s="1070" t="s">
        <v>1085</v>
      </c>
      <c r="Z668" s="1071" t="s">
        <v>4354</v>
      </c>
      <c r="AA668" s="1072">
        <v>0</v>
      </c>
      <c r="AB668" s="1073">
        <v>0.05</v>
      </c>
      <c r="AC668" s="1073">
        <v>0.95</v>
      </c>
      <c r="AD668" s="1073">
        <v>0</v>
      </c>
      <c r="AE668" s="1073">
        <v>0</v>
      </c>
      <c r="AF668" s="1073">
        <v>0</v>
      </c>
      <c r="AG668" s="1073">
        <v>0</v>
      </c>
      <c r="AH668" s="1073">
        <v>0</v>
      </c>
      <c r="AI668" s="1074">
        <f t="shared" si="10"/>
        <v>1</v>
      </c>
      <c r="AJ668" s="1075" t="s">
        <v>1846</v>
      </c>
      <c r="AK668" s="1075" t="s">
        <v>1826</v>
      </c>
      <c r="AL668" s="1075" t="s">
        <v>1827</v>
      </c>
      <c r="AM668" s="1076" t="s">
        <v>2714</v>
      </c>
      <c r="AN668" s="987" t="s">
        <v>321</v>
      </c>
      <c r="AO668" s="987" t="s">
        <v>2649</v>
      </c>
      <c r="AP668" s="2042">
        <v>2</v>
      </c>
      <c r="AQ668" s="1045" t="s">
        <v>1828</v>
      </c>
      <c r="AR668" s="1078" t="s">
        <v>1085</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210</v>
      </c>
      <c r="CE668" s="1088" t="s">
        <v>210</v>
      </c>
      <c r="CF668" s="1088" t="s">
        <v>210</v>
      </c>
      <c r="CG668" s="1088" t="s">
        <v>210</v>
      </c>
      <c r="CH668" s="1089" t="s">
        <v>210</v>
      </c>
      <c r="CI668" s="1044" t="s">
        <v>2260</v>
      </c>
      <c r="CJ668" s="1045" t="s">
        <v>2260</v>
      </c>
      <c r="CK668" s="1045" t="s">
        <v>2260</v>
      </c>
      <c r="CL668" s="1045" t="s">
        <v>2260</v>
      </c>
      <c r="CM668" s="1086" t="s">
        <v>2260</v>
      </c>
      <c r="CN668" s="1044" t="s">
        <v>2260</v>
      </c>
      <c r="CO668" s="1045" t="s">
        <v>2260</v>
      </c>
      <c r="CP668" s="1045" t="s">
        <v>2260</v>
      </c>
      <c r="CQ668" s="1045" t="s">
        <v>2260</v>
      </c>
      <c r="CR668" s="1086" t="s">
        <v>2260</v>
      </c>
      <c r="CS668" s="1044">
        <v>99</v>
      </c>
      <c r="CT668" s="1045">
        <v>99</v>
      </c>
      <c r="CU668" s="1045">
        <v>99</v>
      </c>
      <c r="CV668" s="1045">
        <v>99</v>
      </c>
      <c r="CW668" s="1086">
        <v>99</v>
      </c>
      <c r="CX668" s="1044" t="s">
        <v>2260</v>
      </c>
      <c r="CY668" s="1045" t="s">
        <v>2260</v>
      </c>
      <c r="CZ668" s="1045" t="s">
        <v>2260</v>
      </c>
      <c r="DA668" s="1045" t="s">
        <v>2260</v>
      </c>
      <c r="DB668" s="1086" t="s">
        <v>2260</v>
      </c>
      <c r="DC668" s="1045" t="s">
        <v>2260</v>
      </c>
      <c r="DD668" s="1045" t="s">
        <v>2260</v>
      </c>
      <c r="DE668" s="1045" t="s">
        <v>2260</v>
      </c>
      <c r="DF668" s="1045" t="s">
        <v>2260</v>
      </c>
      <c r="DG668" s="1086" t="s">
        <v>2260</v>
      </c>
      <c r="DH668" s="1044" t="s">
        <v>2260</v>
      </c>
      <c r="DI668" s="1045" t="s">
        <v>2260</v>
      </c>
      <c r="DJ668" s="1045" t="s">
        <v>2260</v>
      </c>
      <c r="DK668" s="1045" t="s">
        <v>2260</v>
      </c>
      <c r="DL668" s="1086" t="s">
        <v>2260</v>
      </c>
      <c r="DM668" s="1090">
        <v>-1.1879999999999999</v>
      </c>
      <c r="DN668" s="1091" t="s">
        <v>2260</v>
      </c>
      <c r="DO668" s="1091" t="s">
        <v>2260</v>
      </c>
      <c r="DP668" s="1092" t="s">
        <v>2260</v>
      </c>
      <c r="DQ668" s="1091" t="s">
        <v>2260</v>
      </c>
      <c r="DR668" s="1091" t="s">
        <v>2260</v>
      </c>
      <c r="DS668" s="1091" t="s">
        <v>2260</v>
      </c>
      <c r="DT668" s="1092" t="s">
        <v>2260</v>
      </c>
      <c r="DU668" s="1088" t="s">
        <v>2260</v>
      </c>
      <c r="DV668" s="1093">
        <v>1</v>
      </c>
      <c r="DW668" s="1094" t="s">
        <v>2260</v>
      </c>
    </row>
    <row r="669" spans="1:127" s="382" customFormat="1" ht="15.75" customHeight="1">
      <c r="A669" s="1066" t="s">
        <v>1241</v>
      </c>
      <c r="B669" s="1026">
        <v>660</v>
      </c>
      <c r="C669" s="987"/>
      <c r="D669" s="987"/>
      <c r="E669" s="987"/>
      <c r="F669" s="987"/>
      <c r="G669" s="987"/>
      <c r="H669" s="987"/>
      <c r="I669" s="987"/>
      <c r="J669" s="987"/>
      <c r="K669" s="987"/>
      <c r="L669" s="987"/>
      <c r="M669" s="1026"/>
      <c r="N669" s="987"/>
      <c r="O669" s="987"/>
      <c r="P669" s="987"/>
      <c r="Q669" s="987"/>
      <c r="R669" s="987"/>
      <c r="S669" s="987"/>
      <c r="T669" s="988"/>
      <c r="U669" s="1067" t="s">
        <v>1236</v>
      </c>
      <c r="V669" s="1068" t="s">
        <v>4274</v>
      </c>
      <c r="W669" s="1068" t="s">
        <v>2217</v>
      </c>
      <c r="X669" s="1069">
        <v>33</v>
      </c>
      <c r="Y669" s="1070" t="s">
        <v>795</v>
      </c>
      <c r="Z669" s="1071" t="s">
        <v>4356</v>
      </c>
      <c r="AA669" s="1072">
        <v>0</v>
      </c>
      <c r="AB669" s="1073">
        <v>0</v>
      </c>
      <c r="AC669" s="1073">
        <v>1</v>
      </c>
      <c r="AD669" s="1073">
        <v>0</v>
      </c>
      <c r="AE669" s="1073">
        <v>0</v>
      </c>
      <c r="AF669" s="1073">
        <v>0</v>
      </c>
      <c r="AG669" s="1073">
        <v>0</v>
      </c>
      <c r="AH669" s="1073">
        <v>0</v>
      </c>
      <c r="AI669" s="1074">
        <f t="shared" si="10"/>
        <v>1</v>
      </c>
      <c r="AJ669" s="1075" t="s">
        <v>1846</v>
      </c>
      <c r="AK669" s="1075" t="s">
        <v>1826</v>
      </c>
      <c r="AL669" s="1075" t="s">
        <v>1827</v>
      </c>
      <c r="AM669" s="1076" t="s">
        <v>2368</v>
      </c>
      <c r="AN669" s="987" t="s">
        <v>2439</v>
      </c>
      <c r="AO669" s="987" t="s">
        <v>4432</v>
      </c>
      <c r="AP669" s="2042">
        <v>2</v>
      </c>
      <c r="AQ669" s="1045" t="s">
        <v>1838</v>
      </c>
      <c r="AR669" s="1078" t="s">
        <v>795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210</v>
      </c>
      <c r="CE669" s="1088" t="s">
        <v>210</v>
      </c>
      <c r="CF669" s="1088" t="s">
        <v>210</v>
      </c>
      <c r="CG669" s="1088" t="s">
        <v>210</v>
      </c>
      <c r="CH669" s="1089" t="s">
        <v>210</v>
      </c>
      <c r="CI669" s="1044" t="s">
        <v>2260</v>
      </c>
      <c r="CJ669" s="1045" t="s">
        <v>2260</v>
      </c>
      <c r="CK669" s="1045" t="s">
        <v>2260</v>
      </c>
      <c r="CL669" s="1045" t="s">
        <v>2260</v>
      </c>
      <c r="CM669" s="1086" t="s">
        <v>2260</v>
      </c>
      <c r="CN669" s="1044" t="s">
        <v>2260</v>
      </c>
      <c r="CO669" s="1045" t="s">
        <v>2260</v>
      </c>
      <c r="CP669" s="1045" t="s">
        <v>2260</v>
      </c>
      <c r="CQ669" s="1045" t="s">
        <v>2260</v>
      </c>
      <c r="CR669" s="1086" t="s">
        <v>2260</v>
      </c>
      <c r="CS669" s="1044" t="s">
        <v>2260</v>
      </c>
      <c r="CT669" s="1045" t="s">
        <v>2260</v>
      </c>
      <c r="CU669" s="1045" t="s">
        <v>2260</v>
      </c>
      <c r="CV669" s="1045" t="s">
        <v>2260</v>
      </c>
      <c r="CW669" s="1086" t="s">
        <v>2260</v>
      </c>
      <c r="CX669" s="1044" t="s">
        <v>2260</v>
      </c>
      <c r="CY669" s="1045" t="s">
        <v>2260</v>
      </c>
      <c r="CZ669" s="1045" t="s">
        <v>2260</v>
      </c>
      <c r="DA669" s="1045" t="s">
        <v>2260</v>
      </c>
      <c r="DB669" s="1086" t="s">
        <v>2260</v>
      </c>
      <c r="DC669" s="1045" t="s">
        <v>2260</v>
      </c>
      <c r="DD669" s="1045" t="s">
        <v>2260</v>
      </c>
      <c r="DE669" s="1045" t="s">
        <v>2260</v>
      </c>
      <c r="DF669" s="1045" t="s">
        <v>2260</v>
      </c>
      <c r="DG669" s="1086" t="s">
        <v>2260</v>
      </c>
      <c r="DH669" s="1044" t="s">
        <v>2260</v>
      </c>
      <c r="DI669" s="1045" t="s">
        <v>2260</v>
      </c>
      <c r="DJ669" s="1045" t="s">
        <v>2260</v>
      </c>
      <c r="DK669" s="1045" t="s">
        <v>2260</v>
      </c>
      <c r="DL669" s="1086" t="s">
        <v>2260</v>
      </c>
      <c r="DM669" s="1090">
        <v>-0.221</v>
      </c>
      <c r="DN669" s="1091" t="s">
        <v>2260</v>
      </c>
      <c r="DO669" s="1091" t="s">
        <v>2260</v>
      </c>
      <c r="DP669" s="1092" t="s">
        <v>2260</v>
      </c>
      <c r="DQ669" s="1091" t="s">
        <v>2260</v>
      </c>
      <c r="DR669" s="1091" t="s">
        <v>2260</v>
      </c>
      <c r="DS669" s="1091" t="s">
        <v>2260</v>
      </c>
      <c r="DT669" s="1092" t="s">
        <v>2260</v>
      </c>
      <c r="DU669" s="1088" t="s">
        <v>2260</v>
      </c>
      <c r="DV669" s="1093">
        <v>1</v>
      </c>
      <c r="DW669" s="1094" t="s">
        <v>2260</v>
      </c>
    </row>
    <row r="670" spans="1:127" s="382" customFormat="1" ht="15.75" customHeight="1">
      <c r="A670" s="1066" t="s">
        <v>1241</v>
      </c>
      <c r="B670" s="1026">
        <v>661</v>
      </c>
      <c r="C670" s="987"/>
      <c r="D670" s="987"/>
      <c r="E670" s="987"/>
      <c r="F670" s="987"/>
      <c r="G670" s="987"/>
      <c r="H670" s="987"/>
      <c r="I670" s="987"/>
      <c r="J670" s="987"/>
      <c r="K670" s="987"/>
      <c r="L670" s="987"/>
      <c r="M670" s="1026"/>
      <c r="N670" s="987"/>
      <c r="O670" s="987"/>
      <c r="P670" s="987"/>
      <c r="Q670" s="987"/>
      <c r="R670" s="987"/>
      <c r="S670" s="987"/>
      <c r="T670" s="988"/>
      <c r="U670" s="1067" t="s">
        <v>1240</v>
      </c>
      <c r="V670" s="1068" t="s">
        <v>4274</v>
      </c>
      <c r="W670" s="1068" t="s">
        <v>2231</v>
      </c>
      <c r="X670" s="1069">
        <v>34</v>
      </c>
      <c r="Y670" s="1070" t="s">
        <v>891</v>
      </c>
      <c r="Z670" s="1071" t="s">
        <v>4358</v>
      </c>
      <c r="AA670" s="1072">
        <v>0</v>
      </c>
      <c r="AB670" s="1073">
        <v>0</v>
      </c>
      <c r="AC670" s="1073">
        <v>1</v>
      </c>
      <c r="AD670" s="1073">
        <v>0</v>
      </c>
      <c r="AE670" s="1073">
        <v>0</v>
      </c>
      <c r="AF670" s="1073">
        <v>0</v>
      </c>
      <c r="AG670" s="1073">
        <v>0</v>
      </c>
      <c r="AH670" s="1073">
        <v>0</v>
      </c>
      <c r="AI670" s="1074">
        <f t="shared" si="10"/>
        <v>1</v>
      </c>
      <c r="AJ670" s="1075" t="s">
        <v>1825</v>
      </c>
      <c r="AK670" s="1075" t="s">
        <v>2260</v>
      </c>
      <c r="AL670" s="1075" t="s">
        <v>2260</v>
      </c>
      <c r="AM670" s="1076" t="s">
        <v>2234</v>
      </c>
      <c r="AN670" s="987" t="s">
        <v>321</v>
      </c>
      <c r="AO670" s="987" t="s">
        <v>4417</v>
      </c>
      <c r="AP670" s="2042">
        <v>2</v>
      </c>
      <c r="AQ670" s="1045" t="s">
        <v>1838</v>
      </c>
      <c r="AR670" s="1078" t="s">
        <v>891</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2260</v>
      </c>
      <c r="CE670" s="1088" t="s">
        <v>2260</v>
      </c>
      <c r="CF670" s="1088" t="s">
        <v>2260</v>
      </c>
      <c r="CG670" s="1088" t="s">
        <v>2260</v>
      </c>
      <c r="CH670" s="1089" t="s">
        <v>2260</v>
      </c>
      <c r="CI670" s="1044" t="s">
        <v>2260</v>
      </c>
      <c r="CJ670" s="1045" t="s">
        <v>2260</v>
      </c>
      <c r="CK670" s="1045" t="s">
        <v>2260</v>
      </c>
      <c r="CL670" s="1045" t="s">
        <v>2260</v>
      </c>
      <c r="CM670" s="1086" t="s">
        <v>2260</v>
      </c>
      <c r="CN670" s="1044" t="s">
        <v>2260</v>
      </c>
      <c r="CO670" s="1045" t="s">
        <v>2260</v>
      </c>
      <c r="CP670" s="1045" t="s">
        <v>2260</v>
      </c>
      <c r="CQ670" s="1045" t="s">
        <v>2260</v>
      </c>
      <c r="CR670" s="1086" t="s">
        <v>2260</v>
      </c>
      <c r="CS670" s="1044" t="s">
        <v>2260</v>
      </c>
      <c r="CT670" s="1045" t="s">
        <v>2260</v>
      </c>
      <c r="CU670" s="1045" t="s">
        <v>2260</v>
      </c>
      <c r="CV670" s="1045" t="s">
        <v>2260</v>
      </c>
      <c r="CW670" s="1086" t="s">
        <v>2260</v>
      </c>
      <c r="CX670" s="1044" t="s">
        <v>2260</v>
      </c>
      <c r="CY670" s="1045" t="s">
        <v>2260</v>
      </c>
      <c r="CZ670" s="1045" t="s">
        <v>2260</v>
      </c>
      <c r="DA670" s="1045" t="s">
        <v>2260</v>
      </c>
      <c r="DB670" s="1086" t="s">
        <v>2260</v>
      </c>
      <c r="DC670" s="1045" t="s">
        <v>2260</v>
      </c>
      <c r="DD670" s="1045" t="s">
        <v>2260</v>
      </c>
      <c r="DE670" s="1045" t="s">
        <v>2260</v>
      </c>
      <c r="DF670" s="1045" t="s">
        <v>2260</v>
      </c>
      <c r="DG670" s="1086" t="s">
        <v>2260</v>
      </c>
      <c r="DH670" s="1044" t="s">
        <v>2260</v>
      </c>
      <c r="DI670" s="1045" t="s">
        <v>2260</v>
      </c>
      <c r="DJ670" s="1045" t="s">
        <v>2260</v>
      </c>
      <c r="DK670" s="1045" t="s">
        <v>2260</v>
      </c>
      <c r="DL670" s="1086" t="s">
        <v>2260</v>
      </c>
      <c r="DM670" s="1090" t="s">
        <v>2260</v>
      </c>
      <c r="DN670" s="1091" t="s">
        <v>2260</v>
      </c>
      <c r="DO670" s="1091" t="s">
        <v>2260</v>
      </c>
      <c r="DP670" s="1092" t="s">
        <v>2260</v>
      </c>
      <c r="DQ670" s="1091" t="s">
        <v>2260</v>
      </c>
      <c r="DR670" s="1091" t="s">
        <v>2260</v>
      </c>
      <c r="DS670" s="1091" t="s">
        <v>2260</v>
      </c>
      <c r="DT670" s="1092" t="s">
        <v>2260</v>
      </c>
      <c r="DU670" s="1088" t="s">
        <v>2260</v>
      </c>
      <c r="DV670" s="1093">
        <v>1</v>
      </c>
      <c r="DW670" s="1094" t="s">
        <v>2260</v>
      </c>
    </row>
    <row r="671" spans="1:127" s="382" customFormat="1" ht="15.75" customHeight="1">
      <c r="A671" s="1066" t="s">
        <v>1241</v>
      </c>
      <c r="B671" s="1026">
        <v>662</v>
      </c>
      <c r="C671" s="987"/>
      <c r="D671" s="987"/>
      <c r="E671" s="987"/>
      <c r="F671" s="987"/>
      <c r="G671" s="987"/>
      <c r="H671" s="987"/>
      <c r="I671" s="987"/>
      <c r="J671" s="987"/>
      <c r="K671" s="987"/>
      <c r="L671" s="987"/>
      <c r="M671" s="1026"/>
      <c r="N671" s="987"/>
      <c r="O671" s="987"/>
      <c r="P671" s="987"/>
      <c r="Q671" s="987"/>
      <c r="R671" s="987"/>
      <c r="S671" s="987"/>
      <c r="T671" s="988"/>
      <c r="U671" s="1067" t="s">
        <v>1537</v>
      </c>
      <c r="V671" s="1068" t="s">
        <v>4274</v>
      </c>
      <c r="W671" s="1068" t="s">
        <v>2217</v>
      </c>
      <c r="X671" s="1069">
        <v>35</v>
      </c>
      <c r="Y671" s="1070" t="s">
        <v>2381</v>
      </c>
      <c r="Z671" s="1071" t="s">
        <v>4360</v>
      </c>
      <c r="AA671" s="1072">
        <v>0</v>
      </c>
      <c r="AB671" s="1073">
        <v>0</v>
      </c>
      <c r="AC671" s="1073">
        <v>1</v>
      </c>
      <c r="AD671" s="1073">
        <v>0</v>
      </c>
      <c r="AE671" s="1073">
        <v>0</v>
      </c>
      <c r="AF671" s="1073">
        <v>0</v>
      </c>
      <c r="AG671" s="1073">
        <v>0</v>
      </c>
      <c r="AH671" s="1073">
        <v>0</v>
      </c>
      <c r="AI671" s="1074">
        <f t="shared" si="10"/>
        <v>1</v>
      </c>
      <c r="AJ671" s="1075" t="s">
        <v>1852</v>
      </c>
      <c r="AK671" s="1075" t="s">
        <v>1826</v>
      </c>
      <c r="AL671" s="1075" t="s">
        <v>1827</v>
      </c>
      <c r="AM671" s="1076" t="s">
        <v>2351</v>
      </c>
      <c r="AN671" s="987" t="s">
        <v>2439</v>
      </c>
      <c r="AO671" s="987" t="s">
        <v>4197</v>
      </c>
      <c r="AP671" s="802">
        <v>0</v>
      </c>
      <c r="AQ671" s="1045" t="s">
        <v>1838</v>
      </c>
      <c r="AR671" s="1078"/>
      <c r="AS671" s="1079"/>
      <c r="AT671" s="1069"/>
      <c r="AU671" s="1069"/>
      <c r="AV671" s="1069"/>
      <c r="AW671" s="1080"/>
      <c r="AX671" s="1081"/>
      <c r="AY671" s="1044"/>
      <c r="AZ671" s="1045"/>
      <c r="BA671" s="1045"/>
      <c r="BB671" s="1045"/>
      <c r="BC671" s="1045"/>
      <c r="BD671" s="1045"/>
      <c r="BE671" s="1045"/>
      <c r="BF671" s="1045"/>
      <c r="BG671" s="1045"/>
      <c r="BH671" s="1045"/>
      <c r="BI671" s="1369"/>
      <c r="BJ671" s="1319"/>
      <c r="BK671" s="1319"/>
      <c r="BL671" s="1319"/>
      <c r="BM671" s="1319"/>
      <c r="BN671" s="1044"/>
      <c r="BO671" s="1045"/>
      <c r="BP671" s="1045"/>
      <c r="BQ671" s="1045"/>
      <c r="BR671" s="1045"/>
      <c r="BS671" s="1084"/>
      <c r="BT671" s="1045"/>
      <c r="BU671" s="1045"/>
      <c r="BV671" s="1045"/>
      <c r="BW671" s="1085"/>
      <c r="BX671" s="1084"/>
      <c r="BY671" s="1045"/>
      <c r="BZ671" s="1045"/>
      <c r="CA671" s="1045"/>
      <c r="CB671" s="1085"/>
      <c r="CC671" s="1086"/>
      <c r="CD671" s="1327"/>
      <c r="CE671" s="1328"/>
      <c r="CF671" s="1328"/>
      <c r="CG671" s="1328"/>
      <c r="CH671" s="1389"/>
      <c r="CI671" s="1369"/>
      <c r="CJ671" s="1319"/>
      <c r="CK671" s="1319"/>
      <c r="CL671" s="1319"/>
      <c r="CM671" s="1320"/>
      <c r="CN671" s="1369"/>
      <c r="CO671" s="1319"/>
      <c r="CP671" s="1319"/>
      <c r="CQ671" s="1319"/>
      <c r="CR671" s="1320"/>
      <c r="CS671" s="1369"/>
      <c r="CT671" s="1319"/>
      <c r="CU671" s="1319"/>
      <c r="CV671" s="1319"/>
      <c r="CW671" s="1320"/>
      <c r="CX671" s="1369"/>
      <c r="CY671" s="1319"/>
      <c r="CZ671" s="1319"/>
      <c r="DA671" s="1319"/>
      <c r="DB671" s="1320"/>
      <c r="DC671" s="1319"/>
      <c r="DD671" s="1319"/>
      <c r="DE671" s="1319"/>
      <c r="DF671" s="1319"/>
      <c r="DG671" s="1320"/>
      <c r="DH671" s="1369"/>
      <c r="DI671" s="1319"/>
      <c r="DJ671" s="1319"/>
      <c r="DK671" s="1319"/>
      <c r="DL671" s="1320"/>
      <c r="DM671" s="1743"/>
      <c r="DN671" s="1744"/>
      <c r="DO671" s="1744"/>
      <c r="DP671" s="1745"/>
      <c r="DQ671" s="1744"/>
      <c r="DR671" s="1744"/>
      <c r="DS671" s="1744"/>
      <c r="DT671" s="1745"/>
      <c r="DU671" s="1328"/>
      <c r="DV671" s="1664"/>
      <c r="DW671" s="1746"/>
    </row>
    <row r="672" spans="1:127" s="382" customFormat="1" ht="15.75" customHeight="1">
      <c r="A672" s="1066" t="s">
        <v>1241</v>
      </c>
      <c r="B672" s="1026">
        <v>663</v>
      </c>
      <c r="C672" s="987"/>
      <c r="D672" s="987"/>
      <c r="E672" s="987"/>
      <c r="F672" s="987"/>
      <c r="G672" s="987"/>
      <c r="H672" s="987"/>
      <c r="I672" s="987"/>
      <c r="J672" s="987"/>
      <c r="K672" s="987"/>
      <c r="L672" s="987"/>
      <c r="M672" s="1026"/>
      <c r="N672" s="987"/>
      <c r="O672" s="987"/>
      <c r="P672" s="987"/>
      <c r="Q672" s="987"/>
      <c r="R672" s="987"/>
      <c r="S672" s="987"/>
      <c r="T672" s="988"/>
      <c r="U672" s="1067" t="s">
        <v>1547</v>
      </c>
      <c r="V672" s="1068" t="s">
        <v>4274</v>
      </c>
      <c r="W672" s="1068" t="s">
        <v>2223</v>
      </c>
      <c r="X672" s="1069">
        <v>36</v>
      </c>
      <c r="Y672" s="1070" t="s">
        <v>2085</v>
      </c>
      <c r="Z672" s="1071" t="s">
        <v>4362</v>
      </c>
      <c r="AA672" s="1072">
        <v>0</v>
      </c>
      <c r="AB672" s="1073">
        <v>0</v>
      </c>
      <c r="AC672" s="1073">
        <v>1</v>
      </c>
      <c r="AD672" s="1073">
        <v>0</v>
      </c>
      <c r="AE672" s="1073">
        <v>0</v>
      </c>
      <c r="AF672" s="1073">
        <v>0</v>
      </c>
      <c r="AG672" s="1073">
        <v>0</v>
      </c>
      <c r="AH672" s="1073">
        <v>0</v>
      </c>
      <c r="AI672" s="1074">
        <f t="shared" si="10"/>
        <v>1</v>
      </c>
      <c r="AJ672" s="1075" t="s">
        <v>1852</v>
      </c>
      <c r="AK672" s="1075" t="s">
        <v>1826</v>
      </c>
      <c r="AL672" s="1075" t="s">
        <v>1827</v>
      </c>
      <c r="AM672" s="1076" t="s">
        <v>2387</v>
      </c>
      <c r="AN672" s="987" t="s">
        <v>1857</v>
      </c>
      <c r="AO672" s="987" t="s">
        <v>4363</v>
      </c>
      <c r="AP672" s="802">
        <v>0</v>
      </c>
      <c r="AQ672" s="1045" t="s">
        <v>1828</v>
      </c>
      <c r="AR672" s="1078" t="s">
        <v>2260</v>
      </c>
      <c r="AS672" s="1079"/>
      <c r="AT672" s="1069"/>
      <c r="AU672" s="1069"/>
      <c r="AV672" s="1069"/>
      <c r="AW672" s="1080"/>
      <c r="AX672" s="1081"/>
      <c r="AY672" s="1044"/>
      <c r="AZ672" s="1045"/>
      <c r="BA672" s="1045"/>
      <c r="BB672" s="1045"/>
      <c r="BC672" s="1045"/>
      <c r="BD672" s="1045"/>
      <c r="BE672" s="1045"/>
      <c r="BF672" s="1045"/>
      <c r="BG672" s="1045"/>
      <c r="BH672" s="1045"/>
      <c r="BI672" s="1369"/>
      <c r="BJ672" s="1319"/>
      <c r="BK672" s="1319"/>
      <c r="BL672" s="1319"/>
      <c r="BM672" s="1319"/>
      <c r="BN672" s="1044"/>
      <c r="BO672" s="1045"/>
      <c r="BP672" s="1045"/>
      <c r="BQ672" s="1045"/>
      <c r="BR672" s="1045"/>
      <c r="BS672" s="1084"/>
      <c r="BT672" s="1045"/>
      <c r="BU672" s="1045"/>
      <c r="BV672" s="1045"/>
      <c r="BW672" s="1085"/>
      <c r="BX672" s="1084"/>
      <c r="BY672" s="1045"/>
      <c r="BZ672" s="1045"/>
      <c r="CA672" s="1045"/>
      <c r="CB672" s="1085"/>
      <c r="CC672" s="1086"/>
      <c r="CD672" s="1327"/>
      <c r="CE672" s="1328"/>
      <c r="CF672" s="1328"/>
      <c r="CG672" s="1328"/>
      <c r="CH672" s="1389"/>
      <c r="CI672" s="1369"/>
      <c r="CJ672" s="1319"/>
      <c r="CK672" s="1319"/>
      <c r="CL672" s="1319"/>
      <c r="CM672" s="1320"/>
      <c r="CN672" s="1369"/>
      <c r="CO672" s="1319"/>
      <c r="CP672" s="1319"/>
      <c r="CQ672" s="1319"/>
      <c r="CR672" s="1320"/>
      <c r="CS672" s="1369"/>
      <c r="CT672" s="1319"/>
      <c r="CU672" s="1319"/>
      <c r="CV672" s="1319"/>
      <c r="CW672" s="1320"/>
      <c r="CX672" s="1369"/>
      <c r="CY672" s="1319"/>
      <c r="CZ672" s="1319"/>
      <c r="DA672" s="1319"/>
      <c r="DB672" s="1320"/>
      <c r="DC672" s="1319"/>
      <c r="DD672" s="1319"/>
      <c r="DE672" s="1319"/>
      <c r="DF672" s="1319"/>
      <c r="DG672" s="1320"/>
      <c r="DH672" s="1369"/>
      <c r="DI672" s="1319"/>
      <c r="DJ672" s="1319"/>
      <c r="DK672" s="1319"/>
      <c r="DL672" s="1320"/>
      <c r="DM672" s="1743"/>
      <c r="DN672" s="1744"/>
      <c r="DO672" s="1744"/>
      <c r="DP672" s="1745"/>
      <c r="DQ672" s="1744"/>
      <c r="DR672" s="1744"/>
      <c r="DS672" s="1744"/>
      <c r="DT672" s="1745"/>
      <c r="DU672" s="1328"/>
      <c r="DV672" s="1664"/>
      <c r="DW672" s="1746"/>
    </row>
    <row r="673" spans="1:127" s="382" customFormat="1" ht="15.75" customHeight="1">
      <c r="A673" s="1066" t="s">
        <v>1241</v>
      </c>
      <c r="B673" s="1026">
        <v>664</v>
      </c>
      <c r="C673" s="987"/>
      <c r="D673" s="987"/>
      <c r="E673" s="987"/>
      <c r="F673" s="987"/>
      <c r="G673" s="987"/>
      <c r="H673" s="987"/>
      <c r="I673" s="987"/>
      <c r="J673" s="987"/>
      <c r="K673" s="987"/>
      <c r="L673" s="987"/>
      <c r="M673" s="1026"/>
      <c r="N673" s="987"/>
      <c r="O673" s="987"/>
      <c r="P673" s="987"/>
      <c r="Q673" s="987"/>
      <c r="R673" s="987"/>
      <c r="S673" s="987"/>
      <c r="T673" s="988"/>
      <c r="U673" s="1067" t="s">
        <v>1556</v>
      </c>
      <c r="V673" s="1068" t="s">
        <v>4274</v>
      </c>
      <c r="W673" s="1068" t="s">
        <v>2231</v>
      </c>
      <c r="X673" s="1069">
        <v>37</v>
      </c>
      <c r="Y673" s="1070" t="s">
        <v>3227</v>
      </c>
      <c r="Z673" s="1071" t="s">
        <v>4364</v>
      </c>
      <c r="AA673" s="1072">
        <v>0</v>
      </c>
      <c r="AB673" s="1073">
        <v>0.16</v>
      </c>
      <c r="AC673" s="1073">
        <v>0.84</v>
      </c>
      <c r="AD673" s="1073">
        <v>0</v>
      </c>
      <c r="AE673" s="1073">
        <v>0</v>
      </c>
      <c r="AF673" s="1073">
        <v>0</v>
      </c>
      <c r="AG673" s="1073">
        <v>0</v>
      </c>
      <c r="AH673" s="1073">
        <v>0</v>
      </c>
      <c r="AI673" s="1074">
        <f t="shared" si="10"/>
        <v>1</v>
      </c>
      <c r="AJ673" s="1075" t="s">
        <v>1852</v>
      </c>
      <c r="AK673" s="1075" t="s">
        <v>1826</v>
      </c>
      <c r="AL673" s="1075" t="s">
        <v>1827</v>
      </c>
      <c r="AM673" s="1076" t="s">
        <v>2387</v>
      </c>
      <c r="AN673" s="987" t="s">
        <v>1857</v>
      </c>
      <c r="AO673" s="987" t="s">
        <v>4365</v>
      </c>
      <c r="AP673" s="802">
        <v>0</v>
      </c>
      <c r="AQ673" s="1045" t="s">
        <v>1828</v>
      </c>
      <c r="AR673" s="1078" t="s">
        <v>2260</v>
      </c>
      <c r="AS673" s="1079"/>
      <c r="AT673" s="1069"/>
      <c r="AU673" s="1069"/>
      <c r="AV673" s="1069"/>
      <c r="AW673" s="1080"/>
      <c r="AX673" s="1081"/>
      <c r="AY673" s="1044"/>
      <c r="AZ673" s="1045"/>
      <c r="BA673" s="1045"/>
      <c r="BB673" s="1045"/>
      <c r="BC673" s="1045"/>
      <c r="BD673" s="1045"/>
      <c r="BE673" s="1045"/>
      <c r="BF673" s="1045"/>
      <c r="BG673" s="1045"/>
      <c r="BH673" s="1045"/>
      <c r="BI673" s="1369"/>
      <c r="BJ673" s="1319"/>
      <c r="BK673" s="1319"/>
      <c r="BL673" s="1319"/>
      <c r="BM673" s="1319"/>
      <c r="BN673" s="1044"/>
      <c r="BO673" s="1045"/>
      <c r="BP673" s="1045"/>
      <c r="BQ673" s="1045"/>
      <c r="BR673" s="1045"/>
      <c r="BS673" s="1084"/>
      <c r="BT673" s="1045"/>
      <c r="BU673" s="1045"/>
      <c r="BV673" s="1045"/>
      <c r="BW673" s="1085"/>
      <c r="BX673" s="1084"/>
      <c r="BY673" s="1045"/>
      <c r="BZ673" s="1045"/>
      <c r="CA673" s="1045"/>
      <c r="CB673" s="1085"/>
      <c r="CC673" s="1086"/>
      <c r="CD673" s="1327"/>
      <c r="CE673" s="1328"/>
      <c r="CF673" s="1328"/>
      <c r="CG673" s="1328"/>
      <c r="CH673" s="1389"/>
      <c r="CI673" s="1369"/>
      <c r="CJ673" s="1319"/>
      <c r="CK673" s="1319"/>
      <c r="CL673" s="1319"/>
      <c r="CM673" s="1320"/>
      <c r="CN673" s="1369"/>
      <c r="CO673" s="1319"/>
      <c r="CP673" s="1319"/>
      <c r="CQ673" s="1319"/>
      <c r="CR673" s="1320"/>
      <c r="CS673" s="1369"/>
      <c r="CT673" s="1319"/>
      <c r="CU673" s="1319"/>
      <c r="CV673" s="1319"/>
      <c r="CW673" s="1320"/>
      <c r="CX673" s="1369"/>
      <c r="CY673" s="1319"/>
      <c r="CZ673" s="1319"/>
      <c r="DA673" s="1319"/>
      <c r="DB673" s="1320"/>
      <c r="DC673" s="1319"/>
      <c r="DD673" s="1319"/>
      <c r="DE673" s="1319"/>
      <c r="DF673" s="1319"/>
      <c r="DG673" s="1320"/>
      <c r="DH673" s="1369"/>
      <c r="DI673" s="1319"/>
      <c r="DJ673" s="1319"/>
      <c r="DK673" s="1319"/>
      <c r="DL673" s="1320"/>
      <c r="DM673" s="1743"/>
      <c r="DN673" s="1744"/>
      <c r="DO673" s="1744"/>
      <c r="DP673" s="1745"/>
      <c r="DQ673" s="1744"/>
      <c r="DR673" s="1744"/>
      <c r="DS673" s="1744"/>
      <c r="DT673" s="1745"/>
      <c r="DU673" s="1328"/>
      <c r="DV673" s="1664"/>
      <c r="DW673" s="1746"/>
    </row>
    <row r="674" spans="1:127" s="382" customFormat="1" ht="15.75" customHeight="1">
      <c r="A674" s="1066" t="s">
        <v>1241</v>
      </c>
      <c r="B674" s="1026">
        <v>665</v>
      </c>
      <c r="C674" s="987"/>
      <c r="D674" s="987"/>
      <c r="E674" s="987"/>
      <c r="F674" s="987"/>
      <c r="G674" s="987"/>
      <c r="H674" s="987"/>
      <c r="I674" s="987"/>
      <c r="J674" s="987"/>
      <c r="K674" s="987"/>
      <c r="L674" s="987"/>
      <c r="M674" s="1026"/>
      <c r="N674" s="987"/>
      <c r="O674" s="987"/>
      <c r="P674" s="987"/>
      <c r="Q674" s="987"/>
      <c r="R674" s="987"/>
      <c r="S674" s="987"/>
      <c r="T674" s="988"/>
      <c r="U674" s="1067" t="s">
        <v>1294</v>
      </c>
      <c r="V674" s="1068" t="s">
        <v>4293</v>
      </c>
      <c r="W674" s="1068" t="s">
        <v>2231</v>
      </c>
      <c r="X674" s="1069">
        <v>38</v>
      </c>
      <c r="Y674" s="1070" t="s">
        <v>567</v>
      </c>
      <c r="Z674" s="1071" t="s">
        <v>4366</v>
      </c>
      <c r="AA674" s="1072">
        <v>1</v>
      </c>
      <c r="AB674" s="1073">
        <v>0</v>
      </c>
      <c r="AC674" s="1073">
        <v>0</v>
      </c>
      <c r="AD674" s="1073">
        <v>0</v>
      </c>
      <c r="AE674" s="1073">
        <v>0</v>
      </c>
      <c r="AF674" s="1073">
        <v>0</v>
      </c>
      <c r="AG674" s="1073">
        <v>0</v>
      </c>
      <c r="AH674" s="1073">
        <v>0</v>
      </c>
      <c r="AI674" s="1074">
        <f t="shared" si="10"/>
        <v>1</v>
      </c>
      <c r="AJ674" s="1075" t="s">
        <v>1825</v>
      </c>
      <c r="AK674" s="1075" t="s">
        <v>2260</v>
      </c>
      <c r="AL674" s="1075" t="s">
        <v>2260</v>
      </c>
      <c r="AM674" s="1076" t="s">
        <v>2234</v>
      </c>
      <c r="AN674" s="987" t="s">
        <v>321</v>
      </c>
      <c r="AO674" s="987" t="s">
        <v>4417</v>
      </c>
      <c r="AP674" s="2042">
        <v>1</v>
      </c>
      <c r="AQ674" s="1045" t="s">
        <v>1838</v>
      </c>
      <c r="AR674" s="1078" t="s">
        <v>567</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2260</v>
      </c>
      <c r="CE674" s="1088" t="s">
        <v>2260</v>
      </c>
      <c r="CF674" s="1088" t="s">
        <v>2260</v>
      </c>
      <c r="CG674" s="1088" t="s">
        <v>2260</v>
      </c>
      <c r="CH674" s="1089" t="s">
        <v>2260</v>
      </c>
      <c r="CI674" s="1044" t="s">
        <v>2260</v>
      </c>
      <c r="CJ674" s="1045" t="s">
        <v>2260</v>
      </c>
      <c r="CK674" s="1045" t="s">
        <v>2260</v>
      </c>
      <c r="CL674" s="1045" t="s">
        <v>2260</v>
      </c>
      <c r="CM674" s="1086" t="s">
        <v>2260</v>
      </c>
      <c r="CN674" s="1044" t="s">
        <v>2260</v>
      </c>
      <c r="CO674" s="1045" t="s">
        <v>2260</v>
      </c>
      <c r="CP674" s="1045" t="s">
        <v>2260</v>
      </c>
      <c r="CQ674" s="1045" t="s">
        <v>2260</v>
      </c>
      <c r="CR674" s="1086" t="s">
        <v>2260</v>
      </c>
      <c r="CS674" s="1044" t="s">
        <v>2260</v>
      </c>
      <c r="CT674" s="1045" t="s">
        <v>2260</v>
      </c>
      <c r="CU674" s="1045" t="s">
        <v>2260</v>
      </c>
      <c r="CV674" s="1045" t="s">
        <v>2260</v>
      </c>
      <c r="CW674" s="1086" t="s">
        <v>2260</v>
      </c>
      <c r="CX674" s="1044" t="s">
        <v>2260</v>
      </c>
      <c r="CY674" s="1045" t="s">
        <v>2260</v>
      </c>
      <c r="CZ674" s="1045" t="s">
        <v>2260</v>
      </c>
      <c r="DA674" s="1045" t="s">
        <v>2260</v>
      </c>
      <c r="DB674" s="1086" t="s">
        <v>2260</v>
      </c>
      <c r="DC674" s="1045" t="s">
        <v>2260</v>
      </c>
      <c r="DD674" s="1045" t="s">
        <v>2260</v>
      </c>
      <c r="DE674" s="1045" t="s">
        <v>2260</v>
      </c>
      <c r="DF674" s="1045" t="s">
        <v>2260</v>
      </c>
      <c r="DG674" s="1086" t="s">
        <v>2260</v>
      </c>
      <c r="DH674" s="1044" t="s">
        <v>2260</v>
      </c>
      <c r="DI674" s="1045" t="s">
        <v>2260</v>
      </c>
      <c r="DJ674" s="1045" t="s">
        <v>2260</v>
      </c>
      <c r="DK674" s="1045" t="s">
        <v>2260</v>
      </c>
      <c r="DL674" s="1086" t="s">
        <v>2260</v>
      </c>
      <c r="DM674" s="1090" t="s">
        <v>2260</v>
      </c>
      <c r="DN674" s="1091" t="s">
        <v>2260</v>
      </c>
      <c r="DO674" s="1091" t="s">
        <v>2260</v>
      </c>
      <c r="DP674" s="1092" t="s">
        <v>2260</v>
      </c>
      <c r="DQ674" s="1091" t="s">
        <v>2260</v>
      </c>
      <c r="DR674" s="1091" t="s">
        <v>2260</v>
      </c>
      <c r="DS674" s="1091" t="s">
        <v>2260</v>
      </c>
      <c r="DT674" s="1092" t="s">
        <v>2260</v>
      </c>
      <c r="DU674" s="1088" t="s">
        <v>2260</v>
      </c>
      <c r="DV674" s="1093">
        <v>1</v>
      </c>
      <c r="DW674" s="1094" t="s">
        <v>2260</v>
      </c>
    </row>
    <row r="675" spans="1:127" s="382" customFormat="1" ht="15.75" customHeight="1">
      <c r="A675" s="1066" t="s">
        <v>1241</v>
      </c>
      <c r="B675" s="1026">
        <v>666</v>
      </c>
      <c r="C675" s="987"/>
      <c r="D675" s="987"/>
      <c r="E675" s="987"/>
      <c r="F675" s="987"/>
      <c r="G675" s="987"/>
      <c r="H675" s="987"/>
      <c r="I675" s="987"/>
      <c r="J675" s="987"/>
      <c r="K675" s="987"/>
      <c r="L675" s="987"/>
      <c r="M675" s="1026"/>
      <c r="N675" s="987"/>
      <c r="O675" s="987"/>
      <c r="P675" s="987"/>
      <c r="Q675" s="987"/>
      <c r="R675" s="987"/>
      <c r="S675" s="987"/>
      <c r="T675" s="988"/>
      <c r="U675" s="1067" t="s">
        <v>1565</v>
      </c>
      <c r="V675" s="1068" t="s">
        <v>4274</v>
      </c>
      <c r="W675" s="1068" t="s">
        <v>2231</v>
      </c>
      <c r="X675" s="1069">
        <v>40</v>
      </c>
      <c r="Y675" s="1070" t="s">
        <v>4368</v>
      </c>
      <c r="Z675" s="1071" t="s">
        <v>4369</v>
      </c>
      <c r="AA675" s="1072">
        <v>0</v>
      </c>
      <c r="AB675" s="1073">
        <v>0</v>
      </c>
      <c r="AC675" s="1073">
        <v>0</v>
      </c>
      <c r="AD675" s="1073">
        <v>1</v>
      </c>
      <c r="AE675" s="1073">
        <v>0</v>
      </c>
      <c r="AF675" s="1073">
        <v>0</v>
      </c>
      <c r="AG675" s="1073">
        <v>0</v>
      </c>
      <c r="AH675" s="1073">
        <v>0</v>
      </c>
      <c r="AI675" s="1074">
        <f t="shared" si="10"/>
        <v>1</v>
      </c>
      <c r="AJ675" s="1075" t="s">
        <v>1846</v>
      </c>
      <c r="AK675" s="1075" t="s">
        <v>1826</v>
      </c>
      <c r="AL675" s="1075" t="s">
        <v>1827</v>
      </c>
      <c r="AM675" s="1076" t="s">
        <v>815</v>
      </c>
      <c r="AN675" s="987" t="s">
        <v>321</v>
      </c>
      <c r="AO675" s="987" t="s">
        <v>4370</v>
      </c>
      <c r="AP675" s="802">
        <v>0</v>
      </c>
      <c r="AQ675" s="1045" t="s">
        <v>1828</v>
      </c>
      <c r="AR675" s="1078" t="s">
        <v>2260</v>
      </c>
      <c r="AS675" s="1079"/>
      <c r="AT675" s="1069"/>
      <c r="AU675" s="1069"/>
      <c r="AV675" s="1069"/>
      <c r="AW675" s="1080"/>
      <c r="AX675" s="1081"/>
      <c r="AY675" s="1044"/>
      <c r="AZ675" s="1045"/>
      <c r="BA675" s="1045"/>
      <c r="BB675" s="1045"/>
      <c r="BC675" s="1045"/>
      <c r="BD675" s="1045"/>
      <c r="BE675" s="1045"/>
      <c r="BF675" s="1045"/>
      <c r="BG675" s="1045"/>
      <c r="BH675" s="1045"/>
      <c r="BI675" s="1369"/>
      <c r="BJ675" s="1319"/>
      <c r="BK675" s="1319"/>
      <c r="BL675" s="1319"/>
      <c r="BM675" s="1319"/>
      <c r="BN675" s="1044"/>
      <c r="BO675" s="1045"/>
      <c r="BP675" s="1045"/>
      <c r="BQ675" s="1045"/>
      <c r="BR675" s="1045"/>
      <c r="BS675" s="1084"/>
      <c r="BT675" s="1045"/>
      <c r="BU675" s="1045"/>
      <c r="BV675" s="1045"/>
      <c r="BW675" s="1085"/>
      <c r="BX675" s="1084"/>
      <c r="BY675" s="1045"/>
      <c r="BZ675" s="1045"/>
      <c r="CA675" s="1045"/>
      <c r="CB675" s="1085"/>
      <c r="CC675" s="1086"/>
      <c r="CD675" s="1327"/>
      <c r="CE675" s="1328"/>
      <c r="CF675" s="1328"/>
      <c r="CG675" s="1328"/>
      <c r="CH675" s="1389"/>
      <c r="CI675" s="1369"/>
      <c r="CJ675" s="1319"/>
      <c r="CK675" s="1319"/>
      <c r="CL675" s="1319"/>
      <c r="CM675" s="1320"/>
      <c r="CN675" s="1369"/>
      <c r="CO675" s="1319"/>
      <c r="CP675" s="1319"/>
      <c r="CQ675" s="1319"/>
      <c r="CR675" s="1320"/>
      <c r="CS675" s="1369"/>
      <c r="CT675" s="1319"/>
      <c r="CU675" s="1319"/>
      <c r="CV675" s="1319"/>
      <c r="CW675" s="1320"/>
      <c r="CX675" s="1369"/>
      <c r="CY675" s="1319"/>
      <c r="CZ675" s="1319"/>
      <c r="DA675" s="1319"/>
      <c r="DB675" s="1320"/>
      <c r="DC675" s="1319"/>
      <c r="DD675" s="1319"/>
      <c r="DE675" s="1319"/>
      <c r="DF675" s="1319"/>
      <c r="DG675" s="1320"/>
      <c r="DH675" s="1369"/>
      <c r="DI675" s="1319"/>
      <c r="DJ675" s="1319"/>
      <c r="DK675" s="1319"/>
      <c r="DL675" s="1320"/>
      <c r="DM675" s="1743"/>
      <c r="DN675" s="1744"/>
      <c r="DO675" s="1744"/>
      <c r="DP675" s="1745"/>
      <c r="DQ675" s="1744"/>
      <c r="DR675" s="1744"/>
      <c r="DS675" s="1744"/>
      <c r="DT675" s="1745"/>
      <c r="DU675" s="1328"/>
      <c r="DV675" s="1664"/>
      <c r="DW675" s="1746"/>
    </row>
    <row r="676" spans="1:127" s="382" customFormat="1" ht="15.75" customHeight="1">
      <c r="A676" s="1066" t="s">
        <v>1241</v>
      </c>
      <c r="B676" s="1026">
        <v>667</v>
      </c>
      <c r="C676" s="987"/>
      <c r="D676" s="987"/>
      <c r="E676" s="987"/>
      <c r="F676" s="987"/>
      <c r="G676" s="987"/>
      <c r="H676" s="987"/>
      <c r="I676" s="987"/>
      <c r="J676" s="987"/>
      <c r="K676" s="987"/>
      <c r="L676" s="987"/>
      <c r="M676" s="1026"/>
      <c r="N676" s="987"/>
      <c r="O676" s="987"/>
      <c r="P676" s="987"/>
      <c r="Q676" s="987"/>
      <c r="R676" s="987"/>
      <c r="S676" s="987"/>
      <c r="T676" s="988"/>
      <c r="U676" s="1067" t="s">
        <v>1729</v>
      </c>
      <c r="V676" s="1068" t="s">
        <v>4274</v>
      </c>
      <c r="W676" s="1068" t="s">
        <v>2217</v>
      </c>
      <c r="X676" s="1069">
        <v>41</v>
      </c>
      <c r="Y676" s="1070" t="s">
        <v>4371</v>
      </c>
      <c r="Z676" s="1071" t="s">
        <v>4372</v>
      </c>
      <c r="AA676" s="1072">
        <v>0</v>
      </c>
      <c r="AB676" s="1073">
        <v>0</v>
      </c>
      <c r="AC676" s="1073">
        <v>0</v>
      </c>
      <c r="AD676" s="1073">
        <v>1</v>
      </c>
      <c r="AE676" s="1073">
        <v>0</v>
      </c>
      <c r="AF676" s="1073">
        <v>0</v>
      </c>
      <c r="AG676" s="1073">
        <v>0</v>
      </c>
      <c r="AH676" s="1073">
        <v>0</v>
      </c>
      <c r="AI676" s="1074">
        <f t="shared" si="10"/>
        <v>1</v>
      </c>
      <c r="AJ676" s="1075" t="s">
        <v>1825</v>
      </c>
      <c r="AK676" s="1075" t="s">
        <v>2260</v>
      </c>
      <c r="AL676" s="1075" t="s">
        <v>2260</v>
      </c>
      <c r="AM676" s="1076" t="s">
        <v>2408</v>
      </c>
      <c r="AN676" s="987" t="s">
        <v>1857</v>
      </c>
      <c r="AO676" s="987" t="s">
        <v>4373</v>
      </c>
      <c r="AP676" s="802">
        <v>0</v>
      </c>
      <c r="AQ676" s="1045" t="s">
        <v>1828</v>
      </c>
      <c r="AR676" s="1078" t="s">
        <v>2260</v>
      </c>
      <c r="AS676" s="1079"/>
      <c r="AT676" s="1069"/>
      <c r="AU676" s="1069"/>
      <c r="AV676" s="1069"/>
      <c r="AW676" s="1080"/>
      <c r="AX676" s="1081"/>
      <c r="AY676" s="1044"/>
      <c r="AZ676" s="1045"/>
      <c r="BA676" s="1045"/>
      <c r="BB676" s="1045"/>
      <c r="BC676" s="1045"/>
      <c r="BD676" s="1045"/>
      <c r="BE676" s="1045"/>
      <c r="BF676" s="1045"/>
      <c r="BG676" s="1045"/>
      <c r="BH676" s="1045"/>
      <c r="BI676" s="1369"/>
      <c r="BJ676" s="1319"/>
      <c r="BK676" s="1319"/>
      <c r="BL676" s="1319"/>
      <c r="BM676" s="1319"/>
      <c r="BN676" s="1044"/>
      <c r="BO676" s="1045"/>
      <c r="BP676" s="1045"/>
      <c r="BQ676" s="1045"/>
      <c r="BR676" s="1045"/>
      <c r="BS676" s="1084"/>
      <c r="BT676" s="1045"/>
      <c r="BU676" s="1045"/>
      <c r="BV676" s="1045"/>
      <c r="BW676" s="1085"/>
      <c r="BX676" s="1084"/>
      <c r="BY676" s="1045"/>
      <c r="BZ676" s="1045"/>
      <c r="CA676" s="1045"/>
      <c r="CB676" s="1085"/>
      <c r="CC676" s="1086"/>
      <c r="CD676" s="1327"/>
      <c r="CE676" s="1328"/>
      <c r="CF676" s="1328"/>
      <c r="CG676" s="1328"/>
      <c r="CH676" s="1389"/>
      <c r="CI676" s="1369"/>
      <c r="CJ676" s="1319"/>
      <c r="CK676" s="1319"/>
      <c r="CL676" s="1319"/>
      <c r="CM676" s="1320"/>
      <c r="CN676" s="1369"/>
      <c r="CO676" s="1319"/>
      <c r="CP676" s="1319"/>
      <c r="CQ676" s="1319"/>
      <c r="CR676" s="1320"/>
      <c r="CS676" s="1369"/>
      <c r="CT676" s="1319"/>
      <c r="CU676" s="1319"/>
      <c r="CV676" s="1319"/>
      <c r="CW676" s="1320"/>
      <c r="CX676" s="1369"/>
      <c r="CY676" s="1319"/>
      <c r="CZ676" s="1319"/>
      <c r="DA676" s="1319"/>
      <c r="DB676" s="1320"/>
      <c r="DC676" s="1319"/>
      <c r="DD676" s="1319"/>
      <c r="DE676" s="1319"/>
      <c r="DF676" s="1319"/>
      <c r="DG676" s="1320"/>
      <c r="DH676" s="1369"/>
      <c r="DI676" s="1319"/>
      <c r="DJ676" s="1319"/>
      <c r="DK676" s="1319"/>
      <c r="DL676" s="1320"/>
      <c r="DM676" s="1743"/>
      <c r="DN676" s="1744"/>
      <c r="DO676" s="1744"/>
      <c r="DP676" s="1745"/>
      <c r="DQ676" s="1744"/>
      <c r="DR676" s="1744"/>
      <c r="DS676" s="1744"/>
      <c r="DT676" s="1745"/>
      <c r="DU676" s="1328"/>
      <c r="DV676" s="1664"/>
      <c r="DW676" s="1746"/>
    </row>
    <row r="677" spans="1:127" s="382" customFormat="1" ht="15.75" customHeight="1">
      <c r="A677" s="1066" t="s">
        <v>1241</v>
      </c>
      <c r="B677" s="1026">
        <v>668</v>
      </c>
      <c r="C677" s="988"/>
      <c r="D677" s="988"/>
      <c r="E677" s="988"/>
      <c r="F677" s="988"/>
      <c r="G677" s="988"/>
      <c r="H677" s="988"/>
      <c r="I677" s="988"/>
      <c r="J677" s="988"/>
      <c r="K677" s="988"/>
      <c r="L677" s="988"/>
      <c r="M677" s="988"/>
      <c r="N677" s="988"/>
      <c r="O677" s="988"/>
      <c r="P677" s="988"/>
      <c r="Q677" s="988"/>
      <c r="R677" s="988"/>
      <c r="S677" s="988"/>
      <c r="T677" s="988"/>
      <c r="U677" s="1067" t="s">
        <v>1736</v>
      </c>
      <c r="V677" s="1068" t="s">
        <v>2260</v>
      </c>
      <c r="W677" s="1068" t="s">
        <v>2260</v>
      </c>
      <c r="X677" s="1069" t="s">
        <v>2331</v>
      </c>
      <c r="Y677" s="1070" t="s">
        <v>2332</v>
      </c>
      <c r="Z677" s="1071" t="s">
        <v>2260</v>
      </c>
      <c r="AA677" s="1072" t="s">
        <v>2260</v>
      </c>
      <c r="AB677" s="1073" t="s">
        <v>2260</v>
      </c>
      <c r="AC677" s="1073" t="s">
        <v>2260</v>
      </c>
      <c r="AD677" s="1073" t="s">
        <v>2260</v>
      </c>
      <c r="AE677" s="1073" t="s">
        <v>2260</v>
      </c>
      <c r="AF677" s="1073" t="s">
        <v>2260</v>
      </c>
      <c r="AG677" s="1073" t="s">
        <v>2260</v>
      </c>
      <c r="AH677" s="1073" t="s">
        <v>2260</v>
      </c>
      <c r="AI677" s="1074">
        <f t="shared" si="10"/>
        <v>0</v>
      </c>
      <c r="AJ677" s="1075" t="s">
        <v>1825</v>
      </c>
      <c r="AK677" s="1075" t="s">
        <v>2260</v>
      </c>
      <c r="AL677" s="1075" t="s">
        <v>2260</v>
      </c>
      <c r="AM677" s="1076" t="s">
        <v>2260</v>
      </c>
      <c r="AN677" s="987" t="s">
        <v>2260</v>
      </c>
      <c r="AO677" s="987" t="s">
        <v>2333</v>
      </c>
      <c r="AP677" s="2042">
        <v>0</v>
      </c>
      <c r="AQ677" s="1045" t="s">
        <v>2260</v>
      </c>
      <c r="AR677" s="1078" t="s">
        <v>2260</v>
      </c>
      <c r="AS677" s="1079"/>
      <c r="AT677" s="1069"/>
      <c r="AU677" s="1069"/>
      <c r="AV677" s="1069"/>
      <c r="AW677" s="1080"/>
      <c r="AX677" s="1081"/>
      <c r="AY677" s="1127"/>
      <c r="AZ677" s="1128"/>
      <c r="BA677" s="1128"/>
      <c r="BB677" s="1128"/>
      <c r="BC677" s="1128"/>
      <c r="BD677" s="1128"/>
      <c r="BE677" s="1128"/>
      <c r="BF677" s="1128"/>
      <c r="BG677" s="1128"/>
      <c r="BH677" s="1129"/>
      <c r="BI677" s="1369"/>
      <c r="BJ677" s="1319"/>
      <c r="BK677" s="1319"/>
      <c r="BL677" s="1319"/>
      <c r="BM677" s="1320"/>
      <c r="BN677" s="1350"/>
      <c r="BO677" s="1350"/>
      <c r="BP677" s="1350"/>
      <c r="BQ677" s="1350"/>
      <c r="BR677" s="1350"/>
      <c r="BS677" s="1351"/>
      <c r="BT677" s="1350"/>
      <c r="BU677" s="1350"/>
      <c r="BV677" s="1350"/>
      <c r="BW677" s="1352"/>
      <c r="BX677" s="1351"/>
      <c r="BY677" s="1350"/>
      <c r="BZ677" s="1350"/>
      <c r="CA677" s="1350"/>
      <c r="CB677" s="1352"/>
      <c r="CC677" s="1350"/>
      <c r="CD677" s="1327"/>
      <c r="CE677" s="1328"/>
      <c r="CF677" s="1328"/>
      <c r="CG677" s="1328"/>
      <c r="CH677" s="1389"/>
      <c r="CI677" s="1369"/>
      <c r="CJ677" s="1319"/>
      <c r="CK677" s="1319"/>
      <c r="CL677" s="1319"/>
      <c r="CM677" s="1320"/>
      <c r="CN677" s="1369"/>
      <c r="CO677" s="1319"/>
      <c r="CP677" s="1319"/>
      <c r="CQ677" s="1319"/>
      <c r="CR677" s="1320"/>
      <c r="CS677" s="1369"/>
      <c r="CT677" s="1319"/>
      <c r="CU677" s="1319"/>
      <c r="CV677" s="1319"/>
      <c r="CW677" s="1320"/>
      <c r="CX677" s="1369"/>
      <c r="CY677" s="1319"/>
      <c r="CZ677" s="1319"/>
      <c r="DA677" s="1319"/>
      <c r="DB677" s="1320"/>
      <c r="DC677" s="1319"/>
      <c r="DD677" s="1319"/>
      <c r="DE677" s="1319"/>
      <c r="DF677" s="1319"/>
      <c r="DG677" s="1320"/>
      <c r="DH677" s="1369"/>
      <c r="DI677" s="1319"/>
      <c r="DJ677" s="1319"/>
      <c r="DK677" s="1319"/>
      <c r="DL677" s="1320"/>
      <c r="DM677" s="1743"/>
      <c r="DN677" s="1744"/>
      <c r="DO677" s="1744"/>
      <c r="DP677" s="1745"/>
      <c r="DQ677" s="1744"/>
      <c r="DR677" s="1744"/>
      <c r="DS677" s="1744"/>
      <c r="DT677" s="1745"/>
      <c r="DU677" s="1328"/>
      <c r="DV677" s="1664"/>
      <c r="DW677" s="1746"/>
    </row>
    <row r="678" spans="1:127" s="382" customFormat="1" ht="15.75" customHeight="1" thickBot="1">
      <c r="A678" s="1130" t="s">
        <v>1241</v>
      </c>
      <c r="B678" s="1131">
        <v>669</v>
      </c>
      <c r="C678" s="1353"/>
      <c r="D678" s="988"/>
      <c r="E678" s="988"/>
      <c r="F678" s="988"/>
      <c r="G678" s="988"/>
      <c r="H678" s="988"/>
      <c r="I678" s="988"/>
      <c r="J678" s="988"/>
      <c r="K678" s="988"/>
      <c r="L678" s="988"/>
      <c r="M678" s="988"/>
      <c r="N678" s="988"/>
      <c r="O678" s="988"/>
      <c r="P678" s="988"/>
      <c r="Q678" s="988"/>
      <c r="R678" s="988"/>
      <c r="S678" s="988"/>
      <c r="T678" s="988"/>
      <c r="U678" s="1132" t="s">
        <v>1295</v>
      </c>
      <c r="V678" s="1133" t="s">
        <v>4303</v>
      </c>
      <c r="W678" s="1133" t="s">
        <v>2231</v>
      </c>
      <c r="X678" s="1134">
        <v>42</v>
      </c>
      <c r="Y678" s="1135" t="s">
        <v>755</v>
      </c>
      <c r="Z678" s="1136" t="s">
        <v>4374</v>
      </c>
      <c r="AA678" s="1137">
        <v>0</v>
      </c>
      <c r="AB678" s="1138">
        <v>0</v>
      </c>
      <c r="AC678" s="1138">
        <v>0</v>
      </c>
      <c r="AD678" s="1138">
        <v>0</v>
      </c>
      <c r="AE678" s="1138">
        <v>1</v>
      </c>
      <c r="AF678" s="1138">
        <v>0</v>
      </c>
      <c r="AG678" s="1138">
        <v>0</v>
      </c>
      <c r="AH678" s="1138">
        <v>0</v>
      </c>
      <c r="AI678" s="1139">
        <f t="shared" si="10"/>
        <v>1</v>
      </c>
      <c r="AJ678" s="1140" t="s">
        <v>1825</v>
      </c>
      <c r="AK678" s="1140" t="s">
        <v>2260</v>
      </c>
      <c r="AL678" s="1140" t="s">
        <v>2260</v>
      </c>
      <c r="AM678" s="1141" t="s">
        <v>2827</v>
      </c>
      <c r="AN678" s="1142" t="s">
        <v>321</v>
      </c>
      <c r="AO678" s="1142" t="s">
        <v>4424</v>
      </c>
      <c r="AP678" s="1143">
        <v>1</v>
      </c>
      <c r="AQ678" s="1143" t="s">
        <v>1828</v>
      </c>
      <c r="AR678" s="1144" t="s">
        <v>755</v>
      </c>
      <c r="AS678" s="1145"/>
      <c r="AT678" s="1134"/>
      <c r="AU678" s="1134"/>
      <c r="AV678" s="1134"/>
      <c r="AW678" s="1146"/>
      <c r="AX678" s="1147"/>
      <c r="AY678" s="1148"/>
      <c r="AZ678" s="1149"/>
      <c r="BA678" s="1149"/>
      <c r="BB678" s="1149"/>
      <c r="BC678" s="1149"/>
      <c r="BD678" s="1149"/>
      <c r="BE678" s="1149"/>
      <c r="BF678" s="1149"/>
      <c r="BG678" s="1143"/>
      <c r="BH678" s="1150"/>
      <c r="BI678" s="1143" t="s">
        <v>4495</v>
      </c>
      <c r="BJ678" s="1143" t="s">
        <v>4513</v>
      </c>
      <c r="BK678" s="1143" t="s">
        <v>4484</v>
      </c>
      <c r="BL678" s="1143" t="s">
        <v>4514</v>
      </c>
      <c r="BM678" s="1150" t="s">
        <v>4459</v>
      </c>
      <c r="BN678" s="1354"/>
      <c r="BO678" s="1354"/>
      <c r="BP678" s="1354"/>
      <c r="BQ678" s="1354"/>
      <c r="BR678" s="1354"/>
      <c r="BS678" s="1355"/>
      <c r="BT678" s="1354"/>
      <c r="BU678" s="1354"/>
      <c r="BV678" s="1354"/>
      <c r="BW678" s="1356"/>
      <c r="BX678" s="1355"/>
      <c r="BY678" s="1354"/>
      <c r="BZ678" s="1354"/>
      <c r="CA678" s="1354"/>
      <c r="CB678" s="1356"/>
      <c r="CC678" s="1354"/>
      <c r="CD678" s="1151" t="s">
        <v>2260</v>
      </c>
      <c r="CE678" s="1152" t="s">
        <v>2260</v>
      </c>
      <c r="CF678" s="1152" t="s">
        <v>2260</v>
      </c>
      <c r="CG678" s="1152" t="s">
        <v>2260</v>
      </c>
      <c r="CH678" s="1153" t="s">
        <v>2260</v>
      </c>
      <c r="CI678" s="1154" t="s">
        <v>2260</v>
      </c>
      <c r="CJ678" s="1143" t="s">
        <v>2260</v>
      </c>
      <c r="CK678" s="1143" t="s">
        <v>2260</v>
      </c>
      <c r="CL678" s="1143" t="s">
        <v>2260</v>
      </c>
      <c r="CM678" s="1150" t="s">
        <v>2260</v>
      </c>
      <c r="CN678" s="1154" t="s">
        <v>2260</v>
      </c>
      <c r="CO678" s="1143" t="s">
        <v>2260</v>
      </c>
      <c r="CP678" s="1143" t="s">
        <v>2260</v>
      </c>
      <c r="CQ678" s="1143" t="s">
        <v>2260</v>
      </c>
      <c r="CR678" s="1150" t="s">
        <v>2260</v>
      </c>
      <c r="CS678" s="1154" t="s">
        <v>2260</v>
      </c>
      <c r="CT678" s="1143" t="s">
        <v>2260</v>
      </c>
      <c r="CU678" s="1143" t="s">
        <v>2260</v>
      </c>
      <c r="CV678" s="1143" t="s">
        <v>2260</v>
      </c>
      <c r="CW678" s="1150" t="s">
        <v>2260</v>
      </c>
      <c r="CX678" s="1154" t="s">
        <v>2260</v>
      </c>
      <c r="CY678" s="1143" t="s">
        <v>2260</v>
      </c>
      <c r="CZ678" s="1143" t="s">
        <v>2260</v>
      </c>
      <c r="DA678" s="1143" t="s">
        <v>2260</v>
      </c>
      <c r="DB678" s="1150" t="s">
        <v>2260</v>
      </c>
      <c r="DC678" s="1143" t="s">
        <v>2260</v>
      </c>
      <c r="DD678" s="1143" t="s">
        <v>2260</v>
      </c>
      <c r="DE678" s="1143" t="s">
        <v>2260</v>
      </c>
      <c r="DF678" s="1143" t="s">
        <v>2260</v>
      </c>
      <c r="DG678" s="1150" t="s">
        <v>2260</v>
      </c>
      <c r="DH678" s="1154" t="s">
        <v>2260</v>
      </c>
      <c r="DI678" s="1143" t="s">
        <v>2260</v>
      </c>
      <c r="DJ678" s="1143" t="s">
        <v>2260</v>
      </c>
      <c r="DK678" s="1143" t="s">
        <v>2260</v>
      </c>
      <c r="DL678" s="1150" t="s">
        <v>2260</v>
      </c>
      <c r="DM678" s="1155" t="s">
        <v>2260</v>
      </c>
      <c r="DN678" s="1156" t="s">
        <v>2260</v>
      </c>
      <c r="DO678" s="1156" t="s">
        <v>2260</v>
      </c>
      <c r="DP678" s="1157" t="s">
        <v>2260</v>
      </c>
      <c r="DQ678" s="1156" t="s">
        <v>2260</v>
      </c>
      <c r="DR678" s="1156" t="s">
        <v>2260</v>
      </c>
      <c r="DS678" s="1156" t="s">
        <v>2260</v>
      </c>
      <c r="DT678" s="1157" t="s">
        <v>2260</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78"/>
      <c r="AZ679" s="2078"/>
      <c r="BA679" s="2078"/>
      <c r="BB679" s="2078"/>
      <c r="BC679" s="2078"/>
      <c r="BD679" s="2078"/>
      <c r="BE679" s="2078"/>
      <c r="BF679" s="2078"/>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75"/>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79"/>
      <c r="BJ683" s="2080"/>
      <c r="BK683" s="2082"/>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79"/>
      <c r="BJ684" s="2080"/>
      <c r="BK684" s="2081"/>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77"/>
      <c r="AR685" s="79"/>
      <c r="AS685" s="79"/>
      <c r="AT685" s="79"/>
      <c r="AU685" s="79"/>
      <c r="AV685" s="79"/>
      <c r="AW685" s="79"/>
      <c r="AX685" s="79"/>
      <c r="AY685" s="79"/>
      <c r="AZ685" s="79"/>
      <c r="BA685" s="79"/>
      <c r="BB685" s="79"/>
      <c r="BC685" s="79"/>
      <c r="BD685" s="79"/>
      <c r="BE685" s="79"/>
      <c r="BF685" s="79"/>
      <c r="BG685" s="79"/>
      <c r="BH685" s="79"/>
      <c r="BI685" s="2079"/>
      <c r="BJ685" s="2081"/>
      <c r="BK685" s="2081"/>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79"/>
      <c r="BJ686" s="2081"/>
      <c r="BK686" s="2081"/>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79"/>
      <c r="BJ687" s="2081"/>
      <c r="BK687" s="2081"/>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79"/>
      <c r="BJ688" s="2081"/>
      <c r="BK688" s="2081"/>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3" priority="47" operator="equal">
      <formula>0</formula>
    </cfRule>
  </conditionalFormatting>
  <conditionalFormatting sqref="AL12">
    <cfRule type="expression" dxfId="162" priority="18">
      <formula>$R12="NFI"</formula>
    </cfRule>
  </conditionalFormatting>
  <conditionalFormatting sqref="AL43">
    <cfRule type="expression" dxfId="161" priority="17">
      <formula>$R43="NFI"</formula>
    </cfRule>
  </conditionalFormatting>
  <conditionalFormatting sqref="AL98">
    <cfRule type="expression" dxfId="160" priority="16">
      <formula>$R98="NFI"</formula>
    </cfRule>
  </conditionalFormatting>
  <conditionalFormatting sqref="AL115">
    <cfRule type="expression" dxfId="159" priority="15">
      <formula>$R115="NFI"</formula>
    </cfRule>
  </conditionalFormatting>
  <conditionalFormatting sqref="AL147">
    <cfRule type="expression" dxfId="158" priority="14">
      <formula>$R147="NFI"</formula>
    </cfRule>
  </conditionalFormatting>
  <conditionalFormatting sqref="AL191">
    <cfRule type="expression" dxfId="157" priority="13">
      <formula>$R191="NFI"</formula>
    </cfRule>
  </conditionalFormatting>
  <conditionalFormatting sqref="AL231">
    <cfRule type="expression" dxfId="156" priority="12">
      <formula>$R231="NFI"</formula>
    </cfRule>
  </conditionalFormatting>
  <conditionalFormatting sqref="AL245">
    <cfRule type="expression" dxfId="155" priority="11">
      <formula>$R245="NFI"</formula>
    </cfRule>
  </conditionalFormatting>
  <conditionalFormatting sqref="AL265">
    <cfRule type="expression" dxfId="154" priority="1">
      <formula>$R265="NFI"</formula>
    </cfRule>
  </conditionalFormatting>
  <conditionalFormatting sqref="AL280">
    <cfRule type="expression" dxfId="153" priority="10">
      <formula>$R280="NFI"</formula>
    </cfRule>
  </conditionalFormatting>
  <conditionalFormatting sqref="AL334:AL335">
    <cfRule type="expression" dxfId="152" priority="8">
      <formula>$R334="NFI"</formula>
    </cfRule>
  </conditionalFormatting>
  <conditionalFormatting sqref="AL380">
    <cfRule type="expression" dxfId="151" priority="7">
      <formula>$R380="NFI"</formula>
    </cfRule>
  </conditionalFormatting>
  <conditionalFormatting sqref="AL447">
    <cfRule type="expression" dxfId="150" priority="6">
      <formula>$R447="NFI"</formula>
    </cfRule>
  </conditionalFormatting>
  <conditionalFormatting sqref="AL499">
    <cfRule type="expression" dxfId="149" priority="5">
      <formula>$R499="NFI"</formula>
    </cfRule>
  </conditionalFormatting>
  <conditionalFormatting sqref="AL549">
    <cfRule type="expression" dxfId="148" priority="4">
      <formula>$R549="NFI"</formula>
    </cfRule>
  </conditionalFormatting>
  <conditionalFormatting sqref="AL601">
    <cfRule type="expression" dxfId="147" priority="3">
      <formula>$R601="NFI"</formula>
    </cfRule>
  </conditionalFormatting>
  <conditionalFormatting sqref="AL661">
    <cfRule type="expression" dxfId="146" priority="2">
      <formula>$R661="NFI"</formula>
    </cfRule>
  </conditionalFormatting>
  <conditionalFormatting sqref="AO257">
    <cfRule type="expression" dxfId="145" priority="25">
      <formula>$R257="NFI"</formula>
    </cfRule>
  </conditionalFormatting>
  <conditionalFormatting sqref="AO262">
    <cfRule type="expression" dxfId="144" priority="24">
      <formula>$R262="NFI"</formula>
    </cfRule>
  </conditionalFormatting>
  <conditionalFormatting sqref="AP41">
    <cfRule type="expression" dxfId="143" priority="26">
      <formula>$R41="NFI"</formula>
    </cfRule>
  </conditionalFormatting>
  <conditionalFormatting sqref="BI207:BM207">
    <cfRule type="expression" dxfId="142"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141" priority="103">
      <formula>$AJ143="NFI"</formula>
    </cfRule>
    <cfRule type="expression" dxfId="140" priority="104">
      <formula>CD143=0</formula>
    </cfRule>
  </conditionalFormatting>
  <conditionalFormatting sqref="CD10:DW142">
    <cfRule type="expression" dxfId="139" priority="19">
      <formula>$AJ10="NFI"</formula>
    </cfRule>
    <cfRule type="expression" dxfId="138" priority="20">
      <formula>CD10=0</formula>
    </cfRule>
  </conditionalFormatting>
  <conditionalFormatting sqref="CD154:DW655">
    <cfRule type="expression" dxfId="137" priority="28">
      <formula>CD154=0</formula>
    </cfRule>
    <cfRule type="expression" dxfId="136" priority="27">
      <formula>$AJ154="NFI"</formula>
    </cfRule>
  </conditionalFormatting>
  <conditionalFormatting sqref="CD661:DW678">
    <cfRule type="expression" dxfId="135" priority="68">
      <formula>$AJ661="NFI"</formula>
    </cfRule>
    <cfRule type="expression" dxfId="134" priority="69">
      <formula>CD661=0</formula>
    </cfRule>
  </conditionalFormatting>
  <conditionalFormatting sqref="CS660">
    <cfRule type="expression" dxfId="133" priority="42">
      <formula>$AJ660="NFI"</formula>
    </cfRule>
    <cfRule type="expression" dxfId="132" priority="43">
      <formula>CS660=0</formula>
    </cfRule>
  </conditionalFormatting>
  <conditionalFormatting sqref="CS152:CW152">
    <cfRule type="expression" dxfId="131" priority="37">
      <formula>$R152="NFI"</formula>
    </cfRule>
  </conditionalFormatting>
  <conditionalFormatting sqref="CS153:CW153">
    <cfRule type="expression" dxfId="130" priority="35">
      <formula>$AJ153="NFI"</formula>
    </cfRule>
    <cfRule type="expression" dxfId="129" priority="36">
      <formula>CS153=0</formula>
    </cfRule>
  </conditionalFormatting>
  <conditionalFormatting sqref="CS659:CW659">
    <cfRule type="expression" dxfId="128" priority="41">
      <formula>$R659="NFI"</formula>
    </cfRule>
  </conditionalFormatting>
  <conditionalFormatting sqref="CT660:CW660">
    <cfRule type="expression" dxfId="127" priority="44">
      <formula>$R660="NFI"</formula>
    </cfRule>
  </conditionalFormatting>
  <conditionalFormatting sqref="CU143:CW143">
    <cfRule type="expression" dxfId="126" priority="46">
      <formula>$R143="NFI"</formula>
    </cfRule>
  </conditionalFormatting>
  <conditionalFormatting sqref="CU656:CW656">
    <cfRule type="expression" dxfId="125" priority="45">
      <formula>$R656="NFI"</formula>
    </cfRule>
  </conditionalFormatting>
  <conditionalFormatting sqref="DC145:DL146">
    <cfRule type="expression" dxfId="124" priority="34">
      <formula>$R145="NFI"</formula>
    </cfRule>
  </conditionalFormatting>
  <conditionalFormatting sqref="DH658:DL658">
    <cfRule type="expression" dxfId="123" priority="38">
      <formula>$R658="NFI"</formula>
    </cfRule>
  </conditionalFormatting>
  <conditionalFormatting sqref="DN145:DN146">
    <cfRule type="expression" dxfId="122" priority="31">
      <formula>$R145="NFI"</formula>
    </cfRule>
  </conditionalFormatting>
  <conditionalFormatting sqref="DN658">
    <cfRule type="expression" dxfId="121" priority="30">
      <formula>$R658="NFI"</formula>
    </cfRule>
  </conditionalFormatting>
  <conditionalFormatting sqref="DP145:DP146">
    <cfRule type="expression" dxfId="120" priority="33">
      <formula>$R145="NFI"</formula>
    </cfRule>
  </conditionalFormatting>
  <conditionalFormatting sqref="DP658">
    <cfRule type="expression" dxfId="119" priority="40">
      <formula>$R658="NFI"</formula>
    </cfRule>
  </conditionalFormatting>
  <conditionalFormatting sqref="DT145:DT146">
    <cfRule type="expression" dxfId="118" priority="32">
      <formula>$R145="NFI"</formula>
    </cfRule>
  </conditionalFormatting>
  <conditionalFormatting sqref="DT658">
    <cfRule type="expression" dxfId="117" priority="39">
      <formula>$R658="NFI"</formula>
    </cfRule>
  </conditionalFormatting>
  <conditionalFormatting sqref="DU10">
    <cfRule type="expression" dxfId="116"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bottomRight"/>
      <selection pane="bottomLeft"/>
      <selection pane="topRight"/>
    </sheetView>
  </sheetViews>
  <sheetFormatPr defaultColWidth="0" defaultRowHeight="12.75"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110" s="219" customFormat="1" ht="44.25">
      <c r="A1" s="425" t="e">
        <f ca="1" xml:space="preserve"> RIGHT(CELL("filename", $A$1), LEN(CELL("filename", $A$1)) - SEARCH("]", CELL("filename", $A$1)))</f>
        <v>#VALUE!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c r="A3" s="443" t="s">
        <v>2021</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c r="A5" s="431"/>
      <c r="B5" s="451" t="s">
        <v>2026</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c r="A7" s="431"/>
      <c r="B7" s="431"/>
      <c r="C7" s="431"/>
      <c r="D7" s="431"/>
      <c r="E7" s="431" t="s">
        <v>2027</v>
      </c>
      <c r="F7" s="431"/>
      <c r="G7" s="431" t="s">
        <v>2028</v>
      </c>
      <c r="H7" s="431"/>
      <c r="I7" s="431"/>
      <c r="J7" s="533">
        <f>IF(Ofwat_PC_Interventions!J7&lt;&gt;"",Ofwat_PC_Interventions!J7,IF(Company_PC_inputs!J7&lt;&gt;"",Company_PC_inputs!J7,""))</f>
        <v>2.13</v>
      </c>
      <c r="K7" s="534">
        <f>IF(Ofwat_PC_Interventions!K7&lt;&gt;"",Ofwat_PC_Interventions!K7,IF(Company_PC_inputs!K7&lt;&gt;"",Company_PC_inputs!K7,""))</f>
        <v>4.7596344359324451E-3</v>
      </c>
      <c r="L7" s="533">
        <f>IF(Ofwat_PC_Interventions!L7&lt;&gt;"",Ofwat_PC_Interventions!L7,IF(Company_PC_inputs!L7&lt;&gt;"",Company_PC_inputs!L7,""))</f>
        <v>3.9155074703760895</v>
      </c>
      <c r="M7" s="533" t="str">
        <f>IF(Ofwat_PC_Interventions!M7&lt;&gt;"",Ofwat_PC_Interventions!M7,IF(Company_PC_inputs!M7&lt;&gt;"",Company_PC_inputs!M7,""))</f>
        <v/>
      </c>
      <c r="N7" s="533">
        <f>IF(Ofwat_PC_Interventions!N7&lt;&gt;"",Ofwat_PC_Interventions!N7,IF(Company_PC_inputs!N7&lt;&gt;"",Company_PC_inputs!N7,""))</f>
        <v>4.666666666666675</v>
      </c>
      <c r="O7" s="533" t="str">
        <f>IF(Ofwat_PC_Interventions!O7&lt;&gt;"",Ofwat_PC_Interventions!O7,IF(Company_PC_inputs!O7&lt;&gt;"",Company_PC_inputs!O7,""))</f>
        <v/>
      </c>
      <c r="P7" s="535">
        <f>IF(Ofwat_PC_Interventions!P7&lt;&gt;"",Ofwat_PC_Interventions!P7,IF(Company_PC_inputs!P7&lt;&gt;"",Company_PC_inputs!P7,""))</f>
        <v>133.36935635776922</v>
      </c>
      <c r="Q7" s="536">
        <f>IF(Ofwat_PC_Interventions!Q7&lt;&gt;"",Ofwat_PC_Interventions!Q7,IF(Company_PC_inputs!Q7&lt;&gt;"",Company_PC_inputs!Q7,""))</f>
        <v>1.8790051410309851</v>
      </c>
      <c r="R7" s="537">
        <f>IF(Ofwat_PC_Interventions!R7&lt;&gt;"",Ofwat_PC_Interventions!R7,IF(Company_PC_inputs!R7&lt;&gt;"",Company_PC_inputs!R7,""))</f>
        <v>22.3</v>
      </c>
      <c r="S7" s="538">
        <f>IF(Ofwat_PC_Interventions!S7&lt;&gt;"",Ofwat_PC_Interventions!S7,IF(Company_PC_inputs!S7&lt;&gt;"",Company_PC_inputs!S7,""))</f>
        <v>62</v>
      </c>
      <c r="T7" s="537">
        <f>IF(Ofwat_PC_Interventions!T7&lt;&gt;"",Ofwat_PC_Interventions!T7,IF(Company_PC_inputs!T7&lt;&gt;"",Company_PC_inputs!T7,""))</f>
        <v>85</v>
      </c>
      <c r="U7" s="533">
        <f>IF(Ofwat_PC_Interventions!U7&lt;&gt;"",Ofwat_PC_Interventions!U7,IF(Company_PC_inputs!U7&lt;&gt;"",Company_PC_inputs!U7,""))</f>
        <v>0.06</v>
      </c>
      <c r="V7" s="535">
        <f>IF(Ofwat_PC_Interventions!V7&lt;&gt;"",Ofwat_PC_Interventions!V7,IF(Company_PC_inputs!V7&lt;&gt;"",Company_PC_inputs!V7,""))</f>
        <v>0.91</v>
      </c>
      <c r="W7" s="538">
        <f>IF(Ofwat_PC_Interventions!W7&lt;&gt;"",Ofwat_PC_Interventions!W7,IF(Company_PC_inputs!W7&lt;&gt;"",Company_PC_inputs!W7,""))</f>
        <v>1096405</v>
      </c>
      <c r="X7" s="538">
        <f>IF(Ofwat_PC_Interventions!X7&lt;&gt;"",Ofwat_PC_Interventions!X7,IF(Company_PC_inputs!X7&lt;&gt;"",Company_PC_inputs!X7,""))</f>
        <v>11.5</v>
      </c>
      <c r="Y7" s="539">
        <f>IF(Ofwat_PC_Interventions!Y7&lt;&gt;"",Ofwat_PC_Interventions!Y7,IF(Company_PC_inputs!Y7&lt;&gt;"",Company_PC_inputs!Y7,""))</f>
        <v>100</v>
      </c>
      <c r="Z7" s="533" t="str">
        <f>IF(Ofwat_PC_Interventions!Z7&lt;&gt;"",Ofwat_PC_Interventions!Z7,IF(Company_PC_inputs!Z7&lt;&gt;"",Company_PC_inputs!Z7,""))</f>
        <v>n/a</v>
      </c>
      <c r="AA7" s="537" t="str">
        <f>IF(Ofwat_PC_Interventions!AA7&lt;&gt;"",Ofwat_PC_Interventions!AA7,IF(Company_PC_inputs!AA7&lt;&gt;"",Company_PC_inputs!AA7,""))</f>
        <v>n/a</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1.4103806036901358</v>
      </c>
      <c r="AM7" s="535">
        <f>IF(Ofwat_PC_Interventions!AM7&lt;&gt;"",Ofwat_PC_Interventions!AM7,IF(Company_PC_inputs!AM7&lt;&gt;"",Company_PC_inputs!AM7,""))</f>
        <v>57.171265224956507</v>
      </c>
      <c r="AN7" s="535">
        <f>IF(Ofwat_PC_Interventions!AN7&lt;&gt;"",Ofwat_PC_Interventions!AN7,IF(Company_PC_inputs!AN7&lt;&gt;"",Company_PC_inputs!AN7,""))</f>
        <v>4.5327442893806094</v>
      </c>
      <c r="AO7" s="541">
        <f>IF(Ofwat_PC_Interventions!AO7&lt;&gt;"",Ofwat_PC_Interventions!AO7,IF(Company_PC_inputs!AO7&lt;&gt;"",Company_PC_inputs!AO7,""))</f>
        <v>99.28</v>
      </c>
      <c r="AP7" s="538">
        <f>IF(Ofwat_PC_Interventions!AP7&lt;&gt;"",Ofwat_PC_Interventions!AP7,IF(Company_PC_inputs!AP7&lt;&gt;"",Company_PC_inputs!AP7,""))</f>
        <v>5232</v>
      </c>
      <c r="AQ7" s="540">
        <f>IF(Ofwat_PC_Interventions!AQ7&lt;&gt;"",Ofwat_PC_Interventions!AQ7,IF(Company_PC_inputs!AQ7&lt;&gt;"",Company_PC_inputs!AQ7,""))</f>
        <v>31</v>
      </c>
      <c r="AR7" s="535">
        <f>IF(Ofwat_PC_Interventions!AR7&lt;&gt;"",Ofwat_PC_Interventions!AR7,IF(Company_PC_inputs!AR7&lt;&gt;"",Company_PC_inputs!AR7,""))</f>
        <v>1698</v>
      </c>
      <c r="AS7" s="533">
        <f>IF(Ofwat_PC_Interventions!AS7&lt;&gt;"",Ofwat_PC_Interventions!AS7,IF(Company_PC_inputs!AS7&lt;&gt;"",Company_PC_inputs!AS7,""))</f>
        <v>98</v>
      </c>
      <c r="AT7" s="533">
        <f>IF(Ofwat_PC_Interventions!AT7&lt;&gt;"",Ofwat_PC_Interventions!AT7,IF(Company_PC_inputs!AT7&lt;&gt;"",Company_PC_inputs!AT7,""))</f>
        <v>100</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c r="A8" s="431"/>
      <c r="B8" s="431"/>
      <c r="C8" s="431"/>
      <c r="D8" s="431"/>
      <c r="E8" s="431" t="s">
        <v>2029</v>
      </c>
      <c r="F8" s="431"/>
      <c r="G8" s="431" t="s">
        <v>2030</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194.1</v>
      </c>
      <c r="M8" s="542" t="str">
        <f>IF(Ofwat_PC_Interventions!M8&lt;&gt;"",Ofwat_PC_Interventions!M8,IF(Company_PC_inputs!M8&lt;&gt;"",Company_PC_inputs!M8,""))</f>
        <v/>
      </c>
      <c r="N8" s="542">
        <f>IF(Ofwat_PC_Interventions!N8&lt;&gt;"",Ofwat_PC_Interventions!N8,IF(Company_PC_inputs!N8&lt;&gt;"",Company_PC_inputs!N8,""))</f>
        <v>135</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c r="A11" s="431"/>
      <c r="B11" s="431"/>
      <c r="C11" s="431"/>
      <c r="D11" s="441"/>
      <c r="E11" s="431" t="s">
        <v>2031</v>
      </c>
      <c r="F11" s="431"/>
      <c r="G11" s="431" t="s">
        <v>461</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c r="A15" s="431"/>
      <c r="B15" s="451" t="s">
        <v>2032</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c r="A16" s="431"/>
      <c r="B16" s="431"/>
      <c r="C16" s="431"/>
      <c r="D16" s="431"/>
      <c r="E16" s="431" t="s">
        <v>2033</v>
      </c>
      <c r="F16" s="431"/>
      <c r="G16" s="431" t="s">
        <v>2007</v>
      </c>
      <c r="H16" s="431"/>
      <c r="I16" s="431"/>
      <c r="J16" s="545" t="str">
        <f>IF(Ofwat_PC_Interventions!J16&lt;&gt;"",Ofwat_PC_Interventions!J16,IF(Company_PC_inputs!J16&lt;&gt;"",Company_PC_inputs!J16,""))</f>
        <v>PR19ANH_3</v>
      </c>
      <c r="K16" s="545" t="str">
        <f>IF(Ofwat_PC_Interventions!K16&lt;&gt;"",Ofwat_PC_Interventions!K16,IF(Company_PC_inputs!K16&lt;&gt;"",Company_PC_inputs!K16,""))</f>
        <v>PR19ANH_4</v>
      </c>
      <c r="L16" s="545" t="str">
        <f>IF(Ofwat_PC_Interventions!L16&lt;&gt;"",Ofwat_PC_Interventions!L16,IF(Company_PC_inputs!L16&lt;&gt;"",Company_PC_inputs!L16,""))</f>
        <v>PR19ANH_5</v>
      </c>
      <c r="M16" s="545" t="str">
        <f>IF(Ofwat_PC_Interventions!M16&lt;&gt;"",Ofwat_PC_Interventions!M16,IF(Company_PC_inputs!M16&lt;&gt;"",Company_PC_inputs!M16,""))</f>
        <v/>
      </c>
      <c r="N16" s="545" t="str">
        <f>IF(Ofwat_PC_Interventions!N16&lt;&gt;"",Ofwat_PC_Interventions!N16,IF(Company_PC_inputs!N16&lt;&gt;"",Company_PC_inputs!N16,""))</f>
        <v>PR19ANH_6</v>
      </c>
      <c r="O16" s="545" t="str">
        <f>IF(Ofwat_PC_Interventions!O16&lt;&gt;"",Ofwat_PC_Interventions!O16,IF(Company_PC_inputs!O16&lt;&gt;"",Company_PC_inputs!O16,""))</f>
        <v/>
      </c>
      <c r="P16" s="545" t="str">
        <f>IF(Ofwat_PC_Interventions!P16&lt;&gt;"",Ofwat_PC_Interventions!P16,IF(Company_PC_inputs!P16&lt;&gt;"",Company_PC_inputs!P16,""))</f>
        <v>PR19ANH_11</v>
      </c>
      <c r="Q16" s="546" t="str">
        <f>IF(Ofwat_PC_Interventions!Q16&lt;&gt;"",Ofwat_PC_Interventions!Q16,IF(Company_PC_inputs!Q16&lt;&gt;"",Company_PC_inputs!Q16,""))</f>
        <v>PR19ANH_12</v>
      </c>
      <c r="R16" s="545" t="str">
        <f>IF(Ofwat_PC_Interventions!R16&lt;&gt;"",Ofwat_PC_Interventions!R16,IF(Company_PC_inputs!R16&lt;&gt;"",Company_PC_inputs!R16,""))</f>
        <v>PR19ANH_15</v>
      </c>
      <c r="S16" s="545" t="str">
        <f>IF(Ofwat_PC_Interventions!S16&lt;&gt;"",Ofwat_PC_Interventions!S16,IF(Company_PC_inputs!S16&lt;&gt;"",Company_PC_inputs!S16,""))</f>
        <v>PR19ANH_16</v>
      </c>
      <c r="T16" s="545" t="str">
        <f>IF(Ofwat_PC_Interventions!T16&lt;&gt;"",Ofwat_PC_Interventions!T16,IF(Company_PC_inputs!T16&lt;&gt;"",Company_PC_inputs!T16,""))</f>
        <v>PR19ANH_20</v>
      </c>
      <c r="U16" s="545" t="str">
        <f>IF(Ofwat_PC_Interventions!U16&lt;&gt;"",Ofwat_PC_Interventions!U16,IF(Company_PC_inputs!U16&lt;&gt;"",Company_PC_inputs!U16,""))</f>
        <v>PR19ANH_23</v>
      </c>
      <c r="V16" s="545" t="str">
        <f>IF(Ofwat_PC_Interventions!V16&lt;&gt;"",Ofwat_PC_Interventions!V16,IF(Company_PC_inputs!V16&lt;&gt;"",Company_PC_inputs!V16,""))</f>
        <v>PR19ANH_34</v>
      </c>
      <c r="W16" s="545" t="str">
        <f>IF(Ofwat_PC_Interventions!W16&lt;&gt;"",Ofwat_PC_Interventions!W16,IF(Company_PC_inputs!W16&lt;&gt;"",Company_PC_inputs!W16,""))</f>
        <v>PR19ANH_38</v>
      </c>
      <c r="X16" s="545" t="str">
        <f>IF(Ofwat_PC_Interventions!X16&lt;&gt;"",Ofwat_PC_Interventions!X16,IF(Company_PC_inputs!X16&lt;&gt;"",Company_PC_inputs!X16,""))</f>
        <v>PR19ANH_39</v>
      </c>
      <c r="Y16" s="545" t="str">
        <f>IF(Ofwat_PC_Interventions!Y16&lt;&gt;"",Ofwat_PC_Interventions!Y16,IF(Company_PC_inputs!Y16&lt;&gt;"",Company_PC_inputs!Y16,""))</f>
        <v>PR19ANH_41</v>
      </c>
      <c r="Z16" s="545" t="str">
        <f>IF(Ofwat_PC_Interventions!Z16&lt;&gt;"",Ofwat_PC_Interventions!Z16,IF(Company_PC_inputs!Z16&lt;&gt;"",Company_PC_inputs!Z16,""))</f>
        <v>PR19ANH_47</v>
      </c>
      <c r="AA16" s="545" t="str">
        <f>IF(Ofwat_PC_Interventions!AA16&lt;&gt;"",Ofwat_PC_Interventions!AA16,IF(Company_PC_inputs!AA16&lt;&gt;"",Company_PC_inputs!AA16,""))</f>
        <v>PR19ANH_48</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PR19ANH_7</v>
      </c>
      <c r="AM16" s="545" t="str">
        <f>IF(Ofwat_PC_Interventions!AM16&lt;&gt;"",Ofwat_PC_Interventions!AM16,IF(Company_PC_inputs!AM16&lt;&gt;"",Company_PC_inputs!AM16,""))</f>
        <v>PR19ANH_8</v>
      </c>
      <c r="AN16" s="545" t="str">
        <f>IF(Ofwat_PC_Interventions!AN16&lt;&gt;"",Ofwat_PC_Interventions!AN16,IF(Company_PC_inputs!AN16&lt;&gt;"",Company_PC_inputs!AN16,""))</f>
        <v>PR19ANH_13</v>
      </c>
      <c r="AO16" s="546" t="str">
        <f>IF(Ofwat_PC_Interventions!AO16&lt;&gt;"",Ofwat_PC_Interventions!AO16,IF(Company_PC_inputs!AO16&lt;&gt;"",Company_PC_inputs!AO16,""))</f>
        <v>PR19ANH_14</v>
      </c>
      <c r="AP16" s="545" t="str">
        <f>IF(Ofwat_PC_Interventions!AP16&lt;&gt;"",Ofwat_PC_Interventions!AP16,IF(Company_PC_inputs!AP16&lt;&gt;"",Company_PC_inputs!AP16,""))</f>
        <v>PR19ANH_17</v>
      </c>
      <c r="AQ16" s="545" t="str">
        <f>IF(Ofwat_PC_Interventions!AQ16&lt;&gt;"",Ofwat_PC_Interventions!AQ16,IF(Company_PC_inputs!AQ16&lt;&gt;"",Company_PC_inputs!AQ16,""))</f>
        <v>PR19ANH_19</v>
      </c>
      <c r="AR16" s="545" t="str">
        <f>IF(Ofwat_PC_Interventions!AR16&lt;&gt;"",Ofwat_PC_Interventions!AR16,IF(Company_PC_inputs!AR16&lt;&gt;"",Company_PC_inputs!AR16,""))</f>
        <v>PR19ANH_32</v>
      </c>
      <c r="AS16" s="545" t="str">
        <f>IF(Ofwat_PC_Interventions!AS16&lt;&gt;"",Ofwat_PC_Interventions!AS16,IF(Company_PC_inputs!AS16&lt;&gt;"",Company_PC_inputs!AS16,""))</f>
        <v>PR19ANH_42</v>
      </c>
      <c r="AT16" s="545" t="str">
        <f>IF(Ofwat_PC_Interventions!AT16&lt;&gt;"",Ofwat_PC_Interventions!AT16,IF(Company_PC_inputs!AT16&lt;&gt;"",Company_PC_inputs!AT16,""))</f>
        <v>PR19CMA_ANH-01</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8.25">
      <c r="A17" s="480"/>
      <c r="B17" s="480"/>
      <c r="C17" s="480"/>
      <c r="D17" s="480"/>
      <c r="E17" s="480" t="s">
        <v>2034</v>
      </c>
      <c r="F17" s="480"/>
      <c r="G17" s="480" t="s">
        <v>2007</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Percentage of population supplied by a single supply system</v>
      </c>
      <c r="S17" s="547" t="str">
        <f>IF(Ofwat_PC_Interventions!S17&lt;&gt;"",Ofwat_PC_Interventions!S17,IF(Company_PC_inputs!S17&lt;&gt;"",Company_PC_inputs!S17,""))</f>
        <v>Properties at risk of persistent low pressure</v>
      </c>
      <c r="T17" s="547" t="str">
        <f>IF(Ofwat_PC_Interventions!T17&lt;&gt;"",Ofwat_PC_Interventions!T17,IF(Company_PC_inputs!T17&lt;&gt;"",Company_PC_inputs!T17,""))</f>
        <v>Abstraction Incentive Mechanism</v>
      </c>
      <c r="U17" s="547" t="str">
        <f>IF(Ofwat_PC_Interventions!U17&lt;&gt;"",Ofwat_PC_Interventions!U17,IF(Company_PC_inputs!U17&lt;&gt;"",Company_PC_inputs!U17,""))</f>
        <v>Managing void properties</v>
      </c>
      <c r="V17" s="547" t="str">
        <f>IF(Ofwat_PC_Interventions!V17&lt;&gt;"",Ofwat_PC_Interventions!V17,IF(Company_PC_inputs!V17&lt;&gt;"",Company_PC_inputs!V17,""))</f>
        <v>Water quality contacts</v>
      </c>
      <c r="W17" s="547" t="str">
        <f>IF(Ofwat_PC_Interventions!W17&lt;&gt;"",Ofwat_PC_Interventions!W17,IF(Company_PC_inputs!W17&lt;&gt;"",Company_PC_inputs!W17,""))</f>
        <v>Smart metering delivery</v>
      </c>
      <c r="X17" s="547" t="str">
        <f>IF(Ofwat_PC_Interventions!X17&lt;&gt;"",Ofwat_PC_Interventions!X17,IF(Company_PC_inputs!X17&lt;&gt;"",Company_PC_inputs!X17,""))</f>
        <v>Internal interconnection delivery</v>
      </c>
      <c r="Y17" s="547" t="str">
        <f>IF(Ofwat_PC_Interventions!Y17&lt;&gt;"",Ofwat_PC_Interventions!Y17,IF(Company_PC_inputs!Y17&lt;&gt;"",Company_PC_inputs!Y17,""))</f>
        <v>Cyber Security</v>
      </c>
      <c r="Z17" s="547" t="str">
        <f>IF(Ofwat_PC_Interventions!Z17&lt;&gt;"",Ofwat_PC_Interventions!Z17,IF(Company_PC_inputs!Z17&lt;&gt;"",Company_PC_inputs!Z17,""))</f>
        <v>Underperformance incentive for Elsham treatment works and transfer scheme</v>
      </c>
      <c r="AA17" s="547" t="str">
        <f>IF(Ofwat_PC_Interventions!AA17&lt;&gt;"",Ofwat_PC_Interventions!AA17,IF(Company_PC_inputs!AA17&lt;&gt;"",Company_PC_inputs!AA17,""))</f>
        <v>Outperformance payment for Elsham treatment works and transfer scheme</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External Sewer Flooding</v>
      </c>
      <c r="AQ17" s="547" t="str">
        <f>IF(Ofwat_PC_Interventions!AQ17&lt;&gt;"",Ofwat_PC_Interventions!AQ17,IF(Company_PC_inputs!AQ17&lt;&gt;"",Company_PC_inputs!AQ17,""))</f>
        <v>Bathing Waters Attaining Excellent Status</v>
      </c>
      <c r="AR17" s="547" t="str">
        <f>IF(Ofwat_PC_Interventions!AR17&lt;&gt;"",Ofwat_PC_Interventions!AR17,IF(Company_PC_inputs!AR17&lt;&gt;"",Company_PC_inputs!AR17,""))</f>
        <v>Water Industry National Environment Programme</v>
      </c>
      <c r="AS17" s="547" t="str">
        <f>IF(Ofwat_PC_Interventions!AS17&lt;&gt;"",Ofwat_PC_Interventions!AS17,IF(Company_PC_inputs!AS17&lt;&gt;"",Company_PC_inputs!AS17,""))</f>
        <v>Partnership working on pluvial and fluvial flood risk</v>
      </c>
      <c r="AT17" s="547" t="str">
        <f>IF(Ofwat_PC_Interventions!AT17&lt;&gt;"",Ofwat_PC_Interventions!AT17,IF(Company_PC_inputs!AT17&lt;&gt;"",Company_PC_inputs!AT17,""))</f>
        <v>Additional sludge treatment capacity at Whitlingham</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c r="A19" s="431"/>
      <c r="B19" s="431"/>
      <c r="C19" s="431"/>
      <c r="D19" s="431"/>
      <c r="E19" s="431" t="s">
        <v>2035</v>
      </c>
      <c r="F19" s="431"/>
      <c r="G19" s="431" t="s">
        <v>461</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c r="A20" s="431"/>
      <c r="B20" s="431"/>
      <c r="C20" s="431"/>
      <c r="D20" s="431"/>
      <c r="E20" s="431" t="s">
        <v>2036</v>
      </c>
      <c r="F20" s="431"/>
      <c r="G20" s="431" t="s">
        <v>461</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c r="A22" s="431"/>
      <c r="B22" s="431"/>
      <c r="C22" s="431"/>
      <c r="D22" s="441" t="s">
        <v>2037</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c r="A23" s="431"/>
      <c r="B23" s="431"/>
      <c r="C23" s="431"/>
      <c r="D23" s="431"/>
      <c r="E23" s="431" t="s">
        <v>2038</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c r="A24" s="431"/>
      <c r="B24" s="431"/>
      <c r="C24" s="431"/>
      <c r="D24" s="431"/>
      <c r="E24" s="431" t="s">
        <v>2039</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c r="A25" s="431"/>
      <c r="B25" s="431"/>
      <c r="C25" s="431"/>
      <c r="D25" s="431"/>
      <c r="E25" s="431" t="s">
        <v>2040</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c r="A27" s="431"/>
      <c r="B27" s="431"/>
      <c r="C27" s="431"/>
      <c r="D27" s="431"/>
      <c r="E27" s="431" t="s">
        <v>2041</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f>IF(Ofwat_PC_Interventions!L27&lt;&gt;"",Ofwat_PC_Interventions!L27,IF(Company_PC_inputs!L27&lt;&gt;"",Company_PC_inputs!L27,""))</f>
        <v>-16.940000000000001</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f>IF(Ofwat_PC_Interventions!T27&lt;&gt;"",Ofwat_PC_Interventions!T27,IF(Company_PC_inputs!T27&lt;&gt;"",Company_PC_inputs!T27,""))</f>
        <v>-8.7999999999999995E-2</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0</v>
      </c>
      <c r="Y27" s="468" t="str">
        <f>IF(Ofwat_PC_Interventions!Y27&lt;&gt;"",Ofwat_PC_Interventions!Y27,IF(Company_PC_inputs!Y27&lt;&gt;"",Company_PC_inputs!Y27,""))</f>
        <v/>
      </c>
      <c r="Z27" s="468">
        <f>IF(Ofwat_PC_Interventions!Z27&lt;&gt;"",Ofwat_PC_Interventions!Z27,IF(Company_PC_inputs!Z27&lt;&gt;"",Company_PC_inputs!Z27,""))</f>
        <v>0</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f>IF(Ofwat_PC_Interventions!AR27&lt;&gt;"",Ofwat_PC_Interventions!AR27,IF(Company_PC_inputs!AR27&lt;&gt;"",Company_PC_inputs!AR27,""))</f>
        <v>0</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c r="A28" s="431"/>
      <c r="B28" s="431"/>
      <c r="C28" s="431"/>
      <c r="D28" s="431"/>
      <c r="E28" s="431" t="s">
        <v>2042</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c r="A29" s="431"/>
      <c r="B29" s="431"/>
      <c r="C29" s="431"/>
      <c r="D29" s="431"/>
      <c r="E29" s="431" t="s">
        <v>2043</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c r="A31" s="431"/>
      <c r="B31" s="431"/>
      <c r="C31" s="431"/>
      <c r="D31" s="431"/>
      <c r="E31" s="431" t="s">
        <v>2028</v>
      </c>
      <c r="F31" s="431"/>
      <c r="G31" s="431" t="s">
        <v>155</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 xml:space="preserve">% </v>
      </c>
      <c r="Z31" s="468" t="str">
        <f>IF(Ofwat_PC_Interventions!Z31&lt;&gt;"",Ofwat_PC_Interventions!Z31,IF(Company_PC_inputs!Z31&lt;&gt;"",Company_PC_inputs!Z31,""))</f>
        <v>text</v>
      </c>
      <c r="AA31" s="468" t="str">
        <f>IF(Ofwat_PC_Interventions!AA31&lt;&gt;"",Ofwat_PC_Interventions!AA31,IF(Company_PC_inputs!AA31&lt;&gt;"",Company_PC_inputs!AA31,""))</f>
        <v>text</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number</v>
      </c>
      <c r="AT31" s="468" t="str">
        <f>IF(Ofwat_PC_Interventions!AT31&lt;&gt;"",Ofwat_PC_Interventions!AT31,IF(Company_PC_inputs!AT31&lt;&gt;"",Company_PC_inputs!AT31,""))</f>
        <v>%</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c r="A33" s="431"/>
      <c r="B33" s="431"/>
      <c r="C33" s="431"/>
      <c r="D33" s="431"/>
      <c r="E33" s="431" t="s">
        <v>1803</v>
      </c>
      <c r="F33" s="431"/>
      <c r="G33" s="431" t="s">
        <v>2007</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RCV</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c r="A34" s="431"/>
      <c r="B34" s="431"/>
      <c r="C34" s="431"/>
      <c r="D34" s="431"/>
      <c r="E34" s="431" t="s">
        <v>1804</v>
      </c>
      <c r="F34" s="431"/>
      <c r="G34" s="431" t="s">
        <v>2007</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End of period</v>
      </c>
      <c r="Y34" s="472" t="str">
        <f>IF(Ofwat_PC_Interventions!Y34&lt;&gt;"",Ofwat_PC_Interventions!Y34,IF(Company_PC_inputs!Y34&lt;&gt;"",Company_PC_inputs!Y34,""))</f>
        <v>End of period</v>
      </c>
      <c r="Z34" s="472" t="str">
        <f>IF(Ofwat_PC_Interventions!Z34&lt;&gt;"",Ofwat_PC_Interventions!Z34,IF(Company_PC_inputs!Z34&lt;&gt;"",Company_PC_inputs!Z34,""))</f>
        <v>End of period</v>
      </c>
      <c r="AA34" s="472" t="str">
        <f>IF(Ofwat_PC_Interventions!AA34&lt;&gt;"",Ofwat_PC_Interventions!AA34,IF(Company_PC_inputs!AA34&lt;&gt;"",Company_PC_inputs!AA34,""))</f>
        <v>End of 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End of period</v>
      </c>
      <c r="AR34" s="472" t="str">
        <f>IF(Ofwat_PC_Interventions!AR34&lt;&gt;"",Ofwat_PC_Interventions!AR34,IF(Company_PC_inputs!AR34&lt;&gt;"",Company_PC_inputs!AR34,""))</f>
        <v>In-period</v>
      </c>
      <c r="AS34" s="472" t="str">
        <f>IF(Ofwat_PC_Interventions!AS34&lt;&gt;"",Ofwat_PC_Interventions!AS34,IF(Company_PC_inputs!AS34&lt;&gt;"",Company_PC_inputs!AS34,""))</f>
        <v>End of period</v>
      </c>
      <c r="AT34" s="472" t="str">
        <f>IF(Ofwat_PC_Interventions!AT34&lt;&gt;"",Ofwat_PC_Interventions!AT34,IF(Company_PC_inputs!AT34&lt;&gt;"",Company_PC_inputs!AT34,""))</f>
        <v>End of period</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c r="A36" s="431"/>
      <c r="B36" s="431"/>
      <c r="C36" s="431"/>
      <c r="D36" s="431"/>
      <c r="E36" s="431" t="s">
        <v>2044</v>
      </c>
      <c r="F36" s="431"/>
      <c r="G36" s="431" t="s">
        <v>461</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c r="A38" s="431"/>
      <c r="B38" s="431"/>
      <c r="C38" s="431"/>
      <c r="D38" s="431"/>
      <c r="E38" s="431" t="s">
        <v>2045</v>
      </c>
      <c r="F38" s="431"/>
      <c r="G38" s="431" t="s">
        <v>2046</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Down</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Up</v>
      </c>
      <c r="Z38" s="472" t="str">
        <f>IF(Ofwat_PC_Interventions!Z38&lt;&gt;"",Ofwat_PC_Interventions!Z38,IF(Company_PC_inputs!Z38&lt;&gt;"",Company_PC_inputs!Z38,""))</f>
        <v>TBC</v>
      </c>
      <c r="AA38" s="472" t="str">
        <f>IF(Ofwat_PC_Interventions!AA38&lt;&gt;"",Ofwat_PC_Interventions!AA38,IF(Company_PC_inputs!AA38&lt;&gt;"",Company_PC_inputs!AA38,""))</f>
        <v>TBC</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Up</v>
      </c>
      <c r="AR38" s="472" t="str">
        <f>IF(Ofwat_PC_Interventions!AR38&lt;&gt;"",Ofwat_PC_Interventions!AR38,IF(Company_PC_inputs!AR38&lt;&gt;"",Company_PC_inputs!AR38,""))</f>
        <v>Up</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c r="A40" s="431"/>
      <c r="B40" s="431"/>
      <c r="C40" s="431"/>
      <c r="D40" s="431"/>
      <c r="E40" s="431" t="s">
        <v>156</v>
      </c>
      <c r="F40" s="431"/>
      <c r="G40" s="431" t="s">
        <v>439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1</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2</v>
      </c>
      <c r="W40" s="472">
        <f>IF(Ofwat_PC_Interventions!W40&lt;&gt;"",Ofwat_PC_Interventions!W40,IF(Company_PC_inputs!W40&lt;&gt;"",Company_PC_inputs!W40,""))</f>
        <v>0</v>
      </c>
      <c r="X40" s="472">
        <f>IF(Ofwat_PC_Interventions!X40&lt;&gt;"",Ofwat_PC_Interventions!X40,IF(Company_PC_inputs!X40&lt;&gt;"",Company_PC_inputs!X40,""))</f>
        <v>1</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0</v>
      </c>
      <c r="AT40" s="472">
        <f>IF(Ofwat_PC_Interventions!AT40&lt;&gt;"",Ofwat_PC_Interventions!AT40,IF(Company_PC_inputs!AT40&lt;&gt;"",Company_PC_inputs!AT40,""))</f>
        <v>1</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c r="A42" s="431"/>
      <c r="B42" s="431"/>
      <c r="C42" s="431"/>
      <c r="D42" s="441" t="s">
        <v>2047</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c r="A43" s="431"/>
      <c r="B43" s="431"/>
      <c r="C43" s="431"/>
      <c r="D43" s="431"/>
      <c r="E43" s="431" t="s">
        <v>1809</v>
      </c>
      <c r="F43" s="431"/>
      <c r="G43" s="431" t="s">
        <v>2028</v>
      </c>
      <c r="H43" s="431"/>
      <c r="I43" s="431"/>
      <c r="J43" s="468" t="str">
        <f>IF(Ofwat_PC_Interventions!J43&lt;&gt;"",Ofwat_PC_Interventions!J43,IF(Company_PC_inputs!J43&lt;&gt;"",Company_PC_inputs!J43,""))</f>
        <v/>
      </c>
      <c r="K43" s="468">
        <f>IF(Ofwat_PC_Interventions!K43&lt;&gt;"",Ofwat_PC_Interventions!K43,IF(Company_PC_inputs!K43&lt;&gt;"",Company_PC_inputs!K43,""))</f>
        <v>1.689814814814815E-3</v>
      </c>
      <c r="L43" s="468" t="str">
        <f>IF(Ofwat_PC_Interventions!L43&lt;&gt;"",Ofwat_PC_Interventions!L43,IF(Company_PC_inputs!L43&lt;&gt;"",Company_PC_inputs!L43,""))</f>
        <v>*</v>
      </c>
      <c r="M43" s="468" t="str">
        <f>IF(Ofwat_PC_Interventions!M43&lt;&gt;"",Ofwat_PC_Interventions!M43,IF(Company_PC_inputs!M43&lt;&gt;"",Company_PC_inputs!M43,""))</f>
        <v/>
      </c>
      <c r="N43" s="468" t="str">
        <f>IF(Ofwat_PC_Interventions!N43&lt;&gt;"",Ofwat_PC_Interventions!N43,IF(Company_PC_inputs!N43&lt;&gt;"",Company_PC_inputs!N43,""))</f>
        <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1.01</v>
      </c>
      <c r="AM43" s="468">
        <f>IF(Ofwat_PC_Interventions!AM43&lt;&gt;"",Ofwat_PC_Interventions!AM43,IF(Company_PC_inputs!AM43&lt;&gt;"",Company_PC_inputs!AM43,""))</f>
        <v>4.5</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2092</v>
      </c>
      <c r="AQ43" s="468">
        <f>IF(Ofwat_PC_Interventions!AQ43&lt;&gt;"",Ofwat_PC_Interventions!AQ43,IF(Company_PC_inputs!AQ43&lt;&gt;"",Company_PC_inputs!AQ43,""))</f>
        <v>41</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c r="A44" s="431"/>
      <c r="B44" s="431"/>
      <c r="C44" s="431"/>
      <c r="D44" s="431"/>
      <c r="E44" s="431" t="s">
        <v>1810</v>
      </c>
      <c r="F44" s="431"/>
      <c r="G44" s="431" t="s">
        <v>2028</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c r="A45" s="431"/>
      <c r="B45" s="431"/>
      <c r="C45" s="431"/>
      <c r="D45" s="431"/>
      <c r="E45" s="431" t="s">
        <v>1811</v>
      </c>
      <c r="F45" s="431"/>
      <c r="G45" s="431" t="s">
        <v>2028</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16.399999999999999</v>
      </c>
      <c r="M45" s="468" t="str">
        <f>IF(Ofwat_PC_Interventions!M45&lt;&gt;"",Ofwat_PC_Interventions!M45,IF(Company_PC_inputs!M45&lt;&gt;"",Company_PC_inputs!M45,""))</f>
        <v/>
      </c>
      <c r="N45" s="468">
        <f>IF(Ofwat_PC_Interventions!N45&lt;&gt;"",Ofwat_PC_Interventions!N45,IF(Company_PC_inputs!N45&lt;&gt;"",Company_PC_inputs!N45,""))</f>
        <v>5.6</v>
      </c>
      <c r="O45" s="468" t="str">
        <f>IF(Ofwat_PC_Interventions!O45&lt;&gt;"",Ofwat_PC_Interventions!O45,IF(Company_PC_inputs!O45&lt;&gt;"",Company_PC_inputs!O45,""))</f>
        <v/>
      </c>
      <c r="P45" s="468">
        <f>IF(Ofwat_PC_Interventions!P45&lt;&gt;"",Ofwat_PC_Interventions!P45,IF(Company_PC_inputs!P45&lt;&gt;"",Company_PC_inputs!P45,""))</f>
        <v>132.30000000000001</v>
      </c>
      <c r="Q45" s="469">
        <f>IF(Ofwat_PC_Interventions!Q45&lt;&gt;"",Ofwat_PC_Interventions!Q45,IF(Company_PC_inputs!Q45&lt;&gt;"",Company_PC_inputs!Q45,""))</f>
        <v>2.34</v>
      </c>
      <c r="R45" s="468">
        <f>IF(Ofwat_PC_Interventions!R45&lt;&gt;"",Ofwat_PC_Interventions!R45,IF(Company_PC_inputs!R45&lt;&gt;"",Company_PC_inputs!R45,""))</f>
        <v>14.1</v>
      </c>
      <c r="S45" s="468">
        <f>IF(Ofwat_PC_Interventions!S45&lt;&gt;"",Ofwat_PC_Interventions!S45,IF(Company_PC_inputs!S45&lt;&gt;"",Company_PC_inputs!S45,""))</f>
        <v>106</v>
      </c>
      <c r="T45" s="468" t="str">
        <f>IF(Ofwat_PC_Interventions!T45&lt;&gt;"",Ofwat_PC_Interventions!T45,IF(Company_PC_inputs!T45&lt;&gt;"",Company_PC_inputs!T45,""))</f>
        <v/>
      </c>
      <c r="U45" s="468">
        <f>IF(Ofwat_PC_Interventions!U45&lt;&gt;"",Ofwat_PC_Interventions!U45,IF(Company_PC_inputs!U45&lt;&gt;"",Company_PC_inputs!U45,""))</f>
        <v>0.25</v>
      </c>
      <c r="V45" s="468">
        <f>IF(Ofwat_PC_Interventions!V45&lt;&gt;"",Ofwat_PC_Interventions!V45,IF(Company_PC_inputs!V45&lt;&gt;"",Company_PC_inputs!V45,""))</f>
        <v>0.77</v>
      </c>
      <c r="W45" s="468">
        <f>IF(Ofwat_PC_Interventions!W45&lt;&gt;"",Ofwat_PC_Interventions!W45,IF(Company_PC_inputs!W45&lt;&gt;"",Company_PC_inputs!W45,""))</f>
        <v>1096397</v>
      </c>
      <c r="X45" s="468">
        <f>IF(Ofwat_PC_Interventions!X45&lt;&gt;"",Ofwat_PC_Interventions!X45,IF(Company_PC_inputs!X45&lt;&gt;"",Company_PC_inputs!X45,""))</f>
        <v>469.4</v>
      </c>
      <c r="Y45" s="468">
        <f>IF(Ofwat_PC_Interventions!Y45&lt;&gt;"",Ofwat_PC_Interventions!Y45,IF(Company_PC_inputs!Y45&lt;&gt;"",Company_PC_inputs!Y45,""))</f>
        <v>100</v>
      </c>
      <c r="Z45" s="468" t="str">
        <f>IF(Ofwat_PC_Interventions!Z45&lt;&gt;"",Ofwat_PC_Interventions!Z45,IF(Company_PC_inputs!Z45&lt;&gt;"",Company_PC_inputs!Z45,""))</f>
        <v>TBA</v>
      </c>
      <c r="AA45" s="468" t="str">
        <f>IF(Ofwat_PC_Interventions!AA45&lt;&gt;"",Ofwat_PC_Interventions!AA45,IF(Company_PC_inputs!AA45&lt;&gt;"",Company_PC_inputs!AA45,""))</f>
        <v>TBA</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5.5</v>
      </c>
      <c r="AO45" s="469">
        <f>IF(Ofwat_PC_Interventions!AO45&lt;&gt;"",Ofwat_PC_Interventions!AO45,IF(Company_PC_inputs!AO45&lt;&gt;"",Company_PC_inputs!AO45,""))</f>
        <v>100</v>
      </c>
      <c r="AP45" s="468">
        <f>IF(Ofwat_PC_Interventions!AP45&lt;&gt;"",Ofwat_PC_Interventions!AP45,IF(Company_PC_inputs!AP45&lt;&gt;"",Company_PC_inputs!AP45,""))</f>
        <v>3991</v>
      </c>
      <c r="AQ45" s="468">
        <f>IF(Ofwat_PC_Interventions!AQ45&lt;&gt;"",Ofwat_PC_Interventions!AQ45,IF(Company_PC_inputs!AQ45&lt;&gt;"",Company_PC_inputs!AQ45,""))</f>
        <v>36</v>
      </c>
      <c r="AR45" s="468">
        <f>IF(Ofwat_PC_Interventions!AR45&lt;&gt;"",Ofwat_PC_Interventions!AR45,IF(Company_PC_inputs!AR45&lt;&gt;"",Company_PC_inputs!AR45,""))</f>
        <v>1856</v>
      </c>
      <c r="AS45" s="468">
        <f>IF(Ofwat_PC_Interventions!AS45&lt;&gt;"",Ofwat_PC_Interventions!AS45,IF(Company_PC_inputs!AS45&lt;&gt;"",Company_PC_inputs!AS45,""))</f>
        <v>92</v>
      </c>
      <c r="AT45" s="468">
        <f>IF(Ofwat_PC_Interventions!AT45&lt;&gt;"",Ofwat_PC_Interventions!AT45,IF(Company_PC_inputs!AT45&lt;&gt;"",Company_PC_inputs!AT45,""))</f>
        <v>100</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c r="A46" s="431"/>
      <c r="B46" s="431"/>
      <c r="C46" s="431"/>
      <c r="D46" s="431"/>
      <c r="E46" s="431" t="s">
        <v>1812</v>
      </c>
      <c r="F46" s="431"/>
      <c r="G46" s="431" t="s">
        <v>2028</v>
      </c>
      <c r="H46" s="431"/>
      <c r="I46" s="431"/>
      <c r="J46" s="468">
        <f>IF(Ofwat_PC_Interventions!J46&lt;&gt;"",Ofwat_PC_Interventions!J46,IF(Company_PC_inputs!J46&lt;&gt;"",Company_PC_inputs!J46,""))</f>
        <v>1.5</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f>IF(Ofwat_PC_Interventions!P46&lt;&gt;"",Ofwat_PC_Interventions!P46,IF(Company_PC_inputs!P46&lt;&gt;"",Company_PC_inputs!P46,""))</f>
        <v>142.30000000000001</v>
      </c>
      <c r="Q46" s="469">
        <f>IF(Ofwat_PC_Interventions!Q46&lt;&gt;"",Ofwat_PC_Interventions!Q46,IF(Company_PC_inputs!Q46&lt;&gt;"",Company_PC_inputs!Q46,""))</f>
        <v>2.81</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c r="A47" s="431"/>
      <c r="B47" s="431"/>
      <c r="C47" s="431"/>
      <c r="D47" s="431"/>
      <c r="E47" s="431" t="s">
        <v>1813</v>
      </c>
      <c r="F47" s="431"/>
      <c r="G47" s="431" t="s">
        <v>2028</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0</v>
      </c>
      <c r="M47" s="468" t="str">
        <f>IF(Ofwat_PC_Interventions!M47&lt;&gt;"",Ofwat_PC_Interventions!M47,IF(Company_PC_inputs!M47&lt;&gt;"",Company_PC_inputs!M47,""))</f>
        <v/>
      </c>
      <c r="N47" s="468" t="str">
        <f>IF(Ofwat_PC_Interventions!N47&lt;&gt;"",Ofwat_PC_Interventions!N47,IF(Company_PC_inputs!N47&lt;&gt;"",Company_PC_inputs!N47,""))</f>
        <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5.22</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f>IF(Ofwat_PC_Interventions!U47&lt;&gt;"",Ofwat_PC_Interventions!U47,IF(Company_PC_inputs!U47&lt;&gt;"",Company_PC_inputs!U47,""))</f>
        <v>0.5</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3.35</v>
      </c>
      <c r="AM47" s="468">
        <f>IF(Ofwat_PC_Interventions!AM47&lt;&gt;"",Ofwat_PC_Interventions!AM47,IF(Company_PC_inputs!AM47&lt;&gt;"",Company_PC_inputs!AM47,""))</f>
        <v>41.6</v>
      </c>
      <c r="AN47" s="468">
        <f>IF(Ofwat_PC_Interventions!AN47&lt;&gt;"",Ofwat_PC_Interventions!AN47,IF(Company_PC_inputs!AN47&lt;&gt;"",Company_PC_inputs!AN47,""))</f>
        <v>7.76</v>
      </c>
      <c r="AO47" s="469">
        <f>IF(Ofwat_PC_Interventions!AO47&lt;&gt;"",Ofwat_PC_Interventions!AO47,IF(Company_PC_inputs!AO47&lt;&gt;"",Company_PC_inputs!AO47,""))</f>
        <v>95.4</v>
      </c>
      <c r="AP47" s="468">
        <f>IF(Ofwat_PC_Interventions!AP47&lt;&gt;"",Ofwat_PC_Interventions!AP47,IF(Company_PC_inputs!AP47&lt;&gt;"",Company_PC_inputs!AP47,""))</f>
        <v>6287</v>
      </c>
      <c r="AQ47" s="468">
        <f>IF(Ofwat_PC_Interventions!AQ47&lt;&gt;"",Ofwat_PC_Interventions!AQ47,IF(Company_PC_inputs!AQ47&lt;&gt;"",Company_PC_inputs!AQ47,""))</f>
        <v>28</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c r="A49" s="431"/>
      <c r="B49" s="431"/>
      <c r="C49" s="431"/>
      <c r="D49" s="431"/>
      <c r="E49" s="431" t="s">
        <v>2048</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1.1459999999999999</v>
      </c>
      <c r="L49" s="549">
        <f>IF(Ofwat_PC_Interventions!L49&lt;&gt;"",Ofwat_PC_Interventions!L49,IF(Company_PC_inputs!L49&lt;&gt;"",Company_PC_inputs!L49,""))</f>
        <v>0.219</v>
      </c>
      <c r="M49" s="549" t="str">
        <f>IF(Ofwat_PC_Interventions!M49&lt;&gt;"",Ofwat_PC_Interventions!M49,IF(Company_PC_inputs!M49&lt;&gt;"",Company_PC_inputs!M49,""))</f>
        <v/>
      </c>
      <c r="N49" s="549">
        <f>IF(Ofwat_PC_Interventions!N49&lt;&gt;"",Ofwat_PC_Interventions!N49,IF(Company_PC_inputs!N49&lt;&gt;"",Company_PC_inputs!N49,""))</f>
        <v>0.312</v>
      </c>
      <c r="O49" s="549" t="str">
        <f>IF(Ofwat_PC_Interventions!O49&lt;&gt;"",Ofwat_PC_Interventions!O49,IF(Company_PC_inputs!O49&lt;&gt;"",Company_PC_inputs!O49,""))</f>
        <v/>
      </c>
      <c r="P49" s="549" t="str">
        <f>IF(Ofwat_PC_Interventions!P49&lt;&gt;"",Ofwat_PC_Interventions!P49,IF(Company_PC_inputs!P49&lt;&gt;"",Company_PC_inputs!P49,""))</f>
        <v/>
      </c>
      <c r="Q49" s="550" t="str">
        <f>IF(Ofwat_PC_Interventions!Q49&lt;&gt;"",Ofwat_PC_Interventions!Q49,IF(Company_PC_inputs!Q49&lt;&gt;"",Company_PC_inputs!Q49,""))</f>
        <v/>
      </c>
      <c r="R49" s="549">
        <f>IF(Ofwat_PC_Interventions!R49&lt;&gt;"",Ofwat_PC_Interventions!R49,IF(Company_PC_inputs!R49&lt;&gt;"",Company_PC_inputs!R49,""))</f>
        <v>0.42811700000000003</v>
      </c>
      <c r="S49" s="549">
        <f>IF(Ofwat_PC_Interventions!S49&lt;&gt;"",Ofwat_PC_Interventions!S49,IF(Company_PC_inputs!S49&lt;&gt;"",Company_PC_inputs!S49,""))</f>
        <v>6.3400000000000001E-3</v>
      </c>
      <c r="T49" s="549" t="str">
        <f>IF(Ofwat_PC_Interventions!T49&lt;&gt;"",Ofwat_PC_Interventions!T49,IF(Company_PC_inputs!T49&lt;&gt;"",Company_PC_inputs!T49,""))</f>
        <v/>
      </c>
      <c r="U49" s="549">
        <f>IF(Ofwat_PC_Interventions!U49&lt;&gt;"",Ofwat_PC_Interventions!U49,IF(Company_PC_inputs!U49&lt;&gt;"",Company_PC_inputs!U49,""))</f>
        <v>4.7160000000000002</v>
      </c>
      <c r="V49" s="549">
        <f>IF(Ofwat_PC_Interventions!V49&lt;&gt;"",Ofwat_PC_Interventions!V49,IF(Company_PC_inputs!V49&lt;&gt;"",Company_PC_inputs!V49,""))</f>
        <v>1.3380000000000001</v>
      </c>
      <c r="W49" s="549" t="str">
        <f>IF(Ofwat_PC_Interventions!W49&lt;&gt;"",Ofwat_PC_Interventions!W49,IF(Company_PC_inputs!W49&lt;&gt;"",Company_PC_inputs!W49,""))</f>
        <v/>
      </c>
      <c r="X49" s="549" t="str">
        <f>IF(Ofwat_PC_Interventions!X49&lt;&gt;"",Ofwat_PC_Interventions!X49,IF(Company_PC_inputs!X49&lt;&gt;"",Company_PC_inputs!X49,""))</f>
        <v/>
      </c>
      <c r="Y49" s="549" t="str">
        <f>IF(Ofwat_PC_Interventions!Y49&lt;&gt;"",Ofwat_PC_Interventions!Y49,IF(Company_PC_inputs!Y49&lt;&gt;"",Company_PC_inputs!Y49,""))</f>
        <v/>
      </c>
      <c r="Z49" s="549" t="str">
        <f>IF(Ofwat_PC_Interventions!Z49&lt;&gt;"",Ofwat_PC_Interventions!Z49,IF(Company_PC_inputs!Z49&lt;&gt;"",Company_PC_inputs!Z49,""))</f>
        <v/>
      </c>
      <c r="AA49" s="549">
        <f>IF(Ofwat_PC_Interventions!AA49&lt;&gt;"",Ofwat_PC_Interventions!AA49,IF(Company_PC_inputs!AA49&lt;&gt;"",Company_PC_inputs!AA49,""))</f>
        <v>0.94</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10.994</v>
      </c>
      <c r="AM49" s="549">
        <f>IF(Ofwat_PC_Interventions!AM49&lt;&gt;"",Ofwat_PC_Interventions!AM49,IF(Company_PC_inputs!AM49&lt;&gt;"",Company_PC_inputs!AM49,""))</f>
        <v>0.29499999999999998</v>
      </c>
      <c r="AN49" s="549" t="str">
        <f>IF(Ofwat_PC_Interventions!AN49&lt;&gt;"",Ofwat_PC_Interventions!AN49,IF(Company_PC_inputs!AN49&lt;&gt;"",Company_PC_inputs!AN49,""))</f>
        <v/>
      </c>
      <c r="AO49" s="550" t="str">
        <f>IF(Ofwat_PC_Interventions!AO49&lt;&gt;"",Ofwat_PC_Interventions!AO49,IF(Company_PC_inputs!AO49&lt;&gt;"",Company_PC_inputs!AO49,""))</f>
        <v/>
      </c>
      <c r="AP49" s="549">
        <f>IF(Ofwat_PC_Interventions!AP49&lt;&gt;"",Ofwat_PC_Interventions!AP49,IF(Company_PC_inputs!AP49&lt;&gt;"",Company_PC_inputs!AP49,""))</f>
        <v>4.1770000000000002E-3</v>
      </c>
      <c r="AQ49" s="549">
        <f>IF(Ofwat_PC_Interventions!AQ49&lt;&gt;"",Ofwat_PC_Interventions!AQ49,IF(Company_PC_inputs!AQ49&lt;&gt;"",Company_PC_inputs!AQ49,""))</f>
        <v>0.1154</v>
      </c>
      <c r="AR49" s="549">
        <f>IF(Ofwat_PC_Interventions!AR49&lt;&gt;"",Ofwat_PC_Interventions!AR49,IF(Company_PC_inputs!AR49&lt;&gt;"",Company_PC_inputs!AR49,""))</f>
        <v>1.4E-2</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c r="A50" s="431"/>
      <c r="B50" s="431"/>
      <c r="C50" s="431"/>
      <c r="D50" s="431"/>
      <c r="E50" s="431" t="s">
        <v>2049</v>
      </c>
      <c r="F50" s="431"/>
      <c r="G50" s="431" t="str">
        <f>"£m/unit ("&amp;InpCompany!$F$10&amp;" prices)"</f>
        <v>£m/unit (2017-18 prices)</v>
      </c>
      <c r="H50" s="431"/>
      <c r="I50" s="431"/>
      <c r="J50" s="549">
        <f>IF(Ofwat_PC_Interventions!J50&lt;&gt;"",Ofwat_PC_Interventions!J50,IF(Company_PC_inputs!J50&lt;&gt;"",Company_PC_inputs!J50,""))</f>
        <v>-0.78800000000000003</v>
      </c>
      <c r="K50" s="549">
        <f>IF(Ofwat_PC_Interventions!K50&lt;&gt;"",Ofwat_PC_Interventions!K50,IF(Company_PC_inputs!K50&lt;&gt;"",Company_PC_inputs!K50,""))</f>
        <v>-1.1459999999999999</v>
      </c>
      <c r="L50" s="549">
        <f>IF(Ofwat_PC_Interventions!L50&lt;&gt;"",Ofwat_PC_Interventions!L50,IF(Company_PC_inputs!L50&lt;&gt;"",Company_PC_inputs!L50,""))</f>
        <v>-0.36499999999999999</v>
      </c>
      <c r="M50" s="549" t="str">
        <f>IF(Ofwat_PC_Interventions!M50&lt;&gt;"",Ofwat_PC_Interventions!M50,IF(Company_PC_inputs!M50&lt;&gt;"",Company_PC_inputs!M50,""))</f>
        <v/>
      </c>
      <c r="N50" s="549">
        <f>IF(Ofwat_PC_Interventions!N50&lt;&gt;"",Ofwat_PC_Interventions!N50,IF(Company_PC_inputs!N50&lt;&gt;"",Company_PC_inputs!N50,""))</f>
        <v>-0.374</v>
      </c>
      <c r="O50" s="549" t="str">
        <f>IF(Ofwat_PC_Interventions!O50&lt;&gt;"",Ofwat_PC_Interventions!O50,IF(Company_PC_inputs!O50&lt;&gt;"",Company_PC_inputs!O50,""))</f>
        <v/>
      </c>
      <c r="P50" s="549">
        <f>IF(Ofwat_PC_Interventions!P50&lt;&gt;"",Ofwat_PC_Interventions!P50,IF(Company_PC_inputs!P50&lt;&gt;"",Company_PC_inputs!P50,""))</f>
        <v>-0.16500000000000001</v>
      </c>
      <c r="Q50" s="550">
        <f>IF(Ofwat_PC_Interventions!Q50&lt;&gt;"",Ofwat_PC_Interventions!Q50,IF(Company_PC_inputs!Q50&lt;&gt;"",Company_PC_inputs!Q50,""))</f>
        <v>-1.3240000000000001</v>
      </c>
      <c r="R50" s="549" t="str">
        <f>IF(Ofwat_PC_Interventions!R50&lt;&gt;"",Ofwat_PC_Interventions!R50,IF(Company_PC_inputs!R50&lt;&gt;"",Company_PC_inputs!R50,""))</f>
        <v/>
      </c>
      <c r="S50" s="549">
        <f>IF(Ofwat_PC_Interventions!S50&lt;&gt;"",Ofwat_PC_Interventions!S50,IF(Company_PC_inputs!S50&lt;&gt;"",Company_PC_inputs!S50,""))</f>
        <v>-1.2207000000000001E-2</v>
      </c>
      <c r="T50" s="549" t="str">
        <f>IF(Ofwat_PC_Interventions!T50&lt;&gt;"",Ofwat_PC_Interventions!T50,IF(Company_PC_inputs!T50&lt;&gt;"",Company_PC_inputs!T50,""))</f>
        <v/>
      </c>
      <c r="U50" s="549">
        <f>IF(Ofwat_PC_Interventions!U50&lt;&gt;"",Ofwat_PC_Interventions!U50,IF(Company_PC_inputs!U50&lt;&gt;"",Company_PC_inputs!U50,""))</f>
        <v>-4.7160000000000002</v>
      </c>
      <c r="V50" s="549">
        <f>IF(Ofwat_PC_Interventions!V50&lt;&gt;"",Ofwat_PC_Interventions!V50,IF(Company_PC_inputs!V50&lt;&gt;"",Company_PC_inputs!V50,""))</f>
        <v>-2.6760000000000002</v>
      </c>
      <c r="W50" s="549">
        <f>IF(Ofwat_PC_Interventions!W50&lt;&gt;"",Ofwat_PC_Interventions!W50,IF(Company_PC_inputs!W50&lt;&gt;"",Company_PC_inputs!W50,""))</f>
        <v>-3.0000000000000001E-5</v>
      </c>
      <c r="X50" s="549">
        <f>IF(Ofwat_PC_Interventions!X50&lt;&gt;"",Ofwat_PC_Interventions!X50,IF(Company_PC_inputs!X50&lt;&gt;"",Company_PC_inputs!X50,""))</f>
        <v>-0.45900000000000002</v>
      </c>
      <c r="Y50" s="549">
        <f>IF(Ofwat_PC_Interventions!Y50&lt;&gt;"",Ofwat_PC_Interventions!Y50,IF(Company_PC_inputs!Y50&lt;&gt;"",Company_PC_inputs!Y50,""))</f>
        <v>-6.4799999999999996E-2</v>
      </c>
      <c r="Z50" s="549">
        <f>IF(Ofwat_PC_Interventions!Z50&lt;&gt;"",Ofwat_PC_Interventions!Z50,IF(Company_PC_inputs!Z50&lt;&gt;"",Company_PC_inputs!Z50,""))</f>
        <v>-0.47</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-10.944000000000001</v>
      </c>
      <c r="AM50" s="549">
        <f>IF(Ofwat_PC_Interventions!AM50&lt;&gt;"",Ofwat_PC_Interventions!AM50,IF(Company_PC_inputs!AM50&lt;&gt;"",Company_PC_inputs!AM50,""))</f>
        <v>-0.44500000000000001</v>
      </c>
      <c r="AN50" s="549">
        <f>IF(Ofwat_PC_Interventions!AN50&lt;&gt;"",Ofwat_PC_Interventions!AN50,IF(Company_PC_inputs!AN50&lt;&gt;"",Company_PC_inputs!AN50,""))</f>
        <v>-2.298</v>
      </c>
      <c r="AO50" s="550">
        <f>IF(Ofwat_PC_Interventions!AO50&lt;&gt;"",Ofwat_PC_Interventions!AO50,IF(Company_PC_inputs!AO50&lt;&gt;"",Company_PC_inputs!AO50,""))</f>
        <v>-1.3480000000000001</v>
      </c>
      <c r="AP50" s="549">
        <f>IF(Ofwat_PC_Interventions!AP50&lt;&gt;"",Ofwat_PC_Interventions!AP50,IF(Company_PC_inputs!AP50&lt;&gt;"",Company_PC_inputs!AP50,""))</f>
        <v>-4.1770000000000002E-3</v>
      </c>
      <c r="AQ50" s="549">
        <f>IF(Ofwat_PC_Interventions!AQ50&lt;&gt;"",Ofwat_PC_Interventions!AQ50,IF(Company_PC_inputs!AQ50&lt;&gt;"",Company_PC_inputs!AQ50,""))</f>
        <v>-0.2248</v>
      </c>
      <c r="AR50" s="549">
        <f>IF(Ofwat_PC_Interventions!AR50&lt;&gt;"",Ofwat_PC_Interventions!AR50,IF(Company_PC_inputs!AR50&lt;&gt;"",Company_PC_inputs!AR50,""))</f>
        <v>-1.4E-2</v>
      </c>
      <c r="AS50" s="549">
        <f>IF(Ofwat_PC_Interventions!AS50&lt;&gt;"",Ofwat_PC_Interventions!AS50,IF(Company_PC_inputs!AS50&lt;&gt;"",Company_PC_inputs!AS50,""))</f>
        <v>-5.9499999999999997E-2</v>
      </c>
      <c r="AT50" s="549">
        <f>IF(Ofwat_PC_Interventions!AT50&lt;&gt;"",Ofwat_PC_Interventions!AT50,IF(Company_PC_inputs!AT50&lt;&gt;"",Company_PC_inputs!AT50,""))</f>
        <v>-4.7699999999999999E-2</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c r="A52" s="431"/>
      <c r="B52" s="431"/>
      <c r="C52" s="431"/>
      <c r="D52" s="441" t="s">
        <v>2050</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c r="A53" s="431"/>
      <c r="B53" s="431"/>
      <c r="C53" s="431"/>
      <c r="D53" s="431"/>
      <c r="E53" s="431" t="s">
        <v>2051</v>
      </c>
      <c r="F53" s="431"/>
      <c r="G53" s="431" t="s">
        <v>461</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c r="A54" s="431"/>
      <c r="B54" s="431"/>
      <c r="C54" s="431"/>
      <c r="D54" s="431"/>
      <c r="E54" s="431" t="s">
        <v>2052</v>
      </c>
      <c r="F54" s="431"/>
      <c r="G54" s="431" t="s">
        <v>2053</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c r="A56" s="431"/>
      <c r="B56" s="431"/>
      <c r="C56" s="431"/>
      <c r="D56" s="431"/>
      <c r="E56" s="431" t="s">
        <v>1814</v>
      </c>
      <c r="F56" s="431"/>
      <c r="G56" s="431" t="s">
        <v>2028</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c r="A57" s="431"/>
      <c r="B57" s="431"/>
      <c r="C57" s="431"/>
      <c r="D57" s="431"/>
      <c r="E57" s="431" t="s">
        <v>1815</v>
      </c>
      <c r="F57" s="431"/>
      <c r="G57" s="431" t="s">
        <v>2028</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-109.5</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c r="A59" s="431"/>
      <c r="B59" s="431"/>
      <c r="C59" s="431"/>
      <c r="D59" s="431"/>
      <c r="E59" s="431" t="s">
        <v>2054</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c r="A60" s="431"/>
      <c r="B60" s="431"/>
      <c r="C60" s="431"/>
      <c r="D60" s="431"/>
      <c r="E60" s="431" t="s">
        <v>2055</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c r="A62" s="431"/>
      <c r="B62" s="431"/>
      <c r="C62" s="431"/>
      <c r="D62" s="441" t="s">
        <v>2056</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c r="A63" s="431"/>
      <c r="B63" s="431"/>
      <c r="C63" s="431"/>
      <c r="D63" s="431"/>
      <c r="E63" s="431" t="s">
        <v>2057</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c r="A64" s="431"/>
      <c r="B64" s="431"/>
      <c r="C64" s="431"/>
      <c r="D64" s="431"/>
      <c r="E64" s="431" t="s">
        <v>2058</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c r="A65" s="431"/>
      <c r="B65" s="431"/>
      <c r="C65" s="431"/>
      <c r="D65" s="431"/>
      <c r="E65" s="431" t="s">
        <v>2059</v>
      </c>
      <c r="F65" s="431"/>
      <c r="G65" s="431" t="s">
        <v>461</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c r="A67" s="431"/>
      <c r="B67" s="451"/>
      <c r="C67" s="431"/>
      <c r="D67" s="441" t="s">
        <v>2060</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c r="A68" s="431"/>
      <c r="B68" s="431"/>
      <c r="C68" s="431"/>
      <c r="D68" s="431"/>
      <c r="E68" s="431" t="s">
        <v>2061</v>
      </c>
      <c r="F68" s="431"/>
      <c r="G68" s="431" t="s">
        <v>2016</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1</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v>
      </c>
      <c r="X68" s="551">
        <f>IF(Ofwat_PC_Interventions!X68&lt;&gt;"",Ofwat_PC_Interventions!X68,IF(Company_PC_inputs!X68&lt;&gt;"",Company_PC_inputs!X68,""))</f>
        <v>0.06</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0.15</v>
      </c>
      <c r="AS68" s="551">
        <f>IF(Ofwat_PC_Interventions!AS68&lt;&gt;"",Ofwat_PC_Interventions!AS68,IF(Company_PC_inputs!AS68&lt;&gt;"",Company_PC_inputs!AS68,""))</f>
        <v>0</v>
      </c>
      <c r="AT68" s="551">
        <f>IF(Ofwat_PC_Interventions!AT68&lt;&gt;"",Ofwat_PC_Interventions!AT68,IF(Company_PC_inputs!AT68&lt;&gt;"",Company_PC_inputs!AT68,""))</f>
        <v>0</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c r="A69" s="431"/>
      <c r="B69" s="431"/>
      <c r="C69" s="431"/>
      <c r="D69" s="431"/>
      <c r="E69" s="431" t="s">
        <v>2062</v>
      </c>
      <c r="F69" s="431"/>
      <c r="G69" s="431" t="s">
        <v>2016</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1</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1</v>
      </c>
      <c r="W69" s="551">
        <f>IF(Ofwat_PC_Interventions!W69&lt;&gt;"",Ofwat_PC_Interventions!W69,IF(Company_PC_inputs!W69&lt;&gt;"",Company_PC_inputs!W69,""))</f>
        <v>1</v>
      </c>
      <c r="X69" s="551">
        <f>IF(Ofwat_PC_Interventions!X69&lt;&gt;"",Ofwat_PC_Interventions!X69,IF(Company_PC_inputs!X69&lt;&gt;"",Company_PC_inputs!X69,""))</f>
        <v>0.94</v>
      </c>
      <c r="Y69" s="551">
        <f>IF(Ofwat_PC_Interventions!Y69&lt;&gt;"",Ofwat_PC_Interventions!Y69,IF(Company_PC_inputs!Y69&lt;&gt;"",Company_PC_inputs!Y69,""))</f>
        <v>1</v>
      </c>
      <c r="Z69" s="551">
        <f>IF(Ofwat_PC_Interventions!Z69&lt;&gt;"",Ofwat_PC_Interventions!Z69,IF(Company_PC_inputs!Z69&lt;&gt;"",Company_PC_inputs!Z69,""))</f>
        <v>1</v>
      </c>
      <c r="AA69" s="551">
        <f>IF(Ofwat_PC_Interventions!AA69&lt;&gt;"",Ofwat_PC_Interventions!AA69,IF(Company_PC_inputs!AA69&lt;&gt;"",Company_PC_inputs!AA69,""))</f>
        <v>1</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f>IF(Ofwat_PC_Interventions!AO69&lt;&gt;"",Ofwat_PC_Interventions!AO69,IF(Company_PC_inputs!AO69&lt;&gt;"",Company_PC_inputs!AO69,""))</f>
        <v>0.39</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c r="A70" s="431"/>
      <c r="B70" s="431"/>
      <c r="C70" s="431"/>
      <c r="D70" s="431"/>
      <c r="E70" s="431" t="s">
        <v>2063</v>
      </c>
      <c r="F70" s="431"/>
      <c r="G70" s="431" t="s">
        <v>2016</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0.61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0.85</v>
      </c>
      <c r="AS70" s="551">
        <f>IF(Ofwat_PC_Interventions!AS70&lt;&gt;"",Ofwat_PC_Interventions!AS70,IF(Company_PC_inputs!AS70&lt;&gt;"",Company_PC_inputs!AS70,""))</f>
        <v>1</v>
      </c>
      <c r="AT70" s="551">
        <f>IF(Ofwat_PC_Interventions!AT70&lt;&gt;"",Ofwat_PC_Interventions!AT70,IF(Company_PC_inputs!AT70&lt;&gt;"",Company_PC_inputs!AT70,""))</f>
        <v>0</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c r="A71" s="431"/>
      <c r="B71" s="431"/>
      <c r="C71" s="431"/>
      <c r="D71" s="431"/>
      <c r="E71" s="431" t="s">
        <v>2064</v>
      </c>
      <c r="F71" s="431"/>
      <c r="G71" s="431" t="s">
        <v>2016</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c r="A72" s="431"/>
      <c r="B72" s="431"/>
      <c r="C72" s="431"/>
      <c r="D72" s="431"/>
      <c r="E72" s="431" t="s">
        <v>2065</v>
      </c>
      <c r="F72" s="431"/>
      <c r="G72" s="431" t="s">
        <v>2016</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1</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c r="A73" s="431"/>
      <c r="B73" s="431"/>
      <c r="C73" s="431"/>
      <c r="D73" s="431"/>
      <c r="E73" s="431" t="s">
        <v>2066</v>
      </c>
      <c r="F73" s="431"/>
      <c r="G73" s="431" t="s">
        <v>2016</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c r="A74" s="431"/>
      <c r="B74" s="431"/>
      <c r="C74" s="431"/>
      <c r="D74" s="431"/>
      <c r="E74" s="431" t="s">
        <v>2067</v>
      </c>
      <c r="F74" s="431"/>
      <c r="G74" s="431" t="s">
        <v>2016</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25">
      <c r="A76" s="514" t="s">
        <v>1082</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conditionalFormatting sqref="H76:BS76">
    <cfRule type="cellIs" dxfId="115" priority="20" operator="equal">
      <formula>0</formula>
    </cfRule>
  </conditionalFormatting>
  <conditionalFormatting sqref="J13:BS13">
    <cfRule type="expression" dxfId="114" priority="2">
      <formula>AND(J13=FALSE,J13&lt;&gt;"")</formula>
    </cfRule>
  </conditionalFormatting>
  <conditionalFormatting sqref="J68:BS74">
    <cfRule type="cellIs" dxfId="113"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bottomRight"/>
      <selection pane="bottomLeft"/>
      <selection pane="topRight"/>
    </sheetView>
  </sheetViews>
  <sheetFormatPr defaultColWidth="0" defaultRowHeight="12.75" outlineLevelCol="1"/>
  <cols>
    <col min="1" max="4" width="1.625" style="200" customWidth="1"/>
    <col min="5" max="5" width="76.37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19" customFormat="1" ht="44.25">
      <c r="A1" s="425" t="e">
        <f ca="1" xml:space="preserve"> RIGHT(CELL("filename", $A$1), LEN(CELL("filename", $A$1)) - SEARCH("]", CELL("filename", $A$1)))</f>
        <v>#VALUE!</v>
      </c>
      <c r="B1" s="425"/>
      <c r="C1" s="192"/>
      <c r="D1" s="192"/>
      <c r="E1" s="192"/>
      <c r="F1" s="192"/>
      <c r="G1" s="192"/>
      <c r="H1" s="192"/>
      <c r="I1" s="192"/>
      <c r="J1" s="425" t="str">
        <f>InpCompany!F5</f>
        <v>Anglian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c r="A2" s="431"/>
      <c r="B2" s="431"/>
      <c r="C2" s="431"/>
      <c r="D2" s="431"/>
      <c r="E2" s="431"/>
      <c r="F2" s="440" t="s">
        <v>1938</v>
      </c>
      <c r="G2" s="440" t="s">
        <v>155</v>
      </c>
      <c r="H2" s="440" t="s">
        <v>1299</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c r="A3" s="553" t="s">
        <v>2021</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c r="A5" s="556"/>
      <c r="B5" s="556"/>
      <c r="C5" s="556"/>
      <c r="D5" s="556"/>
      <c r="E5" s="556" t="str">
        <f>InpPerformance!E16</f>
        <v>Performance commitment reference</v>
      </c>
      <c r="F5" s="556"/>
      <c r="G5" s="556" t="str">
        <f>InpPerformance!G16</f>
        <v>Text</v>
      </c>
      <c r="H5" s="557"/>
      <c r="I5" s="557"/>
      <c r="J5" s="558" t="str">
        <f>IF(InpPerformance!J16&lt;&gt;"",InpPerformance!J16,"")</f>
        <v>PR19ANH_3</v>
      </c>
      <c r="K5" s="558" t="str">
        <f>IF(InpPerformance!K16&lt;&gt;"",InpPerformance!K16,"")</f>
        <v>PR19ANH_4</v>
      </c>
      <c r="L5" s="558" t="str">
        <f>IF(InpPerformance!L16&lt;&gt;"",InpPerformance!L16,"")</f>
        <v>PR19ANH_5</v>
      </c>
      <c r="M5" s="558" t="str">
        <f>IF(InpPerformance!M16&lt;&gt;"",InpPerformance!M16,"")</f>
        <v/>
      </c>
      <c r="N5" s="558" t="str">
        <f>IF(InpPerformance!N16&lt;&gt;"",InpPerformance!N16,"")</f>
        <v>PR19ANH_6</v>
      </c>
      <c r="O5" s="558" t="str">
        <f>IF(InpPerformance!O16&lt;&gt;"",InpPerformance!O16,"")</f>
        <v/>
      </c>
      <c r="P5" s="558" t="str">
        <f>IF(InpPerformance!P16&lt;&gt;"",InpPerformance!P16,"")</f>
        <v>PR19ANH_11</v>
      </c>
      <c r="Q5" s="559" t="str">
        <f>IF(InpPerformance!Q16&lt;&gt;"",InpPerformance!Q16,"")</f>
        <v>PR19ANH_12</v>
      </c>
      <c r="R5" s="558" t="str">
        <f>IF(InpPerformance!R16&lt;&gt;"",InpPerformance!R16,"")</f>
        <v>PR19ANH_15</v>
      </c>
      <c r="S5" s="558" t="str">
        <f>IF(InpPerformance!S16&lt;&gt;"",InpPerformance!S16,"")</f>
        <v>PR19ANH_16</v>
      </c>
      <c r="T5" s="558" t="str">
        <f>IF(InpPerformance!T16&lt;&gt;"",InpPerformance!T16,"")</f>
        <v>PR19ANH_20</v>
      </c>
      <c r="U5" s="558" t="str">
        <f>IF(InpPerformance!U16&lt;&gt;"",InpPerformance!U16,"")</f>
        <v>PR19ANH_23</v>
      </c>
      <c r="V5" s="558"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PR19ANH_7</v>
      </c>
      <c r="AM5" s="558" t="str">
        <f>IF(InpPerformance!AM16&lt;&gt;"",InpPerformance!AM16,"")</f>
        <v>PR19ANH_8</v>
      </c>
      <c r="AN5" s="558" t="str">
        <f>IF(InpPerformance!AN16&lt;&gt;"",InpPerformance!AN16,"")</f>
        <v>PR19ANH_13</v>
      </c>
      <c r="AO5" s="559" t="str">
        <f>IF(InpPerformance!AO16&lt;&gt;"",InpPerformance!AO16,"")</f>
        <v>PR19ANH_14</v>
      </c>
      <c r="AP5" s="558" t="str">
        <f>IF(InpPerformance!AP16&lt;&gt;"",InpPerformance!AP16,"")</f>
        <v>PR19ANH_17</v>
      </c>
      <c r="AQ5" s="558" t="str">
        <f>IF(InpPerformance!AQ16&lt;&gt;"",InpPerformance!AQ16,"")</f>
        <v>PR19ANH_19</v>
      </c>
      <c r="AR5" s="558" t="str">
        <f>IF(InpPerformance!AR16&lt;&gt;"",InpPerformance!AR16,"")</f>
        <v>PR19ANH_32</v>
      </c>
      <c r="AS5" s="558" t="str">
        <f>IF(InpPerformance!AS16&lt;&gt;"",InpPerformance!AS16,"")</f>
        <v>PR19ANH_42</v>
      </c>
      <c r="AT5" s="558" t="str">
        <f>IF(InpPerformance!AT16&lt;&gt;"",InpPerformance!AT16,"")</f>
        <v>PR19CMA_ANH-01</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Percentage of population supplied by a single supply system</v>
      </c>
      <c r="S6" s="558" t="str">
        <f>IF(InpPerformance!S17&lt;&gt;"",InpPerformance!S17,"")</f>
        <v>Properties at risk of persistent low pressure</v>
      </c>
      <c r="T6" s="558" t="str">
        <f>IF(InpPerformance!T17&lt;&gt;"",InpPerformance!T17,"")</f>
        <v>Abstraction Incentive Mechanism</v>
      </c>
      <c r="U6" s="558" t="str">
        <f>IF(InpPerformance!U17&lt;&gt;"",InpPerformance!U17,"")</f>
        <v>Managing void properties</v>
      </c>
      <c r="V6" s="558" t="str">
        <f>IF(InpPerformance!V17&lt;&gt;"",InpPerformance!V17,"")</f>
        <v>Water quality contacts</v>
      </c>
      <c r="W6" s="558" t="str">
        <f>IF(InpPerformance!W17&lt;&gt;"",InpPerformance!W17,"")</f>
        <v>Smart metering delivery</v>
      </c>
      <c r="X6" s="558" t="str">
        <f>IF(InpPerformance!X17&lt;&gt;"",InpPerformance!X17,"")</f>
        <v>Internal interconnection delivery</v>
      </c>
      <c r="Y6" s="558" t="str">
        <f>IF(InpPerformance!Y17&lt;&gt;"",InpPerformance!Y17,"")</f>
        <v>Cyber Security</v>
      </c>
      <c r="Z6" s="558" t="str">
        <f>IF(InpPerformance!Z17&lt;&gt;"",InpPerformance!Z17,"")</f>
        <v>Underperformance incentive for Elsham treatment works and transfer scheme</v>
      </c>
      <c r="AA6" s="558" t="str">
        <f>IF(InpPerformance!AA17&lt;&gt;"",InpPerformance!AA17,"")</f>
        <v>Outperformance payment for Elsham treatment works and transfer scheme</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External Sewer Flooding</v>
      </c>
      <c r="AQ6" s="558" t="str">
        <f>IF(InpPerformance!AQ17&lt;&gt;"",InpPerformance!AQ17,"")</f>
        <v>Bathing Waters Attaining Excellent Status</v>
      </c>
      <c r="AR6" s="558" t="str">
        <f>IF(InpPerformance!AR17&lt;&gt;"",InpPerformance!AR17,"")</f>
        <v>Water Industry National Environment Programme</v>
      </c>
      <c r="AS6" s="558" t="str">
        <f>IF(InpPerformance!AS17&lt;&gt;"",InpPerformance!AS17,"")</f>
        <v>Partnership working on pluvial and fluvial flood risk</v>
      </c>
      <c r="AT6" s="558" t="str">
        <f>IF(InpPerformance!AT17&lt;&gt;"",InpPerformance!AT17,"")</f>
        <v>Additional sludge treatment capacity at Whitlingham</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c r="A7" s="556"/>
      <c r="B7" s="556"/>
      <c r="C7" s="556"/>
      <c r="D7" s="556"/>
      <c r="E7" s="556" t="str">
        <f>InpPerformance!E7</f>
        <v>Actual performance</v>
      </c>
      <c r="F7" s="556"/>
      <c r="G7" s="556" t="str">
        <f>InpPerformance!G7</f>
        <v>Performance commitment unit</v>
      </c>
      <c r="H7" s="556"/>
      <c r="I7" s="556"/>
      <c r="J7" s="561">
        <f>IF(InpPerformance!J7&lt;&gt;"",InpPerformance!J7,"")</f>
        <v>2.13</v>
      </c>
      <c r="K7" s="562">
        <f>IF(InpPerformance!K7&lt;&gt;"",InpPerformance!K7,"")</f>
        <v>4.7596344359324451E-3</v>
      </c>
      <c r="L7" s="561">
        <f>IF(InpPerformance!L7&lt;&gt;"",InpPerformance!L7,"")</f>
        <v>3.9155074703760895</v>
      </c>
      <c r="M7" s="561" t="str">
        <f>IF(InpPerformance!M7&lt;&gt;"",InpPerformance!M7,"")</f>
        <v/>
      </c>
      <c r="N7" s="561">
        <f>IF(InpPerformance!N7&lt;&gt;"",InpPerformance!N7,"")</f>
        <v>4.666666666666675</v>
      </c>
      <c r="O7" s="561" t="str">
        <f>IF(InpPerformance!O7&lt;&gt;"",InpPerformance!O7,"")</f>
        <v/>
      </c>
      <c r="P7" s="561">
        <f>IF(InpPerformance!P7&lt;&gt;"",InpPerformance!P7,"")</f>
        <v>133.36935635776922</v>
      </c>
      <c r="Q7" s="563">
        <f>IF(InpPerformance!Q7&lt;&gt;"",InpPerformance!Q7,"")</f>
        <v>1.8790051410309851</v>
      </c>
      <c r="R7" s="561">
        <f>IF(InpPerformance!R7&lt;&gt;"",InpPerformance!R7,"")</f>
        <v>22.3</v>
      </c>
      <c r="S7" s="561">
        <f>IF(InpPerformance!S7&lt;&gt;"",InpPerformance!S7,"")</f>
        <v>62</v>
      </c>
      <c r="T7" s="561">
        <f>IF(InpPerformance!T7&lt;&gt;"",InpPerformance!T7,"")</f>
        <v>85</v>
      </c>
      <c r="U7" s="561">
        <f>IF(InpPerformance!U7&lt;&gt;"",InpPerformance!U7,"")</f>
        <v>0.06</v>
      </c>
      <c r="V7" s="561">
        <f>IF(InpPerformance!V7&lt;&gt;"",InpPerformance!V7,"")</f>
        <v>0.91</v>
      </c>
      <c r="W7" s="561">
        <f>IF(InpPerformance!W7&lt;&gt;"",InpPerformance!W7,"")</f>
        <v>1096405</v>
      </c>
      <c r="X7" s="561">
        <f>IF(InpPerformance!X7&lt;&gt;"",InpPerformance!X7,"")</f>
        <v>11.5</v>
      </c>
      <c r="Y7" s="561">
        <f>IF(InpPerformance!Y7&lt;&gt;"",InpPerformance!Y7,"")</f>
        <v>100</v>
      </c>
      <c r="Z7" s="561" t="str">
        <f>IF(InpPerformance!Z7&lt;&gt;"",InpPerformance!Z7,"")</f>
        <v>n/a</v>
      </c>
      <c r="AA7" s="561" t="str">
        <f>IF(InpPerformance!AA7&lt;&gt;"",InpPerformance!AA7,"")</f>
        <v>n/a</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1.4103806036901358</v>
      </c>
      <c r="AM7" s="561">
        <f>IF(InpPerformance!AM7&lt;&gt;"",InpPerformance!AM7,"")</f>
        <v>57.171265224956507</v>
      </c>
      <c r="AN7" s="561">
        <f>IF(InpPerformance!AN7&lt;&gt;"",InpPerformance!AN7,"")</f>
        <v>4.5327442893806094</v>
      </c>
      <c r="AO7" s="563">
        <f>IF(InpPerformance!AO7&lt;&gt;"",InpPerformance!AO7,"")</f>
        <v>99.28</v>
      </c>
      <c r="AP7" s="561">
        <f>IF(InpPerformance!AP7&lt;&gt;"",InpPerformance!AP7,"")</f>
        <v>5232</v>
      </c>
      <c r="AQ7" s="561">
        <f>IF(InpPerformance!AQ7&lt;&gt;"",InpPerformance!AQ7,"")</f>
        <v>31</v>
      </c>
      <c r="AR7" s="561">
        <f>IF(InpPerformance!AR7&lt;&gt;"",InpPerformance!AR7,"")</f>
        <v>1698</v>
      </c>
      <c r="AS7" s="561">
        <f>IF(InpPerformance!AS7&lt;&gt;"",InpPerformance!AS7,"")</f>
        <v>98</v>
      </c>
      <c r="AT7" s="561">
        <f>IF(InpPerformance!AT7&lt;&gt;"",InpPerformance!AT7,"")</f>
        <v>100</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v>
      </c>
      <c r="S9" s="564" t="str">
        <f>IF(InpPerformance!S31&lt;&gt;"",InpPerformance!S31,"")</f>
        <v>nr</v>
      </c>
      <c r="T9" s="564" t="str">
        <f>IF(InpPerformance!T31&lt;&gt;"",InpPerformance!T31,"")</f>
        <v>nr</v>
      </c>
      <c r="U9" s="564" t="str">
        <f>IF(InpPerformance!U31&lt;&gt;"",InpPerformance!U31,"")</f>
        <v>%</v>
      </c>
      <c r="V9" s="564" t="str">
        <f>IF(InpPerformance!V31&lt;&gt;"",InpPerformance!V31,"")</f>
        <v>nr</v>
      </c>
      <c r="W9" s="564" t="str">
        <f>IF(InpPerformance!W31&lt;&gt;"",InpPerformance!W31,"")</f>
        <v>nr</v>
      </c>
      <c r="X9" s="564" t="str">
        <f>IF(InpPerformance!X31&lt;&gt;"",InpPerformance!X31,"")</f>
        <v>nr</v>
      </c>
      <c r="Y9" s="564" t="str">
        <f>IF(InpPerformance!Y31&lt;&gt;"",InpPerformance!Y31,"")</f>
        <v xml:space="preserve">% </v>
      </c>
      <c r="Z9" s="564" t="str">
        <f>IF(InpPerformance!Z31&lt;&gt;"",InpPerformance!Z31,"")</f>
        <v>text</v>
      </c>
      <c r="AA9" s="564" t="str">
        <f>IF(InpPerformance!AA31&lt;&gt;"",InpPerformance!AA31,"")</f>
        <v>text</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number</v>
      </c>
      <c r="AT9" s="564" t="str">
        <f>IF(InpPerformance!AT31&lt;&gt;"",InpPerformance!AT31,"")</f>
        <v>%</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Down</v>
      </c>
      <c r="V10" s="564" t="str">
        <f>IF(InpPerformance!V38&lt;&gt;"",InpPerformance!V38,"")</f>
        <v>Down</v>
      </c>
      <c r="W10" s="564" t="str">
        <f>IF(InpPerformance!W38&lt;&gt;"",InpPerformance!W38,"")</f>
        <v>Up</v>
      </c>
      <c r="X10" s="564" t="str">
        <f>IF(InpPerformance!X38&lt;&gt;"",InpPerformance!X38,"")</f>
        <v>Up</v>
      </c>
      <c r="Y10" s="564" t="str">
        <f>IF(InpPerformance!Y38&lt;&gt;"",InpPerformance!Y38,"")</f>
        <v>Up</v>
      </c>
      <c r="Z10" s="564" t="str">
        <f>IF(InpPerformance!Z38&lt;&gt;"",InpPerformance!Z38,"")</f>
        <v>TBC</v>
      </c>
      <c r="AA10" s="564" t="str">
        <f>IF(InpPerformance!AA38&lt;&gt;"",InpPerformance!AA38,"")</f>
        <v>TBC</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Up</v>
      </c>
      <c r="AR10" s="564" t="str">
        <f>IF(InpPerformance!AR38&lt;&gt;"",InpPerformance!AR38,"")</f>
        <v>Up</v>
      </c>
      <c r="AS10" s="564" t="str">
        <f>IF(InpPerformance!AS38&lt;&gt;"",InpPerformance!AS38,"")</f>
        <v>Up</v>
      </c>
      <c r="AT10" s="564" t="str">
        <f>IF(InpPerformance!AT38&lt;&gt;"",InpPerformance!AT38,"")</f>
        <v>Up</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1</v>
      </c>
      <c r="S11" s="564">
        <f>IF(InpPerformance!S40&lt;&gt;"",InpPerformance!S40,"")</f>
        <v>0</v>
      </c>
      <c r="T11" s="564">
        <f>IF(InpPerformance!T40&lt;&gt;"",InpPerformance!T40,"")</f>
        <v>0</v>
      </c>
      <c r="U11" s="564">
        <f>IF(InpPerformance!U40&lt;&gt;"",InpPerformance!U40,"")</f>
        <v>2</v>
      </c>
      <c r="V11" s="564">
        <f>IF(InpPerformance!V40&lt;&gt;"",InpPerformance!V40,"")</f>
        <v>2</v>
      </c>
      <c r="W11" s="564">
        <f>IF(InpPerformance!W40&lt;&gt;"",InpPerformance!W40,"")</f>
        <v>0</v>
      </c>
      <c r="X11" s="564">
        <f>IF(InpPerformance!X40&lt;&gt;"",InpPerformance!X40,"")</f>
        <v>1</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0</v>
      </c>
      <c r="AT11" s="564">
        <f>IF(InpPerformance!AT40&lt;&gt;"",InpPerformance!AT40,"")</f>
        <v>1</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c r="A13" s="431"/>
      <c r="B13" s="431"/>
      <c r="C13" s="431"/>
      <c r="D13" s="441" t="s">
        <v>4515</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c r="A14" s="431"/>
      <c r="B14" s="431"/>
      <c r="C14" s="431"/>
      <c r="D14" s="431"/>
      <c r="E14" s="431" t="s">
        <v>4516</v>
      </c>
      <c r="F14" s="431"/>
      <c r="G14" s="431" t="s">
        <v>439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c r="A15" s="431"/>
      <c r="B15" s="431"/>
      <c r="C15" s="431"/>
      <c r="D15" s="431"/>
      <c r="E15" s="431" t="s">
        <v>4517</v>
      </c>
      <c r="F15" s="431"/>
      <c r="G15" s="431" t="s">
        <v>461</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c r="A17" s="431"/>
      <c r="B17" s="431"/>
      <c r="C17" s="431"/>
      <c r="D17" s="431"/>
      <c r="E17" s="431" t="s">
        <v>4518</v>
      </c>
      <c r="F17" s="431"/>
      <c r="G17" s="431" t="str">
        <f>G7</f>
        <v>Performance commitment unit</v>
      </c>
      <c r="H17" s="431"/>
      <c r="I17" s="431"/>
      <c r="J17" s="566">
        <f>IF(AND(ISNUMBER(J7),J15=FALSE,J16=FALSE),ROUND(J7,J11),J7)</f>
        <v>2.13</v>
      </c>
      <c r="K17" s="470">
        <f t="shared" ref="K17:BC17" si="2">IF(AND(ISNUMBER(K7),K15=FALSE,K16=FALSE),ROUND(K7,K11),K7)</f>
        <v>4.7596344359324451E-3</v>
      </c>
      <c r="L17" s="470">
        <f t="shared" si="2"/>
        <v>3.9155074703760895</v>
      </c>
      <c r="M17" s="470" t="str">
        <f t="shared" si="2"/>
        <v/>
      </c>
      <c r="N17" s="470">
        <f t="shared" si="2"/>
        <v>4.666666666666675</v>
      </c>
      <c r="O17" s="470" t="str">
        <f t="shared" si="2"/>
        <v/>
      </c>
      <c r="P17" s="470">
        <f t="shared" si="2"/>
        <v>133.4</v>
      </c>
      <c r="Q17" s="471">
        <f t="shared" si="2"/>
        <v>1.88</v>
      </c>
      <c r="R17" s="470">
        <f t="shared" si="2"/>
        <v>22.3</v>
      </c>
      <c r="S17" s="470">
        <f t="shared" si="2"/>
        <v>62</v>
      </c>
      <c r="T17" s="470">
        <f t="shared" si="2"/>
        <v>85</v>
      </c>
      <c r="U17" s="470">
        <f t="shared" si="2"/>
        <v>0.06</v>
      </c>
      <c r="V17" s="470">
        <f t="shared" si="2"/>
        <v>0.91</v>
      </c>
      <c r="W17" s="470">
        <f t="shared" si="2"/>
        <v>1096405</v>
      </c>
      <c r="X17" s="566">
        <f t="shared" si="2"/>
        <v>11.5</v>
      </c>
      <c r="Y17" s="470">
        <f t="shared" si="2"/>
        <v>100</v>
      </c>
      <c r="Z17" s="470" t="str">
        <f t="shared" si="2"/>
        <v>n/a</v>
      </c>
      <c r="AA17" s="470" t="str">
        <f t="shared" si="2"/>
        <v>n/a</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1.41</v>
      </c>
      <c r="AM17" s="470">
        <f t="shared" si="2"/>
        <v>57.17</v>
      </c>
      <c r="AN17" s="470">
        <f t="shared" si="2"/>
        <v>4.53</v>
      </c>
      <c r="AO17" s="471">
        <f t="shared" si="2"/>
        <v>99.28</v>
      </c>
      <c r="AP17" s="470">
        <f t="shared" si="2"/>
        <v>5232</v>
      </c>
      <c r="AQ17" s="470">
        <f t="shared" si="2"/>
        <v>31</v>
      </c>
      <c r="AR17" s="470">
        <f t="shared" si="2"/>
        <v>1698</v>
      </c>
      <c r="AS17" s="470">
        <f t="shared" si="2"/>
        <v>98</v>
      </c>
      <c r="AT17" s="470">
        <f t="shared" si="2"/>
        <v>100</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c r="A19" s="431"/>
      <c r="B19" s="451" t="s">
        <v>2047</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1.689814814814815E-3</v>
      </c>
      <c r="L20" s="561" t="str">
        <f>IF(InpPerformance!L$43&lt;&gt;"",InpPerformance!L$43,"")</f>
        <v>*</v>
      </c>
      <c r="M20" s="561" t="str">
        <f>IF(InpPerformance!M$43&lt;&gt;"",InpPerformance!M$43,"")</f>
        <v/>
      </c>
      <c r="N20" s="561" t="str">
        <f>IF(InpPerformance!N$43&lt;&gt;"",InpPerformance!N$43,"")</f>
        <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t="str">
        <f>IF(InpPerformance!V$43&lt;&gt;"",InpPerformance!V$43,"")</f>
        <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1.01</v>
      </c>
      <c r="AM20" s="561">
        <f>IF(InpPerformance!AM$43&lt;&gt;"",InpPerformance!AM$43,"")</f>
        <v>4.5</v>
      </c>
      <c r="AN20" s="561" t="str">
        <f>IF(InpPerformance!AN$43&lt;&gt;"",InpPerformance!AN$43,"")</f>
        <v/>
      </c>
      <c r="AO20" s="563" t="str">
        <f>IF(InpPerformance!AO$43&lt;&gt;"",InpPerformance!AO$43,"")</f>
        <v/>
      </c>
      <c r="AP20" s="561">
        <f>IF(InpPerformance!AP$43&lt;&gt;"",InpPerformance!AP$43,"")</f>
        <v>2092</v>
      </c>
      <c r="AQ20" s="561">
        <f>IF(InpPerformance!AQ$43&lt;&gt;"",InpPerformance!AQ$43,"")</f>
        <v>41</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16.399999999999999</v>
      </c>
      <c r="M22" s="561" t="str">
        <f>IF(InpPerformance!M$45&lt;&gt;"",InpPerformance!M$45,"")</f>
        <v/>
      </c>
      <c r="N22" s="561">
        <f>IF(InpPerformance!N$45&lt;&gt;"",InpPerformance!N$45,"")</f>
        <v>5.6</v>
      </c>
      <c r="O22" s="561" t="str">
        <f>IF(InpPerformance!O$45&lt;&gt;"",InpPerformance!O$45,"")</f>
        <v/>
      </c>
      <c r="P22" s="561">
        <f>IF(InpPerformance!P$45&lt;&gt;"",InpPerformance!P$45,"")</f>
        <v>132.30000000000001</v>
      </c>
      <c r="Q22" s="563">
        <f>IF(InpPerformance!Q$45&lt;&gt;"",InpPerformance!Q$45,"")</f>
        <v>2.34</v>
      </c>
      <c r="R22" s="561">
        <f>IF(InpPerformance!R$45&lt;&gt;"",InpPerformance!R$45,"")</f>
        <v>14.1</v>
      </c>
      <c r="S22" s="561">
        <f>IF(InpPerformance!S$45&lt;&gt;"",InpPerformance!S$45,"")</f>
        <v>106</v>
      </c>
      <c r="T22" s="561" t="str">
        <f>IF(InpPerformance!T$45&lt;&gt;"",InpPerformance!T$45,"")</f>
        <v/>
      </c>
      <c r="U22" s="561">
        <f>IF(InpPerformance!U$45&lt;&gt;"",InpPerformance!U$45,"")</f>
        <v>0.25</v>
      </c>
      <c r="V22" s="561">
        <f>IF(InpPerformance!V$45&lt;&gt;"",InpPerformance!V$45,"")</f>
        <v>0.77</v>
      </c>
      <c r="W22" s="561">
        <f>IF(InpPerformance!W$45&lt;&gt;"",InpPerformance!W$45,"")</f>
        <v>1096397</v>
      </c>
      <c r="X22" s="561">
        <f>IF(InpPerformance!X$45&lt;&gt;"",InpPerformance!X$45,"")</f>
        <v>469.4</v>
      </c>
      <c r="Y22" s="561">
        <f>IF(InpPerformance!Y$45&lt;&gt;"",InpPerformance!Y$45,"")</f>
        <v>100</v>
      </c>
      <c r="Z22" s="561" t="str">
        <f>IF(InpPerformance!Z$45&lt;&gt;"",InpPerformance!Z$45,"")</f>
        <v>TBA</v>
      </c>
      <c r="AA22" s="561" t="str">
        <f>IF(InpPerformance!AA$45&lt;&gt;"",InpPerformance!AA$45,"")</f>
        <v>TBA</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5.5</v>
      </c>
      <c r="AO22" s="563">
        <f>IF(InpPerformance!AO$45&lt;&gt;"",InpPerformance!AO$45,"")</f>
        <v>100</v>
      </c>
      <c r="AP22" s="561">
        <f>IF(InpPerformance!AP$45&lt;&gt;"",InpPerformance!AP$45,"")</f>
        <v>3991</v>
      </c>
      <c r="AQ22" s="561">
        <f>IF(InpPerformance!AQ$45&lt;&gt;"",InpPerformance!AQ$45,"")</f>
        <v>36</v>
      </c>
      <c r="AR22" s="561">
        <f>IF(InpPerformance!AR$45&lt;&gt;"",InpPerformance!AR$45,"")</f>
        <v>1856</v>
      </c>
      <c r="AS22" s="561">
        <f>IF(InpPerformance!AS$45&lt;&gt;"",InpPerformance!AS$45,"")</f>
        <v>92</v>
      </c>
      <c r="AT22" s="561">
        <f>IF(InpPerformance!AT$45&lt;&gt;"",InpPerformance!AT$45,"")</f>
        <v>100</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c r="A23" s="431"/>
      <c r="B23" s="431"/>
      <c r="C23" s="431"/>
      <c r="D23" s="431"/>
      <c r="E23" s="556" t="str">
        <f>InpPerformance!E$46</f>
        <v>Underperformance deadband</v>
      </c>
      <c r="F23" s="431"/>
      <c r="G23" s="556" t="str">
        <f>InpPerformance!G$46</f>
        <v>Performance commitment unit</v>
      </c>
      <c r="H23" s="431"/>
      <c r="I23" s="431"/>
      <c r="J23" s="568">
        <f>IF(InpPerformance!J$46&lt;&gt;"",InpPerformance!J$46,"")</f>
        <v>1.5</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f>IF(InpPerformance!P$46&lt;&gt;"",InpPerformance!P$46,"")</f>
        <v>142.30000000000001</v>
      </c>
      <c r="Q23" s="563">
        <f>IF(InpPerformance!Q$46&lt;&gt;"",InpPerformance!Q$46,"")</f>
        <v>2.81</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0</v>
      </c>
      <c r="M24" s="561" t="str">
        <f>IF(InpPerformance!M$47&lt;&gt;"",InpPerformance!M$47,"")</f>
        <v/>
      </c>
      <c r="N24" s="561" t="str">
        <f>IF(InpPerformance!N$47&lt;&gt;"",InpPerformance!N$47,"")</f>
        <v/>
      </c>
      <c r="O24" s="561" t="str">
        <f>IF(InpPerformance!O$47&lt;&gt;"",InpPerformance!O$47,"")</f>
        <v/>
      </c>
      <c r="P24" s="561" t="str">
        <f>IF(InpPerformance!P$47&lt;&gt;"",InpPerformance!P$47,"")</f>
        <v/>
      </c>
      <c r="Q24" s="563">
        <f>IF(InpPerformance!Q$47&lt;&gt;"",InpPerformance!Q$47,"")</f>
        <v>5.22</v>
      </c>
      <c r="R24" s="561" t="str">
        <f>IF(InpPerformance!R$47&lt;&gt;"",InpPerformance!R$47,"")</f>
        <v/>
      </c>
      <c r="S24" s="561" t="str">
        <f>IF(InpPerformance!S$47&lt;&gt;"",InpPerformance!S$47,"")</f>
        <v/>
      </c>
      <c r="T24" s="561" t="str">
        <f>IF(InpPerformance!T$47&lt;&gt;"",InpPerformance!T$47,"")</f>
        <v/>
      </c>
      <c r="U24" s="561">
        <f>IF(InpPerformance!U$47&lt;&gt;"",InpPerformance!U$47,"")</f>
        <v>0.5</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3.35</v>
      </c>
      <c r="AM24" s="561">
        <f>IF(InpPerformance!AM$47&lt;&gt;"",InpPerformance!AM$47,"")</f>
        <v>41.6</v>
      </c>
      <c r="AN24" s="561">
        <f>IF(InpPerformance!AN$47&lt;&gt;"",InpPerformance!AN$47,"")</f>
        <v>7.76</v>
      </c>
      <c r="AO24" s="563">
        <f>IF(InpPerformance!AO$47&lt;&gt;"",InpPerformance!AO$47,"")</f>
        <v>95.4</v>
      </c>
      <c r="AP24" s="561">
        <f>IF(InpPerformance!AP$47&lt;&gt;"",InpPerformance!AP$47,"")</f>
        <v>6287</v>
      </c>
      <c r="AQ24" s="561">
        <f>IF(InpPerformance!AQ$47&lt;&gt;"",InpPerformance!AQ$47,"")</f>
        <v>28</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1.1459999999999999</v>
      </c>
      <c r="L26" s="569">
        <f>IF(InpPerformance!L$49&lt;&gt;"",InpPerformance!L$49,"")</f>
        <v>0.219</v>
      </c>
      <c r="M26" s="569" t="str">
        <f>IF(InpPerformance!M$49&lt;&gt;"",InpPerformance!M$49,"")</f>
        <v/>
      </c>
      <c r="N26" s="569">
        <f>IF(InpPerformance!N$49&lt;&gt;"",InpPerformance!N$49,"")</f>
        <v>0.312</v>
      </c>
      <c r="O26" s="569" t="str">
        <f>IF(InpPerformance!O$49&lt;&gt;"",InpPerformance!O$49,"")</f>
        <v/>
      </c>
      <c r="P26" s="569" t="str">
        <f>IF(InpPerformance!P$49&lt;&gt;"",InpPerformance!P$49,"")</f>
        <v/>
      </c>
      <c r="Q26" s="570" t="str">
        <f>IF(InpPerformance!Q$49&lt;&gt;"",InpPerformance!Q$49,"")</f>
        <v/>
      </c>
      <c r="R26" s="569">
        <f>IF(InpPerformance!R$49&lt;&gt;"",InpPerformance!R$49,"")</f>
        <v>0.42811700000000003</v>
      </c>
      <c r="S26" s="569">
        <f>IF(InpPerformance!S$49&lt;&gt;"",InpPerformance!S$49,"")</f>
        <v>6.3400000000000001E-3</v>
      </c>
      <c r="T26" s="569" t="str">
        <f>IF(InpPerformance!T$49&lt;&gt;"",InpPerformance!T$49,"")</f>
        <v/>
      </c>
      <c r="U26" s="569">
        <f>IF(InpPerformance!U$49&lt;&gt;"",InpPerformance!U$49,"")</f>
        <v>4.7160000000000002</v>
      </c>
      <c r="V26" s="569">
        <f>IF(InpPerformance!V$49&lt;&gt;"",InpPerformance!V$49,"")</f>
        <v>1.3380000000000001</v>
      </c>
      <c r="W26" s="569" t="str">
        <f>IF(InpPerformance!W$49&lt;&gt;"",InpPerformance!W$49,"")</f>
        <v/>
      </c>
      <c r="X26" s="569" t="str">
        <f>IF(InpPerformance!X$49&lt;&gt;"",InpPerformance!X$49,"")</f>
        <v/>
      </c>
      <c r="Y26" s="569" t="str">
        <f>IF(InpPerformance!Y$49&lt;&gt;"",InpPerformance!Y$49,"")</f>
        <v/>
      </c>
      <c r="Z26" s="569" t="str">
        <f>IF(InpPerformance!Z$49&lt;&gt;"",InpPerformance!Z$49,"")</f>
        <v/>
      </c>
      <c r="AA26" s="569">
        <f>IF(InpPerformance!AA$49&lt;&gt;"",InpPerformance!AA$49,"")</f>
        <v>0.94</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10.994</v>
      </c>
      <c r="AM26" s="569">
        <f>IF(InpPerformance!AM$49&lt;&gt;"",InpPerformance!AM$49,"")</f>
        <v>0.29499999999999998</v>
      </c>
      <c r="AN26" s="569" t="str">
        <f>IF(InpPerformance!AN$49&lt;&gt;"",InpPerformance!AN$49,"")</f>
        <v/>
      </c>
      <c r="AO26" s="570" t="str">
        <f>IF(InpPerformance!AO$49&lt;&gt;"",InpPerformance!AO$49,"")</f>
        <v/>
      </c>
      <c r="AP26" s="569">
        <f>IF(InpPerformance!AP$49&lt;&gt;"",InpPerformance!AP$49,"")</f>
        <v>4.1770000000000002E-3</v>
      </c>
      <c r="AQ26" s="569">
        <f>IF(InpPerformance!AQ$49&lt;&gt;"",InpPerformance!AQ$49,"")</f>
        <v>0.1154</v>
      </c>
      <c r="AR26" s="569">
        <f>IF(InpPerformance!AR$49&lt;&gt;"",InpPerformance!AR$49,"")</f>
        <v>1.4E-2</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-0.78800000000000003</v>
      </c>
      <c r="K27" s="569">
        <f>IF(InpPerformance!K$50&lt;&gt;"",InpPerformance!K$50,"")</f>
        <v>-1.1459999999999999</v>
      </c>
      <c r="L27" s="569">
        <f>IF(InpPerformance!L$50&lt;&gt;"",InpPerformance!L$50,"")</f>
        <v>-0.36499999999999999</v>
      </c>
      <c r="M27" s="569" t="str">
        <f>IF(InpPerformance!M$50&lt;&gt;"",InpPerformance!M$50,"")</f>
        <v/>
      </c>
      <c r="N27" s="569">
        <f>IF(InpPerformance!N$50&lt;&gt;"",InpPerformance!N$50,"")</f>
        <v>-0.374</v>
      </c>
      <c r="O27" s="569" t="str">
        <f>IF(InpPerformance!O$50&lt;&gt;"",InpPerformance!O$50,"")</f>
        <v/>
      </c>
      <c r="P27" s="569">
        <f>IF(InpPerformance!P$50&lt;&gt;"",InpPerformance!P$50,"")</f>
        <v>-0.16500000000000001</v>
      </c>
      <c r="Q27" s="570">
        <f>IF(InpPerformance!Q$50&lt;&gt;"",InpPerformance!Q$50,"")</f>
        <v>-1.3240000000000001</v>
      </c>
      <c r="R27" s="569" t="str">
        <f>IF(InpPerformance!R$50&lt;&gt;"",InpPerformance!R$50,"")</f>
        <v/>
      </c>
      <c r="S27" s="569">
        <f>IF(InpPerformance!S$50&lt;&gt;"",InpPerformance!S$50,"")</f>
        <v>-1.2207000000000001E-2</v>
      </c>
      <c r="T27" s="569" t="str">
        <f>IF(InpPerformance!T$50&lt;&gt;"",InpPerformance!T$50,"")</f>
        <v/>
      </c>
      <c r="U27" s="569">
        <f>IF(InpPerformance!U$50&lt;&gt;"",InpPerformance!U$50,"")</f>
        <v>-4.7160000000000002</v>
      </c>
      <c r="V27" s="569">
        <f>IF(InpPerformance!V$50&lt;&gt;"",InpPerformance!V$50,"")</f>
        <v>-2.6760000000000002</v>
      </c>
      <c r="W27" s="569">
        <f>IF(InpPerformance!W$50&lt;&gt;"",InpPerformance!W$50,"")</f>
        <v>-3.0000000000000001E-5</v>
      </c>
      <c r="X27" s="569">
        <f>IF(InpPerformance!X$50&lt;&gt;"",InpPerformance!X$50,"")</f>
        <v>-0.45900000000000002</v>
      </c>
      <c r="Y27" s="569">
        <f>IF(InpPerformance!Y$50&lt;&gt;"",InpPerformance!Y$50,"")</f>
        <v>-6.4799999999999996E-2</v>
      </c>
      <c r="Z27" s="569">
        <f>IF(InpPerformance!Z$50&lt;&gt;"",InpPerformance!Z$50,"")</f>
        <v>-0.47</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-10.944000000000001</v>
      </c>
      <c r="AM27" s="569">
        <f>IF(InpPerformance!AM$50&lt;&gt;"",InpPerformance!AM$50,"")</f>
        <v>-0.44500000000000001</v>
      </c>
      <c r="AN27" s="569">
        <f>IF(InpPerformance!AN$50&lt;&gt;"",InpPerformance!AN$50,"")</f>
        <v>-2.298</v>
      </c>
      <c r="AO27" s="570">
        <f>IF(InpPerformance!AO$50&lt;&gt;"",InpPerformance!AO$50,"")</f>
        <v>-1.3480000000000001</v>
      </c>
      <c r="AP27" s="569">
        <f>IF(InpPerformance!AP$50&lt;&gt;"",InpPerformance!AP$50,"")</f>
        <v>-4.1770000000000002E-3</v>
      </c>
      <c r="AQ27" s="569">
        <f>IF(InpPerformance!AQ$50&lt;&gt;"",InpPerformance!AQ$50,"")</f>
        <v>-0.2248</v>
      </c>
      <c r="AR27" s="569">
        <f>IF(InpPerformance!AR$50&lt;&gt;"",InpPerformance!AR$50,"")</f>
        <v>-1.4E-2</v>
      </c>
      <c r="AS27" s="569">
        <f>IF(InpPerformance!AS$50&lt;&gt;"",InpPerformance!AS$50,"")</f>
        <v>-5.9499999999999997E-2</v>
      </c>
      <c r="AT27" s="569">
        <f>IF(InpPerformance!AT$50&lt;&gt;"",InpPerformance!AT$50,"")</f>
        <v>-4.7699999999999999E-2</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c r="A29" s="431"/>
      <c r="B29" s="431"/>
      <c r="C29" s="441" t="s">
        <v>4519</v>
      </c>
      <c r="D29" s="431"/>
      <c r="E29" s="431"/>
      <c r="F29" s="431"/>
      <c r="G29" s="431"/>
      <c r="H29" s="431"/>
      <c r="I29" s="431"/>
      <c r="J29" s="1916"/>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c r="A30" s="431"/>
      <c r="B30" s="431"/>
      <c r="C30" s="431"/>
      <c r="D30" s="431"/>
      <c r="E30" s="431" t="s">
        <v>4520</v>
      </c>
      <c r="F30" s="431"/>
      <c r="G30" s="431" t="s">
        <v>461</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0</v>
      </c>
      <c r="Q30" s="502" t="b">
        <f t="shared" si="4"/>
        <v>0</v>
      </c>
      <c r="R30" s="501" t="b">
        <f t="shared" si="4"/>
        <v>1</v>
      </c>
      <c r="S30" s="501" t="b">
        <f t="shared" si="4"/>
        <v>1</v>
      </c>
      <c r="T30" s="501" t="b">
        <f t="shared" si="4"/>
        <v>0</v>
      </c>
      <c r="U30" s="501" t="b">
        <f t="shared" si="4"/>
        <v>1</v>
      </c>
      <c r="V30" s="501" t="b">
        <f t="shared" si="4"/>
        <v>1</v>
      </c>
      <c r="W30" s="501" t="b">
        <f t="shared" si="4"/>
        <v>0</v>
      </c>
      <c r="X30" s="501" t="b">
        <f t="shared" si="4"/>
        <v>0</v>
      </c>
      <c r="Y30" s="501" t="b">
        <f t="shared" si="4"/>
        <v>0</v>
      </c>
      <c r="Z30" s="501" t="b">
        <f t="shared" si="4"/>
        <v>0</v>
      </c>
      <c r="AA30" s="501" t="b">
        <f t="shared" si="4"/>
        <v>1</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1</v>
      </c>
      <c r="AN30" s="501" t="b">
        <f t="shared" si="4"/>
        <v>0</v>
      </c>
      <c r="AO30" s="502" t="b">
        <f t="shared" si="4"/>
        <v>0</v>
      </c>
      <c r="AP30" s="501" t="b">
        <f t="shared" si="4"/>
        <v>1</v>
      </c>
      <c r="AQ30" s="501" t="b">
        <f t="shared" si="4"/>
        <v>1</v>
      </c>
      <c r="AR30" s="501" t="b">
        <f t="shared" si="4"/>
        <v>1</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c r="A31" s="431"/>
      <c r="B31" s="431"/>
      <c r="C31" s="431"/>
      <c r="D31" s="431"/>
      <c r="E31" s="431" t="s">
        <v>1975</v>
      </c>
      <c r="F31" s="431"/>
      <c r="G31" s="431" t="s">
        <v>461</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0</v>
      </c>
      <c r="Q31" s="490" t="b">
        <f t="shared" si="5"/>
        <v>0</v>
      </c>
      <c r="R31" s="489" t="b">
        <f t="shared" si="5"/>
        <v>0</v>
      </c>
      <c r="S31" s="489" t="b">
        <f t="shared" si="5"/>
        <v>1</v>
      </c>
      <c r="T31" s="489" t="b">
        <f t="shared" si="5"/>
        <v>0</v>
      </c>
      <c r="U31" s="489" t="b">
        <f t="shared" si="5"/>
        <v>1</v>
      </c>
      <c r="V31" s="489" t="b">
        <f t="shared" si="5"/>
        <v>0</v>
      </c>
      <c r="W31" s="489" t="b">
        <f t="shared" si="5"/>
        <v>0</v>
      </c>
      <c r="X31" s="489" t="b">
        <f t="shared" si="5"/>
        <v>0</v>
      </c>
      <c r="Y31" s="489" t="b">
        <f t="shared" si="5"/>
        <v>0</v>
      </c>
      <c r="Z31" s="489" t="b">
        <f t="shared" si="5"/>
        <v>0</v>
      </c>
      <c r="AA31" s="489" t="e">
        <f t="shared" si="5"/>
        <v>#VALUE!</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c r="A32" s="431"/>
      <c r="B32" s="431"/>
      <c r="C32" s="431"/>
      <c r="D32" s="431"/>
      <c r="E32" s="431" t="s">
        <v>4521</v>
      </c>
      <c r="F32" s="431"/>
      <c r="G32" s="431" t="s">
        <v>461</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0</v>
      </c>
      <c r="Q32" s="490" t="b">
        <f t="shared" si="7"/>
        <v>0</v>
      </c>
      <c r="R32" s="489" t="b">
        <f t="shared" si="7"/>
        <v>0</v>
      </c>
      <c r="S32" s="489" t="b">
        <f t="shared" si="7"/>
        <v>1</v>
      </c>
      <c r="T32" s="489" t="b">
        <f t="shared" si="7"/>
        <v>0</v>
      </c>
      <c r="U32" s="489" t="b">
        <f t="shared" si="7"/>
        <v>1</v>
      </c>
      <c r="V32" s="489" t="b">
        <f t="shared" si="7"/>
        <v>0</v>
      </c>
      <c r="W32" s="489" t="b">
        <f t="shared" si="7"/>
        <v>0</v>
      </c>
      <c r="X32" s="489" t="b">
        <f t="shared" si="7"/>
        <v>0</v>
      </c>
      <c r="Y32" s="489" t="b">
        <f t="shared" si="7"/>
        <v>0</v>
      </c>
      <c r="Z32" s="489" t="b">
        <f t="shared" si="7"/>
        <v>0</v>
      </c>
      <c r="AA32" s="489" t="e">
        <f t="shared" si="7"/>
        <v>#VALUE!</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c r="A33" s="431"/>
      <c r="B33" s="431"/>
      <c r="C33" s="431"/>
      <c r="D33" s="431"/>
      <c r="E33" s="431" t="s">
        <v>4522</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t="str">
        <f t="shared" si="8"/>
        <v/>
      </c>
      <c r="Q33" s="471" t="str">
        <f t="shared" si="8"/>
        <v/>
      </c>
      <c r="R33" s="470" t="str">
        <f t="shared" si="8"/>
        <v/>
      </c>
      <c r="S33" s="470">
        <f t="shared" si="8"/>
        <v>62</v>
      </c>
      <c r="T33" s="470" t="str">
        <f t="shared" si="8"/>
        <v/>
      </c>
      <c r="U33" s="470">
        <f t="shared" si="8"/>
        <v>0.06</v>
      </c>
      <c r="V33" s="470" t="str">
        <f t="shared" si="8"/>
        <v/>
      </c>
      <c r="W33" s="470" t="str">
        <f t="shared" si="8"/>
        <v/>
      </c>
      <c r="X33" s="470" t="str">
        <f t="shared" si="8"/>
        <v/>
      </c>
      <c r="Y33" s="470" t="str">
        <f t="shared" si="8"/>
        <v/>
      </c>
      <c r="Z33" s="470" t="str">
        <f t="shared" si="8"/>
        <v/>
      </c>
      <c r="AA33" s="470" t="e">
        <f t="shared" si="8"/>
        <v>#VALUE!</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c r="A34" s="431"/>
      <c r="B34" s="431"/>
      <c r="C34" s="431"/>
      <c r="D34" s="431"/>
      <c r="E34" s="431" t="s">
        <v>4523</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t="str">
        <f t="shared" si="9"/>
        <v/>
      </c>
      <c r="Q34" s="471" t="str">
        <f t="shared" si="9"/>
        <v/>
      </c>
      <c r="R34" s="470" t="str">
        <f t="shared" si="9"/>
        <v/>
      </c>
      <c r="S34" s="470">
        <f t="shared" si="9"/>
        <v>44</v>
      </c>
      <c r="T34" s="470" t="str">
        <f t="shared" si="9"/>
        <v/>
      </c>
      <c r="U34" s="470">
        <f t="shared" si="9"/>
        <v>0.19</v>
      </c>
      <c r="V34" s="470" t="str">
        <f t="shared" si="9"/>
        <v/>
      </c>
      <c r="W34" s="470" t="str">
        <f t="shared" si="9"/>
        <v/>
      </c>
      <c r="X34" s="470" t="str">
        <f t="shared" si="9"/>
        <v/>
      </c>
      <c r="Y34" s="470" t="str">
        <f t="shared" si="9"/>
        <v/>
      </c>
      <c r="Z34" s="470" t="str">
        <f t="shared" si="9"/>
        <v/>
      </c>
      <c r="AA34" s="470" t="e">
        <f t="shared" si="9"/>
        <v>#VALUE!</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c r="A36" s="431"/>
      <c r="B36" s="431"/>
      <c r="C36" s="431"/>
      <c r="D36" s="441" t="s">
        <v>4524</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c r="A38" s="431"/>
      <c r="B38" s="431"/>
      <c r="C38" s="431"/>
      <c r="D38" s="431"/>
      <c r="E38" s="431" t="s">
        <v>4525</v>
      </c>
      <c r="F38" s="431"/>
      <c r="G38" s="431" t="s">
        <v>2028</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t="str">
        <f t="shared" si="10"/>
        <v/>
      </c>
      <c r="Q38" s="574" t="str">
        <f t="shared" si="10"/>
        <v/>
      </c>
      <c r="R38" s="573" t="str">
        <f t="shared" si="10"/>
        <v/>
      </c>
      <c r="S38" s="573">
        <f t="shared" si="10"/>
        <v>44</v>
      </c>
      <c r="T38" s="573" t="str">
        <f t="shared" si="10"/>
        <v/>
      </c>
      <c r="U38" s="573">
        <f t="shared" si="10"/>
        <v>0.19</v>
      </c>
      <c r="V38" s="573" t="str">
        <f t="shared" si="10"/>
        <v/>
      </c>
      <c r="W38" s="573" t="str">
        <f t="shared" si="10"/>
        <v/>
      </c>
      <c r="X38" s="573" t="str">
        <f t="shared" si="10"/>
        <v/>
      </c>
      <c r="Y38" s="573" t="str">
        <f t="shared" si="10"/>
        <v/>
      </c>
      <c r="Z38" s="573" t="str">
        <f t="shared" si="10"/>
        <v/>
      </c>
      <c r="AA38" s="573" t="e">
        <f t="shared" si="10"/>
        <v>#VALUE!</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194.1</v>
      </c>
      <c r="M40" s="561" t="str">
        <f>IF(InpPerformance!M$8&lt;&gt;"",ROUND(InpPerformance!M$8,1),"")</f>
        <v/>
      </c>
      <c r="N40" s="561">
        <f>IF(InpPerformance!N$8&lt;&gt;"",ROUND(InpPerformance!N$8,1),"")</f>
        <v>135</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c r="A41" s="431"/>
      <c r="B41" s="431"/>
      <c r="C41" s="431"/>
      <c r="D41" s="431"/>
      <c r="E41" s="431" t="s">
        <v>4526</v>
      </c>
      <c r="F41" s="431"/>
      <c r="G41" s="431" t="s">
        <v>2028</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t="str">
        <f t="shared" si="11"/>
        <v/>
      </c>
      <c r="Q41" s="574" t="str">
        <f t="shared" si="11"/>
        <v/>
      </c>
      <c r="R41" s="573" t="str">
        <f t="shared" si="11"/>
        <v/>
      </c>
      <c r="S41" s="573">
        <f t="shared" si="11"/>
        <v>44</v>
      </c>
      <c r="T41" s="573" t="str">
        <f t="shared" si="11"/>
        <v/>
      </c>
      <c r="U41" s="573">
        <f t="shared" si="11"/>
        <v>0.19</v>
      </c>
      <c r="V41" s="573" t="str">
        <f t="shared" si="11"/>
        <v/>
      </c>
      <c r="W41" s="573" t="str">
        <f t="shared" si="11"/>
        <v/>
      </c>
      <c r="X41" s="573" t="str">
        <f t="shared" si="11"/>
        <v/>
      </c>
      <c r="Y41" s="573" t="str">
        <f t="shared" si="11"/>
        <v/>
      </c>
      <c r="Z41" s="573" t="str">
        <f t="shared" si="11"/>
        <v/>
      </c>
      <c r="AA41" s="573" t="e">
        <f t="shared" si="11"/>
        <v>#VALUE!</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c r="A43" s="431"/>
      <c r="B43" s="431"/>
      <c r="C43" s="431"/>
      <c r="D43" s="441" t="s">
        <v>4527</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1.1459999999999999</v>
      </c>
      <c r="L44" s="569">
        <f>InpPerformance!L49</f>
        <v>0.219</v>
      </c>
      <c r="M44" s="569" t="str">
        <f>InpPerformance!M49</f>
        <v/>
      </c>
      <c r="N44" s="569">
        <f>InpPerformance!N49</f>
        <v>0.312</v>
      </c>
      <c r="O44" s="569" t="str">
        <f>InpPerformance!O49</f>
        <v/>
      </c>
      <c r="P44" s="569" t="str">
        <f>InpPerformance!P49</f>
        <v/>
      </c>
      <c r="Q44" s="570" t="str">
        <f>InpPerformance!Q49</f>
        <v/>
      </c>
      <c r="R44" s="569">
        <f>InpPerformance!R49</f>
        <v>0.42811700000000003</v>
      </c>
      <c r="S44" s="569">
        <f>InpPerformance!S49</f>
        <v>6.3400000000000001E-3</v>
      </c>
      <c r="T44" s="569" t="str">
        <f>InpPerformance!T49</f>
        <v/>
      </c>
      <c r="U44" s="569">
        <f>InpPerformance!U49</f>
        <v>4.7160000000000002</v>
      </c>
      <c r="V44" s="569">
        <f>InpPerformance!V49</f>
        <v>1.3380000000000001</v>
      </c>
      <c r="W44" s="569" t="str">
        <f>InpPerformance!W49</f>
        <v/>
      </c>
      <c r="X44" s="569" t="str">
        <f>InpPerformance!X49</f>
        <v/>
      </c>
      <c r="Y44" s="569" t="str">
        <f>InpPerformance!Y49</f>
        <v/>
      </c>
      <c r="Z44" s="569" t="str">
        <f>InpPerformance!Z49</f>
        <v/>
      </c>
      <c r="AA44" s="569">
        <f>InpPerformance!AA49</f>
        <v>0.94</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10.994</v>
      </c>
      <c r="AM44" s="569">
        <f>InpPerformance!AM49</f>
        <v>0.29499999999999998</v>
      </c>
      <c r="AN44" s="569" t="str">
        <f>InpPerformance!AN49</f>
        <v/>
      </c>
      <c r="AO44" s="570" t="str">
        <f>InpPerformance!AO49</f>
        <v/>
      </c>
      <c r="AP44" s="569">
        <f>InpPerformance!AP49</f>
        <v>4.1770000000000002E-3</v>
      </c>
      <c r="AQ44" s="569">
        <f>InpPerformance!AQ49</f>
        <v>0.1154</v>
      </c>
      <c r="AR44" s="569">
        <f>InpPerformance!AR49</f>
        <v>1.4E-2</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4528</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0</v>
      </c>
      <c r="Q45" s="550">
        <f t="shared" si="12"/>
        <v>0</v>
      </c>
      <c r="R45" s="549">
        <f t="shared" si="12"/>
        <v>0</v>
      </c>
      <c r="S45" s="549">
        <f t="shared" si="12"/>
        <v>0.27895999999999999</v>
      </c>
      <c r="T45" s="549">
        <f t="shared" si="12"/>
        <v>0</v>
      </c>
      <c r="U45" s="549">
        <f t="shared" si="12"/>
        <v>0.89604000000000006</v>
      </c>
      <c r="V45" s="549">
        <f t="shared" si="12"/>
        <v>0</v>
      </c>
      <c r="W45" s="549">
        <f t="shared" si="12"/>
        <v>0</v>
      </c>
      <c r="X45" s="549">
        <f t="shared" si="12"/>
        <v>0</v>
      </c>
      <c r="Y45" s="549">
        <f t="shared" si="12"/>
        <v>0</v>
      </c>
      <c r="Z45" s="549">
        <f t="shared" si="12"/>
        <v>0</v>
      </c>
      <c r="AA45" s="549" t="e">
        <f t="shared" si="12"/>
        <v>#VALUE!</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c r="A47" s="431"/>
      <c r="B47" s="431"/>
      <c r="C47" s="441" t="s">
        <v>4529</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c r="A48" s="431"/>
      <c r="B48" s="431"/>
      <c r="C48" s="431"/>
      <c r="D48" s="431"/>
      <c r="E48" s="431" t="s">
        <v>4530</v>
      </c>
      <c r="F48" s="431"/>
      <c r="G48" s="431" t="s">
        <v>461</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0</v>
      </c>
      <c r="S48" s="501" t="b">
        <f t="shared" si="13"/>
        <v>1</v>
      </c>
      <c r="T48" s="501" t="b">
        <f t="shared" si="13"/>
        <v>0</v>
      </c>
      <c r="U48" s="501" t="b">
        <f t="shared" si="13"/>
        <v>1</v>
      </c>
      <c r="V48" s="501" t="b">
        <f t="shared" si="13"/>
        <v>1</v>
      </c>
      <c r="W48" s="501" t="b">
        <f t="shared" si="13"/>
        <v>1</v>
      </c>
      <c r="X48" s="1919"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c r="A49" s="431"/>
      <c r="B49" s="431"/>
      <c r="C49" s="431"/>
      <c r="D49" s="431"/>
      <c r="E49" s="431" t="s">
        <v>4531</v>
      </c>
      <c r="F49" s="431"/>
      <c r="G49" s="431" t="s">
        <v>461</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1</v>
      </c>
      <c r="Q49" s="474" t="b">
        <f t="shared" si="14"/>
        <v>0</v>
      </c>
      <c r="R49" s="472" t="b">
        <f t="shared" si="14"/>
        <v>0</v>
      </c>
      <c r="S49" s="472" t="b">
        <f t="shared" si="14"/>
        <v>0</v>
      </c>
      <c r="T49" s="472" t="b">
        <f t="shared" si="14"/>
        <v>0</v>
      </c>
      <c r="U49" s="472" t="b">
        <f t="shared" si="14"/>
        <v>0</v>
      </c>
      <c r="V49" s="472" t="b">
        <f t="shared" si="14"/>
        <v>1</v>
      </c>
      <c r="W49" s="472" t="b">
        <f t="shared" si="14"/>
        <v>0</v>
      </c>
      <c r="X49" s="473" t="b">
        <f t="shared" si="14"/>
        <v>1</v>
      </c>
      <c r="Y49" s="472" t="b">
        <f t="shared" si="14"/>
        <v>0</v>
      </c>
      <c r="Z49" s="472" t="e">
        <f t="shared" si="14"/>
        <v>#VALUE!</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1</v>
      </c>
      <c r="AM49" s="472" t="b">
        <f t="shared" si="14"/>
        <v>1</v>
      </c>
      <c r="AN49" s="472" t="b">
        <f t="shared" si="14"/>
        <v>0</v>
      </c>
      <c r="AO49" s="474" t="b">
        <f t="shared" si="14"/>
        <v>1</v>
      </c>
      <c r="AP49" s="472" t="b">
        <f t="shared" si="14"/>
        <v>1</v>
      </c>
      <c r="AQ49" s="472" t="b">
        <f t="shared" si="14"/>
        <v>1</v>
      </c>
      <c r="AR49" s="472" t="b">
        <f t="shared" si="14"/>
        <v>1</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c r="A50" s="431"/>
      <c r="B50" s="431"/>
      <c r="C50" s="431"/>
      <c r="D50" s="431"/>
      <c r="E50" s="431" t="s">
        <v>4532</v>
      </c>
      <c r="F50" s="431"/>
      <c r="G50" s="431" t="s">
        <v>461</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1</v>
      </c>
      <c r="W50" s="472" t="b">
        <f t="shared" si="16"/>
        <v>0</v>
      </c>
      <c r="X50" s="472" t="b">
        <f t="shared" si="16"/>
        <v>1</v>
      </c>
      <c r="Y50" s="472" t="b">
        <f t="shared" si="16"/>
        <v>0</v>
      </c>
      <c r="Z50" s="472" t="e">
        <f t="shared" si="16"/>
        <v>#VALUE!</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1</v>
      </c>
      <c r="AM50" s="472" t="b">
        <f t="shared" si="16"/>
        <v>1</v>
      </c>
      <c r="AN50" s="472" t="b">
        <f t="shared" si="16"/>
        <v>0</v>
      </c>
      <c r="AO50" s="474" t="b">
        <f t="shared" si="16"/>
        <v>0</v>
      </c>
      <c r="AP50" s="472" t="b">
        <f t="shared" si="16"/>
        <v>1</v>
      </c>
      <c r="AQ50" s="472" t="b">
        <f t="shared" si="16"/>
        <v>1</v>
      </c>
      <c r="AR50" s="472" t="b">
        <f t="shared" si="16"/>
        <v>1</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c r="A51" s="431"/>
      <c r="B51" s="431"/>
      <c r="C51" s="431"/>
      <c r="D51" s="431"/>
      <c r="E51" s="431" t="s">
        <v>4533</v>
      </c>
      <c r="F51" s="431"/>
      <c r="G51" s="431" t="str">
        <f>G7</f>
        <v>Performance commitment unit</v>
      </c>
      <c r="H51" s="431"/>
      <c r="I51" s="431"/>
      <c r="J51" s="470">
        <f t="shared" ref="J51:O51" si="17">IF(J50=TRUE,IF(J14&gt;0,MAX(J17,J24),MIN(J17,J24)),"")</f>
        <v>2.13</v>
      </c>
      <c r="K51" s="470">
        <f t="shared" si="17"/>
        <v>4.7596344359324451E-3</v>
      </c>
      <c r="L51" s="470">
        <f t="shared" si="17"/>
        <v>3.9155074703760895</v>
      </c>
      <c r="M51" s="470" t="str">
        <f t="shared" si="17"/>
        <v/>
      </c>
      <c r="N51" s="470">
        <f t="shared" si="17"/>
        <v>4.666666666666675</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f t="shared" si="18"/>
        <v>0.91</v>
      </c>
      <c r="W51" s="470" t="str">
        <f t="shared" si="18"/>
        <v/>
      </c>
      <c r="X51" s="470">
        <f t="shared" si="18"/>
        <v>11.5</v>
      </c>
      <c r="Y51" s="470" t="str">
        <f t="shared" si="18"/>
        <v/>
      </c>
      <c r="Z51" s="470" t="e">
        <f t="shared" si="18"/>
        <v>#VALUE!</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f t="shared" si="18"/>
        <v>1.41</v>
      </c>
      <c r="AM51" s="470">
        <f t="shared" si="18"/>
        <v>41.6</v>
      </c>
      <c r="AN51" s="470" t="str">
        <f t="shared" si="18"/>
        <v/>
      </c>
      <c r="AO51" s="471" t="str">
        <f t="shared" si="18"/>
        <v/>
      </c>
      <c r="AP51" s="470">
        <f t="shared" si="18"/>
        <v>5232</v>
      </c>
      <c r="AQ51" s="470">
        <f t="shared" si="18"/>
        <v>31</v>
      </c>
      <c r="AR51" s="470">
        <f t="shared" si="18"/>
        <v>1698</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c r="A52" s="431"/>
      <c r="B52" s="431"/>
      <c r="C52" s="431"/>
      <c r="D52" s="431"/>
      <c r="E52" s="431" t="s">
        <v>4534</v>
      </c>
      <c r="F52" s="431"/>
      <c r="G52" s="431" t="str">
        <f>G7</f>
        <v>Performance commitment unit</v>
      </c>
      <c r="H52" s="431"/>
      <c r="I52" s="431"/>
      <c r="J52" s="470">
        <f>IF(J50=TRUE,ABS(IF(J23&lt;&gt;"",J23,J22)-J51),"")</f>
        <v>0.62999999999999989</v>
      </c>
      <c r="K52" s="470">
        <f t="shared" ref="K52:BS52" si="19">IF(K50=TRUE,ABS(IF(K23&lt;&gt;"",K23,K22)-K51),"")</f>
        <v>1.2874122137102231E-3</v>
      </c>
      <c r="L52" s="470">
        <f t="shared" si="19"/>
        <v>12.484492529623909</v>
      </c>
      <c r="M52" s="470" t="str">
        <f>IF(M50=TRUE,ABS(IF(M23&lt;&gt;"",M23,M22)-M51),"")</f>
        <v/>
      </c>
      <c r="N52" s="470">
        <f t="shared" si="19"/>
        <v>0.93333333333332469</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f t="shared" si="19"/>
        <v>0.14000000000000001</v>
      </c>
      <c r="W52" s="470" t="str">
        <f t="shared" si="19"/>
        <v/>
      </c>
      <c r="X52" s="470">
        <f t="shared" si="19"/>
        <v>457.9</v>
      </c>
      <c r="Y52" s="470" t="str">
        <f t="shared" si="19"/>
        <v/>
      </c>
      <c r="Z52" s="470" t="e">
        <f t="shared" si="19"/>
        <v>#VALUE!</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f t="shared" si="19"/>
        <v>6.999999999999984E-2</v>
      </c>
      <c r="AM52" s="470">
        <f t="shared" si="19"/>
        <v>22.1</v>
      </c>
      <c r="AN52" s="470" t="str">
        <f t="shared" si="19"/>
        <v/>
      </c>
      <c r="AO52" s="471" t="str">
        <f t="shared" si="19"/>
        <v/>
      </c>
      <c r="AP52" s="470">
        <f t="shared" si="19"/>
        <v>1241</v>
      </c>
      <c r="AQ52" s="470">
        <f t="shared" si="19"/>
        <v>5</v>
      </c>
      <c r="AR52" s="470">
        <f t="shared" si="19"/>
        <v>158</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c r="A54" s="431"/>
      <c r="B54" s="431"/>
      <c r="C54" s="431"/>
      <c r="D54" s="441" t="s">
        <v>4524</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c r="A56" s="431"/>
      <c r="B56" s="431"/>
      <c r="C56" s="431"/>
      <c r="D56" s="431"/>
      <c r="E56" s="431" t="s">
        <v>4525</v>
      </c>
      <c r="F56" s="431"/>
      <c r="G56" s="431" t="s">
        <v>2028</v>
      </c>
      <c r="H56" s="431"/>
      <c r="I56" s="431"/>
      <c r="J56" s="573">
        <f>IF(AND(J55=TRUE,J50=TRUE),J52*24*60,J52)</f>
        <v>0.62999999999999989</v>
      </c>
      <c r="K56" s="576">
        <f>IF(AND(K55=TRUE,K50=TRUE),K52*24*60,K52)</f>
        <v>1.8538735877427213</v>
      </c>
      <c r="L56" s="573">
        <f t="shared" ref="L56:BS56" si="20">IF(AND(L55=TRUE,L50=TRUE),L52*24*60,L52)</f>
        <v>12.484492529623909</v>
      </c>
      <c r="M56" s="573" t="str">
        <f>IF(AND(M55=TRUE,M50=TRUE),M52*24*60,M52)</f>
        <v/>
      </c>
      <c r="N56" s="573">
        <f t="shared" si="20"/>
        <v>0.93333333333332469</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f t="shared" si="20"/>
        <v>0.14000000000000001</v>
      </c>
      <c r="W56" s="573" t="str">
        <f t="shared" si="20"/>
        <v/>
      </c>
      <c r="X56" s="573">
        <f t="shared" si="20"/>
        <v>457.9</v>
      </c>
      <c r="Y56" s="573" t="str">
        <f t="shared" si="20"/>
        <v/>
      </c>
      <c r="Z56" s="573" t="e">
        <f t="shared" si="20"/>
        <v>#VALUE!</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f t="shared" si="20"/>
        <v>6.999999999999984E-2</v>
      </c>
      <c r="AM56" s="573">
        <f t="shared" si="20"/>
        <v>22.1</v>
      </c>
      <c r="AN56" s="573" t="str">
        <f t="shared" si="20"/>
        <v/>
      </c>
      <c r="AO56" s="574" t="str">
        <f t="shared" si="20"/>
        <v/>
      </c>
      <c r="AP56" s="573">
        <f t="shared" si="20"/>
        <v>1241</v>
      </c>
      <c r="AQ56" s="573">
        <f t="shared" si="20"/>
        <v>5</v>
      </c>
      <c r="AR56" s="573">
        <f t="shared" si="20"/>
        <v>158</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194.1</v>
      </c>
      <c r="M58" s="561" t="str">
        <f>IF(InpPerformance!M$8&lt;&gt;"",ROUND(InpPerformance!M$8,1),"")</f>
        <v/>
      </c>
      <c r="N58" s="561">
        <f>IF(InpPerformance!N$8&lt;&gt;"",ROUND(InpPerformance!N$8,1),"")</f>
        <v>135</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c r="A59" s="431"/>
      <c r="B59" s="431"/>
      <c r="C59" s="431"/>
      <c r="D59" s="431"/>
      <c r="E59" s="431" t="s">
        <v>4526</v>
      </c>
      <c r="F59" s="431"/>
      <c r="G59" s="431" t="s">
        <v>2028</v>
      </c>
      <c r="H59" s="431"/>
      <c r="I59" s="431"/>
      <c r="J59" s="573">
        <f>IF(AND(J57=TRUE,J50=TRUE),ROUND((J56/100)*J58,1),J56)</f>
        <v>0.62999999999999989</v>
      </c>
      <c r="K59" s="577">
        <f t="shared" ref="K59:BS59" si="21">IF(AND(K57=TRUE,K50=TRUE),ROUND((K56/100)*K58,1),K56)</f>
        <v>1.8538735877427213</v>
      </c>
      <c r="L59" s="573">
        <f>IF(AND(L57=TRUE,L50=TRUE),ROUND((L56/100)*L58,1),L56)</f>
        <v>24.2</v>
      </c>
      <c r="M59" s="573" t="str">
        <f>IF(AND(M57=TRUE,M50=TRUE),ROUND((M56/100)*M58,1),M56)</f>
        <v/>
      </c>
      <c r="N59" s="573">
        <f t="shared" si="21"/>
        <v>1.3</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f t="shared" si="21"/>
        <v>0.14000000000000001</v>
      </c>
      <c r="W59" s="573" t="str">
        <f t="shared" si="21"/>
        <v/>
      </c>
      <c r="X59" s="573">
        <f t="shared" si="21"/>
        <v>457.9</v>
      </c>
      <c r="Y59" s="573" t="str">
        <f t="shared" si="21"/>
        <v/>
      </c>
      <c r="Z59" s="573" t="e">
        <f t="shared" si="21"/>
        <v>#VALUE!</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f t="shared" si="21"/>
        <v>6.999999999999984E-2</v>
      </c>
      <c r="AM59" s="573">
        <f t="shared" si="21"/>
        <v>22.1</v>
      </c>
      <c r="AN59" s="573" t="str">
        <f t="shared" si="21"/>
        <v/>
      </c>
      <c r="AO59" s="574" t="str">
        <f t="shared" si="21"/>
        <v/>
      </c>
      <c r="AP59" s="573">
        <f t="shared" si="21"/>
        <v>1241</v>
      </c>
      <c r="AQ59" s="573">
        <f t="shared" si="21"/>
        <v>5</v>
      </c>
      <c r="AR59" s="573">
        <f t="shared" si="21"/>
        <v>158</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4535</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c r="A62" s="431"/>
      <c r="B62" s="431"/>
      <c r="C62" s="431"/>
      <c r="D62" s="441"/>
      <c r="E62" s="556" t="str">
        <f>InpPerformance!E50</f>
        <v>Standard underperformance rate</v>
      </c>
      <c r="F62" s="431"/>
      <c r="G62" s="556" t="str">
        <f>InpPerformance!G50</f>
        <v>£m/unit (2017-18 prices)</v>
      </c>
      <c r="H62" s="431"/>
      <c r="I62" s="431"/>
      <c r="J62" s="569">
        <f>InpPerformance!J50</f>
        <v>-0.78800000000000003</v>
      </c>
      <c r="K62" s="569">
        <f>InpPerformance!K50</f>
        <v>-1.1459999999999999</v>
      </c>
      <c r="L62" s="569">
        <f>InpPerformance!L50</f>
        <v>-0.36499999999999999</v>
      </c>
      <c r="M62" s="569" t="str">
        <f>InpPerformance!M50</f>
        <v/>
      </c>
      <c r="N62" s="569">
        <f>InpPerformance!N50</f>
        <v>-0.374</v>
      </c>
      <c r="O62" s="569" t="str">
        <f>InpPerformance!O50</f>
        <v/>
      </c>
      <c r="P62" s="569">
        <f>InpPerformance!P50</f>
        <v>-0.16500000000000001</v>
      </c>
      <c r="Q62" s="570">
        <f>InpPerformance!Q50</f>
        <v>-1.3240000000000001</v>
      </c>
      <c r="R62" s="569" t="str">
        <f>InpPerformance!R50</f>
        <v/>
      </c>
      <c r="S62" s="569">
        <f>InpPerformance!S50</f>
        <v>-1.2207000000000001E-2</v>
      </c>
      <c r="T62" s="569" t="str">
        <f>InpPerformance!T50</f>
        <v/>
      </c>
      <c r="U62" s="569">
        <f>InpPerformance!U50</f>
        <v>-4.7160000000000002</v>
      </c>
      <c r="V62" s="569">
        <f>InpPerformance!V50</f>
        <v>-2.6760000000000002</v>
      </c>
      <c r="W62" s="569">
        <f>InpPerformance!W50</f>
        <v>-3.0000000000000001E-5</v>
      </c>
      <c r="X62" s="569">
        <f>InpPerformance!X50</f>
        <v>-0.45900000000000002</v>
      </c>
      <c r="Y62" s="569">
        <f>InpPerformance!Y50</f>
        <v>-6.4799999999999996E-2</v>
      </c>
      <c r="Z62" s="569">
        <f>InpPerformance!Z50</f>
        <v>-0.47</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-10.944000000000001</v>
      </c>
      <c r="AM62" s="569">
        <f>InpPerformance!AM50</f>
        <v>-0.44500000000000001</v>
      </c>
      <c r="AN62" s="569">
        <f>InpPerformance!AN50</f>
        <v>-2.298</v>
      </c>
      <c r="AO62" s="570">
        <f>InpPerformance!AO50</f>
        <v>-1.3480000000000001</v>
      </c>
      <c r="AP62" s="569">
        <f>InpPerformance!AP50</f>
        <v>-4.1770000000000002E-3</v>
      </c>
      <c r="AQ62" s="569">
        <f>InpPerformance!AQ50</f>
        <v>-0.2248</v>
      </c>
      <c r="AR62" s="569">
        <f>InpPerformance!AR50</f>
        <v>-1.4E-2</v>
      </c>
      <c r="AS62" s="569">
        <f>InpPerformance!AS50</f>
        <v>-5.9499999999999997E-2</v>
      </c>
      <c r="AT62" s="569">
        <f>InpPerformance!AT50</f>
        <v>-4.7699999999999999E-2</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c r="A63" s="431"/>
      <c r="B63" s="431"/>
      <c r="C63" s="431"/>
      <c r="D63" s="431"/>
      <c r="E63" s="431" t="s">
        <v>4536</v>
      </c>
      <c r="F63" s="431"/>
      <c r="G63" s="575" t="str">
        <f>InpCompany!$F$11</f>
        <v>£m (2017-18 prices)</v>
      </c>
      <c r="H63" s="431"/>
      <c r="I63" s="431"/>
      <c r="J63" s="549">
        <f>IF(J50=TRUE,J59*J62,0)</f>
        <v>-0.49643999999999994</v>
      </c>
      <c r="K63" s="549">
        <f t="shared" ref="K63:BS63" si="22">IF(K50=TRUE,K59*K62,0)</f>
        <v>-2.1245391315531585</v>
      </c>
      <c r="L63" s="549">
        <f t="shared" si="22"/>
        <v>-8.8330000000000002</v>
      </c>
      <c r="M63" s="549">
        <f>IF(M50=TRUE,M59*M62,0)</f>
        <v>0</v>
      </c>
      <c r="N63" s="549">
        <f t="shared" si="22"/>
        <v>-0.48620000000000002</v>
      </c>
      <c r="O63" s="549">
        <f>IF(O50=TRUE,O59*O62,0)</f>
        <v>0</v>
      </c>
      <c r="P63" s="549">
        <f t="shared" si="22"/>
        <v>0</v>
      </c>
      <c r="Q63" s="550">
        <f t="shared" si="22"/>
        <v>0</v>
      </c>
      <c r="R63" s="549">
        <f t="shared" si="22"/>
        <v>0</v>
      </c>
      <c r="S63" s="549">
        <f t="shared" si="22"/>
        <v>0</v>
      </c>
      <c r="T63" s="549">
        <f t="shared" si="22"/>
        <v>0</v>
      </c>
      <c r="U63" s="549">
        <f t="shared" si="22"/>
        <v>0</v>
      </c>
      <c r="V63" s="549">
        <f t="shared" si="22"/>
        <v>-0.37464000000000008</v>
      </c>
      <c r="W63" s="549">
        <f t="shared" si="22"/>
        <v>0</v>
      </c>
      <c r="X63" s="549">
        <f t="shared" si="22"/>
        <v>-210.17609999999999</v>
      </c>
      <c r="Y63" s="549">
        <f t="shared" si="22"/>
        <v>0</v>
      </c>
      <c r="Z63" s="549" t="e">
        <f t="shared" si="22"/>
        <v>#VALUE!</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-0.76607999999999832</v>
      </c>
      <c r="AM63" s="549">
        <f t="shared" si="22"/>
        <v>-9.8345000000000002</v>
      </c>
      <c r="AN63" s="549">
        <f t="shared" si="22"/>
        <v>0</v>
      </c>
      <c r="AO63" s="550">
        <f t="shared" si="22"/>
        <v>0</v>
      </c>
      <c r="AP63" s="549">
        <f t="shared" si="22"/>
        <v>-5.1836570000000002</v>
      </c>
      <c r="AQ63" s="549">
        <f t="shared" si="22"/>
        <v>-1.1240000000000001</v>
      </c>
      <c r="AR63" s="549">
        <f t="shared" si="22"/>
        <v>-2.2120000000000002</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c r="A65" s="431"/>
      <c r="B65" s="451" t="s">
        <v>4537</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c r="A67" s="431"/>
      <c r="B67" s="431"/>
      <c r="C67" s="441" t="s">
        <v>4538</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1.689814814814815E-3</v>
      </c>
      <c r="L70" s="561" t="str">
        <f>IF(InpPerformance!L$43&lt;&gt;"",InpPerformance!L$43,"")</f>
        <v>*</v>
      </c>
      <c r="M70" s="561" t="str">
        <f>IF(InpPerformance!M$43&lt;&gt;"",InpPerformance!M$43,"")</f>
        <v/>
      </c>
      <c r="N70" s="561" t="str">
        <f>IF(InpPerformance!N$43&lt;&gt;"",InpPerformance!N$43,"")</f>
        <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t="str">
        <f>IF(InpPerformance!V$43&lt;&gt;"",InpPerformance!V$43,"")</f>
        <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1.01</v>
      </c>
      <c r="AM70" s="561">
        <f>IF(InpPerformance!AM$43&lt;&gt;"",InpPerformance!AM$43,"")</f>
        <v>4.5</v>
      </c>
      <c r="AN70" s="561" t="str">
        <f>IF(InpPerformance!AN$43&lt;&gt;"",InpPerformance!AN$43,"")</f>
        <v/>
      </c>
      <c r="AO70" s="563" t="str">
        <f>IF(InpPerformance!AO$43&lt;&gt;"",InpPerformance!AO$43,"")</f>
        <v/>
      </c>
      <c r="AP70" s="561">
        <f>IF(InpPerformance!AP$43&lt;&gt;"",InpPerformance!AP$43,"")</f>
        <v>2092</v>
      </c>
      <c r="AQ70" s="561">
        <f>IF(InpPerformance!AQ$43&lt;&gt;"",InpPerformance!AQ$43,"")</f>
        <v>41</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2.13</v>
      </c>
      <c r="K73" s="583">
        <f t="shared" ref="K73:BS73" si="24">K$17</f>
        <v>4.7596344359324451E-3</v>
      </c>
      <c r="L73" s="583">
        <f t="shared" si="24"/>
        <v>3.9155074703760895</v>
      </c>
      <c r="M73" s="583" t="str">
        <f t="shared" si="24"/>
        <v/>
      </c>
      <c r="N73" s="583">
        <f t="shared" si="24"/>
        <v>4.666666666666675</v>
      </c>
      <c r="O73" s="583" t="str">
        <f t="shared" si="24"/>
        <v/>
      </c>
      <c r="P73" s="583">
        <f t="shared" si="24"/>
        <v>133.4</v>
      </c>
      <c r="Q73" s="584">
        <f t="shared" si="24"/>
        <v>1.88</v>
      </c>
      <c r="R73" s="583">
        <f t="shared" si="24"/>
        <v>22.3</v>
      </c>
      <c r="S73" s="583">
        <f t="shared" si="24"/>
        <v>62</v>
      </c>
      <c r="T73" s="583">
        <f t="shared" si="24"/>
        <v>85</v>
      </c>
      <c r="U73" s="583">
        <f t="shared" si="24"/>
        <v>0.06</v>
      </c>
      <c r="V73" s="583">
        <f t="shared" si="24"/>
        <v>0.91</v>
      </c>
      <c r="W73" s="583">
        <f t="shared" si="24"/>
        <v>1096405</v>
      </c>
      <c r="X73" s="583">
        <f t="shared" si="24"/>
        <v>11.5</v>
      </c>
      <c r="Y73" s="583">
        <f t="shared" si="24"/>
        <v>100</v>
      </c>
      <c r="Z73" s="583" t="str">
        <f t="shared" si="24"/>
        <v>n/a</v>
      </c>
      <c r="AA73" s="583" t="str">
        <f t="shared" si="24"/>
        <v>n/a</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1.41</v>
      </c>
      <c r="AM73" s="583">
        <f t="shared" si="24"/>
        <v>57.17</v>
      </c>
      <c r="AN73" s="583">
        <f t="shared" si="24"/>
        <v>4.53</v>
      </c>
      <c r="AO73" s="584">
        <f t="shared" si="24"/>
        <v>99.28</v>
      </c>
      <c r="AP73" s="583">
        <f t="shared" si="24"/>
        <v>5232</v>
      </c>
      <c r="AQ73" s="583">
        <f t="shared" si="24"/>
        <v>31</v>
      </c>
      <c r="AR73" s="583">
        <f t="shared" si="24"/>
        <v>1698</v>
      </c>
      <c r="AS73" s="583">
        <f t="shared" si="24"/>
        <v>98</v>
      </c>
      <c r="AT73" s="583">
        <f t="shared" si="24"/>
        <v>100</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c r="A75" s="431"/>
      <c r="B75" s="431"/>
      <c r="C75" s="431"/>
      <c r="D75" s="431"/>
      <c r="E75" s="488" t="s">
        <v>4539</v>
      </c>
      <c r="F75" s="488"/>
      <c r="G75" s="488" t="s">
        <v>461</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c r="A77" s="431"/>
      <c r="B77" s="431"/>
      <c r="C77" s="431"/>
      <c r="D77" s="441" t="s">
        <v>4540</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c r="A79" s="431"/>
      <c r="B79" s="431"/>
      <c r="C79" s="431"/>
      <c r="D79" s="431"/>
      <c r="E79" s="578" t="str">
        <f>InpCompany!E17</f>
        <v>Wholesale water RCV (financial year average)</v>
      </c>
      <c r="F79" s="578"/>
      <c r="G79" s="578" t="str">
        <f>InpCompany!G$17</f>
        <v>£m (2017-18 prices)</v>
      </c>
      <c r="H79" s="578"/>
      <c r="I79" s="556"/>
      <c r="J79" s="561">
        <f>InpCompany!$F17</f>
        <v>0</v>
      </c>
      <c r="K79" s="561">
        <f>InpCompany!$F17</f>
        <v>0</v>
      </c>
      <c r="L79" s="561">
        <f>InpCompany!$F17</f>
        <v>0</v>
      </c>
      <c r="M79" s="561">
        <f>InpCompany!$F17</f>
        <v>0</v>
      </c>
      <c r="N79" s="561">
        <f>InpCompany!$F17</f>
        <v>0</v>
      </c>
      <c r="O79" s="561">
        <f>InpCompany!$F17</f>
        <v>0</v>
      </c>
      <c r="P79" s="561">
        <f>InpCompany!$F17</f>
        <v>0</v>
      </c>
      <c r="Q79" s="563">
        <f>InpCompany!$F17</f>
        <v>0</v>
      </c>
      <c r="R79" s="561">
        <f>InpCompany!$F17</f>
        <v>0</v>
      </c>
      <c r="S79" s="561">
        <f>InpCompany!$F17</f>
        <v>0</v>
      </c>
      <c r="T79" s="561">
        <f>InpCompany!$F17</f>
        <v>0</v>
      </c>
      <c r="U79" s="561">
        <f>InpCompany!$F17</f>
        <v>0</v>
      </c>
      <c r="V79" s="561">
        <f>InpCompany!$F17</f>
        <v>0</v>
      </c>
      <c r="W79" s="561">
        <f>InpCompany!$F17</f>
        <v>0</v>
      </c>
      <c r="X79" s="561">
        <f>InpCompany!$F17</f>
        <v>0</v>
      </c>
      <c r="Y79" s="561">
        <f>InpCompany!$F17</f>
        <v>0</v>
      </c>
      <c r="Z79" s="561">
        <f>InpCompany!$F17</f>
        <v>0</v>
      </c>
      <c r="AA79" s="561">
        <f>InpCompany!$F17</f>
        <v>0</v>
      </c>
      <c r="AB79" s="561">
        <f>InpCompany!$F17</f>
        <v>0</v>
      </c>
      <c r="AC79" s="561">
        <f>InpCompany!$F17</f>
        <v>0</v>
      </c>
      <c r="AD79" s="561">
        <f>InpCompany!$F17</f>
        <v>0</v>
      </c>
      <c r="AE79" s="561">
        <f>InpCompany!$F17</f>
        <v>0</v>
      </c>
      <c r="AF79" s="561">
        <f>InpCompany!$F17</f>
        <v>0</v>
      </c>
      <c r="AG79" s="561">
        <f>InpCompany!$F17</f>
        <v>0</v>
      </c>
      <c r="AH79" s="561">
        <f>InpCompany!$F17</f>
        <v>0</v>
      </c>
      <c r="AI79" s="561">
        <f>InpCompany!$F17</f>
        <v>0</v>
      </c>
      <c r="AJ79" s="561">
        <f>InpCompany!$F17</f>
        <v>0</v>
      </c>
      <c r="AK79" s="563">
        <f>InpCompany!$F17</f>
        <v>0</v>
      </c>
      <c r="AL79" s="561">
        <f>InpCompany!$F17</f>
        <v>0</v>
      </c>
      <c r="AM79" s="561">
        <f>InpCompany!$F17</f>
        <v>0</v>
      </c>
      <c r="AN79" s="561">
        <f>InpCompany!$F17</f>
        <v>0</v>
      </c>
      <c r="AO79" s="563">
        <f>InpCompany!$F17</f>
        <v>0</v>
      </c>
      <c r="AP79" s="561">
        <f>InpCompany!$F17</f>
        <v>0</v>
      </c>
      <c r="AQ79" s="561">
        <f>InpCompany!$F17</f>
        <v>0</v>
      </c>
      <c r="AR79" s="561">
        <f>InpCompany!$F17</f>
        <v>0</v>
      </c>
      <c r="AS79" s="561">
        <f>InpCompany!$F17</f>
        <v>0</v>
      </c>
      <c r="AT79" s="561">
        <f>InpCompany!$F17</f>
        <v>0</v>
      </c>
      <c r="AU79" s="561">
        <f>InpCompany!$F17</f>
        <v>0</v>
      </c>
      <c r="AV79" s="561">
        <f>InpCompany!$F17</f>
        <v>0</v>
      </c>
      <c r="AW79" s="561">
        <f>InpCompany!$F17</f>
        <v>0</v>
      </c>
      <c r="AX79" s="561">
        <f>InpCompany!$F17</f>
        <v>0</v>
      </c>
      <c r="AY79" s="561">
        <f>InpCompany!$F17</f>
        <v>0</v>
      </c>
      <c r="AZ79" s="561">
        <f>InpCompany!$F17</f>
        <v>0</v>
      </c>
      <c r="BA79" s="561">
        <f>InpCompany!$F17</f>
        <v>0</v>
      </c>
      <c r="BB79" s="561">
        <f>InpCompany!$F17</f>
        <v>0</v>
      </c>
      <c r="BC79" s="563">
        <f>InpCompany!$F17</f>
        <v>0</v>
      </c>
      <c r="BD79" s="561">
        <f>InpCompany!$F17</f>
        <v>0</v>
      </c>
      <c r="BE79" s="561">
        <f>InpCompany!$F17</f>
        <v>0</v>
      </c>
      <c r="BF79" s="561">
        <f>InpCompany!$F17</f>
        <v>0</v>
      </c>
      <c r="BG79" s="561">
        <f>InpCompany!$F17</f>
        <v>0</v>
      </c>
      <c r="BH79" s="561">
        <f>InpCompany!$F17</f>
        <v>0</v>
      </c>
      <c r="BI79" s="561">
        <f>InpCompany!$F17</f>
        <v>0</v>
      </c>
      <c r="BJ79" s="561">
        <f>InpCompany!$F17</f>
        <v>0</v>
      </c>
      <c r="BK79" s="561">
        <f>InpCompany!$F17</f>
        <v>0</v>
      </c>
      <c r="BL79" s="561">
        <f>InpCompany!$F17</f>
        <v>0</v>
      </c>
      <c r="BM79" s="561">
        <f>InpCompany!$F17</f>
        <v>0</v>
      </c>
      <c r="BN79" s="561">
        <f>InpCompany!$F17</f>
        <v>0</v>
      </c>
      <c r="BO79" s="561">
        <f>InpCompany!$F17</f>
        <v>0</v>
      </c>
      <c r="BP79" s="561">
        <f>InpCompany!$F17</f>
        <v>0</v>
      </c>
      <c r="BQ79" s="561">
        <f>InpCompany!$F17</f>
        <v>0</v>
      </c>
      <c r="BR79" s="561">
        <f>InpCompany!$F17</f>
        <v>0</v>
      </c>
      <c r="BS79" s="561">
        <f>InpCompany!$F17</f>
        <v>0</v>
      </c>
    </row>
    <row r="80" spans="1:71" s="195" customFormat="1">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c r="A81" s="431"/>
      <c r="B81" s="431"/>
      <c r="C81" s="431"/>
      <c r="D81" s="431"/>
      <c r="E81" s="488" t="s">
        <v>4541</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c r="A85" s="431"/>
      <c r="B85" s="431"/>
      <c r="C85" s="431"/>
      <c r="D85" s="431"/>
      <c r="E85" s="488" t="s">
        <v>4542</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c r="A87" s="431"/>
      <c r="B87" s="431"/>
      <c r="C87" s="431"/>
      <c r="D87" s="431"/>
      <c r="E87" s="488" t="s">
        <v>4543</v>
      </c>
      <c r="F87" s="488"/>
      <c r="G87" s="431" t="s">
        <v>2028</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c r="A89" s="431"/>
      <c r="B89" s="431"/>
      <c r="C89" s="431"/>
      <c r="D89" s="441" t="s">
        <v>4524</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c r="A91" s="431"/>
      <c r="B91" s="431"/>
      <c r="C91" s="431"/>
      <c r="D91" s="431"/>
      <c r="E91" s="431" t="s">
        <v>4525</v>
      </c>
      <c r="F91" s="431"/>
      <c r="G91" s="488" t="s">
        <v>4544</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194.1</v>
      </c>
      <c r="M93" s="561" t="str">
        <f>IF(InpPerformance!M$8&lt;&gt;"",ROUND(InpPerformance!M$8,1),"")</f>
        <v/>
      </c>
      <c r="N93" s="561">
        <f>IF(InpPerformance!N$8&lt;&gt;"",ROUND(InpPerformance!N$8,1),"")</f>
        <v>135</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c r="A94" s="431"/>
      <c r="B94" s="431"/>
      <c r="C94" s="431"/>
      <c r="D94" s="431"/>
      <c r="E94" s="431" t="s">
        <v>4526</v>
      </c>
      <c r="F94" s="431"/>
      <c r="G94" s="488" t="s">
        <v>4544</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c r="A96" s="431"/>
      <c r="B96" s="431"/>
      <c r="C96" s="431"/>
      <c r="D96" s="431"/>
      <c r="E96" s="488" t="s">
        <v>4542</v>
      </c>
      <c r="F96" s="488"/>
      <c r="G96" s="488" t="s">
        <v>4544</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2.13</v>
      </c>
      <c r="K97" s="470">
        <f t="shared" si="33"/>
        <v>4.7596344359324451E-3</v>
      </c>
      <c r="L97" s="470">
        <f t="shared" si="33"/>
        <v>3.9155074703760895</v>
      </c>
      <c r="M97" s="470" t="str">
        <f>M17</f>
        <v/>
      </c>
      <c r="N97" s="470">
        <f t="shared" si="33"/>
        <v>4.666666666666675</v>
      </c>
      <c r="O97" s="470" t="str">
        <f>O17</f>
        <v/>
      </c>
      <c r="P97" s="470">
        <f t="shared" si="33"/>
        <v>133.4</v>
      </c>
      <c r="Q97" s="471">
        <f t="shared" si="33"/>
        <v>1.88</v>
      </c>
      <c r="R97" s="470">
        <f t="shared" si="33"/>
        <v>22.3</v>
      </c>
      <c r="S97" s="470">
        <f t="shared" si="33"/>
        <v>62</v>
      </c>
      <c r="T97" s="470">
        <f t="shared" si="33"/>
        <v>85</v>
      </c>
      <c r="U97" s="470">
        <f t="shared" si="33"/>
        <v>0.06</v>
      </c>
      <c r="V97" s="470">
        <f t="shared" si="33"/>
        <v>0.91</v>
      </c>
      <c r="W97" s="470">
        <f t="shared" si="33"/>
        <v>1096405</v>
      </c>
      <c r="X97" s="470">
        <f t="shared" si="33"/>
        <v>11.5</v>
      </c>
      <c r="Y97" s="470">
        <f t="shared" si="33"/>
        <v>100</v>
      </c>
      <c r="Z97" s="470" t="str">
        <f t="shared" si="33"/>
        <v>n/a</v>
      </c>
      <c r="AA97" s="470" t="str">
        <f t="shared" si="33"/>
        <v>n/a</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1.41</v>
      </c>
      <c r="AM97" s="470">
        <f t="shared" si="33"/>
        <v>57.17</v>
      </c>
      <c r="AN97" s="470">
        <f t="shared" si="33"/>
        <v>4.53</v>
      </c>
      <c r="AO97" s="471">
        <f t="shared" si="33"/>
        <v>99.28</v>
      </c>
      <c r="AP97" s="470">
        <f t="shared" si="33"/>
        <v>5232</v>
      </c>
      <c r="AQ97" s="470">
        <f t="shared" si="33"/>
        <v>31</v>
      </c>
      <c r="AR97" s="470">
        <f t="shared" si="33"/>
        <v>1698</v>
      </c>
      <c r="AS97" s="470">
        <f t="shared" si="33"/>
        <v>98</v>
      </c>
      <c r="AT97" s="470">
        <f t="shared" si="33"/>
        <v>100</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c r="A98" s="431"/>
      <c r="B98" s="431"/>
      <c r="C98" s="431"/>
      <c r="D98" s="431"/>
      <c r="E98" s="488" t="s">
        <v>4545</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c r="A100" s="431"/>
      <c r="B100" s="431"/>
      <c r="C100" s="431"/>
      <c r="D100" s="431"/>
      <c r="E100" s="488" t="s">
        <v>4546</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c r="A102" s="431"/>
      <c r="B102" s="431"/>
      <c r="C102" s="431"/>
      <c r="D102" s="441" t="s">
        <v>4524</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c r="A104" s="431"/>
      <c r="B104" s="431"/>
      <c r="C104" s="431"/>
      <c r="D104" s="431"/>
      <c r="E104" s="431" t="s">
        <v>4525</v>
      </c>
      <c r="F104" s="431"/>
      <c r="G104" s="431" t="s">
        <v>2028</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194.1</v>
      </c>
      <c r="M106" s="561" t="str">
        <f>IF(InpPerformance!M$8&lt;&gt;"",ROUND(InpPerformance!M$8,1),"")</f>
        <v/>
      </c>
      <c r="N106" s="561">
        <f>IF(InpPerformance!N$8&lt;&gt;"",ROUND(InpPerformance!N$8,1),"")</f>
        <v>135</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c r="A107" s="431"/>
      <c r="B107" s="431"/>
      <c r="C107" s="431"/>
      <c r="D107" s="431"/>
      <c r="E107" s="431" t="s">
        <v>4526</v>
      </c>
      <c r="F107" s="431"/>
      <c r="G107" s="431" t="s">
        <v>2028</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c r="A110" s="431"/>
      <c r="B110" s="431"/>
      <c r="C110" s="431"/>
      <c r="D110" s="431"/>
      <c r="E110" s="488" t="s">
        <v>4547</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c r="A112" s="431"/>
      <c r="B112" s="431"/>
      <c r="C112" s="441" t="s">
        <v>4548</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0</v>
      </c>
      <c r="M114" s="561" t="str">
        <f>IF(InpPerformance!M$47&lt;&gt;"",InpPerformance!M$47,"")</f>
        <v/>
      </c>
      <c r="N114" s="561" t="str">
        <f>IF(InpPerformance!N$47&lt;&gt;"",InpPerformance!N$47,"")</f>
        <v/>
      </c>
      <c r="O114" s="561" t="str">
        <f>IF(InpPerformance!O$47&lt;&gt;"",InpPerformance!O$47,"")</f>
        <v/>
      </c>
      <c r="P114" s="561" t="str">
        <f>IF(InpPerformance!P$47&lt;&gt;"",InpPerformance!P$47,"")</f>
        <v/>
      </c>
      <c r="Q114" s="563">
        <f>IF(InpPerformance!Q$47&lt;&gt;"",InpPerformance!Q$47,"")</f>
        <v>5.22</v>
      </c>
      <c r="R114" s="561" t="str">
        <f>IF(InpPerformance!R$47&lt;&gt;"",InpPerformance!R$47,"")</f>
        <v/>
      </c>
      <c r="S114" s="561" t="str">
        <f>IF(InpPerformance!S$47&lt;&gt;"",InpPerformance!S$47,"")</f>
        <v/>
      </c>
      <c r="T114" s="561" t="str">
        <f>IF(InpPerformance!T$47&lt;&gt;"",InpPerformance!T$47,"")</f>
        <v/>
      </c>
      <c r="U114" s="561">
        <f>IF(InpPerformance!U$47&lt;&gt;"",InpPerformance!U$47,"")</f>
        <v>0.5</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3.35</v>
      </c>
      <c r="AM114" s="561">
        <f>IF(InpPerformance!AM$47&lt;&gt;"",InpPerformance!AM$47,"")</f>
        <v>41.6</v>
      </c>
      <c r="AN114" s="561">
        <f>IF(InpPerformance!AN$47&lt;&gt;"",InpPerformance!AN$47,"")</f>
        <v>7.76</v>
      </c>
      <c r="AO114" s="563">
        <f>IF(InpPerformance!AO$47&lt;&gt;"",InpPerformance!AO$47,"")</f>
        <v>95.4</v>
      </c>
      <c r="AP114" s="561">
        <f>IF(InpPerformance!AP$47&lt;&gt;"",InpPerformance!AP$47,"")</f>
        <v>6287</v>
      </c>
      <c r="AQ114" s="561">
        <f>IF(InpPerformance!AQ$47&lt;&gt;"",InpPerformance!AQ$47,"")</f>
        <v>28</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-109.5</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2.13</v>
      </c>
      <c r="K117" s="583">
        <f t="shared" ref="K117:BS117" si="41">K$17</f>
        <v>4.7596344359324451E-3</v>
      </c>
      <c r="L117" s="583">
        <f t="shared" si="41"/>
        <v>3.9155074703760895</v>
      </c>
      <c r="M117" s="583" t="str">
        <f t="shared" si="41"/>
        <v/>
      </c>
      <c r="N117" s="583">
        <f t="shared" si="41"/>
        <v>4.666666666666675</v>
      </c>
      <c r="O117" s="583" t="str">
        <f t="shared" si="41"/>
        <v/>
      </c>
      <c r="P117" s="583">
        <f t="shared" si="41"/>
        <v>133.4</v>
      </c>
      <c r="Q117" s="584">
        <f t="shared" si="41"/>
        <v>1.88</v>
      </c>
      <c r="R117" s="583">
        <f t="shared" si="41"/>
        <v>22.3</v>
      </c>
      <c r="S117" s="583">
        <f t="shared" si="41"/>
        <v>62</v>
      </c>
      <c r="T117" s="583">
        <f t="shared" si="41"/>
        <v>85</v>
      </c>
      <c r="U117" s="583">
        <f t="shared" si="41"/>
        <v>0.06</v>
      </c>
      <c r="V117" s="583">
        <f t="shared" si="41"/>
        <v>0.91</v>
      </c>
      <c r="W117" s="583">
        <f t="shared" si="41"/>
        <v>1096405</v>
      </c>
      <c r="X117" s="583">
        <f t="shared" si="41"/>
        <v>11.5</v>
      </c>
      <c r="Y117" s="583">
        <f t="shared" si="41"/>
        <v>100</v>
      </c>
      <c r="Z117" s="583" t="str">
        <f t="shared" si="41"/>
        <v>n/a</v>
      </c>
      <c r="AA117" s="583" t="str">
        <f t="shared" si="41"/>
        <v>n/a</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1.41</v>
      </c>
      <c r="AM117" s="583">
        <f t="shared" si="41"/>
        <v>57.17</v>
      </c>
      <c r="AN117" s="583">
        <f t="shared" si="41"/>
        <v>4.53</v>
      </c>
      <c r="AO117" s="584">
        <f t="shared" si="41"/>
        <v>99.28</v>
      </c>
      <c r="AP117" s="583">
        <f t="shared" si="41"/>
        <v>5232</v>
      </c>
      <c r="AQ117" s="583">
        <f t="shared" si="41"/>
        <v>31</v>
      </c>
      <c r="AR117" s="583">
        <f t="shared" si="41"/>
        <v>1698</v>
      </c>
      <c r="AS117" s="583">
        <f t="shared" si="41"/>
        <v>98</v>
      </c>
      <c r="AT117" s="583">
        <f t="shared" si="41"/>
        <v>100</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c r="A119" s="431"/>
      <c r="B119" s="431"/>
      <c r="C119" s="431"/>
      <c r="D119" s="431"/>
      <c r="E119" s="488" t="s">
        <v>4549</v>
      </c>
      <c r="F119" s="488"/>
      <c r="G119" s="488" t="s">
        <v>461</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c r="A120" s="431"/>
      <c r="B120" s="431"/>
      <c r="C120" s="431"/>
      <c r="D120" s="431"/>
      <c r="E120" s="488" t="s">
        <v>4550</v>
      </c>
      <c r="F120" s="488"/>
      <c r="G120" s="488" t="str">
        <f>G7</f>
        <v>Performance commitment unit</v>
      </c>
      <c r="H120" s="488"/>
      <c r="I120" s="431"/>
      <c r="J120" s="470">
        <f>IF(J116&gt;0,MAX(J115,J117),MIN(J115,J117))</f>
        <v>2.13</v>
      </c>
      <c r="K120" s="470">
        <f t="shared" ref="K120:BS120" si="298">IF(K116&gt;0,MAX(K115,K117),MIN(K115,K117))</f>
        <v>4.7596344359324451E-3</v>
      </c>
      <c r="L120" s="470">
        <f t="shared" si="298"/>
        <v>3.9155074703760895</v>
      </c>
      <c r="M120" s="470">
        <f>IF(M116&gt;0,MAX(M115,M117),MIN(M115,M117))</f>
        <v>0</v>
      </c>
      <c r="N120" s="470">
        <f t="shared" si="298"/>
        <v>4.666666666666675</v>
      </c>
      <c r="O120" s="470">
        <f>IF(O116&gt;0,MAX(O115,O117),MIN(O115,O117))</f>
        <v>0</v>
      </c>
      <c r="P120" s="470">
        <f t="shared" si="298"/>
        <v>133.4</v>
      </c>
      <c r="Q120" s="471">
        <f t="shared" si="298"/>
        <v>1.88</v>
      </c>
      <c r="R120" s="470">
        <f t="shared" si="298"/>
        <v>22.3</v>
      </c>
      <c r="S120" s="470">
        <f t="shared" si="298"/>
        <v>62</v>
      </c>
      <c r="T120" s="470">
        <f t="shared" si="298"/>
        <v>85</v>
      </c>
      <c r="U120" s="470">
        <f t="shared" si="298"/>
        <v>0.06</v>
      </c>
      <c r="V120" s="470">
        <f t="shared" si="298"/>
        <v>0.91</v>
      </c>
      <c r="W120" s="470">
        <f t="shared" si="298"/>
        <v>1096405</v>
      </c>
      <c r="X120" s="470">
        <f t="shared" si="298"/>
        <v>11.5</v>
      </c>
      <c r="Y120" s="470">
        <f t="shared" si="298"/>
        <v>100</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1.41</v>
      </c>
      <c r="AM120" s="470">
        <f t="shared" si="298"/>
        <v>57.17</v>
      </c>
      <c r="AN120" s="470">
        <f t="shared" si="298"/>
        <v>4.53</v>
      </c>
      <c r="AO120" s="471">
        <f t="shared" si="298"/>
        <v>99.28</v>
      </c>
      <c r="AP120" s="470">
        <f t="shared" si="298"/>
        <v>5232</v>
      </c>
      <c r="AQ120" s="470">
        <f t="shared" si="298"/>
        <v>31</v>
      </c>
      <c r="AR120" s="470">
        <f t="shared" si="298"/>
        <v>1698</v>
      </c>
      <c r="AS120" s="470">
        <f t="shared" si="298"/>
        <v>98</v>
      </c>
      <c r="AT120" s="470">
        <f t="shared" si="298"/>
        <v>100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c r="A121" s="431"/>
      <c r="B121" s="431"/>
      <c r="C121" s="431"/>
      <c r="D121" s="431"/>
      <c r="E121" s="488" t="s">
        <v>4551</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c r="A123" s="431"/>
      <c r="B123" s="431"/>
      <c r="C123" s="431"/>
      <c r="D123" s="441" t="s">
        <v>4524</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c r="A125" s="431"/>
      <c r="B125" s="431"/>
      <c r="C125" s="431"/>
      <c r="D125" s="431"/>
      <c r="E125" s="431" t="s">
        <v>4525</v>
      </c>
      <c r="F125" s="431"/>
      <c r="G125" s="431" t="s">
        <v>2028</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194.1</v>
      </c>
      <c r="M127" s="561" t="str">
        <f>IF(InpPerformance!M$8&lt;&gt;"",ROUND(InpPerformance!M$8,1),"")</f>
        <v/>
      </c>
      <c r="N127" s="561">
        <f>IF(InpPerformance!N$8&lt;&gt;"",ROUND(InpPerformance!N$8,1),"")</f>
        <v>135</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c r="A128" s="431"/>
      <c r="B128" s="431"/>
      <c r="C128" s="431"/>
      <c r="D128" s="431"/>
      <c r="E128" s="431" t="s">
        <v>4526</v>
      </c>
      <c r="F128" s="431"/>
      <c r="G128" s="431" t="s">
        <v>2028</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c r="A131" s="431"/>
      <c r="B131" s="431"/>
      <c r="C131" s="431"/>
      <c r="D131" s="431"/>
      <c r="E131" s="488" t="s">
        <v>4552</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c r="A133" s="431"/>
      <c r="B133" s="451" t="s">
        <v>2056</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t="str">
        <f t="shared" si="303"/>
        <v/>
      </c>
      <c r="Q139" s="469" t="str">
        <f t="shared" si="303"/>
        <v/>
      </c>
      <c r="R139" s="468" t="str">
        <f t="shared" si="303"/>
        <v/>
      </c>
      <c r="S139" s="468">
        <f t="shared" si="303"/>
        <v>44</v>
      </c>
      <c r="T139" s="468" t="str">
        <f t="shared" si="303"/>
        <v/>
      </c>
      <c r="U139" s="468">
        <f t="shared" si="303"/>
        <v>0.19</v>
      </c>
      <c r="V139" s="468" t="str">
        <f t="shared" si="303"/>
        <v/>
      </c>
      <c r="W139" s="468" t="str">
        <f t="shared" si="303"/>
        <v/>
      </c>
      <c r="X139" s="468" t="str">
        <f t="shared" si="303"/>
        <v/>
      </c>
      <c r="Y139" s="468" t="str">
        <f t="shared" si="303"/>
        <v/>
      </c>
      <c r="Z139" s="468" t="str">
        <f t="shared" si="303"/>
        <v/>
      </c>
      <c r="AA139" s="468" t="e">
        <f t="shared" si="303"/>
        <v>#VALUE!</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c r="A140" s="431"/>
      <c r="B140" s="431"/>
      <c r="C140" s="431"/>
      <c r="D140" s="431"/>
      <c r="E140" s="431" t="s">
        <v>4553</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c r="A142" s="431"/>
      <c r="B142" s="431"/>
      <c r="C142" s="431"/>
      <c r="D142" s="431"/>
      <c r="E142" s="431" t="str">
        <f>E52</f>
        <v>Underperformance beyond any deadband</v>
      </c>
      <c r="F142" s="431"/>
      <c r="G142" s="431" t="str">
        <f>G52</f>
        <v>Performance commitment unit</v>
      </c>
      <c r="H142" s="431"/>
      <c r="I142" s="431"/>
      <c r="J142" s="468">
        <f t="shared" ref="J142:BS142" si="305">J52</f>
        <v>0.62999999999999989</v>
      </c>
      <c r="K142" s="468">
        <f t="shared" si="305"/>
        <v>1.2874122137102231E-3</v>
      </c>
      <c r="L142" s="468">
        <f t="shared" si="305"/>
        <v>12.484492529623909</v>
      </c>
      <c r="M142" s="468" t="str">
        <f>M52</f>
        <v/>
      </c>
      <c r="N142" s="468">
        <f t="shared" si="305"/>
        <v>0.93333333333332469</v>
      </c>
      <c r="O142" s="468" t="str">
        <f>O52</f>
        <v/>
      </c>
      <c r="P142" s="468" t="str">
        <f t="shared" si="305"/>
        <v/>
      </c>
      <c r="Q142" s="469" t="str">
        <f t="shared" si="305"/>
        <v/>
      </c>
      <c r="R142" s="468" t="str">
        <f t="shared" si="305"/>
        <v/>
      </c>
      <c r="S142" s="468" t="str">
        <f t="shared" si="305"/>
        <v/>
      </c>
      <c r="T142" s="468" t="str">
        <f t="shared" si="305"/>
        <v/>
      </c>
      <c r="U142" s="468" t="str">
        <f t="shared" si="305"/>
        <v/>
      </c>
      <c r="V142" s="468">
        <f t="shared" si="305"/>
        <v>0.14000000000000001</v>
      </c>
      <c r="W142" s="468" t="str">
        <f t="shared" si="305"/>
        <v/>
      </c>
      <c r="X142" s="468">
        <f t="shared" si="305"/>
        <v>457.9</v>
      </c>
      <c r="Y142" s="468" t="str">
        <f t="shared" si="305"/>
        <v/>
      </c>
      <c r="Z142" s="468" t="e">
        <f t="shared" si="305"/>
        <v>#VALUE!</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f t="shared" si="305"/>
        <v>6.999999999999984E-2</v>
      </c>
      <c r="AM142" s="468">
        <f t="shared" si="305"/>
        <v>22.1</v>
      </c>
      <c r="AN142" s="468" t="str">
        <f t="shared" si="305"/>
        <v/>
      </c>
      <c r="AO142" s="469" t="str">
        <f t="shared" si="305"/>
        <v/>
      </c>
      <c r="AP142" s="468">
        <f t="shared" si="305"/>
        <v>1241</v>
      </c>
      <c r="AQ142" s="468">
        <f t="shared" si="305"/>
        <v>5</v>
      </c>
      <c r="AR142" s="468">
        <f t="shared" si="305"/>
        <v>158</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c r="A143" s="431"/>
      <c r="B143" s="431"/>
      <c r="C143" s="431"/>
      <c r="D143" s="431"/>
      <c r="E143" s="431" t="s">
        <v>4554</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c r="A145" s="431"/>
      <c r="B145" s="451" t="s">
        <v>4555</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c r="A147" s="431"/>
      <c r="B147" s="431"/>
      <c r="C147" s="431"/>
      <c r="D147" s="441" t="s">
        <v>4556</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c r="A149" s="431"/>
      <c r="B149" s="431"/>
      <c r="C149" s="441"/>
      <c r="D149" s="431"/>
      <c r="E149" s="431" t="s">
        <v>4557</v>
      </c>
      <c r="F149" s="431"/>
      <c r="G149" s="591" t="s">
        <v>1890</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c r="A151" s="431"/>
      <c r="B151" s="431"/>
      <c r="C151" s="441"/>
      <c r="D151" s="441" t="s">
        <v>4558</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0</v>
      </c>
      <c r="Q152" s="550">
        <f t="shared" si="308"/>
        <v>0</v>
      </c>
      <c r="R152" s="549">
        <f t="shared" si="308"/>
        <v>0</v>
      </c>
      <c r="S152" s="549">
        <f t="shared" si="308"/>
        <v>0.27895999999999999</v>
      </c>
      <c r="T152" s="549">
        <f t="shared" si="308"/>
        <v>0</v>
      </c>
      <c r="U152" s="549">
        <f t="shared" si="308"/>
        <v>0.89604000000000006</v>
      </c>
      <c r="V152" s="549">
        <f t="shared" si="308"/>
        <v>0</v>
      </c>
      <c r="W152" s="549">
        <f t="shared" si="308"/>
        <v>0</v>
      </c>
      <c r="X152" s="549">
        <f t="shared" si="308"/>
        <v>0</v>
      </c>
      <c r="Y152" s="549">
        <f t="shared" si="308"/>
        <v>0</v>
      </c>
      <c r="Z152" s="549">
        <f t="shared" si="308"/>
        <v>0</v>
      </c>
      <c r="AA152" s="549" t="e">
        <f t="shared" si="308"/>
        <v>#VALUE!</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c r="A156" s="431"/>
      <c r="B156" s="431"/>
      <c r="C156" s="441"/>
      <c r="D156" s="431"/>
      <c r="E156" s="593" t="str">
        <f>E63</f>
        <v>Standard underperformance payments</v>
      </c>
      <c r="F156" s="431"/>
      <c r="G156" s="468" t="str">
        <f>G63</f>
        <v>£m (2017-18 prices)</v>
      </c>
      <c r="H156" s="431"/>
      <c r="I156" s="431"/>
      <c r="J156" s="549">
        <f t="shared" ref="J156:BS156" si="311">J63</f>
        <v>-0.49643999999999994</v>
      </c>
      <c r="K156" s="549">
        <f t="shared" si="311"/>
        <v>-2.1245391315531585</v>
      </c>
      <c r="L156" s="549">
        <f t="shared" si="311"/>
        <v>-8.8330000000000002</v>
      </c>
      <c r="M156" s="549">
        <f>M63</f>
        <v>0</v>
      </c>
      <c r="N156" s="549">
        <f t="shared" si="311"/>
        <v>-0.48620000000000002</v>
      </c>
      <c r="O156" s="549">
        <f>O63</f>
        <v>0</v>
      </c>
      <c r="P156" s="549">
        <f t="shared" si="311"/>
        <v>0</v>
      </c>
      <c r="Q156" s="550">
        <f t="shared" si="311"/>
        <v>0</v>
      </c>
      <c r="R156" s="549">
        <f t="shared" si="311"/>
        <v>0</v>
      </c>
      <c r="S156" s="549">
        <f t="shared" si="311"/>
        <v>0</v>
      </c>
      <c r="T156" s="549">
        <f t="shared" si="311"/>
        <v>0</v>
      </c>
      <c r="U156" s="549">
        <f t="shared" si="311"/>
        <v>0</v>
      </c>
      <c r="V156" s="549">
        <f t="shared" si="311"/>
        <v>-0.37464000000000008</v>
      </c>
      <c r="W156" s="549">
        <f t="shared" si="311"/>
        <v>0</v>
      </c>
      <c r="X156" s="549">
        <f t="shared" si="311"/>
        <v>-210.17609999999999</v>
      </c>
      <c r="Y156" s="549">
        <f t="shared" si="311"/>
        <v>0</v>
      </c>
      <c r="Z156" s="549" t="e">
        <f t="shared" si="311"/>
        <v>#VALUE!</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-0.76607999999999832</v>
      </c>
      <c r="AM156" s="549">
        <f t="shared" si="311"/>
        <v>-9.8345000000000002</v>
      </c>
      <c r="AN156" s="549">
        <f t="shared" si="311"/>
        <v>0</v>
      </c>
      <c r="AO156" s="550">
        <f t="shared" si="311"/>
        <v>0</v>
      </c>
      <c r="AP156" s="549">
        <f t="shared" si="311"/>
        <v>-5.1836570000000002</v>
      </c>
      <c r="AQ156" s="549">
        <f t="shared" si="311"/>
        <v>-1.1240000000000001</v>
      </c>
      <c r="AR156" s="549">
        <f t="shared" si="311"/>
        <v>-2.2120000000000002</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c r="A160" s="431"/>
      <c r="B160" s="431"/>
      <c r="C160" s="431"/>
      <c r="D160" s="441" t="s">
        <v>2037</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f>IF(InpPerformance!L27&lt;&gt;"",InpPerformance!L27,"")</f>
        <v>-16.940000000000001</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f>IF(InpPerformance!T27&lt;&gt;"",InpPerformance!T27,"")</f>
        <v>-8.7999999999999995E-2</v>
      </c>
      <c r="U166" s="569" t="str">
        <f>IF(InpPerformance!U27&lt;&gt;"",InpPerformance!U27,"")</f>
        <v/>
      </c>
      <c r="V166" s="569" t="str">
        <f>IF(InpPerformance!V27&lt;&gt;"",InpPerformance!V27,"")</f>
        <v/>
      </c>
      <c r="W166" s="569" t="str">
        <f>IF(InpPerformance!W27&lt;&gt;"",InpPerformance!W27,"")</f>
        <v/>
      </c>
      <c r="X166" s="569">
        <f>IF(InpPerformance!X27&lt;&gt;"",InpPerformance!X27,"")</f>
        <v>0</v>
      </c>
      <c r="Y166" s="569" t="str">
        <f>IF(InpPerformance!Y27&lt;&gt;"",InpPerformance!Y27,"")</f>
        <v/>
      </c>
      <c r="Z166" s="569">
        <f>IF(InpPerformance!Z27&lt;&gt;"",InpPerformance!Z27,"")</f>
        <v>0</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f>IF(InpPerformance!AR27&lt;&gt;"",InpPerformance!AR27,"")</f>
        <v>0</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c r="A170" s="431"/>
      <c r="B170" s="431"/>
      <c r="C170" s="431"/>
      <c r="D170" s="441" t="s">
        <v>4559</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0</v>
      </c>
      <c r="Q171" s="550">
        <f t="shared" si="314"/>
        <v>0</v>
      </c>
      <c r="R171" s="549">
        <f t="shared" si="314"/>
        <v>0</v>
      </c>
      <c r="S171" s="549">
        <f t="shared" si="314"/>
        <v>0.27895999999999999</v>
      </c>
      <c r="T171" s="549">
        <f t="shared" si="314"/>
        <v>0</v>
      </c>
      <c r="U171" s="549">
        <f t="shared" si="314"/>
        <v>0.89604000000000006</v>
      </c>
      <c r="V171" s="549">
        <f t="shared" si="314"/>
        <v>0</v>
      </c>
      <c r="W171" s="549">
        <f t="shared" si="314"/>
        <v>0</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c r="A174" s="431"/>
      <c r="B174" s="431"/>
      <c r="C174" s="431"/>
      <c r="D174" s="431"/>
      <c r="E174" s="431" t="s">
        <v>4560</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0</v>
      </c>
      <c r="Q174" s="550">
        <f t="shared" si="316"/>
        <v>0</v>
      </c>
      <c r="R174" s="549">
        <f t="shared" si="316"/>
        <v>0</v>
      </c>
      <c r="S174" s="549">
        <f t="shared" si="316"/>
        <v>0.27895999999999999</v>
      </c>
      <c r="T174" s="549">
        <f t="shared" si="316"/>
        <v>0</v>
      </c>
      <c r="U174" s="549">
        <f t="shared" si="316"/>
        <v>0.89604000000000006</v>
      </c>
      <c r="V174" s="549">
        <f t="shared" si="316"/>
        <v>0</v>
      </c>
      <c r="W174" s="549">
        <f t="shared" si="316"/>
        <v>0</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-0.49643999999999994</v>
      </c>
      <c r="K176" s="549">
        <f t="shared" ref="K176:BS178" si="317">IF(K$161=TRUE,IF(K166&lt;&gt;"",K166,K156),0)</f>
        <v>-2.1245391315531585</v>
      </c>
      <c r="L176" s="549">
        <f t="shared" si="317"/>
        <v>-16.940000000000001</v>
      </c>
      <c r="M176" s="549">
        <f>IF(M$161=TRUE,IF(M166&lt;&gt;"",M166,M156),0)</f>
        <v>0</v>
      </c>
      <c r="N176" s="549">
        <f t="shared" si="317"/>
        <v>-0.48620000000000002</v>
      </c>
      <c r="O176" s="549">
        <f>IF(O$161=TRUE,IF(O166&lt;&gt;"",O166,O156),0)</f>
        <v>0</v>
      </c>
      <c r="P176" s="549">
        <f t="shared" si="317"/>
        <v>0</v>
      </c>
      <c r="Q176" s="550">
        <f t="shared" si="317"/>
        <v>0</v>
      </c>
      <c r="R176" s="549">
        <f t="shared" si="317"/>
        <v>0</v>
      </c>
      <c r="S176" s="549">
        <f t="shared" si="317"/>
        <v>0</v>
      </c>
      <c r="T176" s="549">
        <f>IF(T$161=TRUE,IF(T166&lt;&gt;"",T166,T156),0)</f>
        <v>-8.7999999999999995E-2</v>
      </c>
      <c r="U176" s="549">
        <f t="shared" si="317"/>
        <v>0</v>
      </c>
      <c r="V176" s="549">
        <f t="shared" si="317"/>
        <v>-0.37464000000000008</v>
      </c>
      <c r="W176" s="549">
        <f t="shared" si="317"/>
        <v>0</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-0.76607999999999832</v>
      </c>
      <c r="AM176" s="549">
        <f t="shared" si="317"/>
        <v>-9.8345000000000002</v>
      </c>
      <c r="AN176" s="549">
        <f t="shared" si="317"/>
        <v>0</v>
      </c>
      <c r="AO176" s="550">
        <f t="shared" si="317"/>
        <v>0</v>
      </c>
      <c r="AP176" s="549">
        <f t="shared" si="317"/>
        <v>-5.1836570000000002</v>
      </c>
      <c r="AQ176" s="549">
        <f t="shared" si="317"/>
        <v>-1.1240000000000001</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c r="A179" s="431"/>
      <c r="B179" s="431"/>
      <c r="C179" s="431"/>
      <c r="D179" s="431"/>
      <c r="E179" s="431" t="s">
        <v>4561</v>
      </c>
      <c r="F179" s="431"/>
      <c r="G179" s="591" t="str">
        <f>InpCompany!$F$11</f>
        <v>£m (2017-18 prices)</v>
      </c>
      <c r="H179" s="431"/>
      <c r="I179" s="431"/>
      <c r="J179" s="549">
        <f>SUM(J176:J178)</f>
        <v>-0.49643999999999994</v>
      </c>
      <c r="K179" s="549">
        <f t="shared" ref="K179:BS179" si="319">SUM(K176:K178)</f>
        <v>-2.1245391315531585</v>
      </c>
      <c r="L179" s="549">
        <f t="shared" si="319"/>
        <v>-16.940000000000001</v>
      </c>
      <c r="M179" s="549">
        <f>SUM(M176:M178)</f>
        <v>0</v>
      </c>
      <c r="N179" s="549">
        <f t="shared" si="319"/>
        <v>-0.48620000000000002</v>
      </c>
      <c r="O179" s="549">
        <f>SUM(O176:O178)</f>
        <v>0</v>
      </c>
      <c r="P179" s="549">
        <f t="shared" si="319"/>
        <v>0</v>
      </c>
      <c r="Q179" s="550">
        <f t="shared" si="319"/>
        <v>0</v>
      </c>
      <c r="R179" s="549">
        <f t="shared" si="319"/>
        <v>0</v>
      </c>
      <c r="S179" s="549">
        <f t="shared" si="319"/>
        <v>0</v>
      </c>
      <c r="T179" s="549">
        <f>SUM(T176:T178)</f>
        <v>-8.7999999999999995E-2</v>
      </c>
      <c r="U179" s="549">
        <f t="shared" si="319"/>
        <v>0</v>
      </c>
      <c r="V179" s="549">
        <f t="shared" si="319"/>
        <v>-0.37464000000000008</v>
      </c>
      <c r="W179" s="549">
        <f t="shared" si="319"/>
        <v>0</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-0.76607999999999832</v>
      </c>
      <c r="AM179" s="549">
        <f t="shared" si="319"/>
        <v>-9.8345000000000002</v>
      </c>
      <c r="AN179" s="549">
        <f t="shared" si="319"/>
        <v>0</v>
      </c>
      <c r="AO179" s="550">
        <f t="shared" si="319"/>
        <v>0</v>
      </c>
      <c r="AP179" s="549">
        <f t="shared" si="319"/>
        <v>-5.1836570000000002</v>
      </c>
      <c r="AQ179" s="549">
        <f t="shared" si="319"/>
        <v>-1.1240000000000001</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c r="A180" s="431"/>
      <c r="B180" s="431"/>
      <c r="C180" s="431"/>
      <c r="D180" s="431"/>
      <c r="E180" s="431"/>
      <c r="F180" s="431"/>
      <c r="G180" s="591"/>
      <c r="H180" s="431"/>
      <c r="I180" s="468"/>
      <c r="J180" s="1931"/>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c r="A181" s="431"/>
      <c r="B181" s="451" t="s">
        <v>4562</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End of period</v>
      </c>
      <c r="X182" s="564" t="str">
        <f>InpPerformance!X34</f>
        <v>End of period</v>
      </c>
      <c r="Y182" s="564" t="str">
        <f>InpPerformance!Y34</f>
        <v>End of period</v>
      </c>
      <c r="Z182" s="564" t="str">
        <f>InpPerformance!Z34</f>
        <v>End of period</v>
      </c>
      <c r="AA182" s="564" t="str">
        <f>InpPerformance!AA34</f>
        <v>End of 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End of period</v>
      </c>
      <c r="AR182" s="564" t="str">
        <f>InpPerformance!AR34</f>
        <v>In-period</v>
      </c>
      <c r="AS182" s="564" t="str">
        <f>InpPerformance!AS34</f>
        <v>End of period</v>
      </c>
      <c r="AT182" s="564" t="str">
        <f>InpPerformance!AT34</f>
        <v>End of period</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c r="A183" s="431"/>
      <c r="B183" s="431"/>
      <c r="C183" s="431"/>
      <c r="D183" s="431"/>
      <c r="E183" s="590" t="s">
        <v>4563</v>
      </c>
      <c r="F183" s="431"/>
      <c r="G183" s="590" t="s">
        <v>461</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20"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20" t="b">
        <f>IF(OR(AND('Validation summary'!$B$2="2023-24",W182="In-period"),AND('Validation summary'!$B$2="2024-25",W182="In-period")),TRUE,FALSE)</f>
        <v>0</v>
      </c>
      <c r="X183" s="2020" t="b">
        <f>IF(OR(AND('Validation summary'!$B$2="2023-24",X182="In-period"),AND('Validation summary'!$B$2="2024-25",X182="In-period")),TRUE,FALSE)</f>
        <v>0</v>
      </c>
      <c r="Y183" s="2020" t="b">
        <f>IF(OR(AND('Validation summary'!$B$2="2023-24",Y182="In-period"),AND('Validation summary'!$B$2="2024-25",Y182="In-period")),TRUE,FALSE)</f>
        <v>0</v>
      </c>
      <c r="Z183" s="2020" t="b">
        <f>IF(OR(AND('Validation summary'!$B$2="2023-24",Z182="In-period"),AND('Validation summary'!$B$2="2024-25",Z182="In-period")),TRUE,FALSE)</f>
        <v>0</v>
      </c>
      <c r="AA183" s="2020"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20" t="b">
        <f>IF(OR(AND('Validation summary'!$B$2="2023-24",AQ182="In-period"),AND('Validation summary'!$B$2="2024-25",AQ182="In-period")),TRUE,FALSE)</f>
        <v>0</v>
      </c>
      <c r="AR183" s="472" t="b">
        <f>IF(OR(AND('Validation summary'!$B$2="2023-24",AR182="In-period"),AND('Validation summary'!$B$2="2024-25",AR182="In-period")),TRUE,FALSE)</f>
        <v>1</v>
      </c>
      <c r="AS183" s="2020"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0</v>
      </c>
      <c r="Q185" s="550">
        <f t="shared" si="320"/>
        <v>0</v>
      </c>
      <c r="R185" s="549">
        <f t="shared" si="320"/>
        <v>0</v>
      </c>
      <c r="S185" s="549">
        <f t="shared" si="320"/>
        <v>0.27895999999999999</v>
      </c>
      <c r="T185" s="549">
        <f t="shared" si="320"/>
        <v>0</v>
      </c>
      <c r="U185" s="549">
        <f t="shared" si="320"/>
        <v>0.89604000000000006</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-0.49643999999999994</v>
      </c>
      <c r="K186" s="549">
        <f t="shared" ref="K186:BS186" si="321">IF(K$183=TRUE,K179,0)</f>
        <v>-2.1245391315531585</v>
      </c>
      <c r="L186" s="549">
        <f t="shared" si="321"/>
        <v>-16.940000000000001</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-8.7999999999999995E-2</v>
      </c>
      <c r="U186" s="549">
        <f t="shared" si="321"/>
        <v>0</v>
      </c>
      <c r="V186" s="549">
        <f t="shared" si="321"/>
        <v>-0.37464000000000008</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-0.76607999999999832</v>
      </c>
      <c r="AM186" s="549">
        <f t="shared" si="321"/>
        <v>-9.8345000000000002</v>
      </c>
      <c r="AN186" s="549">
        <f t="shared" si="321"/>
        <v>0</v>
      </c>
      <c r="AO186" s="550">
        <f t="shared" si="321"/>
        <v>0</v>
      </c>
      <c r="AP186" s="549">
        <f t="shared" si="321"/>
        <v>-5.1836570000000002</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c r="A188" s="431"/>
      <c r="B188" s="431"/>
      <c r="C188" s="431"/>
      <c r="D188" s="441" t="s">
        <v>2060</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05"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05"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RCV</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v>
      </c>
      <c r="T192" s="596">
        <f>IF(InpPerformance!T68="",0,InpPerformance!T68)</f>
        <v>1</v>
      </c>
      <c r="U192" s="596">
        <f>IF(InpPerformance!U68="",0,InpPerformance!U68)</f>
        <v>0</v>
      </c>
      <c r="V192" s="596">
        <f>IF(InpPerformance!V68="",0,InpPerformance!V68)</f>
        <v>0</v>
      </c>
      <c r="W192" s="596">
        <f>IF(InpPerformance!W68="",0,InpPerformance!W68)</f>
        <v>0</v>
      </c>
      <c r="X192" s="596">
        <f>IF(InpPerformance!X68="",0,InpPerformance!X68)</f>
        <v>0.06</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0.15</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089" customFormat="1">
      <c r="A193" s="2084"/>
      <c r="B193" s="2084"/>
      <c r="C193" s="2084"/>
      <c r="D193" s="2084"/>
      <c r="E193" s="2085" t="str">
        <f>InpPerformance!E69</f>
        <v>Price control allocation - Water network plus</v>
      </c>
      <c r="F193" s="2085"/>
      <c r="G193" s="2085" t="str">
        <f>InpPerformance!G69</f>
        <v>Percentage</v>
      </c>
      <c r="H193" s="2085"/>
      <c r="I193" s="2085"/>
      <c r="J193" s="2086">
        <f>IF(InpPerformance!J69="",0,InpPerformance!J69)</f>
        <v>1</v>
      </c>
      <c r="K193" s="2086">
        <f>IF(InpPerformance!K69="",0,InpPerformance!K69)</f>
        <v>1</v>
      </c>
      <c r="L193" s="2086">
        <f>IF(InpPerformance!L69="",0,InpPerformance!L69)</f>
        <v>1</v>
      </c>
      <c r="M193" s="2086">
        <f>IF(InpPerformance!M69="",0,InpPerformance!M69)</f>
        <v>0</v>
      </c>
      <c r="N193" s="2086">
        <f>IF(InpPerformance!N69="",0,InpPerformance!N69)</f>
        <v>1</v>
      </c>
      <c r="O193" s="2086">
        <f>IF(InpPerformance!O69="",0,InpPerformance!O69)</f>
        <v>0</v>
      </c>
      <c r="P193" s="2086">
        <f>IF(InpPerformance!P69="",0,InpPerformance!P69)</f>
        <v>1</v>
      </c>
      <c r="Q193" s="2087">
        <f>IF(InpPerformance!Q69="",0,InpPerformance!Q69)</f>
        <v>1</v>
      </c>
      <c r="R193" s="2086">
        <f>IF(InpPerformance!R69="",0,InpPerformance!R69)</f>
        <v>1</v>
      </c>
      <c r="S193" s="2086">
        <f>IF(InpPerformance!S69="",0,InpPerformance!S69)</f>
        <v>1</v>
      </c>
      <c r="T193" s="2086">
        <f>IF(InpPerformance!T69="",0,InpPerformance!T69)</f>
        <v>0</v>
      </c>
      <c r="U193" s="2086">
        <f>IF(InpPerformance!U69="",0,InpPerformance!U69)</f>
        <v>0</v>
      </c>
      <c r="V193" s="2086">
        <f>IF(InpPerformance!V69="",0,InpPerformance!V69)</f>
        <v>1</v>
      </c>
      <c r="W193" s="2086">
        <f>IF(InpPerformance!W69="",0,InpPerformance!W69)</f>
        <v>1</v>
      </c>
      <c r="X193" s="2086">
        <f>IF(InpPerformance!X69="",0,InpPerformance!X69)</f>
        <v>0.94</v>
      </c>
      <c r="Y193" s="2086">
        <f>IF(InpPerformance!Y69="",0,InpPerformance!Y69)</f>
        <v>1</v>
      </c>
      <c r="Z193" s="2086">
        <f>IF(InpPerformance!Z69="",0,InpPerformance!Z69)</f>
        <v>1</v>
      </c>
      <c r="AA193" s="2086">
        <f>IF(InpPerformance!AA69="",0,InpPerformance!AA69)</f>
        <v>1</v>
      </c>
      <c r="AB193" s="2086">
        <f>IF(InpPerformance!AB69="",0,InpPerformance!AB69)</f>
        <v>0</v>
      </c>
      <c r="AC193" s="2086">
        <f>IF(InpPerformance!AC69="",0,InpPerformance!AC69)</f>
        <v>0</v>
      </c>
      <c r="AD193" s="2086">
        <f>IF(InpPerformance!AD69="",0,InpPerformance!AD69)</f>
        <v>0</v>
      </c>
      <c r="AE193" s="2086">
        <f>IF(InpPerformance!AE69="",0,InpPerformance!AE69)</f>
        <v>0</v>
      </c>
      <c r="AF193" s="2086">
        <f>IF(InpPerformance!AF69="",0,InpPerformance!AF69)</f>
        <v>0</v>
      </c>
      <c r="AG193" s="2086">
        <f>IF(InpPerformance!AG69="",0,InpPerformance!AG69)</f>
        <v>0</v>
      </c>
      <c r="AH193" s="2086">
        <f>IF(InpPerformance!AH69="",0,InpPerformance!AH69)</f>
        <v>0</v>
      </c>
      <c r="AI193" s="2086">
        <f>IF(InpPerformance!AI69="",0,InpPerformance!AI69)</f>
        <v>0</v>
      </c>
      <c r="AJ193" s="2086">
        <f>IF(InpPerformance!AJ69="",0,InpPerformance!AJ69)</f>
        <v>0</v>
      </c>
      <c r="AK193" s="2087">
        <f>IF(InpPerformance!AK69="",0,InpPerformance!AK69)</f>
        <v>0</v>
      </c>
      <c r="AL193" s="2086">
        <f>IF(InpPerformance!AL69="",0,InpPerformance!AL69)</f>
        <v>0</v>
      </c>
      <c r="AM193" s="2086">
        <f>IF(InpPerformance!AM69="",0,InpPerformance!AM69)</f>
        <v>0</v>
      </c>
      <c r="AN193" s="2086">
        <f>IF(InpPerformance!AN69="",0,InpPerformance!AN69)</f>
        <v>0</v>
      </c>
      <c r="AO193" s="2087">
        <f>IF(InpPerformance!AO69="",0,InpPerformance!AO69)</f>
        <v>0.39</v>
      </c>
      <c r="AP193" s="2086">
        <f>IF(InpPerformance!AP69="",0,InpPerformance!AP69)</f>
        <v>0</v>
      </c>
      <c r="AQ193" s="2086">
        <f>IF(InpPerformance!AQ69="",0,InpPerformance!AQ69)</f>
        <v>0</v>
      </c>
      <c r="AR193" s="2086">
        <f>IF(InpPerformance!AR69="",0,InpPerformance!AR69)</f>
        <v>0</v>
      </c>
      <c r="AS193" s="2086">
        <f>IF(InpPerformance!AS69="",0,InpPerformance!AS69)</f>
        <v>0</v>
      </c>
      <c r="AT193" s="2086">
        <f>IF(InpPerformance!AT69="",0,InpPerformance!AT69)</f>
        <v>0</v>
      </c>
      <c r="AU193" s="2086">
        <f>IF(InpPerformance!AU69="",0,InpPerformance!AU69)</f>
        <v>0</v>
      </c>
      <c r="AV193" s="2086">
        <f>IF(InpPerformance!AV69="",0,InpPerformance!AV69)</f>
        <v>0</v>
      </c>
      <c r="AW193" s="2086">
        <f>IF(InpPerformance!AW69="",0,InpPerformance!AW69)</f>
        <v>0</v>
      </c>
      <c r="AX193" s="2086">
        <f>IF(InpPerformance!AX69="",0,InpPerformance!AX69)</f>
        <v>0</v>
      </c>
      <c r="AY193" s="2086">
        <f>IF(InpPerformance!AY69="",0,InpPerformance!AY69)</f>
        <v>0</v>
      </c>
      <c r="AZ193" s="2086">
        <f>IF(InpPerformance!AZ69="",0,InpPerformance!AZ69)</f>
        <v>0</v>
      </c>
      <c r="BA193" s="2086">
        <f>IF(InpPerformance!BA69="",0,InpPerformance!BA69)</f>
        <v>0</v>
      </c>
      <c r="BB193" s="2086">
        <f>IF(InpPerformance!BB69="",0,InpPerformance!BB69)</f>
        <v>0</v>
      </c>
      <c r="BC193" s="2087">
        <f>IF(InpPerformance!BC69="",0,InpPerformance!BC69)</f>
        <v>0</v>
      </c>
      <c r="BD193" s="2086">
        <f>IF(InpPerformance!BD69="",0,InpPerformance!BD69)</f>
        <v>0</v>
      </c>
      <c r="BE193" s="2086">
        <f>IF(InpPerformance!BE69="",0,InpPerformance!BE69)</f>
        <v>0</v>
      </c>
      <c r="BF193" s="2086">
        <f>IF(InpPerformance!BF69="",0,InpPerformance!BF69)</f>
        <v>0</v>
      </c>
      <c r="BG193" s="2086">
        <f>IF(InpPerformance!BG69="",0,InpPerformance!BG69)</f>
        <v>0</v>
      </c>
      <c r="BH193" s="2088">
        <f>IF(InpPerformance!BH69="",0,InpPerformance!BH69)</f>
        <v>0</v>
      </c>
      <c r="BI193" s="2086">
        <f>IF(InpPerformance!BI69="",0,InpPerformance!BI69)</f>
        <v>0</v>
      </c>
      <c r="BJ193" s="2086">
        <f>IF(InpPerformance!BJ69="",0,InpPerformance!BJ69)</f>
        <v>0</v>
      </c>
      <c r="BK193" s="2086">
        <f>IF(InpPerformance!BK69="",0,InpPerformance!BK69)</f>
        <v>0</v>
      </c>
      <c r="BL193" s="2086">
        <f>IF(InpPerformance!BL69="",0,InpPerformance!BL69)</f>
        <v>0</v>
      </c>
      <c r="BM193" s="2086">
        <f>IF(InpPerformance!BM69="",0,InpPerformance!BM69)</f>
        <v>0</v>
      </c>
      <c r="BN193" s="2086">
        <f>IF(InpPerformance!BN69="",0,InpPerformance!BN69)</f>
        <v>0</v>
      </c>
      <c r="BO193" s="2086">
        <f>IF(InpPerformance!BO69="",0,InpPerformance!BO69)</f>
        <v>0</v>
      </c>
      <c r="BP193" s="2086">
        <f>IF(InpPerformance!BP69="",0,InpPerformance!BP69)</f>
        <v>0</v>
      </c>
      <c r="BQ193" s="2086">
        <f>IF(InpPerformance!BQ69="",0,InpPerformance!BQ69)</f>
        <v>0</v>
      </c>
      <c r="BR193" s="2086">
        <f>IF(InpPerformance!BR69="",0,InpPerformance!BR69)</f>
        <v>0</v>
      </c>
      <c r="BS193" s="2086">
        <f>IF(InpPerformance!BS69="",0,InpPerformance!BS69)</f>
        <v>0</v>
      </c>
    </row>
    <row r="194" spans="1:71" s="195" customFormat="1">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0.61</v>
      </c>
      <c r="AP194" s="596">
        <f>IF(InpPerformance!AP70="",0,InpPerformance!AP70)</f>
        <v>1</v>
      </c>
      <c r="AQ194" s="596">
        <f>IF(InpPerformance!AQ70="",0,InpPerformance!AQ70)</f>
        <v>1</v>
      </c>
      <c r="AR194" s="596">
        <f>IF(InpPerformance!AR70="",0,InpPerformance!AR70)</f>
        <v>0.85</v>
      </c>
      <c r="AS194" s="596">
        <f>IF(InpPerformance!AS70="",0,InpPerformance!AS70)</f>
        <v>1</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1</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c r="A200" s="431"/>
      <c r="B200" s="431"/>
      <c r="C200" s="431"/>
      <c r="D200" s="441" t="s">
        <v>4564</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c r="A201" s="431"/>
      <c r="B201" s="431"/>
      <c r="C201" s="431"/>
      <c r="D201" s="431"/>
      <c r="E201" s="431" t="s">
        <v>4565</v>
      </c>
      <c r="F201" s="431"/>
      <c r="G201" s="591" t="str">
        <f>InpCompany!$F$11</f>
        <v>£m (2017-18 prices)</v>
      </c>
      <c r="H201" s="598">
        <f t="shared" ref="H201:H207" si="322">SUM(J201:BS201)</f>
        <v>0</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c r="A202" s="431"/>
      <c r="B202" s="431"/>
      <c r="C202" s="431"/>
      <c r="D202" s="431"/>
      <c r="E202" s="431" t="s">
        <v>4566</v>
      </c>
      <c r="F202" s="431"/>
      <c r="G202" s="591" t="str">
        <f>InpCompany!$F$11</f>
        <v>£m (2017-18 prices)</v>
      </c>
      <c r="H202" s="598">
        <f t="shared" si="322"/>
        <v>0.27895999999999999</v>
      </c>
      <c r="I202" s="599"/>
      <c r="J202" s="549">
        <f t="shared" si="323"/>
        <v>0</v>
      </c>
      <c r="K202" s="549">
        <f t="shared" si="323"/>
        <v>0</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0.27895999999999999</v>
      </c>
      <c r="T202" s="549">
        <f t="shared" si="323"/>
        <v>0</v>
      </c>
      <c r="U202" s="549">
        <f t="shared" si="323"/>
        <v>0</v>
      </c>
      <c r="V202" s="549">
        <f t="shared" si="323"/>
        <v>0</v>
      </c>
      <c r="W202" s="549">
        <f t="shared" si="323"/>
        <v>0</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c r="A203" s="431"/>
      <c r="B203" s="431"/>
      <c r="C203" s="431"/>
      <c r="D203" s="431"/>
      <c r="E203" s="431" t="s">
        <v>4567</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c r="A204" s="431"/>
      <c r="B204" s="431"/>
      <c r="C204" s="431"/>
      <c r="D204" s="431"/>
      <c r="E204" s="431" t="s">
        <v>4568</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c r="A205" s="431"/>
      <c r="B205" s="431"/>
      <c r="C205" s="431"/>
      <c r="D205" s="431"/>
      <c r="E205" s="431" t="s">
        <v>4569</v>
      </c>
      <c r="F205" s="431"/>
      <c r="G205" s="591" t="str">
        <f>InpCompany!$F$11</f>
        <v>£m (2017-18 prices)</v>
      </c>
      <c r="H205" s="598">
        <f t="shared" si="322"/>
        <v>0.89604000000000006</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0.89604000000000006</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c r="A206" s="431"/>
      <c r="B206" s="431"/>
      <c r="C206" s="431"/>
      <c r="D206" s="431"/>
      <c r="E206" s="431" t="s">
        <v>4570</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c r="A207" s="431"/>
      <c r="B207" s="431"/>
      <c r="C207" s="431"/>
      <c r="D207" s="431"/>
      <c r="E207" s="431" t="s">
        <v>4571</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c r="A209" s="431"/>
      <c r="B209" s="431"/>
      <c r="C209" s="431"/>
      <c r="D209" s="441" t="s">
        <v>4572</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c r="A210" s="431"/>
      <c r="B210" s="431"/>
      <c r="C210" s="431"/>
      <c r="D210" s="431"/>
      <c r="E210" s="431" t="s">
        <v>4573</v>
      </c>
      <c r="F210" s="431"/>
      <c r="G210" s="591" t="str">
        <f>InpCompany!$F$11</f>
        <v>£m (2017-18 prices)</v>
      </c>
      <c r="H210" s="598">
        <f t="shared" ref="H210:H216" si="329">SUM(J210:BS210)</f>
        <v>-8.7999999999999995E-2</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-8.7999999999999995E-2</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c r="A211" s="431"/>
      <c r="B211" s="431"/>
      <c r="C211" s="431"/>
      <c r="D211" s="431"/>
      <c r="E211" s="431" t="s">
        <v>4574</v>
      </c>
      <c r="F211" s="431"/>
      <c r="G211" s="591" t="str">
        <f>InpCompany!$F$11</f>
        <v>£m (2017-18 prices)</v>
      </c>
      <c r="H211" s="598">
        <f t="shared" si="329"/>
        <v>-20.421819131553161</v>
      </c>
      <c r="I211" s="599"/>
      <c r="J211" s="549">
        <f t="shared" si="330"/>
        <v>-0.49643999999999994</v>
      </c>
      <c r="K211" s="549">
        <f t="shared" si="330"/>
        <v>-2.1245391315531585</v>
      </c>
      <c r="L211" s="549">
        <f t="shared" si="330"/>
        <v>-16.940000000000001</v>
      </c>
      <c r="M211" s="549">
        <f t="shared" si="331"/>
        <v>0</v>
      </c>
      <c r="N211" s="668">
        <f t="shared" si="330"/>
        <v>-0.48620000000000002</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-0.37464000000000008</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c r="A212" s="431"/>
      <c r="B212" s="431"/>
      <c r="C212" s="431"/>
      <c r="D212" s="431"/>
      <c r="E212" s="431" t="s">
        <v>4575</v>
      </c>
      <c r="F212" s="431"/>
      <c r="G212" s="591" t="str">
        <f>InpCompany!$F$11</f>
        <v>£m (2017-18 prices)</v>
      </c>
      <c r="H212" s="598">
        <f t="shared" si="329"/>
        <v>-16.908237</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-0.76607999999999832</v>
      </c>
      <c r="AM212" s="549">
        <f t="shared" si="330"/>
        <v>-9.8345000000000002</v>
      </c>
      <c r="AN212" s="549">
        <f t="shared" si="330"/>
        <v>0</v>
      </c>
      <c r="AO212" s="550">
        <f t="shared" si="330"/>
        <v>0</v>
      </c>
      <c r="AP212" s="549">
        <f t="shared" si="330"/>
        <v>-5.1836570000000002</v>
      </c>
      <c r="AQ212" s="549">
        <f t="shared" si="330"/>
        <v>-1.1240000000000001</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c r="A213" s="431"/>
      <c r="B213" s="431"/>
      <c r="C213" s="431"/>
      <c r="D213" s="431"/>
      <c r="E213" s="431" t="s">
        <v>4576</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c r="A214" s="431"/>
      <c r="B214" s="431"/>
      <c r="C214" s="431"/>
      <c r="D214" s="431"/>
      <c r="E214" s="431" t="s">
        <v>4577</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c r="A215" s="431"/>
      <c r="B215" s="431"/>
      <c r="C215" s="431"/>
      <c r="D215" s="431"/>
      <c r="E215" s="431" t="s">
        <v>4578</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c r="A216" s="431"/>
      <c r="B216" s="431"/>
      <c r="C216" s="431"/>
      <c r="D216" s="431"/>
      <c r="E216" s="431" t="s">
        <v>4579</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c r="A218" s="431"/>
      <c r="B218" s="431"/>
      <c r="C218" s="431"/>
      <c r="D218" s="441" t="s">
        <v>4580</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c r="A219" s="431"/>
      <c r="B219" s="431"/>
      <c r="C219" s="431"/>
      <c r="D219" s="431"/>
      <c r="E219" s="431" t="s">
        <v>4581</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c r="A220" s="431"/>
      <c r="B220" s="431"/>
      <c r="C220" s="431"/>
      <c r="D220" s="431"/>
      <c r="E220" s="431" t="s">
        <v>4582</v>
      </c>
      <c r="F220" s="431"/>
      <c r="G220" s="591" t="str">
        <f>InpCompany!$F$11</f>
        <v>£m (2017-18 prices)</v>
      </c>
      <c r="H220" s="598">
        <f t="shared" si="336"/>
        <v>0.27895999999999999</v>
      </c>
      <c r="I220" s="599"/>
      <c r="J220" s="549">
        <f t="shared" si="337"/>
        <v>0</v>
      </c>
      <c r="K220" s="549">
        <f t="shared" si="337"/>
        <v>0</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0.27895999999999999</v>
      </c>
      <c r="T220" s="549">
        <f t="shared" si="337"/>
        <v>0</v>
      </c>
      <c r="U220" s="549">
        <f t="shared" si="337"/>
        <v>0</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c r="A221" s="431"/>
      <c r="B221" s="431"/>
      <c r="C221" s="431"/>
      <c r="D221" s="431"/>
      <c r="E221" s="431" t="s">
        <v>4583</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c r="A222" s="431"/>
      <c r="B222" s="431"/>
      <c r="C222" s="431"/>
      <c r="D222" s="431"/>
      <c r="E222" s="431" t="s">
        <v>4584</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c r="A223" s="431"/>
      <c r="B223" s="431"/>
      <c r="C223" s="431"/>
      <c r="D223" s="431"/>
      <c r="E223" s="431" t="s">
        <v>4585</v>
      </c>
      <c r="F223" s="431"/>
      <c r="G223" s="591" t="str">
        <f>InpCompany!$F$11</f>
        <v>£m (2017-18 prices)</v>
      </c>
      <c r="H223" s="598">
        <f t="shared" si="336"/>
        <v>0.89604000000000006</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0.89604000000000006</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c r="A224" s="431"/>
      <c r="B224" s="431"/>
      <c r="C224" s="431"/>
      <c r="D224" s="431"/>
      <c r="E224" s="431" t="s">
        <v>4586</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c r="A225" s="431"/>
      <c r="B225" s="431"/>
      <c r="C225" s="431"/>
      <c r="D225" s="431"/>
      <c r="E225" s="431" t="s">
        <v>4587</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c r="A227" s="431"/>
      <c r="B227" s="431"/>
      <c r="C227" s="431"/>
      <c r="D227" s="441" t="s">
        <v>4588</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c r="A228" s="431"/>
      <c r="B228" s="431"/>
      <c r="C228" s="431"/>
      <c r="D228" s="431"/>
      <c r="E228" s="431" t="s">
        <v>4589</v>
      </c>
      <c r="F228" s="431"/>
      <c r="G228" s="591" t="str">
        <f>InpCompany!$F$11</f>
        <v>£m (2017-18 prices)</v>
      </c>
      <c r="H228" s="598">
        <f>SUM(J228:BS228)</f>
        <v>-8.7999999999999995E-2</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-8.7999999999999995E-2</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c r="A229" s="431"/>
      <c r="B229" s="431"/>
      <c r="C229" s="431"/>
      <c r="D229" s="441"/>
      <c r="E229" s="431" t="s">
        <v>4590</v>
      </c>
      <c r="F229" s="431"/>
      <c r="G229" s="591" t="str">
        <f>InpCompany!$F$11</f>
        <v>£m (2017-18 prices)</v>
      </c>
      <c r="H229" s="598">
        <f t="shared" ref="H229:H234" si="347">SUM(J229:BS229)</f>
        <v>-19.93561913155316</v>
      </c>
      <c r="I229" s="599"/>
      <c r="J229" s="549">
        <f t="shared" si="343"/>
        <v>-0.49643999999999994</v>
      </c>
      <c r="K229" s="549">
        <f t="shared" si="343"/>
        <v>-2.1245391315531585</v>
      </c>
      <c r="L229" s="549">
        <f t="shared" si="343"/>
        <v>-16.940000000000001</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-0.37464000000000008</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c r="A230" s="431"/>
      <c r="B230" s="431"/>
      <c r="C230" s="431"/>
      <c r="D230" s="431"/>
      <c r="E230" s="431" t="s">
        <v>4591</v>
      </c>
      <c r="F230" s="431"/>
      <c r="G230" s="591" t="str">
        <f>InpCompany!$F$11</f>
        <v>£m (2017-18 prices)</v>
      </c>
      <c r="H230" s="598">
        <f t="shared" si="347"/>
        <v>-15.784236999999999</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-0.76607999999999832</v>
      </c>
      <c r="AM230" s="549">
        <f t="shared" si="343"/>
        <v>-9.8345000000000002</v>
      </c>
      <c r="AN230" s="549">
        <f t="shared" si="343"/>
        <v>0</v>
      </c>
      <c r="AO230" s="550">
        <f t="shared" si="343"/>
        <v>0</v>
      </c>
      <c r="AP230" s="549">
        <f t="shared" si="343"/>
        <v>-5.1836570000000002</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c r="A231" s="431"/>
      <c r="B231" s="431"/>
      <c r="C231" s="431"/>
      <c r="D231" s="431"/>
      <c r="E231" s="431" t="s">
        <v>4592</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c r="A232" s="431"/>
      <c r="B232" s="431"/>
      <c r="C232" s="431"/>
      <c r="D232" s="431"/>
      <c r="E232" s="431" t="s">
        <v>4593</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c r="A233" s="431"/>
      <c r="B233" s="431"/>
      <c r="C233" s="431"/>
      <c r="D233" s="431"/>
      <c r="E233" s="431" t="s">
        <v>4594</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c r="A234" s="431"/>
      <c r="B234" s="431"/>
      <c r="C234" s="431"/>
      <c r="D234" s="431"/>
      <c r="E234" s="431" t="s">
        <v>4595</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c r="A237" s="553" t="s">
        <v>4596</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c r="A239" s="431"/>
      <c r="B239" s="431"/>
      <c r="C239" s="451" t="s">
        <v>4597</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c r="A241" s="431"/>
      <c r="B241" s="431"/>
      <c r="C241" s="431"/>
      <c r="D241" s="441" t="s">
        <v>4598</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c r="A242" s="431"/>
      <c r="B242" s="431"/>
      <c r="C242" s="431"/>
      <c r="D242" s="431"/>
      <c r="E242" s="1372" t="s">
        <v>4599</v>
      </c>
      <c r="F242" s="606">
        <f t="shared" ref="F242:F248" si="350">H201</f>
        <v>0</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c r="A243" s="431"/>
      <c r="B243" s="431"/>
      <c r="C243" s="431"/>
      <c r="D243" s="431"/>
      <c r="E243" s="605" t="s">
        <v>4600</v>
      </c>
      <c r="F243" s="606">
        <f t="shared" si="350"/>
        <v>0.27895999999999999</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c r="A244" s="431"/>
      <c r="B244" s="431"/>
      <c r="C244" s="431"/>
      <c r="D244" s="431"/>
      <c r="E244" s="605" t="s">
        <v>4601</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c r="A245" s="431"/>
      <c r="B245" s="431"/>
      <c r="C245" s="431"/>
      <c r="D245" s="431"/>
      <c r="E245" s="605" t="s">
        <v>4602</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c r="A246" s="431"/>
      <c r="B246" s="431"/>
      <c r="C246" s="431"/>
      <c r="D246" s="431"/>
      <c r="E246" s="605" t="s">
        <v>4603</v>
      </c>
      <c r="F246" s="606">
        <f t="shared" si="350"/>
        <v>0.89604000000000006</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c r="A247" s="431"/>
      <c r="B247" s="431"/>
      <c r="C247" s="431"/>
      <c r="D247" s="431"/>
      <c r="E247" s="605" t="s">
        <v>4604</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c r="A248" s="431"/>
      <c r="B248" s="431"/>
      <c r="C248" s="431"/>
      <c r="D248" s="431"/>
      <c r="E248" s="605" t="s">
        <v>4605</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c r="A250" s="431"/>
      <c r="B250" s="431"/>
      <c r="C250" s="431"/>
      <c r="D250" s="441" t="s">
        <v>4606</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c r="A251" s="431"/>
      <c r="B251" s="431"/>
      <c r="C251" s="431"/>
      <c r="D251" s="431"/>
      <c r="E251" s="605" t="s">
        <v>4607</v>
      </c>
      <c r="F251" s="606">
        <f t="shared" ref="F251:F257" si="351">H210</f>
        <v>-8.7999999999999995E-2</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c r="A252" s="431"/>
      <c r="B252" s="431"/>
      <c r="C252" s="431"/>
      <c r="D252" s="431"/>
      <c r="E252" s="605" t="s">
        <v>4608</v>
      </c>
      <c r="F252" s="606">
        <f t="shared" si="351"/>
        <v>-20.421819131553161</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c r="A253" s="431"/>
      <c r="B253" s="431"/>
      <c r="C253" s="431"/>
      <c r="D253" s="431"/>
      <c r="E253" s="605" t="s">
        <v>4609</v>
      </c>
      <c r="F253" s="606">
        <f t="shared" si="351"/>
        <v>-16.908237</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c r="A254" s="431"/>
      <c r="B254" s="431"/>
      <c r="C254" s="431"/>
      <c r="D254" s="431"/>
      <c r="E254" s="605" t="s">
        <v>4610</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c r="A255" s="431"/>
      <c r="B255" s="431"/>
      <c r="C255" s="431"/>
      <c r="D255" s="431"/>
      <c r="E255" s="605" t="s">
        <v>4611</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c r="A256" s="431"/>
      <c r="B256" s="431"/>
      <c r="C256" s="431"/>
      <c r="D256" s="431"/>
      <c r="E256" s="605" t="s">
        <v>4612</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c r="A257" s="431"/>
      <c r="B257" s="431"/>
      <c r="C257" s="431"/>
      <c r="D257" s="431"/>
      <c r="E257" s="1372" t="s">
        <v>4613</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c r="A259" s="431"/>
      <c r="B259" s="431"/>
      <c r="C259" s="431"/>
      <c r="D259" s="441" t="s">
        <v>4614</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c r="A260" s="431"/>
      <c r="B260" s="431"/>
      <c r="C260" s="431"/>
      <c r="D260" s="431"/>
      <c r="E260" s="431" t="s">
        <v>4615</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c r="A261" s="431"/>
      <c r="B261" s="431"/>
      <c r="C261" s="431"/>
      <c r="D261" s="431"/>
      <c r="E261" s="431" t="s">
        <v>4616</v>
      </c>
      <c r="F261" s="598">
        <f t="shared" si="352"/>
        <v>0.27895999999999999</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c r="A262" s="431"/>
      <c r="B262" s="431"/>
      <c r="C262" s="431"/>
      <c r="D262" s="431"/>
      <c r="E262" s="431" t="s">
        <v>4617</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c r="A263" s="431"/>
      <c r="B263" s="431"/>
      <c r="C263" s="431"/>
      <c r="D263" s="431"/>
      <c r="E263" s="431" t="s">
        <v>4618</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c r="A264" s="431"/>
      <c r="B264" s="431"/>
      <c r="C264" s="431"/>
      <c r="D264" s="431"/>
      <c r="E264" s="431" t="s">
        <v>4619</v>
      </c>
      <c r="F264" s="598">
        <f t="shared" si="352"/>
        <v>0.89604000000000006</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c r="A265" s="431"/>
      <c r="B265" s="431"/>
      <c r="C265" s="431"/>
      <c r="D265" s="431"/>
      <c r="E265" s="431" t="s">
        <v>4620</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c r="A266" s="431"/>
      <c r="B266" s="431"/>
      <c r="C266" s="431"/>
      <c r="D266" s="431"/>
      <c r="E266" s="431" t="s">
        <v>4621</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c r="A268" s="431"/>
      <c r="B268" s="431"/>
      <c r="C268" s="431"/>
      <c r="D268" s="441" t="s">
        <v>4622</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c r="A269" s="605"/>
      <c r="B269" s="605"/>
      <c r="C269" s="605"/>
      <c r="D269" s="605"/>
      <c r="E269" s="590" t="s">
        <v>4623</v>
      </c>
      <c r="F269" s="1904">
        <f>H228</f>
        <v>-8.7999999999999995E-2</v>
      </c>
      <c r="G269" s="590" t="str">
        <f>InpCompany!$F$11</f>
        <v>£m (2017-18 prices)</v>
      </c>
      <c r="H269" s="605"/>
      <c r="I269" s="607"/>
      <c r="J269" s="654"/>
      <c r="K269" s="654"/>
      <c r="L269" s="654"/>
      <c r="M269" s="654"/>
      <c r="N269" s="654"/>
      <c r="O269" s="654"/>
      <c r="P269" s="654"/>
      <c r="Q269" s="1364"/>
      <c r="R269" s="654"/>
      <c r="S269" s="654"/>
      <c r="T269" s="654"/>
      <c r="U269" s="654"/>
      <c r="V269" s="654"/>
      <c r="W269" s="654"/>
      <c r="X269" s="654"/>
      <c r="Y269" s="654"/>
      <c r="Z269" s="654"/>
      <c r="AA269" s="654"/>
      <c r="AB269" s="654"/>
      <c r="AC269" s="654"/>
      <c r="AD269" s="654"/>
      <c r="AE269" s="654"/>
      <c r="AF269" s="654"/>
      <c r="AG269" s="654"/>
      <c r="AH269" s="654"/>
      <c r="AI269" s="654"/>
      <c r="AJ269" s="654"/>
      <c r="AK269" s="1364"/>
      <c r="AL269" s="654"/>
      <c r="AM269" s="654"/>
      <c r="AN269" s="654"/>
      <c r="AO269" s="1364"/>
      <c r="AP269" s="654"/>
      <c r="AQ269" s="654"/>
      <c r="AR269" s="654"/>
      <c r="AS269" s="654"/>
      <c r="AT269" s="654"/>
      <c r="AU269" s="654"/>
      <c r="AV269" s="654"/>
      <c r="AW269" s="654"/>
      <c r="AX269" s="654"/>
      <c r="AY269" s="654"/>
      <c r="AZ269" s="654"/>
      <c r="BA269" s="654"/>
      <c r="BB269" s="654"/>
      <c r="BC269" s="1364"/>
      <c r="BD269" s="654"/>
      <c r="BE269" s="654"/>
      <c r="BF269" s="654"/>
      <c r="BG269" s="654"/>
      <c r="BH269" s="654"/>
      <c r="BI269" s="654"/>
      <c r="BJ269" s="654"/>
      <c r="BK269" s="654"/>
      <c r="BL269" s="654"/>
      <c r="BM269" s="654"/>
      <c r="BN269" s="654"/>
      <c r="BO269" s="654"/>
      <c r="BP269" s="654"/>
      <c r="BQ269" s="654"/>
      <c r="BR269" s="654"/>
      <c r="BS269" s="654"/>
    </row>
    <row r="270" spans="1:71" s="223" customFormat="1">
      <c r="A270" s="605"/>
      <c r="B270" s="605"/>
      <c r="C270" s="605"/>
      <c r="D270" s="605"/>
      <c r="E270" s="590" t="s">
        <v>4624</v>
      </c>
      <c r="F270" s="1904">
        <f t="shared" ref="F270:F275" si="353">H229</f>
        <v>-19.93561913155316</v>
      </c>
      <c r="G270" s="590" t="str">
        <f>InpCompany!$F$11</f>
        <v>£m (2017-18 prices)</v>
      </c>
      <c r="H270" s="605"/>
      <c r="I270" s="607"/>
      <c r="J270" s="654"/>
      <c r="K270" s="654"/>
      <c r="L270" s="654"/>
      <c r="M270" s="654"/>
      <c r="N270" s="654"/>
      <c r="O270" s="654"/>
      <c r="P270" s="654"/>
      <c r="Q270" s="1364"/>
      <c r="R270" s="654"/>
      <c r="S270" s="654"/>
      <c r="T270" s="654"/>
      <c r="U270" s="654"/>
      <c r="V270" s="654"/>
      <c r="W270" s="654"/>
      <c r="X270" s="654"/>
      <c r="Y270" s="654"/>
      <c r="Z270" s="654"/>
      <c r="AA270" s="654"/>
      <c r="AB270" s="654"/>
      <c r="AC270" s="654"/>
      <c r="AD270" s="654"/>
      <c r="AE270" s="654"/>
      <c r="AF270" s="654"/>
      <c r="AG270" s="654"/>
      <c r="AH270" s="654"/>
      <c r="AI270" s="654"/>
      <c r="AJ270" s="654"/>
      <c r="AK270" s="1364"/>
      <c r="AL270" s="654"/>
      <c r="AM270" s="654"/>
      <c r="AN270" s="654"/>
      <c r="AO270" s="1364"/>
      <c r="AP270" s="654"/>
      <c r="AQ270" s="654"/>
      <c r="AR270" s="654"/>
      <c r="AS270" s="654"/>
      <c r="AT270" s="654"/>
      <c r="AU270" s="654"/>
      <c r="AV270" s="654"/>
      <c r="AW270" s="654"/>
      <c r="AX270" s="654"/>
      <c r="AY270" s="654"/>
      <c r="AZ270" s="654"/>
      <c r="BA270" s="654"/>
      <c r="BB270" s="654"/>
      <c r="BC270" s="1364"/>
      <c r="BD270" s="654"/>
      <c r="BE270" s="654"/>
      <c r="BF270" s="654"/>
      <c r="BG270" s="654"/>
      <c r="BH270" s="654"/>
      <c r="BI270" s="654"/>
      <c r="BJ270" s="654"/>
      <c r="BK270" s="654"/>
      <c r="BL270" s="654"/>
      <c r="BM270" s="654"/>
      <c r="BN270" s="654"/>
      <c r="BO270" s="654"/>
      <c r="BP270" s="654"/>
      <c r="BQ270" s="654"/>
      <c r="BR270" s="654"/>
      <c r="BS270" s="654"/>
    </row>
    <row r="271" spans="1:71" s="223" customFormat="1">
      <c r="A271" s="605"/>
      <c r="B271" s="605"/>
      <c r="C271" s="605"/>
      <c r="D271" s="605"/>
      <c r="E271" s="590" t="s">
        <v>4625</v>
      </c>
      <c r="F271" s="1904">
        <f t="shared" si="353"/>
        <v>-15.784236999999999</v>
      </c>
      <c r="G271" s="590" t="str">
        <f>InpCompany!$F$11</f>
        <v>£m (2017-18 prices)</v>
      </c>
      <c r="H271" s="605"/>
      <c r="I271" s="607"/>
      <c r="J271" s="654"/>
      <c r="K271" s="654"/>
      <c r="L271" s="654"/>
      <c r="M271" s="654"/>
      <c r="N271" s="654"/>
      <c r="O271" s="654"/>
      <c r="P271" s="654"/>
      <c r="Q271" s="1364"/>
      <c r="R271" s="654"/>
      <c r="S271" s="654"/>
      <c r="T271" s="654"/>
      <c r="U271" s="654"/>
      <c r="V271" s="654"/>
      <c r="W271" s="654"/>
      <c r="X271" s="654"/>
      <c r="Y271" s="654"/>
      <c r="Z271" s="654"/>
      <c r="AA271" s="654"/>
      <c r="AB271" s="654"/>
      <c r="AC271" s="654"/>
      <c r="AD271" s="654"/>
      <c r="AE271" s="654"/>
      <c r="AF271" s="654"/>
      <c r="AG271" s="654"/>
      <c r="AH271" s="654"/>
      <c r="AI271" s="654"/>
      <c r="AJ271" s="654"/>
      <c r="AK271" s="1364"/>
      <c r="AL271" s="654"/>
      <c r="AM271" s="654"/>
      <c r="AN271" s="654"/>
      <c r="AO271" s="1364"/>
      <c r="AP271" s="654"/>
      <c r="AQ271" s="654"/>
      <c r="AR271" s="654"/>
      <c r="AS271" s="654"/>
      <c r="AT271" s="654"/>
      <c r="AU271" s="654"/>
      <c r="AV271" s="654"/>
      <c r="AW271" s="654"/>
      <c r="AX271" s="654"/>
      <c r="AY271" s="654"/>
      <c r="AZ271" s="654"/>
      <c r="BA271" s="654"/>
      <c r="BB271" s="654"/>
      <c r="BC271" s="1364"/>
      <c r="BD271" s="654"/>
      <c r="BE271" s="654"/>
      <c r="BF271" s="654"/>
      <c r="BG271" s="654"/>
      <c r="BH271" s="654"/>
      <c r="BI271" s="654"/>
      <c r="BJ271" s="654"/>
      <c r="BK271" s="654"/>
      <c r="BL271" s="654"/>
      <c r="BM271" s="654"/>
      <c r="BN271" s="654"/>
      <c r="BO271" s="654"/>
      <c r="BP271" s="654"/>
      <c r="BQ271" s="654"/>
      <c r="BR271" s="654"/>
      <c r="BS271" s="654"/>
    </row>
    <row r="272" spans="1:71" s="223" customFormat="1">
      <c r="A272" s="605"/>
      <c r="B272" s="605"/>
      <c r="C272" s="605"/>
      <c r="D272" s="605"/>
      <c r="E272" s="590" t="s">
        <v>4626</v>
      </c>
      <c r="F272" s="1904">
        <f t="shared" si="353"/>
        <v>0</v>
      </c>
      <c r="G272" s="590" t="str">
        <f>InpCompany!$F$11</f>
        <v>£m (2017-18 prices)</v>
      </c>
      <c r="H272" s="605"/>
      <c r="I272" s="607"/>
      <c r="J272" s="654"/>
      <c r="K272" s="654"/>
      <c r="L272" s="654"/>
      <c r="M272" s="654"/>
      <c r="N272" s="654"/>
      <c r="O272" s="654"/>
      <c r="P272" s="654"/>
      <c r="Q272" s="1364"/>
      <c r="R272" s="654"/>
      <c r="S272" s="654"/>
      <c r="T272" s="654"/>
      <c r="U272" s="654"/>
      <c r="V272" s="654"/>
      <c r="W272" s="654"/>
      <c r="X272" s="654"/>
      <c r="Y272" s="654"/>
      <c r="Z272" s="654"/>
      <c r="AA272" s="654"/>
      <c r="AB272" s="654"/>
      <c r="AC272" s="654"/>
      <c r="AD272" s="654"/>
      <c r="AE272" s="654"/>
      <c r="AF272" s="654"/>
      <c r="AG272" s="654"/>
      <c r="AH272" s="654"/>
      <c r="AI272" s="654"/>
      <c r="AJ272" s="654"/>
      <c r="AK272" s="1364"/>
      <c r="AL272" s="654"/>
      <c r="AM272" s="654"/>
      <c r="AN272" s="654"/>
      <c r="AO272" s="1364"/>
      <c r="AP272" s="654"/>
      <c r="AQ272" s="654"/>
      <c r="AR272" s="654"/>
      <c r="AS272" s="654"/>
      <c r="AT272" s="654"/>
      <c r="AU272" s="654"/>
      <c r="AV272" s="654"/>
      <c r="AW272" s="654"/>
      <c r="AX272" s="654"/>
      <c r="AY272" s="654"/>
      <c r="AZ272" s="654"/>
      <c r="BA272" s="654"/>
      <c r="BB272" s="654"/>
      <c r="BC272" s="1364"/>
      <c r="BD272" s="654"/>
      <c r="BE272" s="654"/>
      <c r="BF272" s="654"/>
      <c r="BG272" s="654"/>
      <c r="BH272" s="654"/>
      <c r="BI272" s="654"/>
      <c r="BJ272" s="654"/>
      <c r="BK272" s="654"/>
      <c r="BL272" s="654"/>
      <c r="BM272" s="654"/>
      <c r="BN272" s="654"/>
      <c r="BO272" s="654"/>
      <c r="BP272" s="654"/>
      <c r="BQ272" s="654"/>
      <c r="BR272" s="654"/>
      <c r="BS272" s="654"/>
    </row>
    <row r="273" spans="1:71" s="223" customFormat="1">
      <c r="A273" s="605"/>
      <c r="B273" s="605"/>
      <c r="C273" s="605"/>
      <c r="D273" s="605"/>
      <c r="E273" s="590" t="s">
        <v>4627</v>
      </c>
      <c r="F273" s="1904">
        <f t="shared" si="353"/>
        <v>0</v>
      </c>
      <c r="G273" s="590" t="str">
        <f>InpCompany!$F$11</f>
        <v>£m (2017-18 prices)</v>
      </c>
      <c r="H273" s="605"/>
      <c r="I273" s="607"/>
      <c r="J273" s="654"/>
      <c r="K273" s="654"/>
      <c r="L273" s="654"/>
      <c r="M273" s="654"/>
      <c r="N273" s="654"/>
      <c r="O273" s="654"/>
      <c r="P273" s="654"/>
      <c r="Q273" s="1364"/>
      <c r="R273" s="654"/>
      <c r="S273" s="654"/>
      <c r="T273" s="654"/>
      <c r="U273" s="654"/>
      <c r="V273" s="654"/>
      <c r="W273" s="654"/>
      <c r="X273" s="654"/>
      <c r="Y273" s="654"/>
      <c r="Z273" s="654"/>
      <c r="AA273" s="654"/>
      <c r="AB273" s="654"/>
      <c r="AC273" s="654"/>
      <c r="AD273" s="654"/>
      <c r="AE273" s="654"/>
      <c r="AF273" s="654"/>
      <c r="AG273" s="654"/>
      <c r="AH273" s="654"/>
      <c r="AI273" s="654"/>
      <c r="AJ273" s="654"/>
      <c r="AK273" s="1364"/>
      <c r="AL273" s="654"/>
      <c r="AM273" s="654"/>
      <c r="AN273" s="654"/>
      <c r="AO273" s="1364"/>
      <c r="AP273" s="654"/>
      <c r="AQ273" s="654"/>
      <c r="AR273" s="654"/>
      <c r="AS273" s="654"/>
      <c r="AT273" s="654"/>
      <c r="AU273" s="654"/>
      <c r="AV273" s="654"/>
      <c r="AW273" s="654"/>
      <c r="AX273" s="654"/>
      <c r="AY273" s="654"/>
      <c r="AZ273" s="654"/>
      <c r="BA273" s="654"/>
      <c r="BB273" s="654"/>
      <c r="BC273" s="1364"/>
      <c r="BD273" s="654"/>
      <c r="BE273" s="654"/>
      <c r="BF273" s="654"/>
      <c r="BG273" s="654"/>
      <c r="BH273" s="654"/>
      <c r="BI273" s="654"/>
      <c r="BJ273" s="654"/>
      <c r="BK273" s="654"/>
      <c r="BL273" s="654"/>
      <c r="BM273" s="654"/>
      <c r="BN273" s="654"/>
      <c r="BO273" s="654"/>
      <c r="BP273" s="654"/>
      <c r="BQ273" s="654"/>
      <c r="BR273" s="654"/>
      <c r="BS273" s="654"/>
    </row>
    <row r="274" spans="1:71" s="223" customFormat="1">
      <c r="A274" s="605"/>
      <c r="B274" s="605"/>
      <c r="C274" s="605"/>
      <c r="D274" s="605"/>
      <c r="E274" s="590" t="s">
        <v>4628</v>
      </c>
      <c r="F274" s="1904">
        <f t="shared" si="353"/>
        <v>0</v>
      </c>
      <c r="G274" s="590" t="str">
        <f>InpCompany!$F$11</f>
        <v>£m (2017-18 prices)</v>
      </c>
      <c r="H274" s="605"/>
      <c r="I274" s="607"/>
      <c r="J274" s="654"/>
      <c r="K274" s="654"/>
      <c r="L274" s="654"/>
      <c r="M274" s="654"/>
      <c r="N274" s="654"/>
      <c r="O274" s="654"/>
      <c r="P274" s="654"/>
      <c r="Q274" s="1364"/>
      <c r="R274" s="654"/>
      <c r="S274" s="654"/>
      <c r="T274" s="654"/>
      <c r="U274" s="654"/>
      <c r="V274" s="654"/>
      <c r="W274" s="654"/>
      <c r="X274" s="654"/>
      <c r="Y274" s="654"/>
      <c r="Z274" s="654"/>
      <c r="AA274" s="654"/>
      <c r="AB274" s="654"/>
      <c r="AC274" s="654"/>
      <c r="AD274" s="654"/>
      <c r="AE274" s="654"/>
      <c r="AF274" s="654"/>
      <c r="AG274" s="654"/>
      <c r="AH274" s="654"/>
      <c r="AI274" s="654"/>
      <c r="AJ274" s="654"/>
      <c r="AK274" s="1364"/>
      <c r="AL274" s="654"/>
      <c r="AM274" s="654"/>
      <c r="AN274" s="654"/>
      <c r="AO274" s="1364"/>
      <c r="AP274" s="654"/>
      <c r="AQ274" s="654"/>
      <c r="AR274" s="654"/>
      <c r="AS274" s="654"/>
      <c r="AT274" s="654"/>
      <c r="AU274" s="654"/>
      <c r="AV274" s="654"/>
      <c r="AW274" s="654"/>
      <c r="AX274" s="654"/>
      <c r="AY274" s="654"/>
      <c r="AZ274" s="654"/>
      <c r="BA274" s="654"/>
      <c r="BB274" s="654"/>
      <c r="BC274" s="1364"/>
      <c r="BD274" s="654"/>
      <c r="BE274" s="654"/>
      <c r="BF274" s="654"/>
      <c r="BG274" s="654"/>
      <c r="BH274" s="654"/>
      <c r="BI274" s="654"/>
      <c r="BJ274" s="654"/>
      <c r="BK274" s="654"/>
      <c r="BL274" s="654"/>
      <c r="BM274" s="654"/>
      <c r="BN274" s="654"/>
      <c r="BO274" s="654"/>
      <c r="BP274" s="654"/>
      <c r="BQ274" s="654"/>
      <c r="BR274" s="654"/>
      <c r="BS274" s="654"/>
    </row>
    <row r="275" spans="1:71" s="223" customFormat="1">
      <c r="A275" s="605"/>
      <c r="B275" s="605"/>
      <c r="C275" s="605"/>
      <c r="D275" s="605"/>
      <c r="E275" s="590" t="s">
        <v>4629</v>
      </c>
      <c r="F275" s="1904">
        <f t="shared" si="353"/>
        <v>0</v>
      </c>
      <c r="G275" s="590" t="str">
        <f>InpCompany!$F$11</f>
        <v>£m (2017-18 prices)</v>
      </c>
      <c r="H275" s="605"/>
      <c r="I275" s="607"/>
      <c r="J275" s="654"/>
      <c r="K275" s="654"/>
      <c r="L275" s="654"/>
      <c r="M275" s="654"/>
      <c r="N275" s="654"/>
      <c r="O275" s="654"/>
      <c r="P275" s="654"/>
      <c r="Q275" s="1364"/>
      <c r="R275" s="654"/>
      <c r="S275" s="654"/>
      <c r="T275" s="654"/>
      <c r="U275" s="654"/>
      <c r="V275" s="654"/>
      <c r="W275" s="654"/>
      <c r="X275" s="654"/>
      <c r="Y275" s="654"/>
      <c r="Z275" s="654"/>
      <c r="AA275" s="654"/>
      <c r="AB275" s="654"/>
      <c r="AC275" s="654"/>
      <c r="AD275" s="654"/>
      <c r="AE275" s="654"/>
      <c r="AF275" s="654"/>
      <c r="AG275" s="654"/>
      <c r="AH275" s="654"/>
      <c r="AI275" s="654"/>
      <c r="AJ275" s="654"/>
      <c r="AK275" s="1364"/>
      <c r="AL275" s="654"/>
      <c r="AM275" s="654"/>
      <c r="AN275" s="654"/>
      <c r="AO275" s="1364"/>
      <c r="AP275" s="654"/>
      <c r="AQ275" s="654"/>
      <c r="AR275" s="654"/>
      <c r="AS275" s="654"/>
      <c r="AT275" s="654"/>
      <c r="AU275" s="654"/>
      <c r="AV275" s="654"/>
      <c r="AW275" s="654"/>
      <c r="AX275" s="654"/>
      <c r="AY275" s="654"/>
      <c r="AZ275" s="654"/>
      <c r="BA275" s="654"/>
      <c r="BB275" s="654"/>
      <c r="BC275" s="1364"/>
      <c r="BD275" s="654"/>
      <c r="BE275" s="654"/>
      <c r="BF275" s="654"/>
      <c r="BG275" s="654"/>
      <c r="BH275" s="654"/>
      <c r="BI275" s="654"/>
      <c r="BJ275" s="654"/>
      <c r="BK275" s="654"/>
      <c r="BL275" s="654"/>
      <c r="BM275" s="654"/>
      <c r="BN275" s="654"/>
      <c r="BO275" s="654"/>
      <c r="BP275" s="654"/>
      <c r="BQ275" s="654"/>
      <c r="BR275" s="654"/>
      <c r="BS275" s="654"/>
    </row>
    <row r="276" spans="1:71" s="1399" customFormat="1">
      <c r="A276" s="1394"/>
      <c r="B276" s="1394"/>
      <c r="C276" s="1394"/>
      <c r="D276" s="1394"/>
      <c r="E276" s="1394"/>
      <c r="F276" s="1395"/>
      <c r="G276" s="1394"/>
      <c r="H276" s="1394"/>
      <c r="I276" s="1396"/>
      <c r="J276" s="1397"/>
      <c r="K276" s="1397"/>
      <c r="L276" s="1397"/>
      <c r="M276" s="1397"/>
      <c r="N276" s="1397"/>
      <c r="O276" s="1397"/>
      <c r="P276" s="1397"/>
      <c r="Q276" s="1398"/>
      <c r="R276" s="1397"/>
      <c r="S276" s="1397"/>
      <c r="T276" s="1397"/>
      <c r="U276" s="1397"/>
      <c r="V276" s="1397"/>
      <c r="W276" s="1397"/>
      <c r="X276" s="1397"/>
      <c r="Y276" s="1397"/>
      <c r="Z276" s="1397"/>
      <c r="AA276" s="1397"/>
      <c r="AB276" s="1397"/>
      <c r="AC276" s="1397"/>
      <c r="AD276" s="1397"/>
      <c r="AE276" s="1397"/>
      <c r="AF276" s="1397"/>
      <c r="AG276" s="1397"/>
      <c r="AH276" s="1397"/>
      <c r="AI276" s="1397"/>
      <c r="AJ276" s="1397"/>
      <c r="AK276" s="1398"/>
      <c r="AL276" s="1397"/>
      <c r="AM276" s="1397"/>
      <c r="AN276" s="1397"/>
      <c r="AO276" s="1398"/>
      <c r="AP276" s="1397"/>
      <c r="AQ276" s="1397"/>
      <c r="AR276" s="1397"/>
      <c r="AS276" s="1397"/>
      <c r="AT276" s="1397"/>
      <c r="AU276" s="1397"/>
      <c r="AV276" s="1397"/>
      <c r="AW276" s="1397"/>
      <c r="AX276" s="1397"/>
      <c r="AY276" s="1397"/>
      <c r="AZ276" s="1397"/>
      <c r="BA276" s="1397"/>
      <c r="BB276" s="1397"/>
      <c r="BC276" s="1398"/>
      <c r="BD276" s="1397"/>
      <c r="BE276" s="1397"/>
      <c r="BF276" s="1397"/>
      <c r="BG276" s="1397"/>
      <c r="BH276" s="1397"/>
      <c r="BI276" s="1397"/>
      <c r="BJ276" s="1397"/>
      <c r="BK276" s="1397"/>
      <c r="BL276" s="1397"/>
      <c r="BM276" s="1397"/>
      <c r="BN276" s="1397"/>
      <c r="BO276" s="1397"/>
      <c r="BP276" s="1397"/>
      <c r="BQ276" s="1397"/>
      <c r="BR276" s="1397"/>
      <c r="BS276" s="1397"/>
    </row>
    <row r="277" spans="1:71" s="195" customFormat="1">
      <c r="A277" s="431"/>
      <c r="B277" s="431"/>
      <c r="C277" s="431"/>
      <c r="D277" s="441" t="s">
        <v>4630</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c r="A278" s="431"/>
      <c r="B278" s="431"/>
      <c r="C278" s="431"/>
      <c r="D278" s="431"/>
      <c r="E278" s="605" t="s">
        <v>4631</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c r="A279" s="431"/>
      <c r="B279" s="431"/>
      <c r="C279" s="431"/>
      <c r="D279" s="431"/>
      <c r="E279" s="605" t="s">
        <v>4632</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c r="A280" s="431"/>
      <c r="B280" s="431"/>
      <c r="C280" s="431"/>
      <c r="D280" s="431"/>
      <c r="E280" s="605" t="s">
        <v>4633</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c r="A281" s="431"/>
      <c r="B281" s="431"/>
      <c r="C281" s="431"/>
      <c r="D281" s="431"/>
      <c r="E281" s="605" t="s">
        <v>4634</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c r="A282" s="431"/>
      <c r="B282" s="431"/>
      <c r="C282" s="431"/>
      <c r="D282" s="431"/>
      <c r="E282" s="605" t="s">
        <v>4635</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c r="A283" s="431"/>
      <c r="B283" s="431"/>
      <c r="C283" s="431"/>
      <c r="D283" s="431"/>
      <c r="E283" s="605" t="s">
        <v>4636</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c r="A284" s="431"/>
      <c r="B284" s="431"/>
      <c r="C284" s="431"/>
      <c r="D284" s="431"/>
      <c r="E284" s="605" t="s">
        <v>4637</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c r="A286" s="431"/>
      <c r="B286" s="431"/>
      <c r="C286" s="431"/>
      <c r="D286" s="441" t="s">
        <v>4638</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c r="A287" s="605"/>
      <c r="B287" s="605"/>
      <c r="C287" s="605"/>
      <c r="D287" s="605"/>
      <c r="E287" s="605" t="s">
        <v>4639</v>
      </c>
      <c r="F287" s="1779">
        <f t="shared" ref="F287:F293" si="355">F251-F269</f>
        <v>0</v>
      </c>
      <c r="G287" s="605" t="str">
        <f>InpCompany!$F$11</f>
        <v>£m (2017-18 prices)</v>
      </c>
      <c r="H287" s="605"/>
      <c r="I287" s="607"/>
      <c r="J287" s="654"/>
      <c r="K287" s="654"/>
      <c r="L287" s="654"/>
      <c r="M287" s="654"/>
      <c r="N287" s="654"/>
      <c r="O287" s="654"/>
      <c r="P287" s="654"/>
      <c r="Q287" s="1364"/>
      <c r="R287" s="654"/>
      <c r="S287" s="654"/>
      <c r="T287" s="654"/>
      <c r="U287" s="654"/>
      <c r="V287" s="654"/>
      <c r="W287" s="654" t="s">
        <v>4640</v>
      </c>
      <c r="X287" s="654"/>
      <c r="Y287" s="654"/>
      <c r="Z287" s="654"/>
      <c r="AA287" s="654"/>
      <c r="AB287" s="654"/>
      <c r="AC287" s="654"/>
      <c r="AD287" s="654"/>
      <c r="AE287" s="654"/>
      <c r="AF287" s="654"/>
      <c r="AG287" s="654"/>
      <c r="AH287" s="654"/>
      <c r="AI287" s="654"/>
      <c r="AJ287" s="654"/>
      <c r="AK287" s="1364"/>
      <c r="AL287" s="654"/>
      <c r="AM287" s="654"/>
      <c r="AN287" s="654"/>
      <c r="AO287" s="1364"/>
      <c r="AP287" s="654"/>
      <c r="AQ287" s="654"/>
      <c r="AR287" s="654"/>
      <c r="AS287" s="654"/>
      <c r="AT287" s="654"/>
      <c r="AU287" s="654"/>
      <c r="AV287" s="654"/>
      <c r="AW287" s="654"/>
      <c r="AX287" s="654"/>
      <c r="AY287" s="654"/>
      <c r="AZ287" s="654"/>
      <c r="BA287" s="654"/>
      <c r="BB287" s="654"/>
      <c r="BC287" s="1364"/>
      <c r="BD287" s="654"/>
      <c r="BE287" s="654"/>
      <c r="BF287" s="654"/>
      <c r="BG287" s="654"/>
      <c r="BH287" s="654"/>
      <c r="BI287" s="654"/>
      <c r="BJ287" s="654"/>
      <c r="BK287" s="654"/>
      <c r="BL287" s="654"/>
      <c r="BM287" s="654"/>
      <c r="BN287" s="654"/>
      <c r="BO287" s="654"/>
      <c r="BP287" s="654"/>
      <c r="BQ287" s="654"/>
      <c r="BR287" s="654"/>
      <c r="BS287" s="654"/>
    </row>
    <row r="288" spans="1:71" s="223" customFormat="1">
      <c r="A288" s="605"/>
      <c r="B288" s="605"/>
      <c r="C288" s="605"/>
      <c r="D288" s="605"/>
      <c r="E288" s="605" t="s">
        <v>4641</v>
      </c>
      <c r="F288" s="1779">
        <f t="shared" si="355"/>
        <v>-0.48620000000000019</v>
      </c>
      <c r="G288" s="605" t="str">
        <f>InpCompany!$F$11</f>
        <v>£m (2017-18 prices)</v>
      </c>
      <c r="H288" s="605"/>
      <c r="I288" s="607"/>
      <c r="J288" s="654"/>
      <c r="K288" s="654"/>
      <c r="L288" s="654"/>
      <c r="M288" s="654"/>
      <c r="N288" s="654"/>
      <c r="O288" s="654"/>
      <c r="P288" s="654"/>
      <c r="Q288" s="1364"/>
      <c r="R288" s="654"/>
      <c r="S288" s="654"/>
      <c r="T288" s="654"/>
      <c r="U288" s="654"/>
      <c r="V288" s="654"/>
      <c r="W288" s="654"/>
      <c r="X288" s="654"/>
      <c r="Y288" s="654"/>
      <c r="Z288" s="654"/>
      <c r="AA288" s="654"/>
      <c r="AB288" s="654"/>
      <c r="AC288" s="654"/>
      <c r="AD288" s="654"/>
      <c r="AE288" s="654"/>
      <c r="AF288" s="654"/>
      <c r="AG288" s="654"/>
      <c r="AH288" s="654"/>
      <c r="AI288" s="654"/>
      <c r="AJ288" s="654"/>
      <c r="AK288" s="1364"/>
      <c r="AL288" s="654"/>
      <c r="AM288" s="654"/>
      <c r="AN288" s="654"/>
      <c r="AO288" s="1364"/>
      <c r="AP288" s="654"/>
      <c r="AQ288" s="654"/>
      <c r="AR288" s="654"/>
      <c r="AS288" s="654"/>
      <c r="AT288" s="654"/>
      <c r="AU288" s="654"/>
      <c r="AV288" s="654"/>
      <c r="AW288" s="654"/>
      <c r="AX288" s="654"/>
      <c r="AY288" s="654"/>
      <c r="AZ288" s="654"/>
      <c r="BA288" s="654"/>
      <c r="BB288" s="654"/>
      <c r="BC288" s="1364"/>
      <c r="BD288" s="654"/>
      <c r="BE288" s="654"/>
      <c r="BF288" s="654"/>
      <c r="BG288" s="654"/>
      <c r="BH288" s="654"/>
      <c r="BI288" s="654"/>
      <c r="BJ288" s="654"/>
      <c r="BK288" s="654"/>
      <c r="BL288" s="654"/>
      <c r="BM288" s="654"/>
      <c r="BN288" s="654"/>
      <c r="BO288" s="654"/>
      <c r="BP288" s="654"/>
      <c r="BQ288" s="654"/>
      <c r="BR288" s="654"/>
      <c r="BS288" s="654"/>
    </row>
    <row r="289" spans="1:71" s="223" customFormat="1">
      <c r="A289" s="605"/>
      <c r="B289" s="605"/>
      <c r="C289" s="605"/>
      <c r="D289" s="605"/>
      <c r="E289" s="605" t="s">
        <v>4642</v>
      </c>
      <c r="F289" s="606">
        <f t="shared" si="355"/>
        <v>-1.1240000000000006</v>
      </c>
      <c r="G289" s="605" t="str">
        <f>InpCompany!$F$11</f>
        <v>£m (2017-18 prices)</v>
      </c>
      <c r="H289" s="605"/>
      <c r="I289" s="607"/>
      <c r="J289" s="654"/>
      <c r="K289" s="654"/>
      <c r="L289" s="654"/>
      <c r="M289" s="654"/>
      <c r="N289" s="654"/>
      <c r="O289" s="654"/>
      <c r="P289" s="654"/>
      <c r="Q289" s="1364"/>
      <c r="R289" s="654"/>
      <c r="S289" s="654"/>
      <c r="T289" s="654"/>
      <c r="U289" s="654"/>
      <c r="V289" s="654"/>
      <c r="W289" s="654"/>
      <c r="X289" s="654"/>
      <c r="Y289" s="654"/>
      <c r="Z289" s="654"/>
      <c r="AA289" s="654"/>
      <c r="AB289" s="654"/>
      <c r="AC289" s="654"/>
      <c r="AD289" s="654"/>
      <c r="AE289" s="654"/>
      <c r="AF289" s="654"/>
      <c r="AG289" s="654"/>
      <c r="AH289" s="654"/>
      <c r="AI289" s="654"/>
      <c r="AJ289" s="654"/>
      <c r="AK289" s="1364"/>
      <c r="AL289" s="654"/>
      <c r="AM289" s="654"/>
      <c r="AN289" s="654"/>
      <c r="AO289" s="1364"/>
      <c r="AP289" s="654"/>
      <c r="AQ289" s="654"/>
      <c r="AR289" s="654"/>
      <c r="AS289" s="654"/>
      <c r="AT289" s="654"/>
      <c r="AU289" s="654"/>
      <c r="AV289" s="654"/>
      <c r="AW289" s="654"/>
      <c r="AX289" s="654"/>
      <c r="AY289" s="654"/>
      <c r="AZ289" s="654"/>
      <c r="BA289" s="654"/>
      <c r="BB289" s="654"/>
      <c r="BC289" s="1364"/>
      <c r="BD289" s="654"/>
      <c r="BE289" s="654"/>
      <c r="BF289" s="654"/>
      <c r="BG289" s="654"/>
      <c r="BH289" s="654"/>
      <c r="BI289" s="654"/>
      <c r="BJ289" s="654"/>
      <c r="BK289" s="654"/>
      <c r="BL289" s="654"/>
      <c r="BM289" s="654"/>
      <c r="BN289" s="654"/>
      <c r="BO289" s="654"/>
      <c r="BP289" s="654"/>
      <c r="BQ289" s="654"/>
      <c r="BR289" s="654"/>
      <c r="BS289" s="654"/>
    </row>
    <row r="290" spans="1:71" s="223" customFormat="1">
      <c r="A290" s="605"/>
      <c r="B290" s="605"/>
      <c r="C290" s="605"/>
      <c r="D290" s="605"/>
      <c r="E290" s="605" t="s">
        <v>4643</v>
      </c>
      <c r="F290" s="606">
        <f t="shared" si="355"/>
        <v>0</v>
      </c>
      <c r="G290" s="605" t="str">
        <f>InpCompany!$F$11</f>
        <v>£m (2017-18 prices)</v>
      </c>
      <c r="H290" s="605"/>
      <c r="I290" s="607"/>
      <c r="J290" s="654"/>
      <c r="K290" s="654"/>
      <c r="L290" s="654"/>
      <c r="M290" s="654"/>
      <c r="N290" s="654"/>
      <c r="O290" s="654"/>
      <c r="P290" s="654"/>
      <c r="Q290" s="1364"/>
      <c r="R290" s="654"/>
      <c r="S290" s="654"/>
      <c r="T290" s="654"/>
      <c r="U290" s="654"/>
      <c r="V290" s="654"/>
      <c r="W290" s="654"/>
      <c r="X290" s="654"/>
      <c r="Y290" s="654"/>
      <c r="Z290" s="654"/>
      <c r="AA290" s="654"/>
      <c r="AB290" s="654"/>
      <c r="AC290" s="654"/>
      <c r="AD290" s="654"/>
      <c r="AE290" s="654"/>
      <c r="AF290" s="654"/>
      <c r="AG290" s="654"/>
      <c r="AH290" s="654"/>
      <c r="AI290" s="654"/>
      <c r="AJ290" s="654"/>
      <c r="AK290" s="1364"/>
      <c r="AL290" s="654"/>
      <c r="AM290" s="654"/>
      <c r="AN290" s="654"/>
      <c r="AO290" s="1364"/>
      <c r="AP290" s="654"/>
      <c r="AQ290" s="654"/>
      <c r="AR290" s="654"/>
      <c r="AS290" s="654"/>
      <c r="AT290" s="654"/>
      <c r="AU290" s="654"/>
      <c r="AV290" s="654"/>
      <c r="AW290" s="654"/>
      <c r="AX290" s="654"/>
      <c r="AY290" s="654"/>
      <c r="AZ290" s="654"/>
      <c r="BA290" s="654"/>
      <c r="BB290" s="654"/>
      <c r="BC290" s="1364"/>
      <c r="BD290" s="654"/>
      <c r="BE290" s="654"/>
      <c r="BF290" s="654"/>
      <c r="BG290" s="654"/>
      <c r="BH290" s="654"/>
      <c r="BI290" s="654"/>
      <c r="BJ290" s="654"/>
      <c r="BK290" s="654"/>
      <c r="BL290" s="654"/>
      <c r="BM290" s="654"/>
      <c r="BN290" s="654"/>
      <c r="BO290" s="654"/>
      <c r="BP290" s="654"/>
      <c r="BQ290" s="654"/>
      <c r="BR290" s="654"/>
      <c r="BS290" s="654"/>
    </row>
    <row r="291" spans="1:71" s="223" customFormat="1">
      <c r="A291" s="605"/>
      <c r="B291" s="605"/>
      <c r="C291" s="605"/>
      <c r="D291" s="605"/>
      <c r="E291" s="605" t="s">
        <v>4644</v>
      </c>
      <c r="F291" s="606">
        <f t="shared" si="355"/>
        <v>0</v>
      </c>
      <c r="G291" s="605" t="str">
        <f>InpCompany!$F$11</f>
        <v>£m (2017-18 prices)</v>
      </c>
      <c r="H291" s="605"/>
      <c r="I291" s="607"/>
      <c r="J291" s="654"/>
      <c r="K291" s="654"/>
      <c r="L291" s="654"/>
      <c r="M291" s="654"/>
      <c r="N291" s="654"/>
      <c r="O291" s="654"/>
      <c r="P291" s="654"/>
      <c r="Q291" s="1364"/>
      <c r="R291" s="654"/>
      <c r="S291" s="654"/>
      <c r="T291" s="654"/>
      <c r="U291" s="654"/>
      <c r="V291" s="654"/>
      <c r="W291" s="654"/>
      <c r="X291" s="654"/>
      <c r="Y291" s="654"/>
      <c r="Z291" s="654"/>
      <c r="AA291" s="654"/>
      <c r="AB291" s="654"/>
      <c r="AC291" s="654"/>
      <c r="AD291" s="654"/>
      <c r="AE291" s="654"/>
      <c r="AF291" s="654"/>
      <c r="AG291" s="654"/>
      <c r="AH291" s="654"/>
      <c r="AI291" s="654"/>
      <c r="AJ291" s="654"/>
      <c r="AK291" s="1364"/>
      <c r="AL291" s="654"/>
      <c r="AM291" s="654"/>
      <c r="AN291" s="654"/>
      <c r="AO291" s="1364"/>
      <c r="AP291" s="654"/>
      <c r="AQ291" s="654"/>
      <c r="AR291" s="654"/>
      <c r="AS291" s="654"/>
      <c r="AT291" s="654"/>
      <c r="AU291" s="654"/>
      <c r="AV291" s="654"/>
      <c r="AW291" s="654"/>
      <c r="AX291" s="654"/>
      <c r="AY291" s="654"/>
      <c r="AZ291" s="654"/>
      <c r="BA291" s="654"/>
      <c r="BB291" s="654"/>
      <c r="BC291" s="1364"/>
      <c r="BD291" s="654"/>
      <c r="BE291" s="654"/>
      <c r="BF291" s="654"/>
      <c r="BG291" s="654"/>
      <c r="BH291" s="654"/>
      <c r="BI291" s="654"/>
      <c r="BJ291" s="654"/>
      <c r="BK291" s="654"/>
      <c r="BL291" s="654"/>
      <c r="BM291" s="654"/>
      <c r="BN291" s="654"/>
      <c r="BO291" s="654"/>
      <c r="BP291" s="654"/>
      <c r="BQ291" s="654"/>
      <c r="BR291" s="654"/>
      <c r="BS291" s="654"/>
    </row>
    <row r="292" spans="1:71" s="223" customFormat="1">
      <c r="A292" s="605"/>
      <c r="B292" s="605"/>
      <c r="C292" s="605"/>
      <c r="D292" s="605"/>
      <c r="E292" s="605" t="s">
        <v>4645</v>
      </c>
      <c r="F292" s="606">
        <f t="shared" si="355"/>
        <v>0</v>
      </c>
      <c r="G292" s="605" t="str">
        <f>InpCompany!$F$11</f>
        <v>£m (2017-18 prices)</v>
      </c>
      <c r="H292" s="605"/>
      <c r="I292" s="607"/>
      <c r="J292" s="654"/>
      <c r="K292" s="654"/>
      <c r="L292" s="654"/>
      <c r="M292" s="654"/>
      <c r="N292" s="654"/>
      <c r="O292" s="654"/>
      <c r="P292" s="654"/>
      <c r="Q292" s="1364"/>
      <c r="R292" s="654"/>
      <c r="S292" s="654"/>
      <c r="T292" s="654"/>
      <c r="U292" s="654"/>
      <c r="V292" s="654"/>
      <c r="W292" s="654"/>
      <c r="X292" s="654"/>
      <c r="Y292" s="654"/>
      <c r="Z292" s="654"/>
      <c r="AA292" s="654"/>
      <c r="AB292" s="654"/>
      <c r="AC292" s="654"/>
      <c r="AD292" s="654"/>
      <c r="AE292" s="654"/>
      <c r="AF292" s="654"/>
      <c r="AG292" s="654"/>
      <c r="AH292" s="654"/>
      <c r="AI292" s="654"/>
      <c r="AJ292" s="654"/>
      <c r="AK292" s="1364"/>
      <c r="AL292" s="654"/>
      <c r="AM292" s="654"/>
      <c r="AN292" s="654"/>
      <c r="AO292" s="1364"/>
      <c r="AP292" s="654"/>
      <c r="AQ292" s="654"/>
      <c r="AR292" s="654"/>
      <c r="AS292" s="654"/>
      <c r="AT292" s="654"/>
      <c r="AU292" s="654"/>
      <c r="AV292" s="654"/>
      <c r="AW292" s="654"/>
      <c r="AX292" s="654"/>
      <c r="AY292" s="654"/>
      <c r="AZ292" s="654"/>
      <c r="BA292" s="654"/>
      <c r="BB292" s="654"/>
      <c r="BC292" s="1364"/>
      <c r="BD292" s="654"/>
      <c r="BE292" s="654"/>
      <c r="BF292" s="654"/>
      <c r="BG292" s="654"/>
      <c r="BH292" s="654"/>
      <c r="BI292" s="654"/>
      <c r="BJ292" s="654"/>
      <c r="BK292" s="654"/>
      <c r="BL292" s="654"/>
      <c r="BM292" s="654"/>
      <c r="BN292" s="654"/>
      <c r="BO292" s="654"/>
      <c r="BP292" s="654"/>
      <c r="BQ292" s="654"/>
      <c r="BR292" s="654"/>
      <c r="BS292" s="654"/>
    </row>
    <row r="293" spans="1:71" s="223" customFormat="1">
      <c r="A293" s="605"/>
      <c r="B293" s="605"/>
      <c r="C293" s="605"/>
      <c r="D293" s="605"/>
      <c r="E293" s="605" t="s">
        <v>4646</v>
      </c>
      <c r="F293" s="606">
        <f t="shared" si="355"/>
        <v>0</v>
      </c>
      <c r="G293" s="605" t="str">
        <f>InpCompany!$F$11</f>
        <v>£m (2017-18 prices)</v>
      </c>
      <c r="H293" s="605"/>
      <c r="I293" s="607"/>
      <c r="J293" s="654"/>
      <c r="K293" s="654"/>
      <c r="L293" s="654"/>
      <c r="M293" s="654"/>
      <c r="N293" s="654"/>
      <c r="O293" s="654"/>
      <c r="P293" s="654"/>
      <c r="Q293" s="1364"/>
      <c r="R293" s="654"/>
      <c r="S293" s="654"/>
      <c r="T293" s="654"/>
      <c r="U293" s="654"/>
      <c r="V293" s="654"/>
      <c r="W293" s="654"/>
      <c r="X293" s="654"/>
      <c r="Y293" s="654"/>
      <c r="Z293" s="654"/>
      <c r="AA293" s="654"/>
      <c r="AB293" s="654"/>
      <c r="AC293" s="654"/>
      <c r="AD293" s="654"/>
      <c r="AE293" s="654"/>
      <c r="AF293" s="654"/>
      <c r="AG293" s="654"/>
      <c r="AH293" s="654"/>
      <c r="AI293" s="654"/>
      <c r="AJ293" s="654"/>
      <c r="AK293" s="1364"/>
      <c r="AL293" s="654"/>
      <c r="AM293" s="654"/>
      <c r="AN293" s="654"/>
      <c r="AO293" s="1364"/>
      <c r="AP293" s="654"/>
      <c r="AQ293" s="654"/>
      <c r="AR293" s="654"/>
      <c r="AS293" s="654"/>
      <c r="AT293" s="654"/>
      <c r="AU293" s="654"/>
      <c r="AV293" s="654"/>
      <c r="AW293" s="654"/>
      <c r="AX293" s="654"/>
      <c r="AY293" s="654"/>
      <c r="AZ293" s="654"/>
      <c r="BA293" s="654"/>
      <c r="BB293" s="654"/>
      <c r="BC293" s="1364"/>
      <c r="BD293" s="654"/>
      <c r="BE293" s="654"/>
      <c r="BF293" s="654"/>
      <c r="BG293" s="654"/>
      <c r="BH293" s="654"/>
      <c r="BI293" s="654"/>
      <c r="BJ293" s="654"/>
      <c r="BK293" s="654"/>
      <c r="BL293" s="654"/>
      <c r="BM293" s="654"/>
      <c r="BN293" s="654"/>
      <c r="BO293" s="654"/>
      <c r="BP293" s="654"/>
      <c r="BQ293" s="654"/>
      <c r="BR293" s="654"/>
      <c r="BS293" s="654"/>
    </row>
    <row r="294" spans="1:71" s="1399" customFormat="1">
      <c r="A294" s="1394"/>
      <c r="B294" s="1394"/>
      <c r="C294" s="1394"/>
      <c r="D294" s="1394"/>
      <c r="E294" s="1394"/>
      <c r="F294" s="1394"/>
      <c r="G294" s="1394"/>
      <c r="H294" s="1400"/>
      <c r="I294" s="1396"/>
      <c r="J294" s="1397"/>
      <c r="K294" s="1397"/>
      <c r="L294" s="1397"/>
      <c r="M294" s="1397"/>
      <c r="N294" s="1397"/>
      <c r="O294" s="1397"/>
      <c r="P294" s="1397"/>
      <c r="Q294" s="1398"/>
      <c r="R294" s="1397"/>
      <c r="S294" s="1397"/>
      <c r="T294" s="1397"/>
      <c r="U294" s="1397"/>
      <c r="V294" s="1397"/>
      <c r="W294" s="1397"/>
      <c r="X294" s="1397"/>
      <c r="Y294" s="1397"/>
      <c r="Z294" s="1397"/>
      <c r="AA294" s="1397"/>
      <c r="AB294" s="1397"/>
      <c r="AC294" s="1397"/>
      <c r="AD294" s="1397"/>
      <c r="AE294" s="1397"/>
      <c r="AF294" s="1397"/>
      <c r="AG294" s="1397"/>
      <c r="AH294" s="1397"/>
      <c r="AI294" s="1397"/>
      <c r="AJ294" s="1397"/>
      <c r="AK294" s="1398"/>
      <c r="AL294" s="1397"/>
      <c r="AM294" s="1397"/>
      <c r="AN294" s="1397"/>
      <c r="AO294" s="1398"/>
      <c r="AP294" s="1397"/>
      <c r="AQ294" s="1397"/>
      <c r="AR294" s="1397"/>
      <c r="AS294" s="1397"/>
      <c r="AT294" s="1397"/>
      <c r="AU294" s="1397"/>
      <c r="AV294" s="1397"/>
      <c r="AW294" s="1397"/>
      <c r="AX294" s="1397"/>
      <c r="AY294" s="1397"/>
      <c r="AZ294" s="1397"/>
      <c r="BA294" s="1397"/>
      <c r="BB294" s="1397"/>
      <c r="BC294" s="1398"/>
      <c r="BD294" s="1397"/>
      <c r="BE294" s="1397"/>
      <c r="BF294" s="1397"/>
      <c r="BG294" s="1397"/>
      <c r="BH294" s="1397"/>
      <c r="BI294" s="1397"/>
      <c r="BJ294" s="1397"/>
      <c r="BK294" s="1397"/>
      <c r="BL294" s="1397"/>
      <c r="BM294" s="1397"/>
      <c r="BN294" s="1397"/>
      <c r="BO294" s="1397"/>
      <c r="BP294" s="1397"/>
      <c r="BQ294" s="1397"/>
      <c r="BR294" s="1397"/>
      <c r="BS294" s="1397"/>
    </row>
    <row r="295" spans="1:71" s="195" customFormat="1">
      <c r="A295" s="431"/>
      <c r="B295" s="431"/>
      <c r="C295" s="451" t="s">
        <v>4647</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c r="A297" s="431"/>
      <c r="B297" s="431"/>
      <c r="C297" s="431"/>
      <c r="D297" s="441" t="s">
        <v>4648</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c r="A298" s="431"/>
      <c r="B298" s="431"/>
      <c r="C298" s="431"/>
      <c r="D298" s="431"/>
      <c r="E298" s="605" t="s">
        <v>4649</v>
      </c>
      <c r="F298" s="609">
        <f t="shared" ref="F298:F304" si="356">IF(F242=0,0,F260/F242)</f>
        <v>0</v>
      </c>
      <c r="G298" s="605" t="s">
        <v>2016</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c r="A299" s="431"/>
      <c r="B299" s="431"/>
      <c r="C299" s="431"/>
      <c r="D299" s="431"/>
      <c r="E299" s="605" t="s">
        <v>4650</v>
      </c>
      <c r="F299" s="609">
        <f t="shared" si="356"/>
        <v>1</v>
      </c>
      <c r="G299" s="605" t="s">
        <v>2016</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c r="A300" s="431"/>
      <c r="B300" s="431"/>
      <c r="C300" s="431"/>
      <c r="D300" s="431"/>
      <c r="E300" s="605" t="s">
        <v>4651</v>
      </c>
      <c r="F300" s="609">
        <f t="shared" si="356"/>
        <v>0</v>
      </c>
      <c r="G300" s="605" t="s">
        <v>2016</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c r="A301" s="431"/>
      <c r="B301" s="431"/>
      <c r="C301" s="431"/>
      <c r="D301" s="431"/>
      <c r="E301" s="605" t="s">
        <v>4652</v>
      </c>
      <c r="F301" s="609">
        <f t="shared" si="356"/>
        <v>0</v>
      </c>
      <c r="G301" s="605" t="s">
        <v>2016</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c r="A302" s="431"/>
      <c r="B302" s="431"/>
      <c r="C302" s="431"/>
      <c r="D302" s="431"/>
      <c r="E302" s="605" t="s">
        <v>4653</v>
      </c>
      <c r="F302" s="609">
        <f t="shared" si="356"/>
        <v>1</v>
      </c>
      <c r="G302" s="605" t="s">
        <v>2016</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c r="A303" s="431"/>
      <c r="B303" s="431"/>
      <c r="C303" s="431"/>
      <c r="D303" s="431"/>
      <c r="E303" s="605" t="s">
        <v>4654</v>
      </c>
      <c r="F303" s="609">
        <f t="shared" si="356"/>
        <v>0</v>
      </c>
      <c r="G303" s="605" t="s">
        <v>2016</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c r="A304" s="431"/>
      <c r="B304" s="431"/>
      <c r="C304" s="431"/>
      <c r="D304" s="431"/>
      <c r="E304" s="605" t="s">
        <v>4655</v>
      </c>
      <c r="F304" s="609">
        <f t="shared" si="356"/>
        <v>0</v>
      </c>
      <c r="G304" s="605" t="s">
        <v>2016</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c r="A306" s="431"/>
      <c r="B306" s="431"/>
      <c r="C306" s="431"/>
      <c r="D306" s="441" t="s">
        <v>4656</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c r="A307" s="1384"/>
      <c r="B307" s="1384"/>
      <c r="C307" s="1384"/>
      <c r="D307" s="1384"/>
      <c r="E307" s="1372" t="s">
        <v>4657</v>
      </c>
      <c r="F307" s="609">
        <f t="shared" ref="F307:F313" si="357">IF(F269=0,0,F269/F251)</f>
        <v>1</v>
      </c>
      <c r="G307" s="605" t="s">
        <v>2016</v>
      </c>
      <c r="H307" s="605"/>
      <c r="I307" s="610"/>
      <c r="J307" s="654"/>
      <c r="K307" s="654"/>
      <c r="L307" s="654"/>
      <c r="M307" s="654"/>
      <c r="N307" s="654"/>
      <c r="O307" s="654"/>
      <c r="P307" s="654"/>
      <c r="Q307" s="1364"/>
      <c r="R307" s="654"/>
      <c r="S307" s="654"/>
      <c r="T307" s="654"/>
      <c r="U307" s="654"/>
      <c r="V307" s="654"/>
      <c r="W307" s="654"/>
      <c r="X307" s="654"/>
      <c r="Y307" s="654"/>
      <c r="Z307" s="654"/>
      <c r="AA307" s="654"/>
      <c r="AB307" s="654"/>
      <c r="AC307" s="654"/>
      <c r="AD307" s="654"/>
      <c r="AE307" s="654"/>
      <c r="AF307" s="654"/>
      <c r="AG307" s="654"/>
      <c r="AH307" s="654"/>
      <c r="AI307" s="654"/>
      <c r="AJ307" s="654"/>
      <c r="AK307" s="1364"/>
      <c r="AL307" s="654"/>
      <c r="AM307" s="654"/>
      <c r="AN307" s="654"/>
      <c r="AO307" s="1364"/>
      <c r="AP307" s="654"/>
      <c r="AQ307" s="654"/>
      <c r="AR307" s="654"/>
      <c r="AS307" s="654"/>
      <c r="AT307" s="654"/>
      <c r="AU307" s="654"/>
      <c r="AV307" s="654"/>
      <c r="AW307" s="654"/>
      <c r="AX307" s="654"/>
      <c r="AY307" s="654"/>
      <c r="AZ307" s="654"/>
      <c r="BA307" s="654"/>
      <c r="BB307" s="654"/>
      <c r="BC307" s="1364"/>
      <c r="BD307" s="654"/>
      <c r="BE307" s="654"/>
      <c r="BF307" s="654"/>
      <c r="BG307" s="654"/>
      <c r="BH307" s="654"/>
      <c r="BI307" s="654"/>
      <c r="BJ307" s="654"/>
      <c r="BK307" s="654"/>
      <c r="BL307" s="654"/>
      <c r="BM307" s="654"/>
      <c r="BN307" s="654"/>
      <c r="BO307" s="654"/>
      <c r="BP307" s="654"/>
      <c r="BQ307" s="654"/>
      <c r="BR307" s="654"/>
      <c r="BS307" s="654"/>
    </row>
    <row r="308" spans="1:71" s="223" customFormat="1">
      <c r="A308" s="1384"/>
      <c r="B308" s="1384"/>
      <c r="C308" s="1384"/>
      <c r="D308" s="1384"/>
      <c r="E308" s="605" t="s">
        <v>4658</v>
      </c>
      <c r="F308" s="609">
        <f>IF(F270=0,0,F270/F252)</f>
        <v>0.97619213073683597</v>
      </c>
      <c r="G308" s="605" t="s">
        <v>2016</v>
      </c>
      <c r="H308" s="605"/>
      <c r="I308" s="610"/>
      <c r="J308" s="654"/>
      <c r="K308" s="654"/>
      <c r="L308" s="654"/>
      <c r="M308" s="654"/>
      <c r="N308" s="654"/>
      <c r="O308" s="654"/>
      <c r="P308" s="654"/>
      <c r="Q308" s="1364"/>
      <c r="R308" s="654"/>
      <c r="S308" s="654"/>
      <c r="T308" s="654"/>
      <c r="U308" s="654"/>
      <c r="V308" s="654"/>
      <c r="W308" s="654"/>
      <c r="X308" s="654"/>
      <c r="Y308" s="654"/>
      <c r="Z308" s="654"/>
      <c r="AA308" s="654"/>
      <c r="AB308" s="654"/>
      <c r="AC308" s="654"/>
      <c r="AD308" s="654"/>
      <c r="AE308" s="654"/>
      <c r="AF308" s="654"/>
      <c r="AG308" s="654"/>
      <c r="AH308" s="654"/>
      <c r="AI308" s="654"/>
      <c r="AJ308" s="654"/>
      <c r="AK308" s="1364"/>
      <c r="AL308" s="654"/>
      <c r="AM308" s="654"/>
      <c r="AN308" s="654"/>
      <c r="AO308" s="1364"/>
      <c r="AP308" s="654"/>
      <c r="AQ308" s="654"/>
      <c r="AR308" s="654"/>
      <c r="AS308" s="654"/>
      <c r="AT308" s="654"/>
      <c r="AU308" s="654"/>
      <c r="AV308" s="654"/>
      <c r="AW308" s="654"/>
      <c r="AX308" s="654"/>
      <c r="AY308" s="654"/>
      <c r="AZ308" s="654"/>
      <c r="BA308" s="654"/>
      <c r="BB308" s="654"/>
      <c r="BC308" s="1364"/>
      <c r="BD308" s="654"/>
      <c r="BE308" s="654"/>
      <c r="BF308" s="654"/>
      <c r="BG308" s="654"/>
      <c r="BH308" s="654"/>
      <c r="BI308" s="654"/>
      <c r="BJ308" s="654"/>
      <c r="BK308" s="654"/>
      <c r="BL308" s="654"/>
      <c r="BM308" s="654"/>
      <c r="BN308" s="654"/>
      <c r="BO308" s="654"/>
      <c r="BP308" s="654"/>
      <c r="BQ308" s="654"/>
      <c r="BR308" s="654"/>
      <c r="BS308" s="654"/>
    </row>
    <row r="309" spans="1:71" s="223" customFormat="1">
      <c r="A309" s="1384"/>
      <c r="B309" s="1384"/>
      <c r="C309" s="1384"/>
      <c r="D309" s="1384"/>
      <c r="E309" s="605" t="s">
        <v>4659</v>
      </c>
      <c r="F309" s="609">
        <f t="shared" si="357"/>
        <v>0.93352352465842536</v>
      </c>
      <c r="G309" s="605" t="s">
        <v>2016</v>
      </c>
      <c r="H309" s="605"/>
      <c r="I309" s="610"/>
      <c r="J309" s="654"/>
      <c r="K309" s="654"/>
      <c r="L309" s="654"/>
      <c r="M309" s="654"/>
      <c r="N309" s="654"/>
      <c r="O309" s="654"/>
      <c r="P309" s="654"/>
      <c r="Q309" s="1364"/>
      <c r="R309" s="654"/>
      <c r="S309" s="654"/>
      <c r="T309" s="654"/>
      <c r="U309" s="654"/>
      <c r="V309" s="654"/>
      <c r="W309" s="654"/>
      <c r="X309" s="654"/>
      <c r="Y309" s="654"/>
      <c r="Z309" s="654"/>
      <c r="AA309" s="654"/>
      <c r="AB309" s="654"/>
      <c r="AC309" s="654"/>
      <c r="AD309" s="654"/>
      <c r="AE309" s="654"/>
      <c r="AF309" s="654"/>
      <c r="AG309" s="654"/>
      <c r="AH309" s="654"/>
      <c r="AI309" s="654"/>
      <c r="AJ309" s="654"/>
      <c r="AK309" s="1364"/>
      <c r="AL309" s="654"/>
      <c r="AM309" s="654"/>
      <c r="AN309" s="654"/>
      <c r="AO309" s="1364"/>
      <c r="AP309" s="654"/>
      <c r="AQ309" s="654"/>
      <c r="AR309" s="654"/>
      <c r="AS309" s="654"/>
      <c r="AT309" s="654"/>
      <c r="AU309" s="654"/>
      <c r="AV309" s="654"/>
      <c r="AW309" s="654"/>
      <c r="AX309" s="654"/>
      <c r="AY309" s="654"/>
      <c r="AZ309" s="654"/>
      <c r="BA309" s="654"/>
      <c r="BB309" s="654"/>
      <c r="BC309" s="1364"/>
      <c r="BD309" s="654"/>
      <c r="BE309" s="654"/>
      <c r="BF309" s="654"/>
      <c r="BG309" s="654"/>
      <c r="BH309" s="654"/>
      <c r="BI309" s="654"/>
      <c r="BJ309" s="654"/>
      <c r="BK309" s="654"/>
      <c r="BL309" s="654"/>
      <c r="BM309" s="654"/>
      <c r="BN309" s="654"/>
      <c r="BO309" s="654"/>
      <c r="BP309" s="654"/>
      <c r="BQ309" s="654"/>
      <c r="BR309" s="654"/>
      <c r="BS309" s="654"/>
    </row>
    <row r="310" spans="1:71" s="223" customFormat="1">
      <c r="A310" s="1384"/>
      <c r="B310" s="1384"/>
      <c r="C310" s="1384"/>
      <c r="D310" s="1384"/>
      <c r="E310" s="605" t="s">
        <v>4660</v>
      </c>
      <c r="F310" s="609">
        <f t="shared" si="357"/>
        <v>0</v>
      </c>
      <c r="G310" s="605" t="s">
        <v>2016</v>
      </c>
      <c r="H310" s="605"/>
      <c r="I310" s="610"/>
      <c r="J310" s="654"/>
      <c r="K310" s="654"/>
      <c r="L310" s="654"/>
      <c r="M310" s="654"/>
      <c r="N310" s="654"/>
      <c r="O310" s="654"/>
      <c r="P310" s="654"/>
      <c r="Q310" s="1364"/>
      <c r="R310" s="654"/>
      <c r="S310" s="654"/>
      <c r="T310" s="654"/>
      <c r="U310" s="654"/>
      <c r="V310" s="654"/>
      <c r="W310" s="654"/>
      <c r="X310" s="654"/>
      <c r="Y310" s="654"/>
      <c r="Z310" s="654"/>
      <c r="AA310" s="654"/>
      <c r="AB310" s="654"/>
      <c r="AC310" s="654"/>
      <c r="AD310" s="654"/>
      <c r="AE310" s="654"/>
      <c r="AF310" s="654"/>
      <c r="AG310" s="654"/>
      <c r="AH310" s="654"/>
      <c r="AI310" s="654"/>
      <c r="AJ310" s="654"/>
      <c r="AK310" s="1364"/>
      <c r="AL310" s="654"/>
      <c r="AM310" s="654"/>
      <c r="AN310" s="654"/>
      <c r="AO310" s="1364"/>
      <c r="AP310" s="654"/>
      <c r="AQ310" s="654"/>
      <c r="AR310" s="654"/>
      <c r="AS310" s="654"/>
      <c r="AT310" s="654"/>
      <c r="AU310" s="654"/>
      <c r="AV310" s="654"/>
      <c r="AW310" s="654"/>
      <c r="AX310" s="654"/>
      <c r="AY310" s="654"/>
      <c r="AZ310" s="654"/>
      <c r="BA310" s="654"/>
      <c r="BB310" s="654"/>
      <c r="BC310" s="1364"/>
      <c r="BD310" s="654"/>
      <c r="BE310" s="654"/>
      <c r="BF310" s="654"/>
      <c r="BG310" s="654"/>
      <c r="BH310" s="654"/>
      <c r="BI310" s="654"/>
      <c r="BJ310" s="654"/>
      <c r="BK310" s="654"/>
      <c r="BL310" s="654"/>
      <c r="BM310" s="654"/>
      <c r="BN310" s="654"/>
      <c r="BO310" s="654"/>
      <c r="BP310" s="654"/>
      <c r="BQ310" s="654"/>
      <c r="BR310" s="654"/>
      <c r="BS310" s="654"/>
    </row>
    <row r="311" spans="1:71" s="223" customFormat="1">
      <c r="A311" s="1384"/>
      <c r="B311" s="1384"/>
      <c r="C311" s="1384"/>
      <c r="D311" s="1384"/>
      <c r="E311" s="605" t="s">
        <v>4661</v>
      </c>
      <c r="F311" s="609">
        <f t="shared" si="357"/>
        <v>0</v>
      </c>
      <c r="G311" s="605" t="s">
        <v>2016</v>
      </c>
      <c r="H311" s="605"/>
      <c r="I311" s="610"/>
      <c r="J311" s="654"/>
      <c r="K311" s="654"/>
      <c r="L311" s="654"/>
      <c r="M311" s="654"/>
      <c r="N311" s="654"/>
      <c r="O311" s="654"/>
      <c r="P311" s="654"/>
      <c r="Q311" s="1364"/>
      <c r="R311" s="654"/>
      <c r="S311" s="654"/>
      <c r="T311" s="654"/>
      <c r="U311" s="654"/>
      <c r="V311" s="654"/>
      <c r="W311" s="654"/>
      <c r="X311" s="654"/>
      <c r="Y311" s="654"/>
      <c r="Z311" s="654"/>
      <c r="AA311" s="654"/>
      <c r="AB311" s="654"/>
      <c r="AC311" s="654"/>
      <c r="AD311" s="654"/>
      <c r="AE311" s="654"/>
      <c r="AF311" s="654"/>
      <c r="AG311" s="654"/>
      <c r="AH311" s="654"/>
      <c r="AI311" s="654"/>
      <c r="AJ311" s="654"/>
      <c r="AK311" s="1364"/>
      <c r="AL311" s="654"/>
      <c r="AM311" s="654"/>
      <c r="AN311" s="654"/>
      <c r="AO311" s="1364"/>
      <c r="AP311" s="654"/>
      <c r="AQ311" s="654"/>
      <c r="AR311" s="654"/>
      <c r="AS311" s="654"/>
      <c r="AT311" s="654"/>
      <c r="AU311" s="654"/>
      <c r="AV311" s="654"/>
      <c r="AW311" s="654"/>
      <c r="AX311" s="654"/>
      <c r="AY311" s="654"/>
      <c r="AZ311" s="654"/>
      <c r="BA311" s="654"/>
      <c r="BB311" s="654"/>
      <c r="BC311" s="1364"/>
      <c r="BD311" s="654"/>
      <c r="BE311" s="654"/>
      <c r="BF311" s="654"/>
      <c r="BG311" s="654"/>
      <c r="BH311" s="654"/>
      <c r="BI311" s="654"/>
      <c r="BJ311" s="654"/>
      <c r="BK311" s="654"/>
      <c r="BL311" s="654"/>
      <c r="BM311" s="654"/>
      <c r="BN311" s="654"/>
      <c r="BO311" s="654"/>
      <c r="BP311" s="654"/>
      <c r="BQ311" s="654"/>
      <c r="BR311" s="654"/>
      <c r="BS311" s="654"/>
    </row>
    <row r="312" spans="1:71" s="223" customFormat="1">
      <c r="A312" s="1384"/>
      <c r="B312" s="1384"/>
      <c r="C312" s="1384"/>
      <c r="D312" s="1384"/>
      <c r="E312" s="605" t="s">
        <v>4662</v>
      </c>
      <c r="F312" s="609">
        <f t="shared" si="357"/>
        <v>0</v>
      </c>
      <c r="G312" s="605" t="s">
        <v>2016</v>
      </c>
      <c r="H312" s="605"/>
      <c r="I312" s="610"/>
      <c r="J312" s="654"/>
      <c r="K312" s="654"/>
      <c r="L312" s="654"/>
      <c r="M312" s="654"/>
      <c r="N312" s="654"/>
      <c r="O312" s="654"/>
      <c r="P312" s="654"/>
      <c r="Q312" s="1364"/>
      <c r="R312" s="654"/>
      <c r="S312" s="654"/>
      <c r="T312" s="654"/>
      <c r="U312" s="654"/>
      <c r="V312" s="654"/>
      <c r="W312" s="654"/>
      <c r="X312" s="654"/>
      <c r="Y312" s="654"/>
      <c r="Z312" s="654"/>
      <c r="AA312" s="654"/>
      <c r="AB312" s="654"/>
      <c r="AC312" s="654"/>
      <c r="AD312" s="654"/>
      <c r="AE312" s="654"/>
      <c r="AF312" s="654"/>
      <c r="AG312" s="654"/>
      <c r="AH312" s="654"/>
      <c r="AI312" s="654"/>
      <c r="AJ312" s="654"/>
      <c r="AK312" s="1364"/>
      <c r="AL312" s="654"/>
      <c r="AM312" s="654"/>
      <c r="AN312" s="654"/>
      <c r="AO312" s="1364"/>
      <c r="AP312" s="654"/>
      <c r="AQ312" s="654"/>
      <c r="AR312" s="654"/>
      <c r="AS312" s="654"/>
      <c r="AT312" s="654"/>
      <c r="AU312" s="654"/>
      <c r="AV312" s="654"/>
      <c r="AW312" s="654"/>
      <c r="AX312" s="654"/>
      <c r="AY312" s="654"/>
      <c r="AZ312" s="654"/>
      <c r="BA312" s="654"/>
      <c r="BB312" s="654"/>
      <c r="BC312" s="1364"/>
      <c r="BD312" s="654"/>
      <c r="BE312" s="654"/>
      <c r="BF312" s="654"/>
      <c r="BG312" s="654"/>
      <c r="BH312" s="654"/>
      <c r="BI312" s="654"/>
      <c r="BJ312" s="654"/>
      <c r="BK312" s="654"/>
      <c r="BL312" s="654"/>
      <c r="BM312" s="654"/>
      <c r="BN312" s="654"/>
      <c r="BO312" s="654"/>
      <c r="BP312" s="654"/>
      <c r="BQ312" s="654"/>
      <c r="BR312" s="654"/>
      <c r="BS312" s="654"/>
    </row>
    <row r="313" spans="1:71" s="223" customFormat="1">
      <c r="A313" s="1384"/>
      <c r="B313" s="1384"/>
      <c r="C313" s="1384"/>
      <c r="D313" s="1384"/>
      <c r="E313" s="605" t="s">
        <v>4663</v>
      </c>
      <c r="F313" s="609">
        <f t="shared" si="357"/>
        <v>0</v>
      </c>
      <c r="G313" s="605" t="s">
        <v>2016</v>
      </c>
      <c r="H313" s="605"/>
      <c r="I313" s="610"/>
      <c r="J313" s="654"/>
      <c r="K313" s="654"/>
      <c r="L313" s="654"/>
      <c r="M313" s="654"/>
      <c r="N313" s="654"/>
      <c r="O313" s="654"/>
      <c r="P313" s="654"/>
      <c r="Q313" s="1364"/>
      <c r="R313" s="654"/>
      <c r="S313" s="654"/>
      <c r="T313" s="654"/>
      <c r="U313" s="654"/>
      <c r="V313" s="654"/>
      <c r="W313" s="654"/>
      <c r="X313" s="654"/>
      <c r="Y313" s="654"/>
      <c r="Z313" s="654"/>
      <c r="AA313" s="654"/>
      <c r="AB313" s="654"/>
      <c r="AC313" s="654"/>
      <c r="AD313" s="654"/>
      <c r="AE313" s="654"/>
      <c r="AF313" s="654"/>
      <c r="AG313" s="654"/>
      <c r="AH313" s="654"/>
      <c r="AI313" s="654"/>
      <c r="AJ313" s="654"/>
      <c r="AK313" s="1364"/>
      <c r="AL313" s="654"/>
      <c r="AM313" s="654"/>
      <c r="AN313" s="654"/>
      <c r="AO313" s="1364"/>
      <c r="AP313" s="654"/>
      <c r="AQ313" s="654"/>
      <c r="AR313" s="654"/>
      <c r="AS313" s="654"/>
      <c r="AT313" s="654"/>
      <c r="AU313" s="654"/>
      <c r="AV313" s="654"/>
      <c r="AW313" s="654"/>
      <c r="AX313" s="654"/>
      <c r="AY313" s="654"/>
      <c r="AZ313" s="654"/>
      <c r="BA313" s="654"/>
      <c r="BB313" s="654"/>
      <c r="BC313" s="1364"/>
      <c r="BD313" s="654"/>
      <c r="BE313" s="654"/>
      <c r="BF313" s="654"/>
      <c r="BG313" s="654"/>
      <c r="BH313" s="654"/>
      <c r="BI313" s="654"/>
      <c r="BJ313" s="654"/>
      <c r="BK313" s="654"/>
      <c r="BL313" s="654"/>
      <c r="BM313" s="654"/>
      <c r="BN313" s="654"/>
      <c r="BO313" s="654"/>
      <c r="BP313" s="654"/>
      <c r="BQ313" s="654"/>
      <c r="BR313" s="654"/>
      <c r="BS313" s="654"/>
    </row>
    <row r="314" spans="1:71" s="195" customFormat="1">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c r="A315" s="431"/>
      <c r="B315" s="431"/>
      <c r="C315" s="451" t="s">
        <v>4664</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c r="A317" s="431"/>
      <c r="B317" s="431"/>
      <c r="C317" s="431"/>
      <c r="D317" s="441" t="s">
        <v>4665</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c r="A318" s="431"/>
      <c r="B318" s="431"/>
      <c r="C318" s="431"/>
      <c r="D318" s="431"/>
      <c r="E318" s="605" t="s">
        <v>4666</v>
      </c>
      <c r="F318" s="1907">
        <f>IF(F278&lt;&gt;0,SUMIF(J$190:BS$190,"RCV",J201:BS201)/F278,0)</f>
        <v>0</v>
      </c>
      <c r="G318" s="605" t="s">
        <v>2016</v>
      </c>
      <c r="H318" s="431"/>
      <c r="I318" s="611"/>
      <c r="J318" s="472"/>
      <c r="K318" s="472"/>
      <c r="L318" s="472"/>
      <c r="M318" s="472"/>
      <c r="N318" s="472"/>
      <c r="O318" s="472"/>
      <c r="P318" s="472"/>
      <c r="Q318" s="474"/>
      <c r="R318" s="472"/>
      <c r="S318" s="472"/>
      <c r="T318" s="472"/>
      <c r="U318" s="472"/>
      <c r="V318" s="472"/>
      <c r="W318" s="644" t="s">
        <v>4667</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c r="A319" s="431"/>
      <c r="B319" s="431"/>
      <c r="C319" s="431"/>
      <c r="D319" s="431"/>
      <c r="E319" s="605" t="s">
        <v>4668</v>
      </c>
      <c r="F319" s="1907">
        <f>IF(F279&lt;&gt;0,SUMIF(J$190:BS$190,"RCV",J202:BS202)/F279,0)</f>
        <v>0</v>
      </c>
      <c r="G319" s="605" t="s">
        <v>2016</v>
      </c>
      <c r="H319" s="431"/>
      <c r="I319" s="611"/>
      <c r="J319" s="472"/>
      <c r="K319" s="472"/>
      <c r="L319" s="472"/>
      <c r="M319" s="472"/>
      <c r="N319" s="472"/>
      <c r="O319" s="472"/>
      <c r="P319" s="472"/>
      <c r="Q319" s="474"/>
      <c r="R319" s="472"/>
      <c r="S319" s="472"/>
      <c r="T319" s="472"/>
      <c r="U319" s="472"/>
      <c r="V319" s="472"/>
      <c r="W319" s="644" t="s">
        <v>4669</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c r="A320" s="431"/>
      <c r="B320" s="431"/>
      <c r="C320" s="431"/>
      <c r="D320" s="431"/>
      <c r="E320" s="605" t="s">
        <v>4670</v>
      </c>
      <c r="F320" s="1908">
        <f t="shared" ref="F320:F324" si="358">IF(F280&lt;&gt;0,SUMIF(J$190:BS$190,"RCV",J203:BS203)/F280,0)</f>
        <v>0</v>
      </c>
      <c r="G320" s="605" t="s">
        <v>2016</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c r="A321" s="431"/>
      <c r="B321" s="431"/>
      <c r="C321" s="431"/>
      <c r="D321" s="431"/>
      <c r="E321" s="605" t="s">
        <v>4671</v>
      </c>
      <c r="F321" s="1908">
        <f t="shared" si="358"/>
        <v>0</v>
      </c>
      <c r="G321" s="605" t="s">
        <v>2016</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c r="A322" s="431"/>
      <c r="B322" s="431"/>
      <c r="C322" s="431"/>
      <c r="D322" s="431"/>
      <c r="E322" s="605" t="s">
        <v>4672</v>
      </c>
      <c r="F322" s="1908">
        <f t="shared" si="358"/>
        <v>0</v>
      </c>
      <c r="G322" s="605" t="s">
        <v>2016</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c r="A323" s="431"/>
      <c r="B323" s="431"/>
      <c r="C323" s="431"/>
      <c r="D323" s="431"/>
      <c r="E323" s="605" t="s">
        <v>4673</v>
      </c>
      <c r="F323" s="1908">
        <f t="shared" si="358"/>
        <v>0</v>
      </c>
      <c r="G323" s="605" t="s">
        <v>2016</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c r="A324" s="431"/>
      <c r="B324" s="431"/>
      <c r="C324" s="431"/>
      <c r="D324" s="431"/>
      <c r="E324" s="605" t="s">
        <v>4674</v>
      </c>
      <c r="F324" s="1908">
        <f t="shared" si="358"/>
        <v>0</v>
      </c>
      <c r="G324" s="605" t="s">
        <v>2016</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c r="A326" s="431"/>
      <c r="B326" s="431"/>
      <c r="C326" s="431"/>
      <c r="D326" s="441" t="s">
        <v>4675</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c r="A327" s="431"/>
      <c r="B327" s="431"/>
      <c r="C327" s="431"/>
      <c r="D327" s="431"/>
      <c r="E327" s="605" t="s">
        <v>4676</v>
      </c>
      <c r="F327" s="1907">
        <f>IF(F287&lt;&gt;0,SUMIF(J$190:BS$190,"RCV",J210:BS210)/F287,0)</f>
        <v>0</v>
      </c>
      <c r="G327" s="605" t="s">
        <v>2016</v>
      </c>
      <c r="H327" s="431"/>
      <c r="I327" s="611"/>
      <c r="J327" s="472"/>
      <c r="K327" s="472"/>
      <c r="L327" s="472"/>
      <c r="M327" s="472"/>
      <c r="N327" s="472"/>
      <c r="O327" s="472"/>
      <c r="P327" s="472"/>
      <c r="Q327" s="474"/>
      <c r="R327" s="472"/>
      <c r="S327" s="472"/>
      <c r="T327" s="472"/>
      <c r="U327" s="472"/>
      <c r="V327" s="472"/>
      <c r="W327" s="644" t="s">
        <v>4677</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c r="A328" s="431"/>
      <c r="B328" s="431"/>
      <c r="C328" s="431"/>
      <c r="D328" s="431"/>
      <c r="E328" s="605" t="s">
        <v>4678</v>
      </c>
      <c r="F328" s="1907">
        <f>IF(F288&lt;&gt;0,SUMIF(J$190:BS$190,"RCV",J211:BS211)/F288,0)</f>
        <v>0</v>
      </c>
      <c r="G328" s="605" t="s">
        <v>2016</v>
      </c>
      <c r="H328" s="431"/>
      <c r="I328" s="611"/>
      <c r="J328" s="472"/>
      <c r="K328" s="472"/>
      <c r="L328" s="472"/>
      <c r="M328" s="472"/>
      <c r="N328" s="472"/>
      <c r="O328" s="472"/>
      <c r="P328" s="472"/>
      <c r="Q328" s="474"/>
      <c r="R328" s="472"/>
      <c r="S328" s="472"/>
      <c r="T328" s="472"/>
      <c r="U328" s="472"/>
      <c r="V328" s="472"/>
      <c r="W328" s="644" t="s">
        <v>4679</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c r="A329" s="431"/>
      <c r="B329" s="431"/>
      <c r="C329" s="431"/>
      <c r="D329" s="431"/>
      <c r="E329" s="605" t="s">
        <v>4680</v>
      </c>
      <c r="F329" s="1908">
        <f t="shared" ref="F329:F333" si="359">IF(F289&lt;&gt;0,SUMIF(J$190:BS$190,"RCV",J212:BS212)/F289,0)</f>
        <v>0</v>
      </c>
      <c r="G329" s="605" t="s">
        <v>2016</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c r="A330" s="431"/>
      <c r="B330" s="431"/>
      <c r="C330" s="431"/>
      <c r="D330" s="431"/>
      <c r="E330" s="605" t="s">
        <v>4681</v>
      </c>
      <c r="F330" s="1908">
        <f t="shared" si="359"/>
        <v>0</v>
      </c>
      <c r="G330" s="605" t="s">
        <v>2016</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c r="A331" s="431"/>
      <c r="B331" s="431"/>
      <c r="C331" s="431"/>
      <c r="D331" s="431"/>
      <c r="E331" s="605" t="s">
        <v>4682</v>
      </c>
      <c r="F331" s="1908">
        <f t="shared" si="359"/>
        <v>0</v>
      </c>
      <c r="G331" s="605" t="s">
        <v>2016</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c r="A332" s="431"/>
      <c r="B332" s="431"/>
      <c r="C332" s="431"/>
      <c r="D332" s="431"/>
      <c r="E332" s="605" t="s">
        <v>4683</v>
      </c>
      <c r="F332" s="1908">
        <f t="shared" si="359"/>
        <v>0</v>
      </c>
      <c r="G332" s="605" t="s">
        <v>2016</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c r="A333" s="431"/>
      <c r="B333" s="431"/>
      <c r="C333" s="431"/>
      <c r="D333" s="431"/>
      <c r="E333" s="605" t="s">
        <v>4684</v>
      </c>
      <c r="F333" s="1908">
        <f t="shared" si="359"/>
        <v>0</v>
      </c>
      <c r="G333" s="605" t="s">
        <v>2016</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25">
      <c r="A335" s="417" t="s">
        <v>1082</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2" priority="10" operator="equal">
      <formula>0</formula>
    </cfRule>
  </conditionalFormatting>
  <conditionalFormatting sqref="J63:BS63">
    <cfRule type="cellIs" dxfId="101" priority="11" operator="equal">
      <formula>0</formula>
    </cfRule>
  </conditionalFormatting>
  <conditionalFormatting sqref="J110:BS110">
    <cfRule type="cellIs" dxfId="100" priority="12" operator="equal">
      <formula>0</formula>
    </cfRule>
  </conditionalFormatting>
  <conditionalFormatting sqref="J131:BS131">
    <cfRule type="cellIs" dxfId="99" priority="13" operator="equal">
      <formula>0</formula>
    </cfRule>
  </conditionalFormatting>
  <conditionalFormatting sqref="J140:BS140">
    <cfRule type="cellIs" dxfId="98" priority="14" operator="equal">
      <formula>0</formula>
    </cfRule>
  </conditionalFormatting>
  <conditionalFormatting sqref="J143:BS143">
    <cfRule type="cellIs" dxfId="97" priority="15" operator="equal">
      <formula>0</formula>
    </cfRule>
  </conditionalFormatting>
  <conditionalFormatting sqref="J183:BS183">
    <cfRule type="cellIs" dxfId="96" priority="1" operator="equal">
      <formula>0</formula>
    </cfRule>
  </conditionalFormatting>
  <conditionalFormatting sqref="J185:BS186">
    <cfRule type="cellIs" dxfId="95" priority="16" operator="equal">
      <formula>0</formula>
    </cfRule>
  </conditionalFormatting>
  <conditionalFormatting sqref="M171:BS179">
    <cfRule type="cellIs" dxfId="94"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E22" zoomScale="80" zoomScaleNormal="80" zoomScaleSheetLayoutView="80" workbookViewId="0">
      <selection activeCell="J33" sqref="J33"/>
    </sheetView>
  </sheetViews>
  <sheetFormatPr defaultColWidth="8.625" defaultRowHeight="12.75"/>
  <cols>
    <col min="1" max="4" width="1.625" style="200" customWidth="1"/>
    <col min="5" max="5" width="76.875" style="200" customWidth="1"/>
    <col min="6" max="8" width="15.625" style="200" customWidth="1"/>
    <col min="9" max="9" width="2.625" style="200" customWidth="1"/>
    <col min="10" max="12" width="18.625" style="200" customWidth="1"/>
    <col min="13" max="13" width="8.625" style="200" customWidth="1"/>
    <col min="14" max="16384" width="8.625" style="200"/>
  </cols>
  <sheetData>
    <row r="1" spans="1:17" s="225" customFormat="1" ht="44.25">
      <c r="A1" s="657" t="e">
        <f ca="1" xml:space="preserve"> RIGHT(CELL("filename", $A$1), LEN(CELL("filename", $A$1)) - SEARCH("]", CELL("filename", $A$1)))</f>
        <v>#VALUE!</v>
      </c>
      <c r="B1" s="612"/>
      <c r="C1" s="224"/>
      <c r="D1" s="224"/>
      <c r="E1" s="224"/>
      <c r="F1" s="224"/>
      <c r="G1" s="224"/>
      <c r="H1" s="224"/>
      <c r="I1" s="224"/>
      <c r="J1" s="224"/>
      <c r="K1" s="224"/>
      <c r="L1" s="613" t="str">
        <f>InpCompany!F5</f>
        <v>Anglian Water</v>
      </c>
    </row>
    <row r="2" spans="1:17" s="195" customFormat="1">
      <c r="A2" s="431"/>
      <c r="B2" s="431"/>
      <c r="C2" s="431"/>
      <c r="D2" s="431"/>
      <c r="E2" s="431"/>
      <c r="F2" s="440" t="s">
        <v>1938</v>
      </c>
      <c r="G2" s="440" t="s">
        <v>155</v>
      </c>
      <c r="H2" s="440" t="s">
        <v>1299</v>
      </c>
      <c r="I2" s="441"/>
      <c r="J2" s="431"/>
      <c r="K2" s="431"/>
      <c r="L2" s="431"/>
    </row>
    <row r="3" spans="1:17" s="199" customFormat="1">
      <c r="A3" s="614" t="s">
        <v>2018</v>
      </c>
      <c r="B3" s="615"/>
      <c r="C3" s="615"/>
      <c r="D3" s="616"/>
      <c r="E3" s="617"/>
      <c r="F3" s="617"/>
      <c r="G3" s="617"/>
      <c r="H3" s="618"/>
      <c r="I3" s="617"/>
      <c r="J3" s="617"/>
      <c r="K3" s="617"/>
      <c r="L3" s="617"/>
    </row>
    <row r="4" spans="1:17" s="195" customFormat="1">
      <c r="A4" s="431"/>
      <c r="B4" s="431"/>
      <c r="C4" s="431"/>
      <c r="D4" s="431"/>
      <c r="E4" s="431"/>
      <c r="F4" s="431"/>
      <c r="G4" s="472"/>
      <c r="H4" s="431"/>
      <c r="I4" s="431"/>
      <c r="J4" s="619" t="s">
        <v>2069</v>
      </c>
      <c r="K4" s="619" t="s">
        <v>2070</v>
      </c>
      <c r="L4" s="619" t="s">
        <v>4685</v>
      </c>
      <c r="O4" s="209"/>
      <c r="Q4" s="209"/>
    </row>
    <row r="5" spans="1:17" s="226" customFormat="1">
      <c r="A5" s="620"/>
      <c r="B5" s="621"/>
      <c r="C5" s="622" t="s">
        <v>4686</v>
      </c>
      <c r="D5" s="623"/>
      <c r="E5" s="621"/>
      <c r="F5" s="621"/>
      <c r="G5" s="624"/>
      <c r="H5" s="621"/>
      <c r="I5" s="621"/>
      <c r="J5" s="621"/>
      <c r="K5" s="621"/>
      <c r="L5" s="621"/>
    </row>
    <row r="6" spans="1:17">
      <c r="A6" s="433"/>
      <c r="B6" s="433"/>
      <c r="C6" s="433"/>
      <c r="D6" s="433"/>
      <c r="E6" s="433"/>
      <c r="F6" s="433"/>
      <c r="G6" s="449"/>
      <c r="H6" s="433"/>
      <c r="I6" s="433"/>
      <c r="J6" s="625"/>
      <c r="K6" s="625"/>
      <c r="L6" s="625"/>
      <c r="M6" s="227"/>
      <c r="O6" s="204"/>
      <c r="Q6" s="204"/>
    </row>
    <row r="7" spans="1:17">
      <c r="A7" s="433"/>
      <c r="B7" s="433"/>
      <c r="C7" s="433"/>
      <c r="D7" s="438" t="s">
        <v>4598</v>
      </c>
      <c r="E7" s="433"/>
      <c r="F7" s="433"/>
      <c r="G7" s="449"/>
      <c r="H7" s="433"/>
      <c r="I7" s="433"/>
      <c r="J7" s="433"/>
      <c r="K7" s="433"/>
      <c r="L7" s="433"/>
      <c r="O7" s="204"/>
      <c r="Q7" s="204"/>
    </row>
    <row r="8" spans="1:17" s="228" customFormat="1">
      <c r="A8" s="626"/>
      <c r="B8" s="626"/>
      <c r="C8" s="626"/>
      <c r="D8" s="626"/>
      <c r="E8" s="627" t="str">
        <f>Performance!E242</f>
        <v>Outperformance payments earned this reporting year - Water resources</v>
      </c>
      <c r="F8" s="561">
        <f>Performance!F242</f>
        <v>0</v>
      </c>
      <c r="G8" s="627" t="str">
        <f>Performance!G242</f>
        <v>£m (2017-18 prices)</v>
      </c>
      <c r="H8" s="561"/>
      <c r="I8" s="626"/>
      <c r="J8" s="626"/>
      <c r="K8" s="626"/>
      <c r="L8" s="626"/>
      <c r="O8" s="229"/>
      <c r="Q8" s="229"/>
    </row>
    <row r="9" spans="1:17" s="228" customFormat="1">
      <c r="A9" s="626"/>
      <c r="B9" s="626"/>
      <c r="C9" s="626"/>
      <c r="D9" s="626"/>
      <c r="E9" s="627" t="str">
        <f>Performance!E243</f>
        <v>Outperformance payments earned this reporting year - Water network plus</v>
      </c>
      <c r="F9" s="561">
        <f>Performance!F243</f>
        <v>0.27895999999999999</v>
      </c>
      <c r="G9" s="627" t="str">
        <f>Performance!G243</f>
        <v>£m (2017-18 prices)</v>
      </c>
      <c r="H9" s="561"/>
      <c r="I9" s="626"/>
      <c r="J9" s="626"/>
      <c r="K9" s="626"/>
      <c r="L9" s="626"/>
      <c r="O9" s="229"/>
      <c r="Q9" s="229"/>
    </row>
    <row r="10" spans="1:17" s="228" customFormat="1">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c r="A12" s="626"/>
      <c r="B12" s="626"/>
      <c r="C12" s="626"/>
      <c r="D12" s="626"/>
      <c r="E12" s="627" t="str">
        <f>Performance!E246</f>
        <v>Outperformance payments earned this reporting year - Residential retail</v>
      </c>
      <c r="F12" s="561">
        <f>Performance!F246</f>
        <v>0.89604000000000006</v>
      </c>
      <c r="G12" s="627" t="str">
        <f>Performance!G246</f>
        <v>£m (2017-18 prices)</v>
      </c>
      <c r="H12" s="561"/>
      <c r="I12" s="626"/>
      <c r="J12" s="626"/>
      <c r="K12" s="626"/>
      <c r="L12" s="626"/>
      <c r="O12" s="229"/>
      <c r="Q12" s="229"/>
    </row>
    <row r="13" spans="1:17" s="228" customFormat="1">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c r="A15" s="433"/>
      <c r="B15" s="433"/>
      <c r="C15" s="433"/>
      <c r="D15" s="433"/>
      <c r="E15" s="433"/>
      <c r="F15" s="433"/>
      <c r="G15" s="449"/>
      <c r="H15" s="433"/>
      <c r="I15" s="433"/>
      <c r="J15" s="433"/>
      <c r="K15" s="433"/>
      <c r="L15" s="433"/>
      <c r="O15" s="204"/>
      <c r="Q15" s="204"/>
    </row>
    <row r="16" spans="1:17">
      <c r="A16" s="433"/>
      <c r="B16" s="433"/>
      <c r="C16" s="433"/>
      <c r="D16" s="438" t="s">
        <v>4687</v>
      </c>
      <c r="E16" s="433"/>
      <c r="F16" s="433"/>
      <c r="G16" s="449"/>
      <c r="H16" s="433"/>
      <c r="I16" s="433"/>
      <c r="J16" s="438"/>
      <c r="K16" s="438"/>
      <c r="L16" s="438"/>
      <c r="M16" s="204"/>
      <c r="O16" s="204"/>
      <c r="Q16" s="204"/>
    </row>
    <row r="17" spans="1:17">
      <c r="A17" s="433"/>
      <c r="B17" s="433"/>
      <c r="C17" s="433"/>
      <c r="D17" s="433"/>
      <c r="E17" s="431" t="s">
        <v>4688</v>
      </c>
      <c r="F17" s="433"/>
      <c r="G17" s="449" t="str">
        <f>InpCompany!$F$11</f>
        <v>£m (2017-18 prices)</v>
      </c>
      <c r="H17" s="433"/>
      <c r="I17" s="433"/>
      <c r="J17" s="468">
        <f>F8</f>
        <v>0</v>
      </c>
      <c r="K17" s="433"/>
      <c r="L17" s="433"/>
      <c r="O17" s="204"/>
      <c r="Q17" s="204"/>
    </row>
    <row r="18" spans="1:17">
      <c r="A18" s="433"/>
      <c r="B18" s="433"/>
      <c r="C18" s="433"/>
      <c r="D18" s="433"/>
      <c r="E18" s="431" t="s">
        <v>4689</v>
      </c>
      <c r="F18" s="433"/>
      <c r="G18" s="449" t="str">
        <f>InpCompany!$F$11</f>
        <v>£m (2017-18 prices)</v>
      </c>
      <c r="H18" s="433"/>
      <c r="I18" s="433"/>
      <c r="J18" s="468">
        <f>F9</f>
        <v>0.27895999999999999</v>
      </c>
      <c r="K18" s="433"/>
      <c r="L18" s="433"/>
      <c r="O18" s="204"/>
      <c r="Q18" s="204"/>
    </row>
    <row r="19" spans="1:17">
      <c r="A19" s="433"/>
      <c r="B19" s="433"/>
      <c r="C19" s="433"/>
      <c r="D19" s="433"/>
      <c r="E19" s="431" t="s">
        <v>4690</v>
      </c>
      <c r="F19" s="433"/>
      <c r="G19" s="449" t="str">
        <f>InpCompany!$F$11</f>
        <v>£m (2017-18 prices)</v>
      </c>
      <c r="H19" s="433"/>
      <c r="I19" s="433"/>
      <c r="J19" s="625"/>
      <c r="K19" s="468">
        <f>F10</f>
        <v>0</v>
      </c>
      <c r="L19" s="433"/>
      <c r="O19" s="204"/>
      <c r="Q19" s="204"/>
    </row>
    <row r="20" spans="1:17">
      <c r="A20" s="433"/>
      <c r="B20" s="433"/>
      <c r="C20" s="433"/>
      <c r="D20" s="433"/>
      <c r="E20" s="431" t="s">
        <v>4691</v>
      </c>
      <c r="F20" s="433"/>
      <c r="G20" s="449" t="str">
        <f>InpCompany!$F$11</f>
        <v>£m (2017-18 prices)</v>
      </c>
      <c r="H20" s="433"/>
      <c r="I20" s="433"/>
      <c r="J20" s="625"/>
      <c r="K20" s="468">
        <f>F11</f>
        <v>0</v>
      </c>
      <c r="L20" s="433"/>
      <c r="O20" s="204"/>
      <c r="Q20" s="204"/>
    </row>
    <row r="21" spans="1:17">
      <c r="A21" s="433"/>
      <c r="B21" s="433"/>
      <c r="C21" s="433"/>
      <c r="D21" s="433"/>
      <c r="E21" s="431" t="s">
        <v>4692</v>
      </c>
      <c r="F21" s="433"/>
      <c r="G21" s="449" t="str">
        <f>InpCompany!$F$11</f>
        <v>£m (2017-18 prices)</v>
      </c>
      <c r="H21" s="433"/>
      <c r="I21" s="433"/>
      <c r="J21" s="625"/>
      <c r="K21" s="433"/>
      <c r="L21" s="468">
        <f>F12</f>
        <v>0.89604000000000006</v>
      </c>
      <c r="O21" s="204"/>
      <c r="Q21" s="204"/>
    </row>
    <row r="22" spans="1:17">
      <c r="A22" s="433"/>
      <c r="B22" s="433"/>
      <c r="C22" s="433"/>
      <c r="D22" s="433"/>
      <c r="E22" s="431" t="s">
        <v>4693</v>
      </c>
      <c r="F22" s="433"/>
      <c r="G22" s="449" t="str">
        <f>InpCompany!$F$11</f>
        <v>£m (2017-18 prices)</v>
      </c>
      <c r="H22" s="433"/>
      <c r="I22" s="433"/>
      <c r="J22" s="625"/>
      <c r="K22" s="433"/>
      <c r="L22" s="468">
        <f>F13</f>
        <v>0</v>
      </c>
      <c r="O22" s="204"/>
      <c r="Q22" s="204"/>
    </row>
    <row r="23" spans="1:17">
      <c r="A23" s="433"/>
      <c r="B23" s="433"/>
      <c r="C23" s="433"/>
      <c r="D23" s="433"/>
      <c r="E23" s="431" t="s">
        <v>4694</v>
      </c>
      <c r="F23" s="433"/>
      <c r="G23" s="449" t="str">
        <f>InpCompany!$F$11</f>
        <v>£m (2017-18 prices)</v>
      </c>
      <c r="H23" s="433"/>
      <c r="I23" s="433"/>
      <c r="J23" s="625"/>
      <c r="K23" s="433"/>
      <c r="L23" s="468">
        <f>F14</f>
        <v>0</v>
      </c>
      <c r="O23" s="204"/>
      <c r="Q23" s="204"/>
    </row>
    <row r="24" spans="1:17">
      <c r="A24" s="433"/>
      <c r="B24" s="433"/>
      <c r="C24" s="433"/>
      <c r="D24" s="433"/>
      <c r="E24" s="433"/>
      <c r="F24" s="433"/>
      <c r="G24" s="449"/>
      <c r="H24" s="433"/>
      <c r="I24" s="433"/>
      <c r="J24" s="433"/>
      <c r="K24" s="433"/>
      <c r="L24" s="433"/>
      <c r="O24" s="204"/>
      <c r="Q24" s="204"/>
    </row>
    <row r="25" spans="1:17">
      <c r="A25" s="433"/>
      <c r="B25" s="433"/>
      <c r="C25" s="433"/>
      <c r="D25" s="433"/>
      <c r="E25" s="433" t="s">
        <v>4695</v>
      </c>
      <c r="F25" s="433"/>
      <c r="G25" s="449" t="str">
        <f>InpCompany!$F$11</f>
        <v>£m (2017-18 prices)</v>
      </c>
      <c r="H25" s="433"/>
      <c r="I25" s="433"/>
      <c r="J25" s="468">
        <f>SUM(J17:J23)</f>
        <v>0.27895999999999999</v>
      </c>
      <c r="K25" s="468">
        <f>SUM(K17:K23)</f>
        <v>0</v>
      </c>
      <c r="L25" s="468">
        <f>SUM(L17:L23)</f>
        <v>0.89604000000000006</v>
      </c>
      <c r="O25" s="204"/>
      <c r="Q25" s="204"/>
    </row>
    <row r="26" spans="1:17">
      <c r="A26" s="433"/>
      <c r="B26" s="433"/>
      <c r="C26" s="433"/>
      <c r="D26" s="433"/>
      <c r="E26" s="433"/>
      <c r="F26" s="433"/>
      <c r="G26" s="449"/>
      <c r="H26" s="433"/>
      <c r="I26" s="433"/>
      <c r="J26" s="433"/>
      <c r="K26" s="625"/>
      <c r="L26" s="433"/>
      <c r="O26" s="204"/>
      <c r="Q26" s="204"/>
    </row>
    <row r="27" spans="1:17">
      <c r="A27" s="433"/>
      <c r="B27" s="433"/>
      <c r="C27" s="433"/>
      <c r="D27" s="438" t="s">
        <v>4696</v>
      </c>
      <c r="E27" s="433"/>
      <c r="F27" s="433"/>
      <c r="G27" s="449"/>
      <c r="H27" s="433"/>
      <c r="I27" s="433"/>
      <c r="J27" s="433"/>
      <c r="K27" s="625"/>
      <c r="L27" s="433"/>
      <c r="O27" s="204"/>
      <c r="Q27" s="204"/>
    </row>
    <row r="28" spans="1:17">
      <c r="A28" s="433"/>
      <c r="B28" s="433"/>
      <c r="C28" s="433"/>
      <c r="D28" s="433"/>
      <c r="E28" s="626" t="s">
        <v>4697</v>
      </c>
      <c r="F28" s="626"/>
      <c r="G28" s="628" t="s">
        <v>4698</v>
      </c>
      <c r="H28" s="626"/>
      <c r="I28" s="626"/>
      <c r="J28" s="627">
        <f>InpCompany!$F$17</f>
        <v>0</v>
      </c>
      <c r="K28" s="627">
        <f>InpCompany!$F$21</f>
        <v>0</v>
      </c>
      <c r="L28" s="625"/>
      <c r="M28" s="227"/>
      <c r="O28" s="204"/>
      <c r="Q28" s="204"/>
    </row>
    <row r="29" spans="1:17">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c r="A30" s="433"/>
      <c r="B30" s="433"/>
      <c r="C30" s="433"/>
      <c r="D30" s="433"/>
      <c r="E30" s="626" t="s">
        <v>4699</v>
      </c>
      <c r="F30" s="626"/>
      <c r="G30" s="628" t="str">
        <f>InpCompany!$G$30</f>
        <v>Percentage</v>
      </c>
      <c r="H30" s="626"/>
      <c r="I30" s="626"/>
      <c r="J30" s="631">
        <f>InpCompany!$F$30</f>
        <v>0.03</v>
      </c>
      <c r="K30" s="631">
        <f>InpCompany!$F$30</f>
        <v>0.03</v>
      </c>
      <c r="L30" s="632"/>
      <c r="O30" s="204"/>
      <c r="Q30" s="204"/>
    </row>
    <row r="31" spans="1:17">
      <c r="A31" s="433"/>
      <c r="B31" s="433"/>
      <c r="C31" s="433"/>
      <c r="D31" s="433"/>
      <c r="E31" s="433" t="s">
        <v>4700</v>
      </c>
      <c r="F31" s="433"/>
      <c r="G31" s="449" t="str">
        <f>InpCompany!$F$11</f>
        <v>£m (2017-18 prices)</v>
      </c>
      <c r="H31" s="433"/>
      <c r="I31" s="433"/>
      <c r="J31" s="625">
        <f>J28*J29*J30</f>
        <v>0</v>
      </c>
      <c r="K31" s="625">
        <f>K28*K29*K30</f>
        <v>0</v>
      </c>
      <c r="L31" s="625"/>
      <c r="O31" s="204"/>
      <c r="Q31" s="204"/>
    </row>
    <row r="32" spans="1:17">
      <c r="A32" s="433"/>
      <c r="B32" s="433"/>
      <c r="C32" s="433"/>
      <c r="D32" s="433"/>
      <c r="E32" s="433" t="s">
        <v>4701</v>
      </c>
      <c r="F32" s="433"/>
      <c r="G32" s="449" t="s">
        <v>4702</v>
      </c>
      <c r="H32" s="433"/>
      <c r="I32" s="433"/>
      <c r="J32" s="449" t="b">
        <f>IF(J25&gt;J31,TRUE,FALSE)</f>
        <v>1</v>
      </c>
      <c r="K32" s="449" t="b">
        <f>IF(K25&gt;K31,TRUE,FALSE)</f>
        <v>0</v>
      </c>
      <c r="L32" s="433"/>
      <c r="O32" s="204"/>
      <c r="Q32" s="204"/>
    </row>
    <row r="33" spans="1:17">
      <c r="A33" s="433"/>
      <c r="B33" s="433"/>
      <c r="C33" s="433"/>
      <c r="D33" s="433"/>
      <c r="E33" s="626" t="s">
        <v>2019</v>
      </c>
      <c r="F33" s="626"/>
      <c r="G33" s="628" t="str">
        <f>InpCompany!$G$29</f>
        <v>Percentage</v>
      </c>
      <c r="H33" s="626"/>
      <c r="I33" s="626"/>
      <c r="J33" s="633">
        <f>InpCompany!$F$29</f>
        <v>0.5</v>
      </c>
      <c r="K33" s="633">
        <f>InpCompany!$F$29</f>
        <v>0.5</v>
      </c>
      <c r="L33" s="634"/>
      <c r="O33" s="204"/>
      <c r="Q33" s="204"/>
    </row>
    <row r="34" spans="1:17">
      <c r="A34" s="433"/>
      <c r="B34" s="433"/>
      <c r="C34" s="433"/>
      <c r="D34" s="433"/>
      <c r="E34" s="433" t="s">
        <v>4703</v>
      </c>
      <c r="F34" s="433"/>
      <c r="G34" s="449" t="str">
        <f>InpCompany!$F$11</f>
        <v>£m (2017-18 prices)</v>
      </c>
      <c r="H34" s="433"/>
      <c r="I34" s="433"/>
      <c r="J34" s="468">
        <f>IF(J32,(J25-J31)*J33,0)</f>
        <v>0.13947999999999999</v>
      </c>
      <c r="K34" s="468">
        <f>IF(K32,(K25-K31)*K33,0)</f>
        <v>0</v>
      </c>
      <c r="L34" s="625"/>
      <c r="O34" s="204"/>
      <c r="Q34" s="204"/>
    </row>
    <row r="35" spans="1:17">
      <c r="A35" s="433"/>
      <c r="B35" s="433"/>
      <c r="C35" s="433"/>
      <c r="D35" s="433"/>
      <c r="E35" s="433"/>
      <c r="F35" s="433"/>
      <c r="G35" s="449"/>
      <c r="H35" s="433"/>
      <c r="I35" s="433"/>
      <c r="J35" s="433"/>
      <c r="K35" s="433"/>
      <c r="L35" s="433"/>
      <c r="O35" s="204"/>
      <c r="Q35" s="204"/>
    </row>
    <row r="36" spans="1:17">
      <c r="A36" s="433"/>
      <c r="B36" s="433"/>
      <c r="C36" s="635" t="s">
        <v>4704</v>
      </c>
      <c r="D36" s="433"/>
      <c r="E36" s="433"/>
      <c r="F36" s="433"/>
      <c r="G36" s="449"/>
      <c r="H36" s="433"/>
      <c r="I36" s="433"/>
      <c r="J36" s="433"/>
      <c r="K36" s="433"/>
      <c r="L36" s="433"/>
      <c r="O36" s="227"/>
      <c r="Q36" s="227"/>
    </row>
    <row r="37" spans="1:17">
      <c r="A37" s="433"/>
      <c r="B37" s="433"/>
      <c r="C37" s="433"/>
      <c r="D37" s="433"/>
      <c r="E37" s="433"/>
      <c r="F37" s="433"/>
      <c r="G37" s="449"/>
      <c r="H37" s="433"/>
      <c r="I37" s="433"/>
      <c r="J37" s="433"/>
      <c r="K37" s="433"/>
      <c r="L37" s="433"/>
      <c r="O37" s="227"/>
      <c r="Q37" s="227"/>
    </row>
    <row r="38" spans="1:17">
      <c r="A38" s="433"/>
      <c r="B38" s="433"/>
      <c r="C38" s="433"/>
      <c r="D38" s="438" t="s">
        <v>4705</v>
      </c>
      <c r="E38" s="433"/>
      <c r="F38" s="433"/>
      <c r="G38" s="449"/>
      <c r="H38" s="433"/>
      <c r="I38" s="433"/>
      <c r="J38" s="625"/>
      <c r="K38" s="625"/>
      <c r="L38" s="625"/>
      <c r="O38" s="227"/>
      <c r="Q38" s="227"/>
    </row>
    <row r="39" spans="1:17">
      <c r="A39" s="433"/>
      <c r="B39" s="433"/>
      <c r="C39" s="433"/>
      <c r="D39" s="433"/>
      <c r="E39" s="431" t="s">
        <v>4706</v>
      </c>
      <c r="F39" s="433"/>
      <c r="G39" s="449" t="str">
        <f>InpCompany!$F$11</f>
        <v>£m (2017-18 prices)</v>
      </c>
      <c r="H39" s="433"/>
      <c r="I39" s="433"/>
      <c r="J39" s="551">
        <f>IFERROR(J17/J$25,0)</f>
        <v>0</v>
      </c>
      <c r="K39" s="551">
        <f t="shared" ref="J39:L45" si="0">IFERROR(K17/K$25,0)</f>
        <v>0</v>
      </c>
      <c r="L39" s="551">
        <f>IFERROR(L17/L$25,0)</f>
        <v>0</v>
      </c>
      <c r="O39" s="227"/>
      <c r="Q39" s="227"/>
    </row>
    <row r="40" spans="1:17">
      <c r="A40" s="433"/>
      <c r="B40" s="433"/>
      <c r="C40" s="433"/>
      <c r="D40" s="433"/>
      <c r="E40" s="431" t="s">
        <v>4707</v>
      </c>
      <c r="F40" s="433"/>
      <c r="G40" s="449" t="str">
        <f>InpCompany!$F$11</f>
        <v>£m (2017-18 prices)</v>
      </c>
      <c r="H40" s="433"/>
      <c r="I40" s="433"/>
      <c r="J40" s="551">
        <f t="shared" si="0"/>
        <v>1</v>
      </c>
      <c r="K40" s="551">
        <f t="shared" si="0"/>
        <v>0</v>
      </c>
      <c r="L40" s="551">
        <f t="shared" si="0"/>
        <v>0</v>
      </c>
      <c r="O40" s="227"/>
      <c r="Q40" s="227"/>
    </row>
    <row r="41" spans="1:17">
      <c r="A41" s="433"/>
      <c r="B41" s="433"/>
      <c r="C41" s="433"/>
      <c r="D41" s="433"/>
      <c r="E41" s="431" t="s">
        <v>4708</v>
      </c>
      <c r="F41" s="433"/>
      <c r="G41" s="449" t="str">
        <f>InpCompany!$F$11</f>
        <v>£m (2017-18 prices)</v>
      </c>
      <c r="H41" s="433"/>
      <c r="I41" s="433"/>
      <c r="J41" s="551">
        <f t="shared" si="0"/>
        <v>0</v>
      </c>
      <c r="K41" s="551">
        <f t="shared" si="0"/>
        <v>0</v>
      </c>
      <c r="L41" s="551">
        <f t="shared" si="0"/>
        <v>0</v>
      </c>
      <c r="O41" s="227"/>
      <c r="Q41" s="227"/>
    </row>
    <row r="42" spans="1:17">
      <c r="A42" s="433"/>
      <c r="B42" s="433"/>
      <c r="C42" s="433"/>
      <c r="D42" s="433"/>
      <c r="E42" s="431" t="s">
        <v>4709</v>
      </c>
      <c r="F42" s="433"/>
      <c r="G42" s="449" t="str">
        <f>InpCompany!$F$11</f>
        <v>£m (2017-18 prices)</v>
      </c>
      <c r="H42" s="433"/>
      <c r="I42" s="433"/>
      <c r="J42" s="551">
        <f t="shared" si="0"/>
        <v>0</v>
      </c>
      <c r="K42" s="551">
        <f t="shared" si="0"/>
        <v>0</v>
      </c>
      <c r="L42" s="551">
        <f t="shared" si="0"/>
        <v>0</v>
      </c>
      <c r="O42" s="227"/>
      <c r="Q42" s="227"/>
    </row>
    <row r="43" spans="1:17">
      <c r="A43" s="433"/>
      <c r="B43" s="433"/>
      <c r="C43" s="433"/>
      <c r="D43" s="433"/>
      <c r="E43" s="431" t="s">
        <v>4710</v>
      </c>
      <c r="F43" s="433"/>
      <c r="G43" s="449" t="str">
        <f>InpCompany!$F$11</f>
        <v>£m (2017-18 prices)</v>
      </c>
      <c r="H43" s="433"/>
      <c r="I43" s="433"/>
      <c r="J43" s="551">
        <f t="shared" si="0"/>
        <v>0</v>
      </c>
      <c r="K43" s="551">
        <f t="shared" si="0"/>
        <v>0</v>
      </c>
      <c r="L43" s="551">
        <f t="shared" si="0"/>
        <v>1</v>
      </c>
      <c r="O43" s="227"/>
      <c r="Q43" s="227"/>
    </row>
    <row r="44" spans="1:17">
      <c r="A44" s="433"/>
      <c r="B44" s="433"/>
      <c r="C44" s="433"/>
      <c r="D44" s="433"/>
      <c r="E44" s="431" t="s">
        <v>4711</v>
      </c>
      <c r="F44" s="433"/>
      <c r="G44" s="449" t="str">
        <f>InpCompany!$F$11</f>
        <v>£m (2017-18 prices)</v>
      </c>
      <c r="H44" s="433"/>
      <c r="I44" s="433"/>
      <c r="J44" s="551">
        <f t="shared" si="0"/>
        <v>0</v>
      </c>
      <c r="K44" s="551">
        <f t="shared" si="0"/>
        <v>0</v>
      </c>
      <c r="L44" s="551">
        <f t="shared" si="0"/>
        <v>0</v>
      </c>
      <c r="O44" s="227"/>
      <c r="Q44" s="227"/>
    </row>
    <row r="45" spans="1:17">
      <c r="A45" s="433"/>
      <c r="B45" s="433"/>
      <c r="C45" s="433"/>
      <c r="D45" s="433"/>
      <c r="E45" s="431" t="s">
        <v>4712</v>
      </c>
      <c r="F45" s="433"/>
      <c r="G45" s="449" t="str">
        <f>InpCompany!$F$11</f>
        <v>£m (2017-18 prices)</v>
      </c>
      <c r="H45" s="433"/>
      <c r="I45" s="433"/>
      <c r="J45" s="551">
        <f t="shared" si="0"/>
        <v>0</v>
      </c>
      <c r="K45" s="551">
        <f t="shared" si="0"/>
        <v>0</v>
      </c>
      <c r="L45" s="551">
        <f t="shared" si="0"/>
        <v>0</v>
      </c>
      <c r="O45" s="227"/>
      <c r="Q45" s="227"/>
    </row>
    <row r="46" spans="1:17" ht="15">
      <c r="A46" s="433"/>
      <c r="B46" s="433"/>
      <c r="C46" s="433"/>
      <c r="D46" s="433"/>
      <c r="E46" s="1329"/>
      <c r="F46" s="433"/>
      <c r="G46" s="449"/>
      <c r="H46" s="433"/>
      <c r="I46" s="433"/>
      <c r="J46" s="561"/>
      <c r="K46" s="630"/>
      <c r="L46" s="630"/>
      <c r="O46" s="227"/>
      <c r="Q46" s="227"/>
    </row>
    <row r="47" spans="1:17" ht="15">
      <c r="A47" s="433"/>
      <c r="B47" s="433"/>
      <c r="C47" s="433"/>
      <c r="D47" s="438" t="str">
        <f>E34</f>
        <v>Outperformance payments shared with customers (£m)</v>
      </c>
      <c r="E47" s="1329"/>
      <c r="F47" s="433"/>
      <c r="G47" s="449"/>
      <c r="H47" s="433"/>
      <c r="I47" s="433"/>
      <c r="J47" s="625"/>
      <c r="K47" s="625"/>
      <c r="L47" s="625"/>
      <c r="O47" s="227"/>
      <c r="Q47" s="227"/>
    </row>
    <row r="48" spans="1:17">
      <c r="A48" s="433"/>
      <c r="B48" s="433"/>
      <c r="C48" s="433"/>
      <c r="D48" s="433"/>
      <c r="E48" s="431" t="s">
        <v>4713</v>
      </c>
      <c r="F48" s="433"/>
      <c r="G48" s="449" t="str">
        <f>InpCompany!$F$11</f>
        <v>£m (2017-18 prices)</v>
      </c>
      <c r="H48" s="433"/>
      <c r="I48" s="433"/>
      <c r="J48" s="468">
        <f>J39*J$34</f>
        <v>0</v>
      </c>
      <c r="K48" s="468">
        <f>K39*K$34</f>
        <v>0</v>
      </c>
      <c r="L48" s="468">
        <f>L39*L$34</f>
        <v>0</v>
      </c>
      <c r="O48" s="227"/>
      <c r="Q48" s="227"/>
    </row>
    <row r="49" spans="1:17">
      <c r="A49" s="433"/>
      <c r="B49" s="433"/>
      <c r="C49" s="433"/>
      <c r="D49" s="433"/>
      <c r="E49" s="431" t="s">
        <v>4714</v>
      </c>
      <c r="F49" s="433"/>
      <c r="G49" s="449" t="str">
        <f>InpCompany!$F$11</f>
        <v>£m (2017-18 prices)</v>
      </c>
      <c r="H49" s="433"/>
      <c r="I49" s="433"/>
      <c r="J49" s="468">
        <f t="shared" ref="J49:L54" si="1">J40*J$34</f>
        <v>0.13947999999999999</v>
      </c>
      <c r="K49" s="468">
        <f t="shared" si="1"/>
        <v>0</v>
      </c>
      <c r="L49" s="468">
        <f t="shared" si="1"/>
        <v>0</v>
      </c>
      <c r="O49" s="227"/>
      <c r="Q49" s="227"/>
    </row>
    <row r="50" spans="1:17">
      <c r="A50" s="433"/>
      <c r="B50" s="433"/>
      <c r="C50" s="433"/>
      <c r="D50" s="433"/>
      <c r="E50" s="431" t="s">
        <v>4715</v>
      </c>
      <c r="F50" s="433"/>
      <c r="G50" s="449" t="str">
        <f>InpCompany!$F$11</f>
        <v>£m (2017-18 prices)</v>
      </c>
      <c r="H50" s="433"/>
      <c r="I50" s="433"/>
      <c r="J50" s="468">
        <f t="shared" si="1"/>
        <v>0</v>
      </c>
      <c r="K50" s="468">
        <f t="shared" si="1"/>
        <v>0</v>
      </c>
      <c r="L50" s="468">
        <f t="shared" si="1"/>
        <v>0</v>
      </c>
      <c r="O50" s="227"/>
      <c r="Q50" s="227"/>
    </row>
    <row r="51" spans="1:17">
      <c r="A51" s="433"/>
      <c r="B51" s="433"/>
      <c r="C51" s="433"/>
      <c r="D51" s="433"/>
      <c r="E51" s="431" t="s">
        <v>4716</v>
      </c>
      <c r="F51" s="433"/>
      <c r="G51" s="449" t="str">
        <f>InpCompany!$F$11</f>
        <v>£m (2017-18 prices)</v>
      </c>
      <c r="H51" s="433"/>
      <c r="I51" s="433"/>
      <c r="J51" s="468">
        <f t="shared" si="1"/>
        <v>0</v>
      </c>
      <c r="K51" s="468">
        <f t="shared" si="1"/>
        <v>0</v>
      </c>
      <c r="L51" s="468">
        <f t="shared" si="1"/>
        <v>0</v>
      </c>
      <c r="O51" s="227"/>
      <c r="Q51" s="227"/>
    </row>
    <row r="52" spans="1:17">
      <c r="A52" s="433"/>
      <c r="B52" s="433"/>
      <c r="C52" s="433"/>
      <c r="D52" s="433"/>
      <c r="E52" s="431" t="s">
        <v>4717</v>
      </c>
      <c r="F52" s="433"/>
      <c r="G52" s="449" t="str">
        <f>InpCompany!$F$11</f>
        <v>£m (2017-18 prices)</v>
      </c>
      <c r="H52" s="433"/>
      <c r="I52" s="433"/>
      <c r="J52" s="468">
        <f t="shared" si="1"/>
        <v>0</v>
      </c>
      <c r="K52" s="468">
        <f t="shared" si="1"/>
        <v>0</v>
      </c>
      <c r="L52" s="468">
        <f t="shared" si="1"/>
        <v>0</v>
      </c>
      <c r="O52" s="227"/>
      <c r="Q52" s="227"/>
    </row>
    <row r="53" spans="1:17">
      <c r="A53" s="433"/>
      <c r="B53" s="433"/>
      <c r="C53" s="433"/>
      <c r="D53" s="433"/>
      <c r="E53" s="431" t="s">
        <v>4718</v>
      </c>
      <c r="F53" s="433"/>
      <c r="G53" s="449" t="str">
        <f>InpCompany!$F$11</f>
        <v>£m (2017-18 prices)</v>
      </c>
      <c r="H53" s="433"/>
      <c r="I53" s="433"/>
      <c r="J53" s="468">
        <f t="shared" si="1"/>
        <v>0</v>
      </c>
      <c r="K53" s="468">
        <f t="shared" si="1"/>
        <v>0</v>
      </c>
      <c r="L53" s="468">
        <f t="shared" si="1"/>
        <v>0</v>
      </c>
      <c r="O53" s="227"/>
      <c r="Q53" s="227"/>
    </row>
    <row r="54" spans="1:17">
      <c r="A54" s="433"/>
      <c r="B54" s="433"/>
      <c r="C54" s="433"/>
      <c r="D54" s="433"/>
      <c r="E54" s="431" t="s">
        <v>4719</v>
      </c>
      <c r="F54" s="433"/>
      <c r="G54" s="449" t="str">
        <f>InpCompany!$F$11</f>
        <v>£m (2017-18 prices)</v>
      </c>
      <c r="H54" s="433"/>
      <c r="I54" s="433"/>
      <c r="J54" s="468">
        <f t="shared" si="1"/>
        <v>0</v>
      </c>
      <c r="K54" s="468">
        <f t="shared" si="1"/>
        <v>0</v>
      </c>
      <c r="L54" s="468">
        <f t="shared" si="1"/>
        <v>0</v>
      </c>
      <c r="O54" s="227"/>
      <c r="Q54" s="227"/>
    </row>
    <row r="55" spans="1:17" ht="15">
      <c r="A55" s="433"/>
      <c r="B55" s="433"/>
      <c r="C55" s="433"/>
      <c r="D55" s="433"/>
      <c r="E55" s="1329"/>
      <c r="F55" s="433"/>
      <c r="G55" s="449"/>
      <c r="H55" s="433"/>
      <c r="I55" s="433"/>
      <c r="J55" s="433"/>
      <c r="K55" s="433"/>
      <c r="L55" s="433"/>
      <c r="O55" s="227"/>
      <c r="Q55" s="227"/>
    </row>
    <row r="56" spans="1:17">
      <c r="A56" s="433"/>
      <c r="B56" s="433"/>
      <c r="C56" s="433"/>
      <c r="D56" s="438" t="s">
        <v>4720</v>
      </c>
      <c r="E56" s="438"/>
      <c r="F56" s="438"/>
      <c r="G56" s="636"/>
      <c r="H56" s="433"/>
      <c r="I56" s="433"/>
      <c r="J56" s="433"/>
      <c r="K56" s="433"/>
      <c r="L56" s="433"/>
      <c r="O56" s="227"/>
      <c r="Q56" s="227"/>
    </row>
    <row r="57" spans="1:17">
      <c r="A57" s="433"/>
      <c r="B57" s="433"/>
      <c r="C57" s="433"/>
      <c r="D57" s="433"/>
      <c r="E57" s="431" t="s">
        <v>4721</v>
      </c>
      <c r="F57" s="433"/>
      <c r="G57" s="449" t="str">
        <f>InpCompany!$F$11</f>
        <v>£m (2017-18 prices)</v>
      </c>
      <c r="H57" s="602">
        <f>J57+K57+L57</f>
        <v>0</v>
      </c>
      <c r="I57" s="602"/>
      <c r="J57" s="468">
        <f>J17-J48</f>
        <v>0</v>
      </c>
      <c r="K57" s="468">
        <f>K17-K48</f>
        <v>0</v>
      </c>
      <c r="L57" s="468">
        <f>L17-L48</f>
        <v>0</v>
      </c>
    </row>
    <row r="58" spans="1:17">
      <c r="A58" s="433"/>
      <c r="B58" s="433"/>
      <c r="C58" s="433"/>
      <c r="D58" s="433"/>
      <c r="E58" s="431" t="s">
        <v>4722</v>
      </c>
      <c r="F58" s="433"/>
      <c r="G58" s="449" t="str">
        <f>InpCompany!$F$11</f>
        <v>£m (2017-18 prices)</v>
      </c>
      <c r="H58" s="602">
        <f t="shared" ref="H58:H63" si="2">J58+K58+L58</f>
        <v>0.13947999999999999</v>
      </c>
      <c r="I58" s="602"/>
      <c r="J58" s="468">
        <f t="shared" ref="J58:L63" si="3">J18-J49</f>
        <v>0.13947999999999999</v>
      </c>
      <c r="K58" s="468">
        <f t="shared" si="3"/>
        <v>0</v>
      </c>
      <c r="L58" s="468">
        <f t="shared" si="3"/>
        <v>0</v>
      </c>
    </row>
    <row r="59" spans="1:17">
      <c r="A59" s="433"/>
      <c r="B59" s="433"/>
      <c r="C59" s="433"/>
      <c r="D59" s="433"/>
      <c r="E59" s="431" t="s">
        <v>4723</v>
      </c>
      <c r="F59" s="433"/>
      <c r="G59" s="449" t="str">
        <f>InpCompany!$F$11</f>
        <v>£m (2017-18 prices)</v>
      </c>
      <c r="H59" s="602">
        <f t="shared" si="2"/>
        <v>0</v>
      </c>
      <c r="I59" s="602"/>
      <c r="J59" s="468">
        <f t="shared" si="3"/>
        <v>0</v>
      </c>
      <c r="K59" s="468">
        <f t="shared" si="3"/>
        <v>0</v>
      </c>
      <c r="L59" s="468">
        <f t="shared" si="3"/>
        <v>0</v>
      </c>
    </row>
    <row r="60" spans="1:17">
      <c r="A60" s="433"/>
      <c r="B60" s="433"/>
      <c r="C60" s="433"/>
      <c r="D60" s="433"/>
      <c r="E60" s="431" t="s">
        <v>4724</v>
      </c>
      <c r="F60" s="433"/>
      <c r="G60" s="449" t="str">
        <f>InpCompany!$F$11</f>
        <v>£m (2017-18 prices)</v>
      </c>
      <c r="H60" s="602">
        <f t="shared" si="2"/>
        <v>0</v>
      </c>
      <c r="I60" s="602"/>
      <c r="J60" s="468">
        <f t="shared" si="3"/>
        <v>0</v>
      </c>
      <c r="K60" s="468">
        <f t="shared" si="3"/>
        <v>0</v>
      </c>
      <c r="L60" s="468">
        <f t="shared" si="3"/>
        <v>0</v>
      </c>
    </row>
    <row r="61" spans="1:17">
      <c r="A61" s="433"/>
      <c r="B61" s="433"/>
      <c r="C61" s="433"/>
      <c r="D61" s="433"/>
      <c r="E61" s="431" t="s">
        <v>4725</v>
      </c>
      <c r="F61" s="433"/>
      <c r="G61" s="449" t="str">
        <f>InpCompany!$F$11</f>
        <v>£m (2017-18 prices)</v>
      </c>
      <c r="H61" s="602">
        <f t="shared" si="2"/>
        <v>0.89604000000000006</v>
      </c>
      <c r="I61" s="602"/>
      <c r="J61" s="468">
        <f t="shared" si="3"/>
        <v>0</v>
      </c>
      <c r="K61" s="468">
        <f t="shared" si="3"/>
        <v>0</v>
      </c>
      <c r="L61" s="468">
        <f t="shared" si="3"/>
        <v>0.89604000000000006</v>
      </c>
    </row>
    <row r="62" spans="1:17">
      <c r="A62" s="433"/>
      <c r="B62" s="433"/>
      <c r="C62" s="433"/>
      <c r="D62" s="433"/>
      <c r="E62" s="431" t="s">
        <v>4726</v>
      </c>
      <c r="F62" s="433"/>
      <c r="G62" s="449" t="str">
        <f>InpCompany!$F$11</f>
        <v>£m (2017-18 prices)</v>
      </c>
      <c r="H62" s="602">
        <f t="shared" si="2"/>
        <v>0</v>
      </c>
      <c r="I62" s="602"/>
      <c r="J62" s="468">
        <f t="shared" si="3"/>
        <v>0</v>
      </c>
      <c r="K62" s="468">
        <f t="shared" si="3"/>
        <v>0</v>
      </c>
      <c r="L62" s="468">
        <f t="shared" si="3"/>
        <v>0</v>
      </c>
    </row>
    <row r="63" spans="1:17">
      <c r="A63" s="433"/>
      <c r="B63" s="433"/>
      <c r="C63" s="433"/>
      <c r="D63" s="433"/>
      <c r="E63" s="431" t="s">
        <v>4727</v>
      </c>
      <c r="F63" s="433"/>
      <c r="G63" s="449" t="str">
        <f>InpCompany!$F$11</f>
        <v>£m (2017-18 prices)</v>
      </c>
      <c r="H63" s="602">
        <f t="shared" si="2"/>
        <v>0</v>
      </c>
      <c r="I63" s="602"/>
      <c r="J63" s="468">
        <f t="shared" si="3"/>
        <v>0</v>
      </c>
      <c r="K63" s="468">
        <f t="shared" si="3"/>
        <v>0</v>
      </c>
      <c r="L63" s="468">
        <f t="shared" si="3"/>
        <v>0</v>
      </c>
    </row>
    <row r="64" spans="1:17">
      <c r="A64" s="433"/>
      <c r="B64" s="433"/>
      <c r="C64" s="433"/>
      <c r="D64" s="433"/>
      <c r="E64" s="433"/>
      <c r="F64" s="433"/>
      <c r="G64" s="449"/>
      <c r="H64" s="433"/>
      <c r="I64" s="433"/>
      <c r="J64" s="433"/>
      <c r="K64" s="433"/>
      <c r="L64" s="433"/>
    </row>
    <row r="65" spans="1:12">
      <c r="A65" s="433"/>
      <c r="B65" s="433"/>
      <c r="C65" s="635" t="s">
        <v>4728</v>
      </c>
      <c r="D65" s="433"/>
      <c r="E65" s="433"/>
      <c r="F65" s="433"/>
      <c r="G65" s="449"/>
      <c r="H65" s="433"/>
      <c r="I65" s="433"/>
      <c r="J65" s="433"/>
      <c r="K65" s="433"/>
      <c r="L65" s="433"/>
    </row>
    <row r="66" spans="1:12">
      <c r="A66" s="433"/>
      <c r="B66" s="433"/>
      <c r="C66" s="433"/>
      <c r="D66" s="433"/>
      <c r="E66" s="433"/>
      <c r="F66" s="433"/>
      <c r="G66" s="449"/>
      <c r="H66" s="433"/>
      <c r="I66" s="433"/>
      <c r="J66" s="433"/>
      <c r="K66" s="433"/>
      <c r="L66" s="433"/>
    </row>
    <row r="67" spans="1:12">
      <c r="A67" s="433"/>
      <c r="B67" s="433"/>
      <c r="C67" s="433"/>
      <c r="D67" s="438" t="s">
        <v>4729</v>
      </c>
      <c r="E67" s="433"/>
      <c r="F67" s="433"/>
      <c r="G67" s="636"/>
      <c r="H67" s="438"/>
      <c r="I67" s="438"/>
      <c r="J67" s="433"/>
      <c r="K67" s="433"/>
      <c r="L67" s="433"/>
    </row>
    <row r="68" spans="1:12" s="228" customFormat="1">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c r="A75" s="433"/>
      <c r="B75" s="433"/>
      <c r="C75" s="433"/>
      <c r="D75" s="433"/>
      <c r="E75" s="433"/>
      <c r="F75" s="433"/>
      <c r="G75" s="449"/>
      <c r="H75" s="433"/>
      <c r="I75" s="433"/>
      <c r="J75" s="433"/>
      <c r="K75" s="433"/>
      <c r="L75" s="433"/>
    </row>
    <row r="76" spans="1:12">
      <c r="A76" s="433"/>
      <c r="B76" s="433"/>
      <c r="C76" s="433"/>
      <c r="D76" s="438" t="s">
        <v>4730</v>
      </c>
      <c r="E76" s="433"/>
      <c r="F76" s="433"/>
      <c r="G76" s="636"/>
      <c r="H76" s="438"/>
      <c r="I76" s="438"/>
      <c r="J76" s="433"/>
      <c r="K76" s="433"/>
      <c r="L76" s="433"/>
    </row>
    <row r="77" spans="1:12">
      <c r="A77" s="433"/>
      <c r="B77" s="433"/>
      <c r="C77" s="433"/>
      <c r="D77" s="433"/>
      <c r="E77" s="605" t="s">
        <v>4731</v>
      </c>
      <c r="F77" s="608">
        <f>H57*F68</f>
        <v>0</v>
      </c>
      <c r="G77" s="638" t="str">
        <f>InpCompany!$F$11</f>
        <v>£m (2017-18 prices)</v>
      </c>
      <c r="H77" s="433"/>
      <c r="I77" s="639"/>
      <c r="J77" s="433"/>
      <c r="K77" s="433"/>
      <c r="L77" s="433"/>
    </row>
    <row r="78" spans="1:12">
      <c r="A78" s="433"/>
      <c r="B78" s="433"/>
      <c r="C78" s="433"/>
      <c r="D78" s="433"/>
      <c r="E78" s="605" t="s">
        <v>4732</v>
      </c>
      <c r="F78" s="608">
        <f t="shared" ref="F78:F83" si="4">H58*F69</f>
        <v>0.13947999999999999</v>
      </c>
      <c r="G78" s="638" t="str">
        <f>InpCompany!$F$11</f>
        <v>£m (2017-18 prices)</v>
      </c>
      <c r="H78" s="433"/>
      <c r="I78" s="639"/>
      <c r="J78" s="433"/>
      <c r="K78" s="433"/>
      <c r="L78" s="433"/>
    </row>
    <row r="79" spans="1:12">
      <c r="A79" s="433"/>
      <c r="B79" s="433"/>
      <c r="C79" s="433"/>
      <c r="D79" s="433"/>
      <c r="E79" s="605" t="s">
        <v>4733</v>
      </c>
      <c r="F79" s="608">
        <f t="shared" si="4"/>
        <v>0</v>
      </c>
      <c r="G79" s="638" t="str">
        <f>InpCompany!$F$11</f>
        <v>£m (2017-18 prices)</v>
      </c>
      <c r="H79" s="433"/>
      <c r="I79" s="639"/>
      <c r="J79" s="433"/>
      <c r="K79" s="433"/>
      <c r="L79" s="433"/>
    </row>
    <row r="80" spans="1:12">
      <c r="A80" s="433"/>
      <c r="B80" s="433"/>
      <c r="C80" s="433"/>
      <c r="D80" s="433"/>
      <c r="E80" s="605" t="s">
        <v>4734</v>
      </c>
      <c r="F80" s="608">
        <f t="shared" si="4"/>
        <v>0</v>
      </c>
      <c r="G80" s="638" t="str">
        <f>InpCompany!$F$11</f>
        <v>£m (2017-18 prices)</v>
      </c>
      <c r="H80" s="433"/>
      <c r="I80" s="639"/>
      <c r="J80" s="433"/>
      <c r="K80" s="433"/>
      <c r="L80" s="433"/>
    </row>
    <row r="81" spans="1:12">
      <c r="A81" s="433"/>
      <c r="B81" s="433"/>
      <c r="C81" s="433"/>
      <c r="D81" s="433"/>
      <c r="E81" s="605" t="s">
        <v>4735</v>
      </c>
      <c r="F81" s="608">
        <f t="shared" si="4"/>
        <v>0.89604000000000006</v>
      </c>
      <c r="G81" s="638" t="str">
        <f>InpCompany!$F$11</f>
        <v>£m (2017-18 prices)</v>
      </c>
      <c r="H81" s="433"/>
      <c r="I81" s="639"/>
      <c r="J81" s="433"/>
      <c r="K81" s="433"/>
      <c r="L81" s="433"/>
    </row>
    <row r="82" spans="1:12">
      <c r="A82" s="433"/>
      <c r="B82" s="433"/>
      <c r="C82" s="433"/>
      <c r="D82" s="433"/>
      <c r="E82" s="605" t="s">
        <v>4736</v>
      </c>
      <c r="F82" s="608">
        <f t="shared" si="4"/>
        <v>0</v>
      </c>
      <c r="G82" s="638" t="str">
        <f>InpCompany!$F$11</f>
        <v>£m (2017-18 prices)</v>
      </c>
      <c r="H82" s="433"/>
      <c r="I82" s="639"/>
      <c r="J82" s="433"/>
      <c r="K82" s="433"/>
      <c r="L82" s="433"/>
    </row>
    <row r="83" spans="1:12">
      <c r="A83" s="433"/>
      <c r="B83" s="433"/>
      <c r="C83" s="433"/>
      <c r="D83" s="433"/>
      <c r="E83" s="605" t="s">
        <v>4737</v>
      </c>
      <c r="F83" s="608">
        <f t="shared" si="4"/>
        <v>0</v>
      </c>
      <c r="G83" s="638" t="str">
        <f>InpCompany!$F$11</f>
        <v>£m (2017-18 prices)</v>
      </c>
      <c r="H83" s="433"/>
      <c r="I83" s="639"/>
      <c r="J83" s="433"/>
      <c r="K83" s="433"/>
      <c r="L83" s="433"/>
    </row>
    <row r="84" spans="1:12" ht="15">
      <c r="A84" s="433"/>
      <c r="B84" s="433"/>
      <c r="C84" s="433"/>
      <c r="D84" s="433"/>
      <c r="E84" s="26"/>
      <c r="F84" s="433"/>
      <c r="G84" s="638"/>
      <c r="H84" s="640"/>
      <c r="I84" s="640"/>
      <c r="J84" s="433"/>
      <c r="K84" s="433"/>
      <c r="L84" s="433"/>
    </row>
    <row r="85" spans="1:12" ht="15">
      <c r="A85" s="433"/>
      <c r="B85" s="433"/>
      <c r="C85" s="433"/>
      <c r="D85" s="438" t="s">
        <v>4738</v>
      </c>
      <c r="E85" s="26"/>
      <c r="F85" s="433"/>
      <c r="G85" s="641"/>
      <c r="H85" s="640"/>
      <c r="I85" s="640"/>
      <c r="J85" s="433"/>
      <c r="K85" s="433"/>
      <c r="L85" s="433"/>
    </row>
    <row r="86" spans="1:12">
      <c r="A86" s="433"/>
      <c r="B86" s="433"/>
      <c r="C86" s="433"/>
      <c r="D86" s="433"/>
      <c r="E86" s="605" t="s">
        <v>4739</v>
      </c>
      <c r="F86" s="608">
        <f t="shared" ref="F86:F92" si="5">H57*(1-F68)</f>
        <v>0</v>
      </c>
      <c r="G86" s="638" t="str">
        <f>InpCompany!$F$11</f>
        <v>£m (2017-18 prices)</v>
      </c>
      <c r="H86" s="433"/>
      <c r="I86" s="639"/>
      <c r="J86" s="433"/>
      <c r="K86" s="433"/>
      <c r="L86" s="433"/>
    </row>
    <row r="87" spans="1:12">
      <c r="A87" s="433"/>
      <c r="B87" s="433"/>
      <c r="C87" s="433"/>
      <c r="D87" s="433"/>
      <c r="E87" s="605" t="s">
        <v>4740</v>
      </c>
      <c r="F87" s="608">
        <f t="shared" si="5"/>
        <v>0</v>
      </c>
      <c r="G87" s="638" t="str">
        <f>InpCompany!$F$11</f>
        <v>£m (2017-18 prices)</v>
      </c>
      <c r="H87" s="433"/>
      <c r="I87" s="639"/>
      <c r="J87" s="433"/>
      <c r="K87" s="433"/>
      <c r="L87" s="433"/>
    </row>
    <row r="88" spans="1:12">
      <c r="A88" s="433"/>
      <c r="B88" s="433"/>
      <c r="C88" s="433"/>
      <c r="D88" s="433"/>
      <c r="E88" s="605" t="s">
        <v>4741</v>
      </c>
      <c r="F88" s="608">
        <f t="shared" si="5"/>
        <v>0</v>
      </c>
      <c r="G88" s="638" t="str">
        <f>InpCompany!$F$11</f>
        <v>£m (2017-18 prices)</v>
      </c>
      <c r="H88" s="433"/>
      <c r="I88" s="639"/>
      <c r="J88" s="433"/>
      <c r="K88" s="433"/>
      <c r="L88" s="433"/>
    </row>
    <row r="89" spans="1:12">
      <c r="A89" s="433"/>
      <c r="B89" s="433"/>
      <c r="C89" s="433"/>
      <c r="D89" s="433"/>
      <c r="E89" s="605" t="s">
        <v>4742</v>
      </c>
      <c r="F89" s="608">
        <f t="shared" si="5"/>
        <v>0</v>
      </c>
      <c r="G89" s="638" t="str">
        <f>InpCompany!$F$11</f>
        <v>£m (2017-18 prices)</v>
      </c>
      <c r="H89" s="433"/>
      <c r="I89" s="639"/>
      <c r="J89" s="433"/>
      <c r="K89" s="433"/>
      <c r="L89" s="433"/>
    </row>
    <row r="90" spans="1:12">
      <c r="A90" s="433"/>
      <c r="B90" s="433"/>
      <c r="C90" s="433"/>
      <c r="D90" s="433"/>
      <c r="E90" s="605" t="s">
        <v>4743</v>
      </c>
      <c r="F90" s="608">
        <f t="shared" si="5"/>
        <v>0</v>
      </c>
      <c r="G90" s="638" t="str">
        <f>InpCompany!$F$11</f>
        <v>£m (2017-18 prices)</v>
      </c>
      <c r="H90" s="433"/>
      <c r="I90" s="639"/>
      <c r="J90" s="433"/>
      <c r="K90" s="433"/>
      <c r="L90" s="433"/>
    </row>
    <row r="91" spans="1:12">
      <c r="A91" s="433"/>
      <c r="B91" s="433"/>
      <c r="C91" s="433"/>
      <c r="D91" s="433"/>
      <c r="E91" s="605" t="s">
        <v>4744</v>
      </c>
      <c r="F91" s="608">
        <f t="shared" si="5"/>
        <v>0</v>
      </c>
      <c r="G91" s="638" t="str">
        <f>InpCompany!$F$11</f>
        <v>£m (2017-18 prices)</v>
      </c>
      <c r="H91" s="433"/>
      <c r="I91" s="639"/>
      <c r="J91" s="433"/>
      <c r="K91" s="433"/>
      <c r="L91" s="433"/>
    </row>
    <row r="92" spans="1:12">
      <c r="A92" s="433"/>
      <c r="B92" s="433"/>
      <c r="C92" s="433"/>
      <c r="D92" s="433"/>
      <c r="E92" s="605" t="s">
        <v>4745</v>
      </c>
      <c r="F92" s="608">
        <f t="shared" si="5"/>
        <v>0</v>
      </c>
      <c r="G92" s="638" t="str">
        <f>InpCompany!$F$11</f>
        <v>£m (2017-18 prices)</v>
      </c>
      <c r="H92" s="433"/>
      <c r="I92" s="639"/>
      <c r="J92" s="433"/>
      <c r="K92" s="433"/>
      <c r="L92" s="433"/>
    </row>
    <row r="93" spans="1:12">
      <c r="A93" s="433"/>
      <c r="B93" s="433"/>
      <c r="C93" s="433"/>
      <c r="D93" s="433"/>
      <c r="E93" s="605"/>
      <c r="F93" s="608"/>
      <c r="G93" s="638"/>
      <c r="H93" s="433"/>
      <c r="I93" s="639"/>
      <c r="J93" s="433"/>
      <c r="K93" s="433"/>
      <c r="L93" s="433"/>
    </row>
    <row r="94" spans="1:12" s="199" customFormat="1">
      <c r="A94" s="614" t="s">
        <v>4746</v>
      </c>
      <c r="B94" s="615"/>
      <c r="C94" s="615"/>
      <c r="D94" s="616"/>
      <c r="E94" s="617"/>
      <c r="F94" s="617"/>
      <c r="G94" s="617"/>
      <c r="H94" s="618"/>
      <c r="I94" s="617"/>
      <c r="J94" s="617"/>
      <c r="K94" s="617"/>
      <c r="L94" s="617"/>
    </row>
    <row r="95" spans="1:12" s="1361" customFormat="1">
      <c r="A95" s="1357"/>
      <c r="B95" s="1357"/>
      <c r="C95" s="1357"/>
      <c r="D95" s="1357"/>
      <c r="E95" s="590"/>
      <c r="F95" s="1358"/>
      <c r="G95" s="1359"/>
      <c r="H95" s="1357"/>
      <c r="I95" s="1360"/>
      <c r="J95" s="1373" t="s">
        <v>2069</v>
      </c>
      <c r="K95" s="1373" t="s">
        <v>2070</v>
      </c>
      <c r="L95" s="1373" t="s">
        <v>4685</v>
      </c>
    </row>
    <row r="96" spans="1:12" s="1361" customFormat="1">
      <c r="A96" s="1357"/>
      <c r="B96" s="1357"/>
      <c r="C96" s="1374" t="s">
        <v>4747</v>
      </c>
      <c r="D96" s="1357"/>
      <c r="E96" s="590"/>
      <c r="F96" s="1358"/>
      <c r="G96" s="1359"/>
      <c r="H96" s="1357"/>
      <c r="I96" s="1360"/>
      <c r="J96" s="1357"/>
      <c r="K96" s="1357"/>
      <c r="L96" s="1357"/>
    </row>
    <row r="97" spans="1:12" s="228" customFormat="1">
      <c r="A97" s="626"/>
      <c r="B97" s="1401"/>
      <c r="C97" s="1401"/>
      <c r="D97" s="1401"/>
      <c r="E97" s="578" t="str">
        <f>InpCompany!E5</f>
        <v>Company name</v>
      </c>
      <c r="F97" s="578" t="str">
        <f>InpCompany!F5</f>
        <v>Anglian Water</v>
      </c>
      <c r="G97" s="578"/>
      <c r="H97" s="556"/>
      <c r="I97" s="627"/>
      <c r="J97" s="626"/>
      <c r="K97" s="626"/>
      <c r="L97" s="626"/>
    </row>
    <row r="98" spans="1:12" s="228" customFormat="1">
      <c r="A98" s="626"/>
      <c r="B98" s="1401"/>
      <c r="C98" s="1401"/>
      <c r="D98" s="1401"/>
      <c r="E98" s="578" t="str">
        <f>InpCompany!E6</f>
        <v>Ofwat company acronym</v>
      </c>
      <c r="F98" s="578" t="str">
        <f>InpCompany!F6</f>
        <v>ANH</v>
      </c>
      <c r="G98" s="578"/>
      <c r="H98" s="556"/>
      <c r="I98" s="627"/>
      <c r="J98" s="626"/>
      <c r="K98" s="626"/>
      <c r="L98" s="626"/>
    </row>
    <row r="99" spans="1:12" s="1361" customFormat="1">
      <c r="A99" s="1357"/>
      <c r="B99" s="1218"/>
      <c r="C99" s="1218"/>
      <c r="D99" s="1218"/>
      <c r="E99" s="590"/>
      <c r="F99" s="1358"/>
      <c r="G99" s="1359"/>
      <c r="H99" s="1357"/>
      <c r="I99" s="1360"/>
      <c r="J99" s="1357"/>
      <c r="K99" s="1357"/>
      <c r="L99" s="1357"/>
    </row>
    <row r="100" spans="1:12" s="1361" customFormat="1">
      <c r="A100" s="1357"/>
      <c r="B100" s="1218"/>
      <c r="C100" s="1218"/>
      <c r="D100" s="1218"/>
      <c r="E100" s="575" t="s">
        <v>4748</v>
      </c>
      <c r="F100" s="1375" t="b">
        <f>IF(IFERROR(VLOOKUP($F$98,Validation!$Z$5:$Z$22,1,FALSE),FALSE)=F98,TRUE,FALSE)</f>
        <v>0</v>
      </c>
      <c r="G100" s="1359"/>
      <c r="H100" s="1357"/>
      <c r="I100" s="1360"/>
      <c r="J100" s="1357"/>
      <c r="K100" s="1357"/>
      <c r="L100" s="1357"/>
    </row>
    <row r="101" spans="1:12" s="1361" customFormat="1">
      <c r="A101" s="1357"/>
      <c r="B101" s="1218"/>
      <c r="C101" s="1218"/>
      <c r="D101" s="1218"/>
      <c r="E101" s="590"/>
      <c r="F101" s="1358"/>
      <c r="G101" s="1359"/>
      <c r="H101" s="1357"/>
      <c r="I101" s="1360"/>
      <c r="J101" s="1357"/>
      <c r="K101" s="1357"/>
      <c r="L101" s="1357"/>
    </row>
    <row r="102" spans="1:12" s="1361" customFormat="1">
      <c r="A102" s="1357"/>
      <c r="B102" s="1218"/>
      <c r="C102" s="1374" t="s">
        <v>4686</v>
      </c>
      <c r="D102" s="1218"/>
      <c r="E102" s="590"/>
      <c r="F102" s="1358"/>
      <c r="G102" s="1359"/>
      <c r="H102" s="1357"/>
      <c r="I102" s="1360"/>
      <c r="J102" s="1357"/>
      <c r="K102" s="1357"/>
      <c r="L102" s="1357"/>
    </row>
    <row r="103" spans="1:12" s="1361" customFormat="1">
      <c r="A103" s="1357"/>
      <c r="B103" s="1218"/>
      <c r="C103" s="1218"/>
      <c r="D103" s="1218"/>
      <c r="E103" s="590"/>
      <c r="F103" s="1358"/>
      <c r="G103" s="1359"/>
      <c r="H103" s="1357"/>
      <c r="I103" s="1360"/>
      <c r="J103" s="1357"/>
      <c r="K103" s="1357"/>
      <c r="L103" s="1357"/>
    </row>
    <row r="104" spans="1:12" s="228" customFormat="1">
      <c r="A104" s="626"/>
      <c r="B104" s="1401"/>
      <c r="C104" s="1401"/>
      <c r="D104" s="1401"/>
      <c r="E104" s="578" t="str">
        <f>Performance!E242</f>
        <v>Outperformance payments earned this reporting year - Water resources</v>
      </c>
      <c r="F104" s="1387">
        <f>Performance!F242</f>
        <v>0</v>
      </c>
      <c r="G104" s="578" t="str">
        <f>Performance!G242</f>
        <v>£m (2017-18 prices)</v>
      </c>
      <c r="H104" s="556"/>
      <c r="I104" s="556"/>
      <c r="J104" s="626"/>
      <c r="K104" s="626"/>
      <c r="L104" s="626"/>
    </row>
    <row r="105" spans="1:12" s="228" customFormat="1">
      <c r="A105" s="626"/>
      <c r="B105" s="1401"/>
      <c r="C105" s="1401"/>
      <c r="D105" s="1401"/>
      <c r="E105" s="578" t="str">
        <f>Performance!E243</f>
        <v>Outperformance payments earned this reporting year - Water network plus</v>
      </c>
      <c r="F105" s="1387">
        <f>Performance!F243</f>
        <v>0.27895999999999999</v>
      </c>
      <c r="G105" s="578" t="str">
        <f>Performance!G243</f>
        <v>£m (2017-18 prices)</v>
      </c>
      <c r="H105" s="556"/>
      <c r="I105" s="627"/>
      <c r="J105" s="626"/>
      <c r="K105" s="626"/>
      <c r="L105" s="626"/>
    </row>
    <row r="106" spans="1:12" s="228" customFormat="1">
      <c r="A106" s="626"/>
      <c r="B106" s="1401"/>
      <c r="C106" s="1401"/>
      <c r="D106" s="1401"/>
      <c r="E106" s="578" t="str">
        <f>Performance!E244</f>
        <v>Outperformance payments earned this reporting year - Wastewater network plus</v>
      </c>
      <c r="F106" s="1387">
        <f>Performance!F244</f>
        <v>0</v>
      </c>
      <c r="G106" s="578" t="str">
        <f>Performance!G244</f>
        <v>£m (2017-18 prices)</v>
      </c>
      <c r="H106" s="556"/>
      <c r="I106" s="627"/>
      <c r="J106" s="626"/>
      <c r="K106" s="626"/>
      <c r="L106" s="626"/>
    </row>
    <row r="107" spans="1:12" s="228" customFormat="1">
      <c r="A107" s="626"/>
      <c r="B107" s="1401"/>
      <c r="C107" s="1401"/>
      <c r="D107" s="1401"/>
      <c r="E107" s="578" t="str">
        <f>Performance!E245</f>
        <v>Outperformance payments earned this reporting year - Bioresources (sludge)</v>
      </c>
      <c r="F107" s="1387">
        <f>Performance!F245</f>
        <v>0</v>
      </c>
      <c r="G107" s="578" t="str">
        <f>Performance!G245</f>
        <v>£m (2017-18 prices)</v>
      </c>
      <c r="H107" s="556"/>
      <c r="I107" s="627"/>
      <c r="J107" s="626"/>
      <c r="K107" s="626"/>
      <c r="L107" s="626"/>
    </row>
    <row r="108" spans="1:12" s="228" customFormat="1">
      <c r="A108" s="626"/>
      <c r="B108" s="1401"/>
      <c r="C108" s="1401"/>
      <c r="D108" s="1401"/>
      <c r="E108" s="578" t="str">
        <f>Performance!E246</f>
        <v>Outperformance payments earned this reporting year - Residential retail</v>
      </c>
      <c r="F108" s="1387">
        <f>Performance!F246</f>
        <v>0.89604000000000006</v>
      </c>
      <c r="G108" s="578" t="str">
        <f>Performance!G246</f>
        <v>£m (2017-18 prices)</v>
      </c>
      <c r="H108" s="556"/>
      <c r="I108" s="627"/>
      <c r="J108" s="626"/>
      <c r="K108" s="626"/>
      <c r="L108" s="626"/>
    </row>
    <row r="109" spans="1:12" s="228" customFormat="1">
      <c r="A109" s="626"/>
      <c r="B109" s="1401"/>
      <c r="C109" s="1401"/>
      <c r="D109" s="1401"/>
      <c r="E109" s="578" t="str">
        <f>Performance!E247</f>
        <v>Outperformance payments earned this reporting year - Business retail</v>
      </c>
      <c r="F109" s="1387">
        <f>Performance!F247</f>
        <v>0</v>
      </c>
      <c r="G109" s="578" t="str">
        <f>Performance!G247</f>
        <v>£m (2017-18 prices)</v>
      </c>
      <c r="H109" s="556"/>
      <c r="I109" s="627"/>
      <c r="J109" s="626"/>
      <c r="K109" s="626"/>
      <c r="L109" s="626"/>
    </row>
    <row r="110" spans="1:12" s="228" customFormat="1">
      <c r="A110" s="626"/>
      <c r="B110" s="1401"/>
      <c r="C110" s="1401"/>
      <c r="D110" s="1401"/>
      <c r="E110" s="578" t="str">
        <f>Performance!E248</f>
        <v>Outperformance payments earned this reporting year - Dummy control</v>
      </c>
      <c r="F110" s="1387">
        <f>Performance!F248</f>
        <v>0</v>
      </c>
      <c r="G110" s="578" t="str">
        <f>Performance!G248</f>
        <v>£m (2017-18 prices)</v>
      </c>
      <c r="H110" s="556"/>
      <c r="I110" s="627"/>
      <c r="J110" s="626"/>
      <c r="K110" s="626"/>
      <c r="L110" s="626"/>
    </row>
    <row r="111" spans="1:12" s="1361" customFormat="1">
      <c r="A111" s="1357"/>
      <c r="B111" s="1218"/>
      <c r="C111" s="1218"/>
      <c r="D111" s="1218"/>
      <c r="E111" s="590"/>
      <c r="F111" s="649"/>
      <c r="G111" s="590"/>
      <c r="H111" s="590"/>
      <c r="I111" s="1360"/>
      <c r="J111" s="1357"/>
      <c r="K111" s="1357"/>
      <c r="L111" s="1357"/>
    </row>
    <row r="112" spans="1:12" s="1361" customFormat="1">
      <c r="A112" s="1357"/>
      <c r="B112" s="1218"/>
      <c r="C112" s="1218"/>
      <c r="D112" s="1218"/>
      <c r="E112" s="575" t="s">
        <v>4564</v>
      </c>
      <c r="F112" s="1376">
        <f>SUM(F104:F110)</f>
        <v>1.175</v>
      </c>
      <c r="G112" s="575" t="str">
        <f>InpCompany!$F$11</f>
        <v>£m (2017-18 prices)</v>
      </c>
      <c r="H112" s="590"/>
      <c r="I112" s="1360"/>
      <c r="J112" s="1357"/>
      <c r="K112" s="1357"/>
      <c r="L112" s="1357"/>
    </row>
    <row r="113" spans="1:12" s="1361" customFormat="1">
      <c r="A113" s="1357"/>
      <c r="B113" s="1218"/>
      <c r="C113" s="1218"/>
      <c r="D113" s="1218"/>
      <c r="E113" s="590"/>
      <c r="F113" s="649"/>
      <c r="G113" s="590"/>
      <c r="H113" s="590"/>
      <c r="I113" s="1360"/>
      <c r="J113" s="1357"/>
      <c r="K113" s="1357"/>
      <c r="L113" s="1357"/>
    </row>
    <row r="114" spans="1:12" s="228" customFormat="1">
      <c r="A114" s="626"/>
      <c r="B114" s="1401"/>
      <c r="C114" s="1401"/>
      <c r="D114" s="1401"/>
      <c r="E114" s="578" t="str">
        <f>Performance!E251</f>
        <v>Underperformance payments earned this reporting year - Water resources</v>
      </c>
      <c r="F114" s="1387">
        <f>Performance!F251</f>
        <v>-8.7999999999999995E-2</v>
      </c>
      <c r="G114" s="578" t="str">
        <f>Performance!G251</f>
        <v>£m (2017-18 prices)</v>
      </c>
      <c r="H114" s="556"/>
      <c r="I114" s="627"/>
      <c r="J114" s="626"/>
      <c r="K114" s="626"/>
      <c r="L114" s="626"/>
    </row>
    <row r="115" spans="1:12" s="228" customFormat="1">
      <c r="A115" s="626"/>
      <c r="B115" s="1401"/>
      <c r="C115" s="1401"/>
      <c r="D115" s="1401"/>
      <c r="E115" s="578" t="str">
        <f>Performance!E252</f>
        <v>Underperformance payments earned this reporting year - Water network plus</v>
      </c>
      <c r="F115" s="1387">
        <f>Performance!F252</f>
        <v>-20.421819131553161</v>
      </c>
      <c r="G115" s="578" t="str">
        <f>Performance!G252</f>
        <v>£m (2017-18 prices)</v>
      </c>
      <c r="H115" s="556"/>
      <c r="I115" s="627"/>
      <c r="J115" s="626"/>
      <c r="K115" s="626"/>
      <c r="L115" s="626"/>
    </row>
    <row r="116" spans="1:12" s="228" customFormat="1">
      <c r="A116" s="626"/>
      <c r="B116" s="1401"/>
      <c r="C116" s="1401"/>
      <c r="D116" s="1401"/>
      <c r="E116" s="578" t="str">
        <f>Performance!E253</f>
        <v>Underperformance payments earned this reporting year - Wastewater network plus</v>
      </c>
      <c r="F116" s="1387">
        <f>Performance!F253</f>
        <v>-16.908237</v>
      </c>
      <c r="G116" s="578" t="str">
        <f>Performance!G253</f>
        <v>£m (2017-18 prices)</v>
      </c>
      <c r="H116" s="556"/>
      <c r="I116" s="627"/>
      <c r="J116" s="626"/>
      <c r="K116" s="626"/>
      <c r="L116" s="626"/>
    </row>
    <row r="117" spans="1:12" s="228" customFormat="1">
      <c r="A117" s="626"/>
      <c r="B117" s="1401"/>
      <c r="C117" s="1401"/>
      <c r="D117" s="1401"/>
      <c r="E117" s="578" t="str">
        <f>Performance!E254</f>
        <v>Underperformance payments earned this reporting year - Bioresources (sludge)</v>
      </c>
      <c r="F117" s="1387">
        <f>Performance!F254</f>
        <v>0</v>
      </c>
      <c r="G117" s="578" t="str">
        <f>Performance!G254</f>
        <v>£m (2017-18 prices)</v>
      </c>
      <c r="H117" s="556"/>
      <c r="I117" s="627"/>
      <c r="J117" s="626"/>
      <c r="K117" s="626"/>
      <c r="L117" s="626"/>
    </row>
    <row r="118" spans="1:12" s="228" customFormat="1">
      <c r="A118" s="626"/>
      <c r="B118" s="1401"/>
      <c r="C118" s="1401"/>
      <c r="D118" s="1401"/>
      <c r="E118" s="578" t="str">
        <f>Performance!E255</f>
        <v>Underperformance payments earned this reporting year - Residential retail</v>
      </c>
      <c r="F118" s="1387">
        <f>Performance!F255</f>
        <v>0</v>
      </c>
      <c r="G118" s="578" t="str">
        <f>Performance!G255</f>
        <v>£m (2017-18 prices)</v>
      </c>
      <c r="H118" s="556"/>
      <c r="I118" s="627"/>
      <c r="J118" s="626"/>
      <c r="K118" s="626"/>
      <c r="L118" s="626"/>
    </row>
    <row r="119" spans="1:12" s="228" customFormat="1">
      <c r="A119" s="626"/>
      <c r="B119" s="1401"/>
      <c r="C119" s="1401"/>
      <c r="D119" s="1401"/>
      <c r="E119" s="578" t="str">
        <f>Performance!E256</f>
        <v>Underperformance payments earned this reporting year - Business retail</v>
      </c>
      <c r="F119" s="1387">
        <f>Performance!F256</f>
        <v>0</v>
      </c>
      <c r="G119" s="578" t="str">
        <f>Performance!G256</f>
        <v>£m (2017-18 prices)</v>
      </c>
      <c r="H119" s="556"/>
      <c r="I119" s="627"/>
      <c r="J119" s="626"/>
      <c r="K119" s="626"/>
      <c r="L119" s="626"/>
    </row>
    <row r="120" spans="1:12" s="228" customFormat="1">
      <c r="A120" s="626"/>
      <c r="B120" s="1401"/>
      <c r="C120" s="1401"/>
      <c r="D120" s="1401"/>
      <c r="E120" s="578" t="str">
        <f>Performance!E257</f>
        <v>Underperformance payments earned this reporting year - Dummy control</v>
      </c>
      <c r="F120" s="1387">
        <f>Performance!F257</f>
        <v>0</v>
      </c>
      <c r="G120" s="578" t="str">
        <f>Performance!G257</f>
        <v>£m (2017-18 prices)</v>
      </c>
      <c r="H120" s="556"/>
      <c r="I120" s="627"/>
      <c r="J120" s="626"/>
      <c r="K120" s="626"/>
      <c r="L120" s="626"/>
    </row>
    <row r="121" spans="1:12" s="1361" customFormat="1">
      <c r="A121" s="1357"/>
      <c r="B121" s="1218"/>
      <c r="C121" s="1218"/>
      <c r="D121" s="1218"/>
      <c r="E121" s="590"/>
      <c r="F121" s="649"/>
      <c r="G121" s="590"/>
      <c r="H121" s="590"/>
      <c r="I121" s="1360"/>
      <c r="J121" s="1357"/>
      <c r="K121" s="1357"/>
      <c r="L121" s="1357"/>
    </row>
    <row r="122" spans="1:12" s="1361" customFormat="1">
      <c r="A122" s="1357"/>
      <c r="B122" s="1218"/>
      <c r="C122" s="1218"/>
      <c r="D122" s="1218"/>
      <c r="E122" s="575" t="s">
        <v>4572</v>
      </c>
      <c r="F122" s="1376">
        <f>SUM(F114:F120)</f>
        <v>-37.418056131553158</v>
      </c>
      <c r="G122" s="575" t="str">
        <f>InpCompany!$F$11</f>
        <v>£m (2017-18 prices)</v>
      </c>
      <c r="H122" s="590"/>
      <c r="I122" s="1360"/>
      <c r="J122" s="1357"/>
      <c r="K122" s="1357"/>
      <c r="L122" s="1357"/>
    </row>
    <row r="123" spans="1:12" s="228" customFormat="1">
      <c r="A123" s="626"/>
      <c r="B123" s="1401"/>
      <c r="C123" s="1401"/>
      <c r="D123" s="1401"/>
      <c r="E123" s="556"/>
      <c r="F123" s="652"/>
      <c r="G123" s="556"/>
      <c r="H123" s="556"/>
      <c r="I123" s="627"/>
      <c r="J123" s="626"/>
      <c r="K123" s="626"/>
      <c r="L123" s="626"/>
    </row>
    <row r="124" spans="1:12" s="1361" customFormat="1">
      <c r="A124" s="1357"/>
      <c r="B124" s="1218"/>
      <c r="C124" s="1218"/>
      <c r="D124" s="1402" t="s">
        <v>4749</v>
      </c>
      <c r="E124" s="590"/>
      <c r="F124" s="649"/>
      <c r="G124" s="590"/>
      <c r="H124" s="590"/>
      <c r="I124" s="1360"/>
      <c r="J124" s="1357"/>
      <c r="K124" s="1357"/>
      <c r="L124" s="1357"/>
    </row>
    <row r="125" spans="1:12" s="1361" customFormat="1">
      <c r="A125" s="1357"/>
      <c r="B125" s="1218"/>
      <c r="C125" s="1218"/>
      <c r="D125" s="1218"/>
      <c r="E125" s="1218" t="s">
        <v>4750</v>
      </c>
      <c r="F125" s="1376">
        <f>F104+F114</f>
        <v>-8.7999999999999995E-2</v>
      </c>
      <c r="G125" s="575" t="str">
        <f>InpCompany!$F$11</f>
        <v>£m (2017-18 prices)</v>
      </c>
      <c r="H125" s="590"/>
      <c r="I125" s="1360"/>
      <c r="J125" s="1357"/>
      <c r="K125" s="1357"/>
      <c r="L125" s="1357"/>
    </row>
    <row r="126" spans="1:12" s="1361" customFormat="1">
      <c r="A126" s="1357"/>
      <c r="B126" s="1218"/>
      <c r="C126" s="1218"/>
      <c r="D126" s="1218"/>
      <c r="E126" s="1218" t="s">
        <v>4751</v>
      </c>
      <c r="F126" s="1376">
        <f t="shared" ref="F126:F130" si="6">F105+F115</f>
        <v>-20.142859131553159</v>
      </c>
      <c r="G126" s="575" t="str">
        <f>InpCompany!$F$11</f>
        <v>£m (2017-18 prices)</v>
      </c>
      <c r="H126" s="590"/>
      <c r="I126" s="1360"/>
      <c r="J126" s="1357"/>
      <c r="K126" s="1357"/>
      <c r="L126" s="1357"/>
    </row>
    <row r="127" spans="1:12" s="1361" customFormat="1">
      <c r="A127" s="1357"/>
      <c r="B127" s="1218"/>
      <c r="C127" s="1218"/>
      <c r="D127" s="1218"/>
      <c r="E127" s="1218" t="s">
        <v>4752</v>
      </c>
      <c r="F127" s="1376">
        <f t="shared" si="6"/>
        <v>-16.908237</v>
      </c>
      <c r="G127" s="575" t="str">
        <f>InpCompany!$F$11</f>
        <v>£m (2017-18 prices)</v>
      </c>
      <c r="H127" s="590"/>
      <c r="I127" s="1360"/>
      <c r="J127" s="1357"/>
      <c r="K127" s="1357"/>
      <c r="L127" s="1357"/>
    </row>
    <row r="128" spans="1:12" s="1361" customFormat="1">
      <c r="A128" s="1357"/>
      <c r="B128" s="1218"/>
      <c r="C128" s="1218"/>
      <c r="D128" s="1218"/>
      <c r="E128" s="1218" t="s">
        <v>4753</v>
      </c>
      <c r="F128" s="1376">
        <f t="shared" si="6"/>
        <v>0</v>
      </c>
      <c r="G128" s="575" t="str">
        <f>InpCompany!$F$11</f>
        <v>£m (2017-18 prices)</v>
      </c>
      <c r="H128" s="590"/>
      <c r="I128" s="1360"/>
      <c r="J128" s="1357"/>
      <c r="K128" s="1357"/>
      <c r="L128" s="1357"/>
    </row>
    <row r="129" spans="1:12" s="1361" customFormat="1">
      <c r="A129" s="1357"/>
      <c r="B129" s="1218"/>
      <c r="C129" s="1218"/>
      <c r="D129" s="1218"/>
      <c r="E129" s="1218" t="s">
        <v>4754</v>
      </c>
      <c r="F129" s="1376">
        <f t="shared" si="6"/>
        <v>0.89604000000000006</v>
      </c>
      <c r="G129" s="575" t="str">
        <f>InpCompany!$F$11</f>
        <v>£m (2017-18 prices)</v>
      </c>
      <c r="H129" s="590"/>
      <c r="I129" s="1360"/>
      <c r="J129" s="1357"/>
      <c r="K129" s="1357"/>
      <c r="L129" s="1357"/>
    </row>
    <row r="130" spans="1:12" s="1361" customFormat="1">
      <c r="A130" s="1357"/>
      <c r="B130" s="1218"/>
      <c r="C130" s="1218"/>
      <c r="D130" s="1218"/>
      <c r="E130" s="1218" t="s">
        <v>4755</v>
      </c>
      <c r="F130" s="1376">
        <f t="shared" si="6"/>
        <v>0</v>
      </c>
      <c r="G130" s="575" t="str">
        <f>InpCompany!$F$11</f>
        <v>£m (2017-18 prices)</v>
      </c>
      <c r="H130" s="590"/>
      <c r="I130" s="1360"/>
      <c r="J130" s="1357"/>
      <c r="K130" s="1357"/>
      <c r="L130" s="1357"/>
    </row>
    <row r="131" spans="1:12" s="1361" customFormat="1">
      <c r="A131" s="1357"/>
      <c r="B131" s="1218"/>
      <c r="C131" s="1218"/>
      <c r="D131" s="1218"/>
      <c r="E131" s="1218" t="s">
        <v>4756</v>
      </c>
      <c r="F131" s="1376">
        <f>F110+F120</f>
        <v>0</v>
      </c>
      <c r="G131" s="575" t="str">
        <f>InpCompany!$F$11</f>
        <v>£m (2017-18 prices)</v>
      </c>
      <c r="H131" s="590"/>
      <c r="I131" s="1360"/>
      <c r="J131" s="1357"/>
      <c r="K131" s="1357"/>
      <c r="L131" s="1357"/>
    </row>
    <row r="132" spans="1:12" s="228" customFormat="1">
      <c r="A132" s="626"/>
      <c r="B132" s="1401"/>
      <c r="C132" s="1401"/>
      <c r="D132" s="1401"/>
      <c r="E132" s="556"/>
      <c r="F132" s="652"/>
      <c r="G132" s="556"/>
      <c r="H132" s="556"/>
      <c r="I132" s="627"/>
      <c r="J132" s="626"/>
      <c r="K132" s="626"/>
      <c r="L132" s="626"/>
    </row>
    <row r="133" spans="1:12" s="1361" customFormat="1">
      <c r="A133" s="1357"/>
      <c r="B133" s="1218"/>
      <c r="C133" s="1218"/>
      <c r="D133" s="1403" t="s">
        <v>4687</v>
      </c>
      <c r="E133" s="590"/>
      <c r="F133" s="649"/>
      <c r="G133" s="590"/>
      <c r="H133" s="590"/>
      <c r="I133" s="1360"/>
      <c r="J133" s="1357"/>
      <c r="K133" s="1357"/>
      <c r="L133" s="1357"/>
    </row>
    <row r="134" spans="1:12" s="1361" customFormat="1">
      <c r="A134" s="1357"/>
      <c r="B134" s="1218"/>
      <c r="C134" s="1218"/>
      <c r="D134" s="1218"/>
      <c r="E134" s="488" t="s">
        <v>4757</v>
      </c>
      <c r="F134" s="649"/>
      <c r="G134" s="575" t="str">
        <f>InpCompany!$F$11</f>
        <v>£m (2017-18 prices)</v>
      </c>
      <c r="H134" s="590"/>
      <c r="I134" s="1360"/>
      <c r="J134" s="1377">
        <f>F125</f>
        <v>-8.7999999999999995E-2</v>
      </c>
      <c r="K134" s="1360"/>
      <c r="L134" s="1360"/>
    </row>
    <row r="135" spans="1:12" s="1361" customFormat="1">
      <c r="A135" s="1357"/>
      <c r="B135" s="1218"/>
      <c r="C135" s="1218"/>
      <c r="D135" s="1218"/>
      <c r="E135" s="488" t="s">
        <v>4758</v>
      </c>
      <c r="F135" s="649"/>
      <c r="G135" s="575" t="str">
        <f>InpCompany!$F$11</f>
        <v>£m (2017-18 prices)</v>
      </c>
      <c r="H135" s="590"/>
      <c r="I135" s="1360"/>
      <c r="J135" s="1377">
        <f>F126</f>
        <v>-20.142859131553159</v>
      </c>
      <c r="K135" s="1360"/>
      <c r="L135" s="1360"/>
    </row>
    <row r="136" spans="1:12" s="1361" customFormat="1">
      <c r="A136" s="1357"/>
      <c r="B136" s="1218"/>
      <c r="C136" s="1218"/>
      <c r="D136" s="1218"/>
      <c r="E136" s="488" t="s">
        <v>4759</v>
      </c>
      <c r="F136" s="649"/>
      <c r="G136" s="575" t="str">
        <f>InpCompany!$F$11</f>
        <v>£m (2017-18 prices)</v>
      </c>
      <c r="H136" s="590"/>
      <c r="I136" s="1360"/>
      <c r="J136" s="1360"/>
      <c r="K136" s="1377">
        <f>F127</f>
        <v>-16.908237</v>
      </c>
      <c r="L136" s="1360"/>
    </row>
    <row r="137" spans="1:12" s="1361" customFormat="1">
      <c r="A137" s="1357"/>
      <c r="B137" s="1218"/>
      <c r="C137" s="1218"/>
      <c r="D137" s="1218"/>
      <c r="E137" s="488" t="s">
        <v>4760</v>
      </c>
      <c r="F137" s="649"/>
      <c r="G137" s="575" t="str">
        <f>InpCompany!$F$11</f>
        <v>£m (2017-18 prices)</v>
      </c>
      <c r="H137" s="590"/>
      <c r="I137" s="1360"/>
      <c r="J137" s="1360"/>
      <c r="K137" s="1377">
        <f>F128</f>
        <v>0</v>
      </c>
      <c r="L137" s="1360"/>
    </row>
    <row r="138" spans="1:12" s="1361" customFormat="1">
      <c r="A138" s="1357"/>
      <c r="B138" s="1218"/>
      <c r="C138" s="1218"/>
      <c r="D138" s="1218"/>
      <c r="E138" s="488" t="s">
        <v>4761</v>
      </c>
      <c r="F138" s="649"/>
      <c r="G138" s="575" t="str">
        <f>InpCompany!$F$11</f>
        <v>£m (2017-18 prices)</v>
      </c>
      <c r="H138" s="590"/>
      <c r="I138" s="1360"/>
      <c r="J138" s="1360"/>
      <c r="K138" s="1360"/>
      <c r="L138" s="1377">
        <f>F129</f>
        <v>0.89604000000000006</v>
      </c>
    </row>
    <row r="139" spans="1:12" s="1361" customFormat="1">
      <c r="A139" s="1357"/>
      <c r="B139" s="1218"/>
      <c r="C139" s="1218"/>
      <c r="D139" s="1218"/>
      <c r="E139" s="488" t="s">
        <v>4762</v>
      </c>
      <c r="F139" s="649"/>
      <c r="G139" s="575" t="str">
        <f>InpCompany!$F$11</f>
        <v>£m (2017-18 prices)</v>
      </c>
      <c r="H139" s="590"/>
      <c r="I139" s="1360"/>
      <c r="J139" s="1360"/>
      <c r="K139" s="1360"/>
      <c r="L139" s="1377">
        <f t="shared" ref="L139:L140" si="7">F130</f>
        <v>0</v>
      </c>
    </row>
    <row r="140" spans="1:12" s="1361" customFormat="1">
      <c r="A140" s="1357"/>
      <c r="B140" s="1218"/>
      <c r="C140" s="1218"/>
      <c r="D140" s="1218"/>
      <c r="E140" s="488" t="s">
        <v>4763</v>
      </c>
      <c r="F140" s="649"/>
      <c r="G140" s="575" t="str">
        <f>InpCompany!$F$11</f>
        <v>£m (2017-18 prices)</v>
      </c>
      <c r="H140" s="590"/>
      <c r="I140" s="1360"/>
      <c r="J140" s="1360"/>
      <c r="K140" s="1360"/>
      <c r="L140" s="1377">
        <f t="shared" si="7"/>
        <v>0</v>
      </c>
    </row>
    <row r="141" spans="1:12" s="1361" customFormat="1">
      <c r="A141" s="1357"/>
      <c r="B141" s="1218"/>
      <c r="C141" s="1218"/>
      <c r="D141" s="1218"/>
      <c r="E141" s="431"/>
      <c r="F141" s="590"/>
      <c r="G141" s="590"/>
      <c r="H141" s="590"/>
      <c r="I141" s="1360"/>
      <c r="J141" s="1360"/>
      <c r="K141" s="1360"/>
      <c r="L141" s="1360"/>
    </row>
    <row r="142" spans="1:12" s="1361" customFormat="1">
      <c r="A142" s="1357"/>
      <c r="B142" s="1218"/>
      <c r="C142" s="1218"/>
      <c r="D142" s="1218"/>
      <c r="E142" s="1378" t="s">
        <v>4764</v>
      </c>
      <c r="F142" s="590"/>
      <c r="G142" s="590"/>
      <c r="H142" s="590"/>
      <c r="I142" s="1360"/>
      <c r="J142" s="1377">
        <f>SUM(J134:J140)</f>
        <v>-20.23085913155316</v>
      </c>
      <c r="K142" s="1377">
        <f>SUM(K134:K140)</f>
        <v>-16.908237</v>
      </c>
      <c r="L142" s="1377">
        <f>SUM(L134:L140)</f>
        <v>0.89604000000000006</v>
      </c>
    </row>
    <row r="143" spans="1:12" s="1361" customFormat="1">
      <c r="A143" s="1357"/>
      <c r="B143" s="1218"/>
      <c r="C143" s="1218"/>
      <c r="D143" s="1218"/>
      <c r="E143" s="433"/>
      <c r="F143" s="590"/>
      <c r="G143" s="590"/>
      <c r="H143" s="590"/>
      <c r="I143" s="1360"/>
      <c r="J143" s="1360"/>
      <c r="K143" s="1360"/>
      <c r="L143" s="1360"/>
    </row>
    <row r="144" spans="1:12" s="1361" customFormat="1">
      <c r="A144" s="1357"/>
      <c r="B144" s="1218"/>
      <c r="C144" s="1218"/>
      <c r="D144" s="1218"/>
      <c r="E144" s="488" t="s">
        <v>4765</v>
      </c>
      <c r="F144" s="590"/>
      <c r="G144" s="575" t="str">
        <f>InpCompany!$F$11</f>
        <v>£m (2017-18 prices)</v>
      </c>
      <c r="H144" s="590"/>
      <c r="I144" s="1360"/>
      <c r="J144" s="1377">
        <f>F114</f>
        <v>-8.7999999999999995E-2</v>
      </c>
      <c r="K144" s="1360"/>
      <c r="L144" s="1360"/>
    </row>
    <row r="145" spans="1:12" s="1361" customFormat="1">
      <c r="A145" s="1357"/>
      <c r="B145" s="1218"/>
      <c r="C145" s="1218"/>
      <c r="D145" s="1218"/>
      <c r="E145" s="488" t="s">
        <v>4766</v>
      </c>
      <c r="F145" s="590"/>
      <c r="G145" s="575" t="str">
        <f>InpCompany!$F$11</f>
        <v>£m (2017-18 prices)</v>
      </c>
      <c r="H145" s="590"/>
      <c r="I145" s="1360"/>
      <c r="J145" s="1377">
        <f>F115</f>
        <v>-20.421819131553161</v>
      </c>
      <c r="K145" s="1360"/>
      <c r="L145" s="1360"/>
    </row>
    <row r="146" spans="1:12" s="1361" customFormat="1">
      <c r="A146" s="1357"/>
      <c r="B146" s="1218"/>
      <c r="C146" s="1218"/>
      <c r="D146" s="1218"/>
      <c r="E146" s="488" t="s">
        <v>4767</v>
      </c>
      <c r="F146" s="590"/>
      <c r="G146" s="575" t="str">
        <f>InpCompany!$F$11</f>
        <v>£m (2017-18 prices)</v>
      </c>
      <c r="H146" s="590"/>
      <c r="I146" s="1360"/>
      <c r="J146" s="1360"/>
      <c r="K146" s="1377">
        <f>F116</f>
        <v>-16.908237</v>
      </c>
      <c r="L146" s="1360"/>
    </row>
    <row r="147" spans="1:12" s="1361" customFormat="1">
      <c r="A147" s="1357"/>
      <c r="B147" s="1218"/>
      <c r="C147" s="1218"/>
      <c r="D147" s="1218"/>
      <c r="E147" s="488" t="s">
        <v>4768</v>
      </c>
      <c r="F147" s="590"/>
      <c r="G147" s="575" t="str">
        <f>InpCompany!$F$11</f>
        <v>£m (2017-18 prices)</v>
      </c>
      <c r="H147" s="590"/>
      <c r="I147" s="1360"/>
      <c r="J147" s="1360"/>
      <c r="K147" s="1377">
        <f>F117</f>
        <v>0</v>
      </c>
      <c r="L147" s="1360"/>
    </row>
    <row r="148" spans="1:12" s="1361" customFormat="1">
      <c r="A148" s="1357"/>
      <c r="B148" s="1218"/>
      <c r="C148" s="1218"/>
      <c r="D148" s="1218"/>
      <c r="E148" s="488" t="s">
        <v>4769</v>
      </c>
      <c r="F148" s="590"/>
      <c r="G148" s="575" t="str">
        <f>InpCompany!$F$11</f>
        <v>£m (2017-18 prices)</v>
      </c>
      <c r="H148" s="590"/>
      <c r="I148" s="1360"/>
      <c r="J148" s="1360"/>
      <c r="K148" s="1360"/>
      <c r="L148" s="1377">
        <f>F118</f>
        <v>0</v>
      </c>
    </row>
    <row r="149" spans="1:12" s="1361" customFormat="1">
      <c r="A149" s="1357"/>
      <c r="B149" s="1218"/>
      <c r="C149" s="1218"/>
      <c r="D149" s="1218"/>
      <c r="E149" s="488" t="s">
        <v>4770</v>
      </c>
      <c r="F149" s="590"/>
      <c r="G149" s="575" t="str">
        <f>InpCompany!$F$11</f>
        <v>£m (2017-18 prices)</v>
      </c>
      <c r="H149" s="590"/>
      <c r="I149" s="1360"/>
      <c r="J149" s="1360"/>
      <c r="K149" s="1360"/>
      <c r="L149" s="1377">
        <f t="shared" ref="L149:L150" si="8">F119</f>
        <v>0</v>
      </c>
    </row>
    <row r="150" spans="1:12" s="1361" customFormat="1">
      <c r="A150" s="1357"/>
      <c r="B150" s="1218"/>
      <c r="C150" s="1218"/>
      <c r="D150" s="1218"/>
      <c r="E150" s="488" t="s">
        <v>4771</v>
      </c>
      <c r="F150" s="590"/>
      <c r="G150" s="575" t="str">
        <f>InpCompany!$F$11</f>
        <v>£m (2017-18 prices)</v>
      </c>
      <c r="H150" s="590"/>
      <c r="I150" s="1360"/>
      <c r="J150" s="1360"/>
      <c r="K150" s="1360"/>
      <c r="L150" s="1377">
        <f t="shared" si="8"/>
        <v>0</v>
      </c>
    </row>
    <row r="151" spans="1:12" s="1361" customFormat="1">
      <c r="A151" s="1357"/>
      <c r="B151" s="1218"/>
      <c r="C151" s="1218"/>
      <c r="D151" s="1218"/>
      <c r="E151" s="433"/>
      <c r="F151" s="590"/>
      <c r="G151" s="590"/>
      <c r="H151" s="590"/>
      <c r="I151" s="1360"/>
      <c r="J151" s="1360"/>
      <c r="K151" s="1360"/>
      <c r="L151" s="1360"/>
    </row>
    <row r="152" spans="1:12" s="1361" customFormat="1">
      <c r="A152" s="1357"/>
      <c r="B152" s="1218"/>
      <c r="C152" s="1218"/>
      <c r="D152" s="1218"/>
      <c r="E152" s="1378" t="s">
        <v>4772</v>
      </c>
      <c r="F152" s="590"/>
      <c r="G152" s="590"/>
      <c r="H152" s="590"/>
      <c r="I152" s="1360"/>
      <c r="J152" s="1377">
        <f>SUM(J144:J150)</f>
        <v>-20.509819131553161</v>
      </c>
      <c r="K152" s="1377">
        <f>SUM(K144:K150)</f>
        <v>-16.908237</v>
      </c>
      <c r="L152" s="1377">
        <f>SUM(L144:L150)</f>
        <v>0</v>
      </c>
    </row>
    <row r="153" spans="1:12" s="1361" customFormat="1">
      <c r="A153" s="1357"/>
      <c r="B153" s="1218"/>
      <c r="C153" s="1218"/>
      <c r="D153" s="1218"/>
      <c r="E153" s="433"/>
      <c r="F153" s="590"/>
      <c r="G153" s="590"/>
      <c r="H153" s="590"/>
      <c r="I153" s="1360"/>
      <c r="J153" s="1357"/>
      <c r="K153" s="1357"/>
      <c r="L153" s="1357"/>
    </row>
    <row r="154" spans="1:12" s="1361" customFormat="1">
      <c r="A154" s="1357"/>
      <c r="B154" s="1218"/>
      <c r="C154" s="1218"/>
      <c r="D154" s="1403" t="s">
        <v>4696</v>
      </c>
      <c r="E154" s="433"/>
      <c r="F154" s="590"/>
      <c r="G154" s="590"/>
      <c r="H154" s="590"/>
      <c r="I154" s="1360"/>
      <c r="J154" s="1357"/>
      <c r="K154" s="1357"/>
      <c r="L154" s="1357"/>
    </row>
    <row r="155" spans="1:12" s="1361" customFormat="1">
      <c r="A155" s="1357"/>
      <c r="B155" s="1218"/>
      <c r="C155" s="1218"/>
      <c r="D155" s="1218"/>
      <c r="E155" s="1378" t="s">
        <v>4773</v>
      </c>
      <c r="F155" s="433"/>
      <c r="G155" s="575" t="str">
        <f>InpCompany!$F$11</f>
        <v>£m (2017-18 prices)</v>
      </c>
      <c r="H155" s="433"/>
      <c r="I155" s="433"/>
      <c r="J155" s="1379">
        <f>J31*-1</f>
        <v>0</v>
      </c>
      <c r="K155" s="1379">
        <f t="shared" ref="K155" si="9">K31*-1</f>
        <v>0</v>
      </c>
      <c r="L155" s="1379"/>
    </row>
    <row r="156" spans="1:12" s="1361" customFormat="1">
      <c r="A156" s="1357"/>
      <c r="B156" s="1218"/>
      <c r="C156" s="1218"/>
      <c r="D156" s="1218"/>
      <c r="E156" s="1378" t="s">
        <v>4774</v>
      </c>
      <c r="F156" s="433"/>
      <c r="G156" s="1380" t="s">
        <v>4702</v>
      </c>
      <c r="H156" s="590"/>
      <c r="I156" s="1360"/>
      <c r="J156" s="1380" t="b">
        <f>IF(J142&lt;J155,TRUE,FALSE)</f>
        <v>1</v>
      </c>
      <c r="K156" s="1380" t="b">
        <f>IF(K142&lt;K155,TRUE,FALSE)</f>
        <v>1</v>
      </c>
      <c r="L156" s="433"/>
    </row>
    <row r="157" spans="1:12" s="228" customFormat="1">
      <c r="A157" s="626"/>
      <c r="B157" s="1401"/>
      <c r="C157" s="1401"/>
      <c r="D157" s="1401"/>
      <c r="E157" s="578" t="s">
        <v>2019</v>
      </c>
      <c r="G157" s="578" t="s">
        <v>2016</v>
      </c>
      <c r="H157" s="556"/>
      <c r="I157" s="627"/>
      <c r="J157" s="1381">
        <f>InpCompany!$F$29</f>
        <v>0.5</v>
      </c>
      <c r="K157" s="1381">
        <f>InpCompany!$F$29</f>
        <v>0.5</v>
      </c>
      <c r="L157" s="626"/>
    </row>
    <row r="158" spans="1:12" s="1361" customFormat="1">
      <c r="A158" s="1357"/>
      <c r="B158" s="1218"/>
      <c r="C158" s="1218"/>
      <c r="D158" s="1218"/>
      <c r="E158" s="575" t="str">
        <f>E100</f>
        <v>Bespoke sharing mechanism applies?</v>
      </c>
      <c r="F158" s="575" t="b">
        <f t="shared" ref="F158" si="10">F100</f>
        <v>0</v>
      </c>
      <c r="G158" s="575"/>
      <c r="H158" s="590"/>
      <c r="I158" s="1360"/>
      <c r="J158" s="1362"/>
      <c r="K158" s="1362"/>
      <c r="L158" s="1357"/>
    </row>
    <row r="159" spans="1:12" s="228" customFormat="1">
      <c r="A159" s="626"/>
      <c r="B159" s="1401"/>
      <c r="C159" s="1401"/>
      <c r="D159" s="1401"/>
      <c r="E159" s="1378" t="s">
        <v>4775</v>
      </c>
      <c r="F159" s="433"/>
      <c r="G159" s="1380" t="str">
        <f>InpCompany!$F$11</f>
        <v>£m (2017-18 prices)</v>
      </c>
      <c r="H159" s="433"/>
      <c r="I159" s="433"/>
      <c r="J159" s="583">
        <f>IF(AND(J156,$F$158),(J142-J155)*J157,0)</f>
        <v>0</v>
      </c>
      <c r="K159" s="583">
        <f t="shared" ref="K159" si="11">IF(AND(K156,$F$158),(K142-K155)*K157,0)</f>
        <v>0</v>
      </c>
      <c r="L159" s="583"/>
    </row>
    <row r="160" spans="1:12" s="1361" customFormat="1">
      <c r="A160" s="1357"/>
      <c r="B160" s="1218"/>
      <c r="C160" s="1218"/>
      <c r="D160" s="1218"/>
      <c r="E160" s="1357"/>
      <c r="F160" s="1357"/>
      <c r="G160" s="1359"/>
      <c r="H160" s="1357"/>
      <c r="I160" s="1357"/>
      <c r="J160" s="470"/>
      <c r="K160" s="470"/>
      <c r="L160" s="1357"/>
    </row>
    <row r="161" spans="1:12" s="1361" customFormat="1">
      <c r="A161" s="1357"/>
      <c r="B161" s="1218"/>
      <c r="C161" s="1218"/>
      <c r="D161" s="1218"/>
      <c r="E161" s="1357"/>
      <c r="F161" s="1357"/>
      <c r="G161" s="1359"/>
      <c r="H161" s="1357"/>
      <c r="I161" s="1357"/>
      <c r="J161" s="470"/>
      <c r="K161" s="470"/>
      <c r="L161" s="1357"/>
    </row>
    <row r="162" spans="1:12" s="1361" customFormat="1">
      <c r="A162" s="1357"/>
      <c r="B162" s="1218"/>
      <c r="C162" s="1404" t="s">
        <v>4704</v>
      </c>
      <c r="D162" s="1218"/>
      <c r="E162" s="1357"/>
      <c r="F162" s="1357"/>
      <c r="G162" s="1359"/>
      <c r="H162" s="1357"/>
      <c r="I162" s="1357"/>
      <c r="J162" s="470"/>
      <c r="K162" s="470"/>
      <c r="L162" s="1357"/>
    </row>
    <row r="163" spans="1:12" s="1361" customFormat="1">
      <c r="A163" s="1357"/>
      <c r="B163" s="1218"/>
      <c r="C163" s="1218"/>
      <c r="D163" s="1218"/>
      <c r="E163" s="1357"/>
      <c r="F163" s="1357"/>
      <c r="G163" s="1359"/>
      <c r="H163" s="1357"/>
      <c r="I163" s="1357"/>
      <c r="J163" s="470"/>
      <c r="K163" s="470"/>
      <c r="L163" s="1357"/>
    </row>
    <row r="164" spans="1:12" s="1361" customFormat="1">
      <c r="A164" s="1357"/>
      <c r="B164" s="1218"/>
      <c r="C164" s="1218"/>
      <c r="D164" s="1403" t="s">
        <v>4776</v>
      </c>
      <c r="E164" s="1357"/>
      <c r="F164" s="1357"/>
      <c r="G164" s="1359"/>
      <c r="H164" s="1357"/>
      <c r="I164" s="1357"/>
      <c r="J164" s="470"/>
      <c r="K164" s="470"/>
      <c r="L164" s="1357"/>
    </row>
    <row r="165" spans="1:12" s="1361" customFormat="1">
      <c r="A165" s="1357"/>
      <c r="B165" s="1218"/>
      <c r="C165" s="1218"/>
      <c r="D165" s="1218"/>
      <c r="E165" s="488" t="s">
        <v>4777</v>
      </c>
      <c r="F165" s="1382"/>
      <c r="G165" s="1380" t="s">
        <v>2016</v>
      </c>
      <c r="H165" s="433"/>
      <c r="I165" s="433"/>
      <c r="J165" s="1382">
        <f>IFERROR(J144/J$152,0)</f>
        <v>4.2906277932318344E-3</v>
      </c>
      <c r="K165" s="1382">
        <f t="shared" ref="K165" si="12">IFERROR(K144/K$152,0)</f>
        <v>0</v>
      </c>
      <c r="L165" s="1382"/>
    </row>
    <row r="166" spans="1:12" s="1361" customFormat="1">
      <c r="A166" s="1357"/>
      <c r="B166" s="1218"/>
      <c r="C166" s="1218"/>
      <c r="D166" s="1218"/>
      <c r="E166" s="488" t="s">
        <v>4778</v>
      </c>
      <c r="F166" s="1382"/>
      <c r="G166" s="1380" t="s">
        <v>2016</v>
      </c>
      <c r="H166" s="1357"/>
      <c r="I166" s="1357"/>
      <c r="J166" s="1382">
        <f t="shared" ref="J166:J171" si="13">IFERROR(J145/J$152,0)</f>
        <v>0.99570937220676814</v>
      </c>
      <c r="K166" s="1382">
        <f t="shared" ref="K166:K171" si="14">IFERROR(K145/K$152,0)</f>
        <v>0</v>
      </c>
      <c r="L166" s="1382"/>
    </row>
    <row r="167" spans="1:12" s="1361" customFormat="1">
      <c r="A167" s="1357"/>
      <c r="B167" s="1218"/>
      <c r="C167" s="1218"/>
      <c r="D167" s="1218"/>
      <c r="E167" s="488" t="s">
        <v>4779</v>
      </c>
      <c r="F167" s="1382"/>
      <c r="G167" s="1380" t="s">
        <v>2016</v>
      </c>
      <c r="H167" s="1357"/>
      <c r="I167" s="1357"/>
      <c r="J167" s="1382">
        <f t="shared" si="13"/>
        <v>0</v>
      </c>
      <c r="K167" s="1382">
        <f t="shared" si="14"/>
        <v>1</v>
      </c>
      <c r="L167" s="1382"/>
    </row>
    <row r="168" spans="1:12" s="1361" customFormat="1">
      <c r="A168" s="1357"/>
      <c r="B168" s="1218"/>
      <c r="C168" s="1218"/>
      <c r="D168" s="1218"/>
      <c r="E168" s="488" t="s">
        <v>4780</v>
      </c>
      <c r="F168" s="1382"/>
      <c r="G168" s="1380" t="s">
        <v>2016</v>
      </c>
      <c r="H168" s="1357"/>
      <c r="I168" s="1357"/>
      <c r="J168" s="1382">
        <f t="shared" si="13"/>
        <v>0</v>
      </c>
      <c r="K168" s="1382">
        <f>IFERROR(K147/K$152,0)</f>
        <v>0</v>
      </c>
      <c r="L168" s="1382"/>
    </row>
    <row r="169" spans="1:12" s="1361" customFormat="1">
      <c r="A169" s="1357"/>
      <c r="B169" s="1218"/>
      <c r="C169" s="1218"/>
      <c r="D169" s="1218"/>
      <c r="E169" s="488" t="s">
        <v>4781</v>
      </c>
      <c r="F169" s="1382"/>
      <c r="G169" s="1380" t="s">
        <v>2016</v>
      </c>
      <c r="H169" s="1357"/>
      <c r="I169" s="1357"/>
      <c r="J169" s="1382">
        <f t="shared" si="13"/>
        <v>0</v>
      </c>
      <c r="K169" s="1382">
        <f t="shared" si="14"/>
        <v>0</v>
      </c>
      <c r="L169" s="1382"/>
    </row>
    <row r="170" spans="1:12" s="1361" customFormat="1">
      <c r="A170" s="1357"/>
      <c r="B170" s="1218"/>
      <c r="C170" s="1218"/>
      <c r="D170" s="1218"/>
      <c r="E170" s="488" t="s">
        <v>4782</v>
      </c>
      <c r="F170" s="1382"/>
      <c r="G170" s="1380" t="s">
        <v>2016</v>
      </c>
      <c r="H170" s="1357"/>
      <c r="I170" s="1357"/>
      <c r="J170" s="1382">
        <f t="shared" si="13"/>
        <v>0</v>
      </c>
      <c r="K170" s="1382">
        <f t="shared" si="14"/>
        <v>0</v>
      </c>
      <c r="L170" s="1382"/>
    </row>
    <row r="171" spans="1:12" s="1361" customFormat="1">
      <c r="A171" s="1357"/>
      <c r="B171" s="1218"/>
      <c r="C171" s="1218"/>
      <c r="D171" s="1218"/>
      <c r="E171" s="488" t="s">
        <v>4783</v>
      </c>
      <c r="F171" s="1382"/>
      <c r="G171" s="1380" t="s">
        <v>2016</v>
      </c>
      <c r="H171" s="1357"/>
      <c r="I171" s="1357"/>
      <c r="J171" s="1382">
        <f t="shared" si="13"/>
        <v>0</v>
      </c>
      <c r="K171" s="1382">
        <f t="shared" si="14"/>
        <v>0</v>
      </c>
      <c r="L171" s="1382"/>
    </row>
    <row r="172" spans="1:12" s="1361" customFormat="1">
      <c r="A172" s="1357"/>
      <c r="B172" s="1218"/>
      <c r="C172" s="1218"/>
      <c r="D172" s="1218"/>
      <c r="E172" s="431"/>
      <c r="G172" s="590"/>
      <c r="H172" s="590"/>
      <c r="I172" s="1360"/>
      <c r="J172" s="1362"/>
      <c r="K172" s="1362"/>
      <c r="L172" s="1357"/>
    </row>
    <row r="173" spans="1:12" s="1361" customFormat="1" ht="15">
      <c r="A173" s="1357"/>
      <c r="B173" s="1218"/>
      <c r="C173" s="1218"/>
      <c r="D173" s="1403" t="s">
        <v>4784</v>
      </c>
      <c r="E173" s="1329"/>
      <c r="F173" s="433"/>
      <c r="G173" s="449"/>
      <c r="H173" s="433"/>
      <c r="I173" s="433"/>
      <c r="J173" s="625"/>
      <c r="K173" s="625"/>
      <c r="L173" s="625"/>
    </row>
    <row r="174" spans="1:12" s="1361" customFormat="1">
      <c r="A174" s="1357"/>
      <c r="B174" s="1218"/>
      <c r="C174" s="1218"/>
      <c r="D174" s="1378"/>
      <c r="E174" s="488" t="s">
        <v>4785</v>
      </c>
      <c r="F174" s="433"/>
      <c r="G174" s="1380" t="str">
        <f>InpCompany!$F$11</f>
        <v>£m (2017-18 prices)</v>
      </c>
      <c r="H174" s="433"/>
      <c r="I174" s="433"/>
      <c r="J174" s="583">
        <f>J$159*J165</f>
        <v>0</v>
      </c>
      <c r="K174" s="583">
        <f t="shared" ref="K174" si="15">K$159*K165</f>
        <v>0</v>
      </c>
      <c r="L174" s="583"/>
    </row>
    <row r="175" spans="1:12" s="1361" customFormat="1">
      <c r="A175" s="1357"/>
      <c r="B175" s="1218"/>
      <c r="C175" s="1218"/>
      <c r="D175" s="1378"/>
      <c r="E175" s="488" t="s">
        <v>4786</v>
      </c>
      <c r="F175" s="433"/>
      <c r="G175" s="1380" t="str">
        <f>InpCompany!$F$11</f>
        <v>£m (2017-18 prices)</v>
      </c>
      <c r="H175" s="433"/>
      <c r="I175" s="433"/>
      <c r="J175" s="583">
        <f t="shared" ref="J175:K180" si="16">J$159*J166</f>
        <v>0</v>
      </c>
      <c r="K175" s="583">
        <f t="shared" si="16"/>
        <v>0</v>
      </c>
      <c r="L175" s="583"/>
    </row>
    <row r="176" spans="1:12" s="1361" customFormat="1">
      <c r="A176" s="1357"/>
      <c r="B176" s="1218"/>
      <c r="C176" s="1218"/>
      <c r="D176" s="1378"/>
      <c r="E176" s="488" t="s">
        <v>4787</v>
      </c>
      <c r="F176" s="433"/>
      <c r="G176" s="1380" t="str">
        <f>InpCompany!$F$11</f>
        <v>£m (2017-18 prices)</v>
      </c>
      <c r="H176" s="433"/>
      <c r="I176" s="433"/>
      <c r="J176" s="583">
        <f t="shared" si="16"/>
        <v>0</v>
      </c>
      <c r="K176" s="583">
        <f t="shared" si="16"/>
        <v>0</v>
      </c>
      <c r="L176" s="583"/>
    </row>
    <row r="177" spans="1:12" s="1361" customFormat="1">
      <c r="A177" s="1357"/>
      <c r="B177" s="1218"/>
      <c r="C177" s="1218"/>
      <c r="D177" s="1378"/>
      <c r="E177" s="488" t="s">
        <v>4788</v>
      </c>
      <c r="F177" s="433"/>
      <c r="G177" s="1380" t="str">
        <f>InpCompany!$F$11</f>
        <v>£m (2017-18 prices)</v>
      </c>
      <c r="H177" s="433"/>
      <c r="I177" s="433"/>
      <c r="J177" s="583">
        <f t="shared" si="16"/>
        <v>0</v>
      </c>
      <c r="K177" s="583">
        <f t="shared" si="16"/>
        <v>0</v>
      </c>
      <c r="L177" s="583"/>
    </row>
    <row r="178" spans="1:12" s="1361" customFormat="1">
      <c r="A178" s="1357"/>
      <c r="B178" s="1218"/>
      <c r="C178" s="1218"/>
      <c r="D178" s="1378"/>
      <c r="E178" s="488" t="s">
        <v>4789</v>
      </c>
      <c r="F178" s="433"/>
      <c r="G178" s="1380" t="str">
        <f>InpCompany!$F$11</f>
        <v>£m (2017-18 prices)</v>
      </c>
      <c r="H178" s="433"/>
      <c r="I178" s="433"/>
      <c r="J178" s="583">
        <f t="shared" si="16"/>
        <v>0</v>
      </c>
      <c r="K178" s="583">
        <f t="shared" si="16"/>
        <v>0</v>
      </c>
      <c r="L178" s="583"/>
    </row>
    <row r="179" spans="1:12" s="1361" customFormat="1">
      <c r="A179" s="1357"/>
      <c r="B179" s="1218"/>
      <c r="C179" s="1218"/>
      <c r="D179" s="1378"/>
      <c r="E179" s="488" t="s">
        <v>4790</v>
      </c>
      <c r="F179" s="433"/>
      <c r="G179" s="1380" t="str">
        <f>InpCompany!$F$11</f>
        <v>£m (2017-18 prices)</v>
      </c>
      <c r="H179" s="433"/>
      <c r="I179" s="433"/>
      <c r="J179" s="583">
        <f t="shared" si="16"/>
        <v>0</v>
      </c>
      <c r="K179" s="583">
        <f t="shared" si="16"/>
        <v>0</v>
      </c>
      <c r="L179" s="583"/>
    </row>
    <row r="180" spans="1:12" s="1361" customFormat="1">
      <c r="A180" s="1357"/>
      <c r="B180" s="1218"/>
      <c r="C180" s="1218"/>
      <c r="D180" s="1378"/>
      <c r="E180" s="488" t="s">
        <v>4791</v>
      </c>
      <c r="F180" s="433"/>
      <c r="G180" s="1380" t="str">
        <f>InpCompany!$F$11</f>
        <v>£m (2017-18 prices)</v>
      </c>
      <c r="H180" s="433"/>
      <c r="I180" s="433"/>
      <c r="J180" s="583">
        <f t="shared" si="16"/>
        <v>0</v>
      </c>
      <c r="K180" s="583">
        <f t="shared" si="16"/>
        <v>0</v>
      </c>
      <c r="L180" s="583"/>
    </row>
    <row r="181" spans="1:12" s="1361" customFormat="1" ht="15">
      <c r="A181" s="1357"/>
      <c r="B181" s="1218"/>
      <c r="C181" s="1218"/>
      <c r="D181" s="1378"/>
      <c r="E181" s="1329"/>
      <c r="F181" s="433"/>
      <c r="G181" s="449"/>
      <c r="H181" s="433"/>
      <c r="I181" s="433"/>
      <c r="J181" s="433"/>
      <c r="K181" s="433"/>
      <c r="L181" s="433"/>
    </row>
    <row r="182" spans="1:12" s="1361" customFormat="1">
      <c r="A182" s="1357"/>
      <c r="B182" s="1218"/>
      <c r="C182" s="1218"/>
      <c r="D182" s="1403" t="s">
        <v>4792</v>
      </c>
      <c r="E182" s="438"/>
      <c r="F182" s="438"/>
      <c r="G182" s="636"/>
      <c r="H182" s="433"/>
      <c r="I182" s="433"/>
      <c r="J182" s="433"/>
      <c r="K182" s="433"/>
      <c r="L182" s="433"/>
    </row>
    <row r="183" spans="1:12" s="1361" customFormat="1">
      <c r="A183" s="1357"/>
      <c r="B183" s="1218"/>
      <c r="C183" s="1218"/>
      <c r="D183" s="1378"/>
      <c r="E183" s="488" t="s">
        <v>4793</v>
      </c>
      <c r="F183" s="433"/>
      <c r="G183" s="1380" t="str">
        <f>InpCompany!$F$11</f>
        <v>£m (2017-18 prices)</v>
      </c>
      <c r="H183" s="1383">
        <f>J183+K183+L183</f>
        <v>-8.7999999999999995E-2</v>
      </c>
      <c r="I183" s="602"/>
      <c r="J183" s="1800">
        <f>J144-J174</f>
        <v>-8.7999999999999995E-2</v>
      </c>
      <c r="K183" s="583">
        <f t="shared" ref="K183:L183" si="17">K144-K174</f>
        <v>0</v>
      </c>
      <c r="L183" s="583">
        <f t="shared" si="17"/>
        <v>0</v>
      </c>
    </row>
    <row r="184" spans="1:12" s="1361" customFormat="1">
      <c r="A184" s="1357"/>
      <c r="B184" s="1218"/>
      <c r="C184" s="1218"/>
      <c r="D184" s="1378"/>
      <c r="E184" s="488" t="s">
        <v>4794</v>
      </c>
      <c r="F184" s="433"/>
      <c r="G184" s="1380" t="str">
        <f>InpCompany!$F$11</f>
        <v>£m (2017-18 prices)</v>
      </c>
      <c r="H184" s="1383">
        <f t="shared" ref="H184:H189" si="18">J184+K184+L184</f>
        <v>-20.421819131553161</v>
      </c>
      <c r="I184" s="602"/>
      <c r="J184" s="583">
        <f t="shared" ref="J184:L184" si="19">J145-J175</f>
        <v>-20.421819131553161</v>
      </c>
      <c r="K184" s="583">
        <f t="shared" si="19"/>
        <v>0</v>
      </c>
      <c r="L184" s="583">
        <f t="shared" si="19"/>
        <v>0</v>
      </c>
    </row>
    <row r="185" spans="1:12" s="1361" customFormat="1">
      <c r="A185" s="1357"/>
      <c r="B185" s="1218"/>
      <c r="C185" s="1218"/>
      <c r="D185" s="1378"/>
      <c r="E185" s="488" t="s">
        <v>4795</v>
      </c>
      <c r="F185" s="433"/>
      <c r="G185" s="1380" t="str">
        <f>InpCompany!$F$11</f>
        <v>£m (2017-18 prices)</v>
      </c>
      <c r="H185" s="1383">
        <f t="shared" si="18"/>
        <v>-16.908237</v>
      </c>
      <c r="I185" s="602"/>
      <c r="J185" s="583">
        <f t="shared" ref="J185:L185" si="20">J146-J176</f>
        <v>0</v>
      </c>
      <c r="K185" s="583">
        <f t="shared" si="20"/>
        <v>-16.908237</v>
      </c>
      <c r="L185" s="583">
        <f t="shared" si="20"/>
        <v>0</v>
      </c>
    </row>
    <row r="186" spans="1:12" s="1361" customFormat="1">
      <c r="A186" s="1357"/>
      <c r="B186" s="1218"/>
      <c r="C186" s="1218"/>
      <c r="D186" s="1378"/>
      <c r="E186" s="488" t="s">
        <v>4796</v>
      </c>
      <c r="F186" s="433"/>
      <c r="G186" s="1380" t="str">
        <f>InpCompany!$F$11</f>
        <v>£m (2017-18 prices)</v>
      </c>
      <c r="H186" s="1383">
        <f t="shared" si="18"/>
        <v>0</v>
      </c>
      <c r="I186" s="602"/>
      <c r="J186" s="583">
        <f t="shared" ref="J186:L186" si="21">J147-J177</f>
        <v>0</v>
      </c>
      <c r="K186" s="583">
        <f t="shared" si="21"/>
        <v>0</v>
      </c>
      <c r="L186" s="583">
        <f t="shared" si="21"/>
        <v>0</v>
      </c>
    </row>
    <row r="187" spans="1:12" s="1361" customFormat="1">
      <c r="A187" s="1357"/>
      <c r="B187" s="1218"/>
      <c r="C187" s="1218"/>
      <c r="D187" s="1378"/>
      <c r="E187" s="488" t="s">
        <v>4797</v>
      </c>
      <c r="F187" s="433"/>
      <c r="G187" s="1380" t="str">
        <f>InpCompany!$F$11</f>
        <v>£m (2017-18 prices)</v>
      </c>
      <c r="H187" s="1383">
        <f t="shared" si="18"/>
        <v>0</v>
      </c>
      <c r="I187" s="602"/>
      <c r="J187" s="583">
        <f t="shared" ref="J187:L187" si="22">J148-J178</f>
        <v>0</v>
      </c>
      <c r="K187" s="583">
        <f t="shared" si="22"/>
        <v>0</v>
      </c>
      <c r="L187" s="583">
        <f t="shared" si="22"/>
        <v>0</v>
      </c>
    </row>
    <row r="188" spans="1:12" s="1361" customFormat="1">
      <c r="A188" s="1357"/>
      <c r="B188" s="1218"/>
      <c r="C188" s="1218"/>
      <c r="D188" s="1378"/>
      <c r="E188" s="488" t="s">
        <v>4798</v>
      </c>
      <c r="F188" s="433"/>
      <c r="G188" s="1380" t="str">
        <f>InpCompany!$F$11</f>
        <v>£m (2017-18 prices)</v>
      </c>
      <c r="H188" s="1383">
        <f t="shared" si="18"/>
        <v>0</v>
      </c>
      <c r="I188" s="602"/>
      <c r="J188" s="583">
        <f t="shared" ref="J188:L188" si="23">J149-J179</f>
        <v>0</v>
      </c>
      <c r="K188" s="583">
        <f t="shared" si="23"/>
        <v>0</v>
      </c>
      <c r="L188" s="583">
        <f t="shared" si="23"/>
        <v>0</v>
      </c>
    </row>
    <row r="189" spans="1:12" s="1361" customFormat="1">
      <c r="A189" s="1357"/>
      <c r="B189" s="1218"/>
      <c r="C189" s="1218"/>
      <c r="D189" s="1378"/>
      <c r="E189" s="488" t="s">
        <v>4799</v>
      </c>
      <c r="F189" s="433"/>
      <c r="G189" s="1380" t="str">
        <f>InpCompany!$F$11</f>
        <v>£m (2017-18 prices)</v>
      </c>
      <c r="H189" s="1383">
        <f t="shared" si="18"/>
        <v>0</v>
      </c>
      <c r="I189" s="602"/>
      <c r="J189" s="583">
        <f t="shared" ref="J189:L189" si="24">J150-J180</f>
        <v>0</v>
      </c>
      <c r="K189" s="583">
        <f t="shared" si="24"/>
        <v>0</v>
      </c>
      <c r="L189" s="583">
        <f t="shared" si="24"/>
        <v>0</v>
      </c>
    </row>
    <row r="190" spans="1:12" s="1361" customFormat="1">
      <c r="A190" s="1357"/>
      <c r="B190" s="1218"/>
      <c r="C190" s="1218"/>
      <c r="D190" s="1218"/>
      <c r="E190" s="431"/>
      <c r="G190" s="590"/>
      <c r="H190" s="590"/>
      <c r="I190" s="1360"/>
      <c r="J190" s="1362"/>
      <c r="K190" s="1362"/>
      <c r="L190" s="1357"/>
    </row>
    <row r="191" spans="1:12" s="1361" customFormat="1">
      <c r="A191" s="1357"/>
      <c r="B191" s="1218"/>
      <c r="C191" s="1404" t="s">
        <v>4728</v>
      </c>
      <c r="D191" s="1378"/>
      <c r="E191" s="431"/>
      <c r="G191" s="590"/>
      <c r="H191" s="590"/>
      <c r="I191" s="1360"/>
      <c r="J191" s="1362"/>
      <c r="K191" s="1362"/>
      <c r="L191" s="1357"/>
    </row>
    <row r="192" spans="1:12" s="1361" customFormat="1">
      <c r="A192" s="1357"/>
      <c r="B192" s="1218"/>
      <c r="C192" s="1378"/>
      <c r="D192" s="1378"/>
      <c r="E192" s="431"/>
      <c r="G192" s="590"/>
      <c r="H192" s="590"/>
      <c r="I192" s="1360"/>
      <c r="J192" s="1362"/>
      <c r="K192" s="1362"/>
      <c r="L192" s="1357"/>
    </row>
    <row r="193" spans="1:12" s="1361" customFormat="1">
      <c r="A193" s="1357"/>
      <c r="B193" s="1218"/>
      <c r="C193" s="1378"/>
      <c r="D193" s="1403" t="s">
        <v>4800</v>
      </c>
      <c r="E193" s="431"/>
      <c r="G193" s="590"/>
      <c r="H193" s="590"/>
      <c r="I193" s="1360"/>
      <c r="J193" s="1362"/>
      <c r="K193" s="1362"/>
      <c r="L193" s="1357"/>
    </row>
    <row r="194" spans="1:12" s="228" customFormat="1">
      <c r="A194" s="626"/>
      <c r="B194" s="1401"/>
      <c r="C194" s="1401"/>
      <c r="D194" s="1401"/>
      <c r="E194" s="578" t="str">
        <f>Performance!E307</f>
        <v>Proportion of underperformance payments to be paid in-period - Water resources</v>
      </c>
      <c r="F194" s="1393">
        <f>Performance!F307</f>
        <v>1</v>
      </c>
      <c r="G194" s="578" t="str">
        <f>Performance!G307</f>
        <v>Percentage</v>
      </c>
      <c r="H194" s="556"/>
      <c r="I194" s="627"/>
      <c r="J194" s="1363"/>
      <c r="K194" s="1363"/>
      <c r="L194" s="626"/>
    </row>
    <row r="195" spans="1:12" s="228" customFormat="1">
      <c r="A195" s="626"/>
      <c r="B195" s="1401"/>
      <c r="C195" s="1401"/>
      <c r="D195" s="1401"/>
      <c r="E195" s="578" t="str">
        <f>Performance!E308</f>
        <v>Proportion of underperformance payments to be paid in-period - Water network plus</v>
      </c>
      <c r="F195" s="1393">
        <f>Performance!F308</f>
        <v>0.97619213073683597</v>
      </c>
      <c r="G195" s="578" t="str">
        <f>Performance!G308</f>
        <v>Percentage</v>
      </c>
      <c r="H195" s="556"/>
      <c r="I195" s="627"/>
      <c r="J195" s="1363"/>
      <c r="K195" s="1363"/>
      <c r="L195" s="626"/>
    </row>
    <row r="196" spans="1:12" s="228" customFormat="1">
      <c r="A196" s="626"/>
      <c r="B196" s="1401"/>
      <c r="C196" s="1401"/>
      <c r="D196" s="1401"/>
      <c r="E196" s="578" t="str">
        <f>Performance!E309</f>
        <v>Proportion of underperformance payments to be paid in-period - Wastewater network plus</v>
      </c>
      <c r="F196" s="1393">
        <f>Performance!F309</f>
        <v>0.93352352465842536</v>
      </c>
      <c r="G196" s="578" t="str">
        <f>Performance!G309</f>
        <v>Percentage</v>
      </c>
      <c r="H196" s="556"/>
      <c r="I196" s="627"/>
      <c r="J196" s="1363"/>
      <c r="K196" s="1363"/>
      <c r="L196" s="626"/>
    </row>
    <row r="197" spans="1:12" s="228" customFormat="1">
      <c r="A197" s="626"/>
      <c r="B197" s="1401"/>
      <c r="C197" s="1401"/>
      <c r="D197" s="1401"/>
      <c r="E197" s="578" t="str">
        <f>Performance!E310</f>
        <v>Proportion of underperformance payments to be paid in-period - Bioresources (sludge)</v>
      </c>
      <c r="F197" s="1393">
        <f>Performance!F310</f>
        <v>0</v>
      </c>
      <c r="G197" s="578" t="str">
        <f>Performance!G310</f>
        <v>Percentage</v>
      </c>
      <c r="H197" s="556"/>
      <c r="I197" s="627"/>
      <c r="J197" s="1363"/>
      <c r="K197" s="1363"/>
      <c r="L197" s="626"/>
    </row>
    <row r="198" spans="1:12" s="228" customFormat="1">
      <c r="A198" s="626"/>
      <c r="B198" s="1401"/>
      <c r="C198" s="1401"/>
      <c r="D198" s="1401"/>
      <c r="E198" s="578" t="str">
        <f>Performance!E311</f>
        <v>Proportion of underperformance payments to be paid in-period - Residential retail</v>
      </c>
      <c r="F198" s="1393">
        <f>Performance!F311</f>
        <v>0</v>
      </c>
      <c r="G198" s="578" t="str">
        <f>Performance!G311</f>
        <v>Percentage</v>
      </c>
      <c r="H198" s="556"/>
      <c r="I198" s="627"/>
      <c r="J198" s="1363"/>
      <c r="K198" s="1363"/>
      <c r="L198" s="626"/>
    </row>
    <row r="199" spans="1:12" s="228" customFormat="1">
      <c r="A199" s="626"/>
      <c r="B199" s="1401"/>
      <c r="C199" s="1401"/>
      <c r="D199" s="1401"/>
      <c r="E199" s="578" t="str">
        <f>Performance!E312</f>
        <v>Proportion of underperformance payments to be paid in-period - Business retail</v>
      </c>
      <c r="F199" s="1393">
        <f>Performance!F312</f>
        <v>0</v>
      </c>
      <c r="G199" s="578" t="str">
        <f>Performance!G312</f>
        <v>Percentage</v>
      </c>
      <c r="H199" s="556"/>
      <c r="I199" s="627"/>
      <c r="J199" s="1363"/>
      <c r="K199" s="1363"/>
      <c r="L199" s="626"/>
    </row>
    <row r="200" spans="1:12" s="228" customFormat="1">
      <c r="A200" s="626"/>
      <c r="B200" s="1401"/>
      <c r="C200" s="1401"/>
      <c r="D200" s="1401"/>
      <c r="E200" s="578" t="str">
        <f>Performance!E313</f>
        <v>Proportion of underperformance payments to be paid in-period - Dummy control</v>
      </c>
      <c r="F200" s="1393">
        <f>Performance!F313</f>
        <v>0</v>
      </c>
      <c r="G200" s="578" t="str">
        <f>Performance!G313</f>
        <v>Percentage</v>
      </c>
      <c r="H200" s="556"/>
      <c r="I200" s="627"/>
      <c r="J200" s="1363"/>
      <c r="K200" s="1363"/>
      <c r="L200" s="626"/>
    </row>
    <row r="201" spans="1:12" s="1766" customFormat="1">
      <c r="A201" s="1761"/>
      <c r="B201" s="1762"/>
      <c r="C201" s="1762"/>
      <c r="D201" s="1763"/>
      <c r="E201" s="1764"/>
      <c r="F201" s="1764"/>
      <c r="G201" s="1764"/>
      <c r="H201" s="1765"/>
      <c r="I201" s="1764"/>
      <c r="J201" s="1764"/>
      <c r="K201" s="1764"/>
      <c r="L201" s="1764"/>
    </row>
    <row r="202" spans="1:12" s="1773" customFormat="1">
      <c r="A202" s="1767"/>
      <c r="B202" s="1768"/>
      <c r="C202" s="1768"/>
      <c r="D202" s="1769" t="s">
        <v>4801</v>
      </c>
      <c r="E202" s="1767"/>
      <c r="F202" s="1770"/>
      <c r="G202" s="1394"/>
      <c r="H202" s="1394"/>
      <c r="I202" s="1771"/>
      <c r="J202" s="1772"/>
      <c r="K202" s="1772"/>
      <c r="L202" s="1767"/>
    </row>
    <row r="203" spans="1:12" s="1773" customFormat="1">
      <c r="A203" s="1767"/>
      <c r="B203" s="1768"/>
      <c r="C203" s="1768"/>
      <c r="D203" s="1768"/>
      <c r="E203" s="1774" t="s">
        <v>4802</v>
      </c>
      <c r="F203" s="1775">
        <f>H183*F194</f>
        <v>-8.7999999999999995E-2</v>
      </c>
      <c r="G203" s="1776" t="str">
        <f>InpCompany!$F$11</f>
        <v>£m (2017-18 prices)</v>
      </c>
      <c r="H203" s="1394"/>
      <c r="I203" s="1771"/>
      <c r="J203" s="1772"/>
      <c r="K203" s="1772"/>
      <c r="L203" s="1767"/>
    </row>
    <row r="204" spans="1:12" s="1773" customFormat="1">
      <c r="A204" s="1767"/>
      <c r="B204" s="1768"/>
      <c r="C204" s="1768"/>
      <c r="D204" s="1768"/>
      <c r="E204" s="1774" t="s">
        <v>4803</v>
      </c>
      <c r="F204" s="1775">
        <f t="shared" ref="F204:F209" si="25">H184*F195</f>
        <v>-19.93561913155316</v>
      </c>
      <c r="G204" s="1776" t="str">
        <f>InpCompany!$F$11</f>
        <v>£m (2017-18 prices)</v>
      </c>
      <c r="H204" s="1394"/>
      <c r="I204" s="1771"/>
      <c r="J204" s="1772"/>
      <c r="K204" s="1772"/>
      <c r="L204" s="1767"/>
    </row>
    <row r="205" spans="1:12" s="1773" customFormat="1">
      <c r="A205" s="1767"/>
      <c r="B205" s="1768"/>
      <c r="C205" s="1768"/>
      <c r="D205" s="1768"/>
      <c r="E205" s="1774" t="s">
        <v>4804</v>
      </c>
      <c r="F205" s="1775">
        <f t="shared" si="25"/>
        <v>-15.784236999999999</v>
      </c>
      <c r="G205" s="1776" t="str">
        <f>InpCompany!$F$11</f>
        <v>£m (2017-18 prices)</v>
      </c>
      <c r="H205" s="1394"/>
      <c r="I205" s="1771"/>
      <c r="J205" s="1772"/>
      <c r="K205" s="1772"/>
      <c r="L205" s="1767"/>
    </row>
    <row r="206" spans="1:12" s="1773" customFormat="1">
      <c r="A206" s="1767"/>
      <c r="B206" s="1768"/>
      <c r="C206" s="1768"/>
      <c r="D206" s="1768"/>
      <c r="E206" s="1774" t="s">
        <v>4805</v>
      </c>
      <c r="F206" s="1775">
        <f t="shared" si="25"/>
        <v>0</v>
      </c>
      <c r="G206" s="1776" t="str">
        <f>InpCompany!$F$11</f>
        <v>£m (2017-18 prices)</v>
      </c>
      <c r="H206" s="1394"/>
      <c r="I206" s="1771"/>
      <c r="J206" s="1772"/>
      <c r="K206" s="1772"/>
      <c r="L206" s="1767"/>
    </row>
    <row r="207" spans="1:12" s="1773" customFormat="1">
      <c r="A207" s="1767"/>
      <c r="B207" s="1768"/>
      <c r="C207" s="1768"/>
      <c r="D207" s="1768"/>
      <c r="E207" s="1774" t="s">
        <v>4806</v>
      </c>
      <c r="F207" s="1775">
        <f t="shared" si="25"/>
        <v>0</v>
      </c>
      <c r="G207" s="1776" t="str">
        <f>InpCompany!$F$11</f>
        <v>£m (2017-18 prices)</v>
      </c>
      <c r="H207" s="1394"/>
      <c r="I207" s="1771"/>
      <c r="J207" s="1772"/>
      <c r="K207" s="1772"/>
      <c r="L207" s="1767"/>
    </row>
    <row r="208" spans="1:12" s="1773" customFormat="1">
      <c r="A208" s="1767"/>
      <c r="B208" s="1768"/>
      <c r="C208" s="1768"/>
      <c r="D208" s="1768"/>
      <c r="E208" s="1774" t="s">
        <v>4807</v>
      </c>
      <c r="F208" s="1775">
        <f t="shared" si="25"/>
        <v>0</v>
      </c>
      <c r="G208" s="1776" t="str">
        <f>InpCompany!$F$11</f>
        <v>£m (2017-18 prices)</v>
      </c>
      <c r="H208" s="1394"/>
      <c r="I208" s="1771"/>
      <c r="J208" s="1772"/>
      <c r="K208" s="1772"/>
      <c r="L208" s="1767"/>
    </row>
    <row r="209" spans="1:12" s="1773" customFormat="1">
      <c r="A209" s="1767"/>
      <c r="B209" s="1768"/>
      <c r="C209" s="1768"/>
      <c r="D209" s="1768"/>
      <c r="E209" s="1774" t="s">
        <v>4808</v>
      </c>
      <c r="F209" s="1775">
        <f t="shared" si="25"/>
        <v>0</v>
      </c>
      <c r="G209" s="1776" t="str">
        <f>InpCompany!$F$11</f>
        <v>£m (2017-18 prices)</v>
      </c>
      <c r="H209" s="1394"/>
      <c r="I209" s="1771"/>
      <c r="J209" s="1772"/>
      <c r="K209" s="1772"/>
      <c r="L209" s="1767"/>
    </row>
    <row r="210" spans="1:12" s="1773" customFormat="1" ht="15">
      <c r="A210" s="1767"/>
      <c r="B210" s="1768"/>
      <c r="C210" s="1768"/>
      <c r="D210" s="1768"/>
      <c r="E210" s="1777"/>
      <c r="F210" s="1770"/>
      <c r="G210" s="1394"/>
      <c r="H210" s="1394"/>
      <c r="I210" s="1771"/>
      <c r="J210" s="1772"/>
      <c r="K210" s="1772"/>
      <c r="L210" s="1767"/>
    </row>
    <row r="211" spans="1:12" s="1773" customFormat="1" ht="15">
      <c r="A211" s="1767"/>
      <c r="B211" s="1768"/>
      <c r="C211" s="1768"/>
      <c r="D211" s="1769" t="s">
        <v>4809</v>
      </c>
      <c r="E211" s="1777"/>
      <c r="F211" s="1770"/>
      <c r="G211" s="1394"/>
      <c r="H211" s="1394"/>
      <c r="I211" s="1771"/>
      <c r="J211" s="1772"/>
      <c r="K211" s="1772"/>
      <c r="L211" s="1767"/>
    </row>
    <row r="212" spans="1:12" s="1773" customFormat="1">
      <c r="A212" s="1767"/>
      <c r="B212" s="1768"/>
      <c r="C212" s="1768"/>
      <c r="D212" s="1768"/>
      <c r="E212" s="1774" t="s">
        <v>4810</v>
      </c>
      <c r="F212" s="1775">
        <f>H183*(1-F194)</f>
        <v>0</v>
      </c>
      <c r="G212" s="1776" t="str">
        <f>InpCompany!$F$11</f>
        <v>£m (2017-18 prices)</v>
      </c>
      <c r="H212" s="1394"/>
      <c r="I212" s="1771"/>
      <c r="J212" s="1772"/>
      <c r="K212" s="1772"/>
      <c r="L212" s="1767"/>
    </row>
    <row r="213" spans="1:12" s="1773" customFormat="1">
      <c r="A213" s="1767"/>
      <c r="B213" s="1768"/>
      <c r="C213" s="1768"/>
      <c r="D213" s="1768"/>
      <c r="E213" s="1774" t="s">
        <v>4811</v>
      </c>
      <c r="F213" s="1775">
        <f t="shared" ref="F213:F218" si="26">H184*(1-F195)</f>
        <v>-0.48619999999999958</v>
      </c>
      <c r="G213" s="1776" t="str">
        <f>InpCompany!$F$11</f>
        <v>£m (2017-18 prices)</v>
      </c>
      <c r="H213" s="1394"/>
      <c r="I213" s="1771"/>
      <c r="J213" s="1772"/>
      <c r="K213" s="1772"/>
      <c r="L213" s="1767"/>
    </row>
    <row r="214" spans="1:12" s="1773" customFormat="1">
      <c r="A214" s="1767"/>
      <c r="B214" s="1768"/>
      <c r="C214" s="1768"/>
      <c r="D214" s="1768"/>
      <c r="E214" s="1774" t="s">
        <v>4812</v>
      </c>
      <c r="F214" s="1775">
        <f t="shared" si="26"/>
        <v>-1.1239999999999999</v>
      </c>
      <c r="G214" s="1776" t="str">
        <f>InpCompany!$F$11</f>
        <v>£m (2017-18 prices)</v>
      </c>
      <c r="H214" s="1394"/>
      <c r="I214" s="1771"/>
      <c r="J214" s="1772"/>
      <c r="K214" s="1772"/>
      <c r="L214" s="1767"/>
    </row>
    <row r="215" spans="1:12" s="1773" customFormat="1">
      <c r="A215" s="1767"/>
      <c r="B215" s="1768"/>
      <c r="C215" s="1768"/>
      <c r="D215" s="1768"/>
      <c r="E215" s="1774" t="s">
        <v>4813</v>
      </c>
      <c r="F215" s="1775">
        <f t="shared" si="26"/>
        <v>0</v>
      </c>
      <c r="G215" s="1776" t="str">
        <f>InpCompany!$F$11</f>
        <v>£m (2017-18 prices)</v>
      </c>
      <c r="H215" s="1394"/>
      <c r="I215" s="1771"/>
      <c r="J215" s="1772"/>
      <c r="K215" s="1772"/>
      <c r="L215" s="1767"/>
    </row>
    <row r="216" spans="1:12" s="1773" customFormat="1">
      <c r="A216" s="1767"/>
      <c r="B216" s="1768"/>
      <c r="C216" s="1768"/>
      <c r="D216" s="1768"/>
      <c r="E216" s="1774" t="s">
        <v>4814</v>
      </c>
      <c r="F216" s="1775">
        <f t="shared" si="26"/>
        <v>0</v>
      </c>
      <c r="G216" s="1776" t="str">
        <f>InpCompany!$F$11</f>
        <v>£m (2017-18 prices)</v>
      </c>
      <c r="H216" s="1394"/>
      <c r="I216" s="1771"/>
      <c r="J216" s="1772"/>
      <c r="K216" s="1772"/>
      <c r="L216" s="1767"/>
    </row>
    <row r="217" spans="1:12" s="1773" customFormat="1">
      <c r="A217" s="1767"/>
      <c r="B217" s="1768"/>
      <c r="C217" s="1768"/>
      <c r="D217" s="1768"/>
      <c r="E217" s="1774" t="s">
        <v>4815</v>
      </c>
      <c r="F217" s="1775">
        <f t="shared" si="26"/>
        <v>0</v>
      </c>
      <c r="G217" s="1776" t="str">
        <f>InpCompany!$F$11</f>
        <v>£m (2017-18 prices)</v>
      </c>
      <c r="H217" s="1394"/>
      <c r="I217" s="1771"/>
      <c r="J217" s="1778"/>
      <c r="K217" s="1772"/>
      <c r="L217" s="1767"/>
    </row>
    <row r="218" spans="1:12" s="1773" customFormat="1">
      <c r="A218" s="1767"/>
      <c r="B218" s="1768"/>
      <c r="C218" s="1768"/>
      <c r="D218" s="1768"/>
      <c r="E218" s="1774" t="s">
        <v>4816</v>
      </c>
      <c r="F218" s="1775">
        <f t="shared" si="26"/>
        <v>0</v>
      </c>
      <c r="G218" s="1776" t="str">
        <f>InpCompany!$F$11</f>
        <v>£m (2017-18 prices)</v>
      </c>
      <c r="H218" s="1767"/>
      <c r="I218" s="1771"/>
      <c r="J218" s="1767"/>
      <c r="K218" s="1767"/>
      <c r="L218" s="1767"/>
    </row>
    <row r="219" spans="1:12" s="1361" customFormat="1">
      <c r="A219" s="1357"/>
      <c r="B219" s="1218"/>
      <c r="C219" s="1218"/>
      <c r="D219" s="1218"/>
      <c r="E219" s="431"/>
      <c r="F219" s="1368"/>
      <c r="G219" s="590"/>
      <c r="H219" s="590"/>
      <c r="I219" s="1360"/>
      <c r="J219" s="1362"/>
      <c r="K219" s="1362"/>
      <c r="L219" s="1357"/>
    </row>
    <row r="220" spans="1:12" s="199" customFormat="1">
      <c r="A220" s="614" t="s">
        <v>4817</v>
      </c>
      <c r="B220" s="615"/>
      <c r="C220" s="615"/>
      <c r="D220" s="616"/>
      <c r="E220" s="617"/>
      <c r="F220" s="617"/>
      <c r="G220" s="617"/>
      <c r="H220" s="618"/>
      <c r="I220" s="617"/>
      <c r="J220" s="617"/>
      <c r="K220" s="617"/>
      <c r="L220" s="617"/>
    </row>
    <row r="221" spans="1:12" s="199" customFormat="1">
      <c r="A221" s="1756"/>
      <c r="B221" s="1757"/>
      <c r="C221" s="1757"/>
      <c r="D221" s="1758"/>
      <c r="E221" s="1759"/>
      <c r="F221" s="1759"/>
      <c r="G221" s="1759"/>
      <c r="H221" s="1760"/>
      <c r="I221" s="1759"/>
      <c r="J221" s="1759"/>
      <c r="K221" s="1759"/>
      <c r="L221" s="1759"/>
    </row>
    <row r="222" spans="1:12" s="1361" customFormat="1">
      <c r="A222" s="1357"/>
      <c r="B222" s="1218"/>
      <c r="C222" s="1218"/>
      <c r="D222" s="1403" t="s">
        <v>4801</v>
      </c>
      <c r="E222" s="433"/>
      <c r="F222" s="1368"/>
      <c r="G222" s="590"/>
      <c r="H222" s="590"/>
      <c r="I222" s="1360"/>
      <c r="J222" s="1362"/>
      <c r="K222" s="1362"/>
      <c r="L222" s="1357"/>
    </row>
    <row r="223" spans="1:12" s="1366" customFormat="1">
      <c r="A223" s="640"/>
      <c r="B223" s="1405"/>
      <c r="C223" s="1405"/>
      <c r="D223" s="1405"/>
      <c r="E223" s="1384" t="s">
        <v>4802</v>
      </c>
      <c r="F223" s="1780">
        <f>IF('Sharing mechanism'!$F$100=FALSE, Performance!F269, F203)</f>
        <v>-8.7999999999999995E-2</v>
      </c>
      <c r="G223" s="1385" t="str">
        <f>InpCompany!$F$11</f>
        <v>£m (2017-18 prices)</v>
      </c>
      <c r="H223" s="605"/>
      <c r="I223" s="639"/>
      <c r="J223" s="1365"/>
      <c r="K223" s="1365"/>
      <c r="L223" s="640"/>
    </row>
    <row r="224" spans="1:12" s="1366" customFormat="1">
      <c r="A224" s="640"/>
      <c r="B224" s="1405"/>
      <c r="C224" s="1405"/>
      <c r="D224" s="1405"/>
      <c r="E224" s="1384" t="s">
        <v>4803</v>
      </c>
      <c r="F224" s="1780">
        <f>IF('Sharing mechanism'!$F$100=FALSE, Performance!F270, F204)</f>
        <v>-19.93561913155316</v>
      </c>
      <c r="G224" s="1385" t="str">
        <f>InpCompany!$F$11</f>
        <v>£m (2017-18 prices)</v>
      </c>
      <c r="H224" s="605"/>
      <c r="I224" s="639"/>
      <c r="J224" s="1365"/>
      <c r="K224" s="1365"/>
      <c r="L224" s="640"/>
    </row>
    <row r="225" spans="1:12" s="1366" customFormat="1">
      <c r="A225" s="640"/>
      <c r="B225" s="1405"/>
      <c r="C225" s="1405"/>
      <c r="D225" s="1405"/>
      <c r="E225" s="1384" t="s">
        <v>4804</v>
      </c>
      <c r="F225" s="1780">
        <f>IF('Sharing mechanism'!$F$100=FALSE, Performance!F271, F205)</f>
        <v>-15.784236999999999</v>
      </c>
      <c r="G225" s="1385" t="str">
        <f>InpCompany!$F$11</f>
        <v>£m (2017-18 prices)</v>
      </c>
      <c r="H225" s="605"/>
      <c r="I225" s="639"/>
      <c r="J225" s="1365"/>
      <c r="K225" s="1365"/>
      <c r="L225" s="640"/>
    </row>
    <row r="226" spans="1:12" s="1366" customFormat="1">
      <c r="A226" s="640"/>
      <c r="B226" s="1405"/>
      <c r="C226" s="1405"/>
      <c r="D226" s="1405"/>
      <c r="E226" s="1384" t="s">
        <v>4805</v>
      </c>
      <c r="F226" s="1780">
        <f>IF('Sharing mechanism'!$F$100=FALSE, Performance!F272, F206)</f>
        <v>0</v>
      </c>
      <c r="G226" s="1385" t="str">
        <f>InpCompany!$F$11</f>
        <v>£m (2017-18 prices)</v>
      </c>
      <c r="H226" s="605"/>
      <c r="I226" s="639"/>
      <c r="J226" s="1365"/>
      <c r="K226" s="1365"/>
      <c r="L226" s="640"/>
    </row>
    <row r="227" spans="1:12" s="1366" customFormat="1">
      <c r="A227" s="640"/>
      <c r="B227" s="1405"/>
      <c r="C227" s="1405"/>
      <c r="D227" s="1405"/>
      <c r="E227" s="1384" t="s">
        <v>4806</v>
      </c>
      <c r="F227" s="1780">
        <f>IF('Sharing mechanism'!$F$100=FALSE, Performance!F273, F207)</f>
        <v>0</v>
      </c>
      <c r="G227" s="1385" t="str">
        <f>InpCompany!$F$11</f>
        <v>£m (2017-18 prices)</v>
      </c>
      <c r="H227" s="605"/>
      <c r="I227" s="639"/>
      <c r="J227" s="1365"/>
      <c r="K227" s="1365"/>
      <c r="L227" s="640"/>
    </row>
    <row r="228" spans="1:12" s="1366" customFormat="1">
      <c r="A228" s="640"/>
      <c r="B228" s="1405"/>
      <c r="C228" s="1405"/>
      <c r="D228" s="1405"/>
      <c r="E228" s="1384" t="s">
        <v>4807</v>
      </c>
      <c r="F228" s="1780">
        <f>IF('Sharing mechanism'!$F$100=FALSE, Performance!F274, F208)</f>
        <v>0</v>
      </c>
      <c r="G228" s="1385" t="str">
        <f>InpCompany!$F$11</f>
        <v>£m (2017-18 prices)</v>
      </c>
      <c r="H228" s="605"/>
      <c r="I228" s="639"/>
      <c r="J228" s="1365"/>
      <c r="K228" s="1365"/>
      <c r="L228" s="640"/>
    </row>
    <row r="229" spans="1:12" s="1366" customFormat="1">
      <c r="A229" s="640"/>
      <c r="B229" s="1405"/>
      <c r="C229" s="1405"/>
      <c r="D229" s="1405"/>
      <c r="E229" s="1384" t="s">
        <v>4808</v>
      </c>
      <c r="F229" s="1780">
        <f>IF('Sharing mechanism'!$F$100=FALSE, Performance!F275, F209)</f>
        <v>0</v>
      </c>
      <c r="G229" s="1385" t="str">
        <f>InpCompany!$F$11</f>
        <v>£m (2017-18 prices)</v>
      </c>
      <c r="H229" s="605"/>
      <c r="I229" s="639"/>
      <c r="J229" s="1365"/>
      <c r="K229" s="1365"/>
      <c r="L229" s="640"/>
    </row>
    <row r="230" spans="1:12" s="1361" customFormat="1" ht="15">
      <c r="A230" s="1357"/>
      <c r="B230" s="1218"/>
      <c r="C230" s="1218"/>
      <c r="D230" s="1378"/>
      <c r="E230" s="26"/>
      <c r="F230" s="1368"/>
      <c r="G230" s="590"/>
      <c r="H230" s="590"/>
      <c r="I230" s="1360"/>
      <c r="J230" s="1362"/>
      <c r="K230" s="1362"/>
      <c r="L230" s="1357"/>
    </row>
    <row r="231" spans="1:12" s="1361" customFormat="1" ht="15">
      <c r="A231" s="1357"/>
      <c r="B231" s="1218"/>
      <c r="C231" s="1218"/>
      <c r="D231" s="1403" t="s">
        <v>4809</v>
      </c>
      <c r="E231" s="26"/>
      <c r="F231" s="1368"/>
      <c r="G231" s="590"/>
      <c r="H231" s="590"/>
      <c r="I231" s="1360"/>
      <c r="J231" s="1362"/>
      <c r="K231" s="1362"/>
      <c r="L231" s="1357"/>
    </row>
    <row r="232" spans="1:12" s="1366" customFormat="1">
      <c r="A232" s="640"/>
      <c r="B232" s="1405"/>
      <c r="C232" s="1405"/>
      <c r="D232" s="1405"/>
      <c r="E232" s="1384" t="s">
        <v>4810</v>
      </c>
      <c r="F232" s="1780">
        <f>IF('Sharing mechanism'!$F$100=FALSE, Performance!F287, F212)</f>
        <v>0</v>
      </c>
      <c r="G232" s="1385" t="str">
        <f>InpCompany!$F$11</f>
        <v>£m (2017-18 prices)</v>
      </c>
      <c r="H232" s="605"/>
      <c r="I232" s="639"/>
      <c r="J232" s="1365"/>
      <c r="K232" s="1365"/>
      <c r="L232" s="640"/>
    </row>
    <row r="233" spans="1:12" s="1366" customFormat="1">
      <c r="A233" s="640"/>
      <c r="B233" s="1405"/>
      <c r="C233" s="1405"/>
      <c r="D233" s="1405"/>
      <c r="E233" s="1384" t="s">
        <v>4811</v>
      </c>
      <c r="F233" s="1780">
        <f>IF('Sharing mechanism'!$F$100=FALSE, Performance!F288, F213)</f>
        <v>-0.48620000000000019</v>
      </c>
      <c r="G233" s="1385" t="str">
        <f>InpCompany!$F$11</f>
        <v>£m (2017-18 prices)</v>
      </c>
      <c r="H233" s="605"/>
      <c r="I233" s="639"/>
      <c r="J233" s="1365"/>
      <c r="K233" s="1365"/>
      <c r="L233" s="640"/>
    </row>
    <row r="234" spans="1:12" s="1366" customFormat="1">
      <c r="A234" s="640"/>
      <c r="B234" s="1405"/>
      <c r="C234" s="1405"/>
      <c r="D234" s="1405"/>
      <c r="E234" s="1384" t="s">
        <v>4812</v>
      </c>
      <c r="F234" s="1780">
        <f>IF('Sharing mechanism'!$F$100=FALSE, Performance!F289, F214)</f>
        <v>-1.1240000000000006</v>
      </c>
      <c r="G234" s="1385" t="str">
        <f>InpCompany!$F$11</f>
        <v>£m (2017-18 prices)</v>
      </c>
      <c r="H234" s="605"/>
      <c r="I234" s="639"/>
      <c r="J234" s="1365"/>
      <c r="K234" s="1365"/>
      <c r="L234" s="640"/>
    </row>
    <row r="235" spans="1:12" s="1366" customFormat="1">
      <c r="A235" s="640"/>
      <c r="B235" s="1405"/>
      <c r="C235" s="1405"/>
      <c r="D235" s="1405"/>
      <c r="E235" s="1384" t="s">
        <v>4813</v>
      </c>
      <c r="F235" s="1780">
        <f>IF('Sharing mechanism'!$F$100=FALSE, Performance!F290, F215)</f>
        <v>0</v>
      </c>
      <c r="G235" s="1385" t="str">
        <f>InpCompany!$F$11</f>
        <v>£m (2017-18 prices)</v>
      </c>
      <c r="H235" s="605"/>
      <c r="I235" s="639"/>
      <c r="J235" s="1365"/>
      <c r="K235" s="1365"/>
      <c r="L235" s="640"/>
    </row>
    <row r="236" spans="1:12" s="1366" customFormat="1">
      <c r="A236" s="640"/>
      <c r="B236" s="1405"/>
      <c r="C236" s="1405"/>
      <c r="D236" s="1405"/>
      <c r="E236" s="1384" t="s">
        <v>4814</v>
      </c>
      <c r="F236" s="1780">
        <f>IF('Sharing mechanism'!$F$100=FALSE, Performance!F291, F216)</f>
        <v>0</v>
      </c>
      <c r="G236" s="1385" t="str">
        <f>InpCompany!$F$11</f>
        <v>£m (2017-18 prices)</v>
      </c>
      <c r="H236" s="605"/>
      <c r="I236" s="639"/>
      <c r="J236" s="1365"/>
      <c r="K236" s="1365"/>
      <c r="L236" s="640"/>
    </row>
    <row r="237" spans="1:12" s="1366" customFormat="1">
      <c r="A237" s="640"/>
      <c r="B237" s="1405"/>
      <c r="C237" s="1405"/>
      <c r="D237" s="1405"/>
      <c r="E237" s="1384" t="s">
        <v>4815</v>
      </c>
      <c r="F237" s="1780">
        <f>IF('Sharing mechanism'!$F$100=FALSE, Performance!F292, F217)</f>
        <v>0</v>
      </c>
      <c r="G237" s="1385" t="str">
        <f>InpCompany!$F$11</f>
        <v>£m (2017-18 prices)</v>
      </c>
      <c r="H237" s="605"/>
      <c r="I237" s="639"/>
      <c r="J237" s="1367"/>
      <c r="K237" s="1365"/>
      <c r="L237" s="640"/>
    </row>
    <row r="238" spans="1:12" s="1366" customFormat="1">
      <c r="A238" s="640"/>
      <c r="B238" s="1405"/>
      <c r="C238" s="1405"/>
      <c r="D238" s="1405"/>
      <c r="E238" s="1384" t="s">
        <v>4816</v>
      </c>
      <c r="F238" s="1780">
        <f>IF('Sharing mechanism'!$F$100=FALSE, Performance!F293, F218)</f>
        <v>0</v>
      </c>
      <c r="G238" s="1385" t="str">
        <f>InpCompany!$F$11</f>
        <v>£m (2017-18 prices)</v>
      </c>
      <c r="H238" s="640"/>
      <c r="I238" s="639"/>
      <c r="J238" s="640"/>
      <c r="K238" s="640"/>
      <c r="L238" s="640"/>
    </row>
    <row r="239" spans="1:12" s="1361" customFormat="1">
      <c r="A239" s="1357"/>
      <c r="B239" s="1357"/>
      <c r="C239" s="1357"/>
      <c r="D239" s="1357"/>
      <c r="E239" s="1357"/>
      <c r="F239" s="1357"/>
      <c r="G239" s="1359"/>
      <c r="H239" s="1357"/>
      <c r="I239" s="1357"/>
      <c r="J239" s="1357"/>
      <c r="K239" s="1357"/>
      <c r="L239" s="1357"/>
    </row>
    <row r="240" spans="1:12" ht="20.25">
      <c r="A240" s="417" t="s">
        <v>1082</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election activeCell="F8" sqref="F8"/>
    </sheetView>
  </sheetViews>
  <sheetFormatPr defaultColWidth="8.625" defaultRowHeight="12.75"/>
  <cols>
    <col min="1" max="4" width="1.625" style="200" customWidth="1"/>
    <col min="5" max="5" width="80.875" style="200" customWidth="1"/>
    <col min="6" max="8" width="15.625" style="200" customWidth="1"/>
    <col min="9" max="9" width="2.625" style="200" customWidth="1"/>
    <col min="10" max="16384" width="8.625" style="200"/>
  </cols>
  <sheetData>
    <row r="1" spans="1:13" s="194" customFormat="1" ht="44.25">
      <c r="A1" s="1160" t="e">
        <f ca="1" xml:space="preserve"> RIGHT(CELL("filename", $A$1), LEN(CELL("filename", $A$1)) - SEARCH("]", CELL("filename", $A$1)))</f>
        <v>#VALUE!</v>
      </c>
      <c r="B1" s="642"/>
      <c r="C1" s="230"/>
      <c r="D1" s="230"/>
      <c r="E1" s="231"/>
      <c r="F1" s="231"/>
      <c r="G1" s="231"/>
      <c r="H1" s="643" t="str">
        <f>InpCompany!F5</f>
        <v>Anglian Water</v>
      </c>
      <c r="I1" s="232"/>
      <c r="L1" s="233"/>
    </row>
    <row r="2" spans="1:13" s="234" customFormat="1">
      <c r="A2" s="644"/>
      <c r="B2" s="644"/>
      <c r="C2" s="644"/>
      <c r="D2" s="644"/>
      <c r="E2" s="644"/>
      <c r="F2" s="619" t="s">
        <v>1938</v>
      </c>
      <c r="G2" s="619" t="s">
        <v>155</v>
      </c>
      <c r="H2" s="619" t="s">
        <v>1299</v>
      </c>
      <c r="I2" s="644"/>
    </row>
    <row r="3" spans="1:13" s="199" customFormat="1">
      <c r="A3" s="614" t="s">
        <v>4818</v>
      </c>
      <c r="B3" s="615"/>
      <c r="C3" s="615"/>
      <c r="D3" s="616"/>
      <c r="E3" s="617"/>
      <c r="F3" s="645"/>
      <c r="G3" s="645"/>
      <c r="H3" s="618"/>
      <c r="I3" s="617"/>
    </row>
    <row r="4" spans="1:13" s="220" customFormat="1">
      <c r="A4" s="646"/>
      <c r="B4" s="647"/>
      <c r="C4" s="647"/>
      <c r="D4" s="648"/>
      <c r="E4" s="590"/>
      <c r="F4" s="507"/>
      <c r="G4" s="507"/>
      <c r="H4" s="590"/>
      <c r="I4" s="649"/>
    </row>
    <row r="5" spans="1:13" s="220" customFormat="1">
      <c r="A5" s="646"/>
      <c r="B5" s="590"/>
      <c r="C5" s="650" t="s">
        <v>4819</v>
      </c>
      <c r="D5" s="648"/>
      <c r="E5" s="590"/>
      <c r="F5" s="507"/>
      <c r="G5" s="507"/>
      <c r="H5" s="590"/>
      <c r="I5" s="649"/>
    </row>
    <row r="6" spans="1:13" s="220" customFormat="1">
      <c r="A6" s="646"/>
      <c r="B6" s="647"/>
      <c r="C6" s="647"/>
      <c r="D6" s="648"/>
      <c r="E6" s="590"/>
      <c r="F6" s="507"/>
      <c r="G6" s="507"/>
      <c r="H6" s="590"/>
      <c r="I6" s="649"/>
    </row>
    <row r="7" spans="1:13" s="195" customFormat="1">
      <c r="A7" s="431"/>
      <c r="B7" s="431"/>
      <c r="C7" s="431"/>
      <c r="D7" s="441" t="s">
        <v>4730</v>
      </c>
      <c r="E7" s="431"/>
      <c r="F7" s="472"/>
      <c r="G7" s="472"/>
      <c r="H7" s="431"/>
      <c r="I7" s="431"/>
    </row>
    <row r="8" spans="1:13" s="221" customFormat="1">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c r="A9" s="556"/>
      <c r="B9" s="556"/>
      <c r="C9" s="556"/>
      <c r="D9" s="556"/>
      <c r="E9" s="651" t="str">
        <f>'Sharing mechanism'!E78</f>
        <v>Outperformance payments after sharing (to be applied in-period) - Water network plus</v>
      </c>
      <c r="F9" s="561">
        <f>'Sharing mechanism'!F78</f>
        <v>0.13947999999999999</v>
      </c>
      <c r="G9" s="651" t="str">
        <f>'Sharing mechanism'!G78</f>
        <v>£m (2017-18 prices)</v>
      </c>
      <c r="H9" s="561"/>
      <c r="I9" s="556"/>
    </row>
    <row r="10" spans="1:13" s="221" customFormat="1">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25">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c r="A12" s="556"/>
      <c r="B12" s="556"/>
      <c r="C12" s="556"/>
      <c r="D12" s="556"/>
      <c r="E12" s="651" t="str">
        <f>'Sharing mechanism'!E81</f>
        <v>Outperformance payments after sharing (to be applied in-period) - Residential retail</v>
      </c>
      <c r="F12" s="561">
        <f>'Sharing mechanism'!F81</f>
        <v>0.89604000000000006</v>
      </c>
      <c r="G12" s="651" t="str">
        <f>'Sharing mechanism'!G81</f>
        <v>£m (2017-18 prices)</v>
      </c>
      <c r="H12" s="561"/>
      <c r="I12" s="556"/>
    </row>
    <row r="13" spans="1:13" s="221" customFormat="1">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c r="A15" s="431"/>
      <c r="B15" s="431"/>
      <c r="C15" s="431"/>
      <c r="D15" s="431"/>
      <c r="E15" s="556"/>
      <c r="F15" s="564"/>
      <c r="G15" s="564"/>
      <c r="H15" s="652"/>
      <c r="I15" s="431"/>
    </row>
    <row r="16" spans="1:13" s="195" customFormat="1">
      <c r="A16" s="431"/>
      <c r="B16" s="431"/>
      <c r="C16" s="431"/>
      <c r="D16" s="441" t="s">
        <v>4820</v>
      </c>
      <c r="E16" s="431"/>
      <c r="F16" s="472"/>
      <c r="G16" s="472"/>
      <c r="H16" s="556"/>
      <c r="I16" s="431"/>
    </row>
    <row r="17" spans="1:9" s="221" customFormat="1">
      <c r="A17" s="556"/>
      <c r="B17" s="556"/>
      <c r="C17" s="556"/>
      <c r="D17" s="578"/>
      <c r="E17" s="1386" t="str">
        <f>'Sharing mechanism'!E223</f>
        <v>Underperformance payments after sharing (to be applied in-period) - Water resources</v>
      </c>
      <c r="F17" s="588">
        <f>'Sharing mechanism'!F223</f>
        <v>-8.7999999999999995E-2</v>
      </c>
      <c r="G17" s="1386" t="str">
        <f>'Sharing mechanism'!G223</f>
        <v>£m (2017-18 prices)</v>
      </c>
      <c r="H17" s="561"/>
      <c r="I17" s="556"/>
    </row>
    <row r="18" spans="1:9" s="221" customFormat="1">
      <c r="A18" s="556"/>
      <c r="B18" s="556"/>
      <c r="C18" s="556"/>
      <c r="D18" s="578"/>
      <c r="E18" s="1386" t="str">
        <f>'Sharing mechanism'!E224</f>
        <v>Underperformance payments after sharing (to be applied in-period) - Water network plus</v>
      </c>
      <c r="F18" s="588">
        <f>'Sharing mechanism'!F224</f>
        <v>-19.93561913155316</v>
      </c>
      <c r="G18" s="1386" t="str">
        <f>'Sharing mechanism'!G224</f>
        <v>£m (2017-18 prices)</v>
      </c>
      <c r="H18" s="561"/>
      <c r="I18" s="556"/>
    </row>
    <row r="19" spans="1:9" s="221" customFormat="1">
      <c r="A19" s="556"/>
      <c r="B19" s="556"/>
      <c r="C19" s="556"/>
      <c r="D19" s="578"/>
      <c r="E19" s="1386" t="str">
        <f>'Sharing mechanism'!E225</f>
        <v>Underperformance payments after sharing (to be applied in-period) - Wastewater network plus</v>
      </c>
      <c r="F19" s="588">
        <f>'Sharing mechanism'!F225</f>
        <v>-15.784236999999999</v>
      </c>
      <c r="G19" s="1386" t="str">
        <f>'Sharing mechanism'!G225</f>
        <v>£m (2017-18 prices)</v>
      </c>
      <c r="H19" s="561"/>
      <c r="I19" s="556"/>
    </row>
    <row r="20" spans="1:9" s="221" customFormat="1">
      <c r="A20" s="556"/>
      <c r="B20" s="556"/>
      <c r="C20" s="556"/>
      <c r="D20" s="578"/>
      <c r="E20" s="1386" t="str">
        <f>'Sharing mechanism'!E226</f>
        <v>Underperformance payments after sharing (to be applied in-period) - Bioresources (sludge)</v>
      </c>
      <c r="F20" s="588">
        <f>'Sharing mechanism'!F226</f>
        <v>0</v>
      </c>
      <c r="G20" s="1386" t="str">
        <f>'Sharing mechanism'!G226</f>
        <v>£m (2017-18 prices)</v>
      </c>
      <c r="H20" s="561"/>
      <c r="I20" s="556"/>
    </row>
    <row r="21" spans="1:9" s="221" customFormat="1">
      <c r="A21" s="556"/>
      <c r="B21" s="556"/>
      <c r="C21" s="556"/>
      <c r="D21" s="578"/>
      <c r="E21" s="1386" t="str">
        <f>'Sharing mechanism'!E227</f>
        <v>Underperformance payments after sharing (to be applied in-period) - Residential retail</v>
      </c>
      <c r="F21" s="588">
        <f>'Sharing mechanism'!F227</f>
        <v>0</v>
      </c>
      <c r="G21" s="1386" t="str">
        <f>'Sharing mechanism'!G227</f>
        <v>£m (2017-18 prices)</v>
      </c>
      <c r="H21" s="561"/>
      <c r="I21" s="556"/>
    </row>
    <row r="22" spans="1:9" s="221" customFormat="1">
      <c r="A22" s="556"/>
      <c r="B22" s="556"/>
      <c r="C22" s="556"/>
      <c r="D22" s="578"/>
      <c r="E22" s="1386" t="str">
        <f>'Sharing mechanism'!E228</f>
        <v>Underperformance payments after sharing (to be applied in-period) - Business retail</v>
      </c>
      <c r="F22" s="588">
        <f>'Sharing mechanism'!F228</f>
        <v>0</v>
      </c>
      <c r="G22" s="1386" t="str">
        <f>'Sharing mechanism'!G228</f>
        <v>£m (2017-18 prices)</v>
      </c>
      <c r="H22" s="561"/>
      <c r="I22" s="556"/>
    </row>
    <row r="23" spans="1:9" s="221" customFormat="1">
      <c r="A23" s="556"/>
      <c r="B23" s="556"/>
      <c r="C23" s="556"/>
      <c r="D23" s="578"/>
      <c r="E23" s="1386" t="str">
        <f>'Sharing mechanism'!E229</f>
        <v>Underperformance payments after sharing (to be applied in-period) - Dummy control</v>
      </c>
      <c r="F23" s="588">
        <f>'Sharing mechanism'!F229</f>
        <v>0</v>
      </c>
      <c r="G23" s="1386" t="str">
        <f>'Sharing mechanism'!G229</f>
        <v>£m (2017-18 prices)</v>
      </c>
      <c r="H23" s="561"/>
      <c r="I23" s="556"/>
    </row>
    <row r="24" spans="1:9" s="195" customFormat="1">
      <c r="A24" s="431"/>
      <c r="B24" s="431"/>
      <c r="C24" s="431"/>
      <c r="D24" s="431"/>
      <c r="E24" s="431"/>
      <c r="F24" s="472"/>
      <c r="G24" s="472"/>
      <c r="H24" s="431"/>
      <c r="I24" s="431"/>
    </row>
    <row r="25" spans="1:9" s="195" customFormat="1">
      <c r="A25" s="431"/>
      <c r="B25" s="431"/>
      <c r="C25" s="431"/>
      <c r="D25" s="441" t="s">
        <v>4821</v>
      </c>
      <c r="E25" s="431"/>
      <c r="F25" s="472"/>
      <c r="G25" s="472"/>
      <c r="H25" s="431"/>
      <c r="I25" s="431"/>
    </row>
    <row r="26" spans="1:9" s="223" customFormat="1">
      <c r="A26" s="605"/>
      <c r="B26" s="605"/>
      <c r="C26" s="605"/>
      <c r="D26" s="605"/>
      <c r="E26" s="605" t="s">
        <v>4822</v>
      </c>
      <c r="F26" s="653">
        <f>F8+F17</f>
        <v>-8.7999999999999995E-2</v>
      </c>
      <c r="G26" s="654" t="str">
        <f>InpCompany!$F$11</f>
        <v>£m (2017-18 prices)</v>
      </c>
      <c r="H26" s="653"/>
      <c r="I26" s="605"/>
    </row>
    <row r="27" spans="1:9" s="223" customFormat="1">
      <c r="A27" s="605"/>
      <c r="B27" s="605"/>
      <c r="C27" s="605"/>
      <c r="D27" s="605"/>
      <c r="E27" s="605" t="s">
        <v>4823</v>
      </c>
      <c r="F27" s="653">
        <f t="shared" ref="F27:F32" si="0">F9+F18</f>
        <v>-19.796139131553161</v>
      </c>
      <c r="G27" s="654" t="str">
        <f>InpCompany!$F$11</f>
        <v>£m (2017-18 prices)</v>
      </c>
      <c r="H27" s="653"/>
      <c r="I27" s="605"/>
    </row>
    <row r="28" spans="1:9" s="223" customFormat="1">
      <c r="A28" s="605"/>
      <c r="B28" s="605"/>
      <c r="C28" s="605"/>
      <c r="D28" s="605"/>
      <c r="E28" s="605" t="s">
        <v>4824</v>
      </c>
      <c r="F28" s="653">
        <f t="shared" si="0"/>
        <v>-15.784236999999999</v>
      </c>
      <c r="G28" s="654" t="str">
        <f>InpCompany!$F$11</f>
        <v>£m (2017-18 prices)</v>
      </c>
      <c r="H28" s="653"/>
      <c r="I28" s="605"/>
    </row>
    <row r="29" spans="1:9" s="223" customFormat="1">
      <c r="A29" s="605"/>
      <c r="B29" s="605"/>
      <c r="C29" s="605"/>
      <c r="D29" s="605"/>
      <c r="E29" s="605" t="s">
        <v>4825</v>
      </c>
      <c r="F29" s="653">
        <f t="shared" si="0"/>
        <v>0</v>
      </c>
      <c r="G29" s="654" t="str">
        <f>InpCompany!$F$11</f>
        <v>£m (2017-18 prices)</v>
      </c>
      <c r="H29" s="653"/>
      <c r="I29" s="605"/>
    </row>
    <row r="30" spans="1:9" s="223" customFormat="1">
      <c r="A30" s="605"/>
      <c r="B30" s="605"/>
      <c r="C30" s="605"/>
      <c r="D30" s="605"/>
      <c r="E30" s="605" t="s">
        <v>4826</v>
      </c>
      <c r="F30" s="653">
        <f t="shared" si="0"/>
        <v>0.89604000000000006</v>
      </c>
      <c r="G30" s="654" t="str">
        <f>InpCompany!$F$11</f>
        <v>£m (2017-18 prices)</v>
      </c>
      <c r="H30" s="653"/>
      <c r="I30" s="605"/>
    </row>
    <row r="31" spans="1:9" s="223" customFormat="1">
      <c r="A31" s="605"/>
      <c r="B31" s="605"/>
      <c r="C31" s="605"/>
      <c r="D31" s="605"/>
      <c r="E31" s="605" t="s">
        <v>4827</v>
      </c>
      <c r="F31" s="653">
        <f t="shared" si="0"/>
        <v>0</v>
      </c>
      <c r="G31" s="654" t="str">
        <f>InpCompany!$F$11</f>
        <v>£m (2017-18 prices)</v>
      </c>
      <c r="H31" s="653"/>
      <c r="I31" s="605"/>
    </row>
    <row r="32" spans="1:9" s="223" customFormat="1">
      <c r="A32" s="605"/>
      <c r="B32" s="605"/>
      <c r="C32" s="605"/>
      <c r="D32" s="605"/>
      <c r="E32" s="605" t="s">
        <v>4828</v>
      </c>
      <c r="F32" s="653">
        <f t="shared" si="0"/>
        <v>0</v>
      </c>
      <c r="G32" s="654" t="str">
        <f>InpCompany!$F$11</f>
        <v>£m (2017-18 prices)</v>
      </c>
      <c r="H32" s="653"/>
      <c r="I32" s="605"/>
    </row>
    <row r="33" spans="1:13" s="195" customFormat="1">
      <c r="A33" s="431"/>
      <c r="B33" s="431"/>
      <c r="C33" s="431"/>
      <c r="D33" s="431"/>
      <c r="E33" s="431"/>
      <c r="F33" s="472"/>
      <c r="G33" s="472"/>
      <c r="H33" s="431"/>
      <c r="I33" s="431"/>
      <c r="M33" s="223"/>
    </row>
    <row r="34" spans="1:13" s="195" customFormat="1">
      <c r="A34" s="431"/>
      <c r="B34" s="431"/>
      <c r="C34" s="431"/>
      <c r="D34" s="431"/>
      <c r="E34" s="431"/>
      <c r="F34" s="472"/>
      <c r="G34" s="472"/>
      <c r="H34" s="431"/>
      <c r="I34" s="431"/>
    </row>
    <row r="35" spans="1:13" s="199" customFormat="1">
      <c r="A35" s="614" t="s">
        <v>4829</v>
      </c>
      <c r="B35" s="615"/>
      <c r="C35" s="615"/>
      <c r="D35" s="616"/>
      <c r="E35" s="617"/>
      <c r="F35" s="645"/>
      <c r="G35" s="645"/>
      <c r="H35" s="618"/>
      <c r="I35" s="617"/>
    </row>
    <row r="36" spans="1:13" s="195" customFormat="1">
      <c r="A36" s="431"/>
      <c r="B36" s="431"/>
      <c r="C36" s="431"/>
      <c r="D36" s="431"/>
      <c r="E36" s="431"/>
      <c r="F36" s="472"/>
      <c r="G36" s="472"/>
      <c r="H36" s="431"/>
      <c r="I36" s="431"/>
    </row>
    <row r="37" spans="1:13" s="195" customFormat="1">
      <c r="A37" s="431"/>
      <c r="B37" s="431"/>
      <c r="C37" s="650" t="s">
        <v>4819</v>
      </c>
      <c r="D37" s="431"/>
      <c r="E37" s="431"/>
      <c r="F37" s="472"/>
      <c r="G37" s="472"/>
      <c r="H37" s="431"/>
      <c r="I37" s="431"/>
    </row>
    <row r="38" spans="1:13" s="195" customFormat="1">
      <c r="A38" s="431"/>
      <c r="B38" s="431"/>
      <c r="C38" s="431"/>
      <c r="D38" s="431"/>
      <c r="E38" s="431"/>
      <c r="F38" s="472"/>
      <c r="G38" s="472"/>
      <c r="H38" s="431"/>
      <c r="I38" s="431"/>
    </row>
    <row r="39" spans="1:13" s="195" customFormat="1">
      <c r="A39" s="431"/>
      <c r="B39" s="431"/>
      <c r="C39" s="431"/>
      <c r="D39" s="441" t="s">
        <v>4738</v>
      </c>
      <c r="E39" s="431"/>
      <c r="F39" s="561"/>
      <c r="G39" s="472"/>
      <c r="H39" s="431"/>
      <c r="I39" s="431"/>
    </row>
    <row r="40" spans="1:13" s="221" customFormat="1">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c r="A47" s="431"/>
      <c r="B47" s="431"/>
      <c r="C47" s="431"/>
      <c r="D47" s="431"/>
      <c r="E47" s="431"/>
      <c r="F47" s="472"/>
      <c r="G47" s="472"/>
      <c r="H47" s="556"/>
      <c r="I47" s="431"/>
    </row>
    <row r="48" spans="1:13" s="195" customFormat="1">
      <c r="A48" s="431"/>
      <c r="B48" s="431"/>
      <c r="C48" s="431"/>
      <c r="D48" s="441" t="s">
        <v>4830</v>
      </c>
      <c r="E48" s="431"/>
      <c r="F48" s="472"/>
      <c r="G48" s="472"/>
      <c r="H48" s="556"/>
      <c r="I48" s="431"/>
    </row>
    <row r="49" spans="1:9" s="195" customFormat="1">
      <c r="A49" s="431"/>
      <c r="B49" s="431"/>
      <c r="C49" s="488"/>
      <c r="D49" s="488"/>
      <c r="E49" s="1387" t="str">
        <f>'Sharing mechanism'!E232</f>
        <v>Underperformance payments after sharing (to be applied end of period) - Water resources</v>
      </c>
      <c r="F49" s="561">
        <f>'Sharing mechanism'!F232</f>
        <v>0</v>
      </c>
      <c r="G49" s="1387" t="str">
        <f>'Sharing mechanism'!G232</f>
        <v>£m (2017-18 prices)</v>
      </c>
      <c r="H49" s="561"/>
      <c r="I49" s="431"/>
    </row>
    <row r="50" spans="1:9" s="195" customFormat="1">
      <c r="A50" s="431"/>
      <c r="B50" s="431"/>
      <c r="C50" s="488"/>
      <c r="D50" s="488"/>
      <c r="E50" s="1387" t="str">
        <f>'Sharing mechanism'!E233</f>
        <v>Underperformance payments after sharing (to be applied end of period) - Water network plus</v>
      </c>
      <c r="F50" s="561">
        <f>'Sharing mechanism'!F233</f>
        <v>-0.48620000000000019</v>
      </c>
      <c r="G50" s="1387" t="str">
        <f>'Sharing mechanism'!G233</f>
        <v>£m (2017-18 prices)</v>
      </c>
      <c r="H50" s="561"/>
      <c r="I50" s="431"/>
    </row>
    <row r="51" spans="1:9" s="195" customFormat="1">
      <c r="A51" s="431"/>
      <c r="B51" s="431"/>
      <c r="C51" s="488"/>
      <c r="D51" s="488"/>
      <c r="E51" s="1387" t="str">
        <f>'Sharing mechanism'!E234</f>
        <v>Underperformance payments after sharing (to be applied end of period) - Wastewater network plus</v>
      </c>
      <c r="F51" s="561">
        <f>'Sharing mechanism'!F234</f>
        <v>-1.1240000000000006</v>
      </c>
      <c r="G51" s="1387" t="str">
        <f>'Sharing mechanism'!G234</f>
        <v>£m (2017-18 prices)</v>
      </c>
      <c r="H51" s="561"/>
      <c r="I51" s="431"/>
    </row>
    <row r="52" spans="1:9" s="195" customFormat="1">
      <c r="A52" s="431"/>
      <c r="B52" s="431"/>
      <c r="C52" s="488"/>
      <c r="D52" s="488"/>
      <c r="E52" s="1387" t="str">
        <f>'Sharing mechanism'!E235</f>
        <v>Underperformance payments after sharing (to be applied end of period) - Bioresources (sludge)</v>
      </c>
      <c r="F52" s="561">
        <f>'Sharing mechanism'!F235</f>
        <v>0</v>
      </c>
      <c r="G52" s="1387" t="str">
        <f>'Sharing mechanism'!G235</f>
        <v>£m (2017-18 prices)</v>
      </c>
      <c r="H52" s="561"/>
      <c r="I52" s="431"/>
    </row>
    <row r="53" spans="1:9" s="195" customFormat="1">
      <c r="A53" s="431"/>
      <c r="B53" s="431"/>
      <c r="C53" s="488"/>
      <c r="D53" s="488"/>
      <c r="E53" s="1387" t="str">
        <f>'Sharing mechanism'!E236</f>
        <v>Underperformance payments after sharing (to be applied end of period) - Residential retail</v>
      </c>
      <c r="F53" s="561">
        <f>'Sharing mechanism'!F236</f>
        <v>0</v>
      </c>
      <c r="G53" s="1387" t="str">
        <f>'Sharing mechanism'!G236</f>
        <v>£m (2017-18 prices)</v>
      </c>
      <c r="H53" s="561"/>
      <c r="I53" s="431"/>
    </row>
    <row r="54" spans="1:9" s="195" customFormat="1">
      <c r="A54" s="431"/>
      <c r="B54" s="431"/>
      <c r="C54" s="488"/>
      <c r="D54" s="488"/>
      <c r="E54" s="1387" t="str">
        <f>'Sharing mechanism'!E237</f>
        <v>Underperformance payments after sharing (to be applied end of period) - Business retail</v>
      </c>
      <c r="F54" s="561">
        <f>'Sharing mechanism'!F237</f>
        <v>0</v>
      </c>
      <c r="G54" s="1387" t="str">
        <f>'Sharing mechanism'!G237</f>
        <v>£m (2017-18 prices)</v>
      </c>
      <c r="H54" s="561"/>
      <c r="I54" s="431"/>
    </row>
    <row r="55" spans="1:9" s="195" customFormat="1">
      <c r="A55" s="431"/>
      <c r="B55" s="431"/>
      <c r="C55" s="488"/>
      <c r="D55" s="488"/>
      <c r="E55" s="1387" t="str">
        <f>'Sharing mechanism'!E238</f>
        <v>Underperformance payments after sharing (to be applied end of period) - Dummy control</v>
      </c>
      <c r="F55" s="561">
        <f>'Sharing mechanism'!F238</f>
        <v>0</v>
      </c>
      <c r="G55" s="1387" t="str">
        <f>'Sharing mechanism'!G238</f>
        <v>£m (2017-18 prices)</v>
      </c>
      <c r="H55" s="561"/>
      <c r="I55" s="431"/>
    </row>
    <row r="56" spans="1:9" s="195" customFormat="1">
      <c r="A56" s="431"/>
      <c r="B56" s="431"/>
      <c r="C56" s="431"/>
      <c r="D56" s="431"/>
      <c r="E56" s="431"/>
      <c r="F56" s="472"/>
      <c r="G56" s="472"/>
      <c r="H56" s="556"/>
      <c r="I56" s="431"/>
    </row>
    <row r="57" spans="1:9" s="195" customFormat="1">
      <c r="A57" s="431"/>
      <c r="B57" s="431"/>
      <c r="C57" s="451" t="s">
        <v>4831</v>
      </c>
      <c r="D57" s="431"/>
      <c r="E57" s="431"/>
      <c r="F57" s="472"/>
      <c r="G57" s="472"/>
      <c r="H57" s="556"/>
      <c r="I57" s="431"/>
    </row>
    <row r="58" spans="1:9" s="195" customFormat="1">
      <c r="A58" s="431"/>
      <c r="B58" s="431"/>
      <c r="C58" s="431"/>
      <c r="D58" s="431"/>
      <c r="E58" s="431"/>
      <c r="F58" s="472"/>
      <c r="G58" s="472"/>
      <c r="H58" s="556"/>
      <c r="I58" s="431"/>
    </row>
    <row r="59" spans="1:9" s="195" customFormat="1">
      <c r="A59" s="431"/>
      <c r="B59" s="431"/>
      <c r="C59" s="431"/>
      <c r="D59" s="441" t="str">
        <f>Performance!D317</f>
        <v>Proportion of end of period outperformance payments to be paid through the RCV</v>
      </c>
      <c r="E59" s="431"/>
      <c r="F59" s="472"/>
      <c r="G59" s="472"/>
      <c r="H59" s="556"/>
      <c r="I59" s="431"/>
    </row>
    <row r="60" spans="1:9" s="195" customFormat="1">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c r="A67" s="431"/>
      <c r="B67" s="431"/>
      <c r="C67" s="431"/>
      <c r="D67" s="431"/>
      <c r="E67" s="431"/>
      <c r="F67" s="472"/>
      <c r="G67" s="472"/>
      <c r="H67" s="556"/>
      <c r="I67" s="431"/>
    </row>
    <row r="68" spans="1:9" s="195" customFormat="1">
      <c r="A68" s="431"/>
      <c r="B68" s="431"/>
      <c r="C68" s="431"/>
      <c r="D68" s="441" t="str">
        <f>Performance!D326</f>
        <v>Proportion of end of period underperformance payments to be paid through the RCV</v>
      </c>
      <c r="E68" s="431"/>
      <c r="F68" s="472"/>
      <c r="G68" s="472"/>
      <c r="H68" s="556"/>
      <c r="I68" s="431"/>
    </row>
    <row r="69" spans="1:9" s="195" customFormat="1">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c r="A76" s="431"/>
      <c r="B76" s="431"/>
      <c r="C76" s="431"/>
      <c r="D76" s="431"/>
      <c r="E76" s="431"/>
      <c r="F76" s="472"/>
      <c r="G76" s="472"/>
      <c r="H76" s="431"/>
      <c r="I76" s="431"/>
    </row>
    <row r="77" spans="1:9" s="195" customFormat="1">
      <c r="A77" s="431"/>
      <c r="B77" s="431"/>
      <c r="C77" s="431"/>
      <c r="D77" s="441" t="s">
        <v>4832</v>
      </c>
      <c r="E77" s="431"/>
      <c r="F77" s="472"/>
      <c r="G77" s="507"/>
      <c r="H77" s="431"/>
      <c r="I77" s="431"/>
    </row>
    <row r="78" spans="1:9" s="195" customFormat="1">
      <c r="A78" s="431"/>
      <c r="B78" s="431"/>
      <c r="C78" s="431"/>
      <c r="D78" s="431"/>
      <c r="E78" s="431" t="s">
        <v>4833</v>
      </c>
      <c r="F78" s="470">
        <f>F40*(1-F60)</f>
        <v>0</v>
      </c>
      <c r="G78" s="507" t="str">
        <f>InpCompany!$F$11</f>
        <v>£m (2017-18 prices)</v>
      </c>
      <c r="H78" s="470"/>
      <c r="I78" s="431"/>
    </row>
    <row r="79" spans="1:9" s="195" customFormat="1">
      <c r="A79" s="431"/>
      <c r="B79" s="431"/>
      <c r="C79" s="431"/>
      <c r="D79" s="431"/>
      <c r="E79" s="431" t="s">
        <v>4834</v>
      </c>
      <c r="F79" s="470">
        <f t="shared" ref="F79:F84" si="1">F41*(1-F61)</f>
        <v>0</v>
      </c>
      <c r="G79" s="507" t="str">
        <f>InpCompany!$F$11</f>
        <v>£m (2017-18 prices)</v>
      </c>
      <c r="H79" s="470"/>
      <c r="I79" s="431"/>
    </row>
    <row r="80" spans="1:9" s="195" customFormat="1">
      <c r="A80" s="431"/>
      <c r="B80" s="431"/>
      <c r="C80" s="431"/>
      <c r="D80" s="431"/>
      <c r="E80" s="431" t="s">
        <v>4835</v>
      </c>
      <c r="F80" s="470">
        <f t="shared" si="1"/>
        <v>0</v>
      </c>
      <c r="G80" s="507" t="str">
        <f>InpCompany!$F$11</f>
        <v>£m (2017-18 prices)</v>
      </c>
      <c r="H80" s="470"/>
      <c r="I80" s="431"/>
    </row>
    <row r="81" spans="1:9" s="195" customFormat="1">
      <c r="A81" s="431"/>
      <c r="B81" s="431"/>
      <c r="C81" s="431"/>
      <c r="D81" s="431"/>
      <c r="E81" s="431" t="s">
        <v>4836</v>
      </c>
      <c r="F81" s="470">
        <f t="shared" si="1"/>
        <v>0</v>
      </c>
      <c r="G81" s="507" t="str">
        <f>InpCompany!$F$11</f>
        <v>£m (2017-18 prices)</v>
      </c>
      <c r="H81" s="470"/>
      <c r="I81" s="431"/>
    </row>
    <row r="82" spans="1:9" s="195" customFormat="1">
      <c r="A82" s="431"/>
      <c r="B82" s="431"/>
      <c r="C82" s="431"/>
      <c r="D82" s="431"/>
      <c r="E82" s="431" t="s">
        <v>4837</v>
      </c>
      <c r="F82" s="470">
        <f t="shared" si="1"/>
        <v>0</v>
      </c>
      <c r="G82" s="507" t="str">
        <f>InpCompany!$F$11</f>
        <v>£m (2017-18 prices)</v>
      </c>
      <c r="H82" s="470"/>
      <c r="I82" s="431"/>
    </row>
    <row r="83" spans="1:9" s="195" customFormat="1">
      <c r="A83" s="431"/>
      <c r="B83" s="431"/>
      <c r="C83" s="431"/>
      <c r="D83" s="431"/>
      <c r="E83" s="431" t="s">
        <v>4838</v>
      </c>
      <c r="F83" s="470">
        <f t="shared" si="1"/>
        <v>0</v>
      </c>
      <c r="G83" s="507" t="str">
        <f>InpCompany!$F$11</f>
        <v>£m (2017-18 prices)</v>
      </c>
      <c r="H83" s="470"/>
      <c r="I83" s="431"/>
    </row>
    <row r="84" spans="1:9" s="195" customFormat="1">
      <c r="A84" s="431"/>
      <c r="B84" s="431"/>
      <c r="C84" s="431"/>
      <c r="D84" s="431"/>
      <c r="E84" s="431" t="s">
        <v>4839</v>
      </c>
      <c r="F84" s="470">
        <f t="shared" si="1"/>
        <v>0</v>
      </c>
      <c r="G84" s="507" t="str">
        <f>InpCompany!$F$11</f>
        <v>£m (2017-18 prices)</v>
      </c>
      <c r="H84" s="470"/>
      <c r="I84" s="431"/>
    </row>
    <row r="85" spans="1:9" s="195" customFormat="1">
      <c r="A85" s="431"/>
      <c r="B85" s="431"/>
      <c r="C85" s="431"/>
      <c r="D85" s="431"/>
      <c r="E85" s="472"/>
      <c r="F85" s="472"/>
      <c r="G85" s="507"/>
      <c r="H85" s="590"/>
      <c r="I85" s="431"/>
    </row>
    <row r="86" spans="1:9" s="195" customFormat="1">
      <c r="A86" s="431"/>
      <c r="B86" s="431"/>
      <c r="C86" s="431"/>
      <c r="D86" s="441" t="s">
        <v>4840</v>
      </c>
      <c r="E86" s="472"/>
      <c r="F86" s="472"/>
      <c r="G86" s="507"/>
      <c r="H86" s="590"/>
      <c r="I86" s="431"/>
    </row>
    <row r="87" spans="1:9" s="195" customFormat="1">
      <c r="A87" s="431"/>
      <c r="B87" s="431"/>
      <c r="C87" s="431"/>
      <c r="D87" s="431"/>
      <c r="E87" s="431" t="s">
        <v>4841</v>
      </c>
      <c r="F87" s="470">
        <f>F40*F60</f>
        <v>0</v>
      </c>
      <c r="G87" s="507" t="str">
        <f>InpCompany!$F$11</f>
        <v>£m (2017-18 prices)</v>
      </c>
      <c r="H87" s="470"/>
      <c r="I87" s="431"/>
    </row>
    <row r="88" spans="1:9" s="195" customFormat="1">
      <c r="A88" s="431"/>
      <c r="B88" s="431"/>
      <c r="C88" s="431"/>
      <c r="D88" s="431"/>
      <c r="E88" s="431" t="s">
        <v>4842</v>
      </c>
      <c r="F88" s="470">
        <f t="shared" ref="F88:F93" si="2">F41*F61</f>
        <v>0</v>
      </c>
      <c r="G88" s="507" t="str">
        <f>InpCompany!$F$11</f>
        <v>£m (2017-18 prices)</v>
      </c>
      <c r="H88" s="470"/>
      <c r="I88" s="431"/>
    </row>
    <row r="89" spans="1:9" s="195" customFormat="1">
      <c r="A89" s="431"/>
      <c r="B89" s="431"/>
      <c r="C89" s="431"/>
      <c r="D89" s="431"/>
      <c r="E89" s="431" t="s">
        <v>4843</v>
      </c>
      <c r="F89" s="470">
        <f t="shared" si="2"/>
        <v>0</v>
      </c>
      <c r="G89" s="507" t="str">
        <f>InpCompany!$F$11</f>
        <v>£m (2017-18 prices)</v>
      </c>
      <c r="H89" s="470"/>
      <c r="I89" s="431"/>
    </row>
    <row r="90" spans="1:9" s="195" customFormat="1">
      <c r="A90" s="431"/>
      <c r="B90" s="431"/>
      <c r="C90" s="431"/>
      <c r="D90" s="431"/>
      <c r="E90" s="431" t="s">
        <v>4844</v>
      </c>
      <c r="F90" s="470">
        <f t="shared" si="2"/>
        <v>0</v>
      </c>
      <c r="G90" s="507" t="str">
        <f>InpCompany!$F$11</f>
        <v>£m (2017-18 prices)</v>
      </c>
      <c r="H90" s="470"/>
      <c r="I90" s="431"/>
    </row>
    <row r="91" spans="1:9" s="195" customFormat="1">
      <c r="A91" s="431"/>
      <c r="B91" s="431"/>
      <c r="C91" s="431"/>
      <c r="D91" s="431"/>
      <c r="E91" s="431" t="s">
        <v>4845</v>
      </c>
      <c r="F91" s="470">
        <f t="shared" si="2"/>
        <v>0</v>
      </c>
      <c r="G91" s="507" t="str">
        <f>InpCompany!$F$11</f>
        <v>£m (2017-18 prices)</v>
      </c>
      <c r="H91" s="470"/>
      <c r="I91" s="431"/>
    </row>
    <row r="92" spans="1:9" s="195" customFormat="1">
      <c r="A92" s="431"/>
      <c r="B92" s="431"/>
      <c r="C92" s="431"/>
      <c r="D92" s="431"/>
      <c r="E92" s="431" t="s">
        <v>4846</v>
      </c>
      <c r="F92" s="470">
        <f t="shared" si="2"/>
        <v>0</v>
      </c>
      <c r="G92" s="507" t="str">
        <f>InpCompany!$F$11</f>
        <v>£m (2017-18 prices)</v>
      </c>
      <c r="H92" s="470"/>
      <c r="I92" s="431"/>
    </row>
    <row r="93" spans="1:9" s="195" customFormat="1">
      <c r="A93" s="431"/>
      <c r="B93" s="431"/>
      <c r="C93" s="431"/>
      <c r="D93" s="431"/>
      <c r="E93" s="431" t="s">
        <v>4847</v>
      </c>
      <c r="F93" s="470">
        <f t="shared" si="2"/>
        <v>0</v>
      </c>
      <c r="G93" s="507" t="str">
        <f>InpCompany!$F$11</f>
        <v>£m (2017-18 prices)</v>
      </c>
      <c r="H93" s="470"/>
      <c r="I93" s="431"/>
    </row>
    <row r="94" spans="1:9" s="195" customFormat="1">
      <c r="A94" s="431"/>
      <c r="B94" s="431"/>
      <c r="C94" s="431"/>
      <c r="D94" s="431"/>
      <c r="E94" s="472"/>
      <c r="F94" s="472"/>
      <c r="G94" s="507"/>
      <c r="H94" s="590"/>
      <c r="I94" s="431"/>
    </row>
    <row r="95" spans="1:9" s="195" customFormat="1">
      <c r="A95" s="431"/>
      <c r="B95" s="431"/>
      <c r="C95" s="431"/>
      <c r="D95" s="441" t="s">
        <v>4848</v>
      </c>
      <c r="E95" s="472"/>
      <c r="F95" s="472"/>
      <c r="G95" s="507"/>
      <c r="H95" s="590"/>
      <c r="I95" s="431"/>
    </row>
    <row r="96" spans="1:9" s="195" customFormat="1">
      <c r="A96" s="431"/>
      <c r="B96" s="431"/>
      <c r="C96" s="431"/>
      <c r="D96" s="431"/>
      <c r="E96" s="431" t="s">
        <v>4849</v>
      </c>
      <c r="F96" s="470">
        <f>F49*(1-F69)</f>
        <v>0</v>
      </c>
      <c r="G96" s="507" t="str">
        <f>InpCompany!$F$11</f>
        <v>£m (2017-18 prices)</v>
      </c>
      <c r="H96" s="470"/>
      <c r="I96" s="431"/>
    </row>
    <row r="97" spans="1:9" s="195" customFormat="1">
      <c r="A97" s="431"/>
      <c r="B97" s="431"/>
      <c r="C97" s="431"/>
      <c r="D97" s="431"/>
      <c r="E97" s="431" t="s">
        <v>4850</v>
      </c>
      <c r="F97" s="470">
        <f t="shared" ref="F97:F102" si="3">F50*(1-F70)</f>
        <v>-0.48620000000000019</v>
      </c>
      <c r="G97" s="507" t="str">
        <f>InpCompany!$F$11</f>
        <v>£m (2017-18 prices)</v>
      </c>
      <c r="H97" s="470"/>
      <c r="I97" s="431"/>
    </row>
    <row r="98" spans="1:9" s="195" customFormat="1">
      <c r="A98" s="431"/>
      <c r="B98" s="431"/>
      <c r="C98" s="431"/>
      <c r="D98" s="431"/>
      <c r="E98" s="431" t="s">
        <v>4851</v>
      </c>
      <c r="F98" s="470">
        <f t="shared" si="3"/>
        <v>-1.1240000000000006</v>
      </c>
      <c r="G98" s="507" t="str">
        <f>InpCompany!$F$11</f>
        <v>£m (2017-18 prices)</v>
      </c>
      <c r="H98" s="470"/>
      <c r="I98" s="431"/>
    </row>
    <row r="99" spans="1:9" s="195" customFormat="1">
      <c r="A99" s="431"/>
      <c r="B99" s="431"/>
      <c r="C99" s="431"/>
      <c r="D99" s="431"/>
      <c r="E99" s="431" t="s">
        <v>4852</v>
      </c>
      <c r="F99" s="470">
        <f t="shared" si="3"/>
        <v>0</v>
      </c>
      <c r="G99" s="507" t="str">
        <f>InpCompany!$F$11</f>
        <v>£m (2017-18 prices)</v>
      </c>
      <c r="H99" s="470"/>
      <c r="I99" s="431"/>
    </row>
    <row r="100" spans="1:9" s="195" customFormat="1">
      <c r="A100" s="431"/>
      <c r="B100" s="431"/>
      <c r="C100" s="431"/>
      <c r="D100" s="431"/>
      <c r="E100" s="431" t="s">
        <v>4853</v>
      </c>
      <c r="F100" s="470">
        <f t="shared" si="3"/>
        <v>0</v>
      </c>
      <c r="G100" s="507" t="str">
        <f>InpCompany!$F$11</f>
        <v>£m (2017-18 prices)</v>
      </c>
      <c r="H100" s="470"/>
      <c r="I100" s="431"/>
    </row>
    <row r="101" spans="1:9" s="195" customFormat="1">
      <c r="A101" s="431"/>
      <c r="B101" s="431"/>
      <c r="C101" s="431"/>
      <c r="D101" s="431"/>
      <c r="E101" s="431" t="s">
        <v>4854</v>
      </c>
      <c r="F101" s="470">
        <f t="shared" si="3"/>
        <v>0</v>
      </c>
      <c r="G101" s="507" t="str">
        <f>InpCompany!$F$11</f>
        <v>£m (2017-18 prices)</v>
      </c>
      <c r="H101" s="470"/>
      <c r="I101" s="431"/>
    </row>
    <row r="102" spans="1:9" s="195" customFormat="1">
      <c r="A102" s="431"/>
      <c r="B102" s="431"/>
      <c r="C102" s="431"/>
      <c r="D102" s="431"/>
      <c r="E102" s="431" t="s">
        <v>4855</v>
      </c>
      <c r="F102" s="470">
        <f t="shared" si="3"/>
        <v>0</v>
      </c>
      <c r="G102" s="507" t="str">
        <f>InpCompany!$F$11</f>
        <v>£m (2017-18 prices)</v>
      </c>
      <c r="H102" s="470"/>
      <c r="I102" s="431"/>
    </row>
    <row r="103" spans="1:9" s="195" customFormat="1">
      <c r="A103" s="431"/>
      <c r="B103" s="431"/>
      <c r="C103" s="431"/>
      <c r="D103" s="431"/>
      <c r="E103" s="472"/>
      <c r="F103" s="472"/>
      <c r="G103" s="507"/>
      <c r="H103" s="590"/>
      <c r="I103" s="431"/>
    </row>
    <row r="104" spans="1:9" s="195" customFormat="1">
      <c r="A104" s="431"/>
      <c r="B104" s="431"/>
      <c r="C104" s="431"/>
      <c r="D104" s="441" t="s">
        <v>4856</v>
      </c>
      <c r="E104" s="472"/>
      <c r="F104" s="472"/>
      <c r="G104" s="507"/>
      <c r="H104" s="590"/>
      <c r="I104" s="431"/>
    </row>
    <row r="105" spans="1:9" s="195" customFormat="1">
      <c r="A105" s="431"/>
      <c r="B105" s="431"/>
      <c r="C105" s="431"/>
      <c r="D105" s="431"/>
      <c r="E105" s="431" t="s">
        <v>4857</v>
      </c>
      <c r="F105" s="470">
        <f>F49*F69</f>
        <v>0</v>
      </c>
      <c r="G105" s="507" t="str">
        <f>InpCompany!$F$11</f>
        <v>£m (2017-18 prices)</v>
      </c>
      <c r="H105" s="470"/>
      <c r="I105" s="431"/>
    </row>
    <row r="106" spans="1:9" s="195" customFormat="1">
      <c r="A106" s="431"/>
      <c r="B106" s="431"/>
      <c r="C106" s="431"/>
      <c r="D106" s="431"/>
      <c r="E106" s="431" t="s">
        <v>4858</v>
      </c>
      <c r="F106" s="470">
        <f t="shared" ref="F106:F111" si="4">F50*F70</f>
        <v>0</v>
      </c>
      <c r="G106" s="507" t="str">
        <f>InpCompany!$F$11</f>
        <v>£m (2017-18 prices)</v>
      </c>
      <c r="H106" s="470"/>
      <c r="I106" s="431"/>
    </row>
    <row r="107" spans="1:9" s="195" customFormat="1">
      <c r="A107" s="431"/>
      <c r="B107" s="431"/>
      <c r="C107" s="431"/>
      <c r="D107" s="431"/>
      <c r="E107" s="431" t="s">
        <v>4859</v>
      </c>
      <c r="F107" s="470">
        <f t="shared" si="4"/>
        <v>0</v>
      </c>
      <c r="G107" s="507" t="str">
        <f>InpCompany!$F$11</f>
        <v>£m (2017-18 prices)</v>
      </c>
      <c r="H107" s="470"/>
      <c r="I107" s="431"/>
    </row>
    <row r="108" spans="1:9" s="195" customFormat="1">
      <c r="A108" s="431"/>
      <c r="B108" s="431"/>
      <c r="C108" s="431"/>
      <c r="D108" s="431"/>
      <c r="E108" s="431" t="s">
        <v>4860</v>
      </c>
      <c r="F108" s="470">
        <f t="shared" si="4"/>
        <v>0</v>
      </c>
      <c r="G108" s="507" t="str">
        <f>InpCompany!$F$11</f>
        <v>£m (2017-18 prices)</v>
      </c>
      <c r="H108" s="470"/>
      <c r="I108" s="431"/>
    </row>
    <row r="109" spans="1:9" s="195" customFormat="1">
      <c r="A109" s="431"/>
      <c r="B109" s="431"/>
      <c r="C109" s="431"/>
      <c r="D109" s="431"/>
      <c r="E109" s="431" t="s">
        <v>4861</v>
      </c>
      <c r="F109" s="470">
        <f t="shared" si="4"/>
        <v>0</v>
      </c>
      <c r="G109" s="507" t="str">
        <f>InpCompany!$F$11</f>
        <v>£m (2017-18 prices)</v>
      </c>
      <c r="H109" s="470"/>
      <c r="I109" s="431"/>
    </row>
    <row r="110" spans="1:9" s="195" customFormat="1">
      <c r="A110" s="431"/>
      <c r="B110" s="431"/>
      <c r="C110" s="431"/>
      <c r="D110" s="431"/>
      <c r="E110" s="431" t="s">
        <v>4862</v>
      </c>
      <c r="F110" s="470">
        <f t="shared" si="4"/>
        <v>0</v>
      </c>
      <c r="G110" s="507" t="str">
        <f>InpCompany!$F$11</f>
        <v>£m (2017-18 prices)</v>
      </c>
      <c r="H110" s="470"/>
      <c r="I110" s="431"/>
    </row>
    <row r="111" spans="1:9" s="195" customFormat="1">
      <c r="A111" s="431"/>
      <c r="B111" s="431"/>
      <c r="C111" s="431"/>
      <c r="D111" s="431"/>
      <c r="E111" s="431" t="s">
        <v>4863</v>
      </c>
      <c r="F111" s="470">
        <f t="shared" si="4"/>
        <v>0</v>
      </c>
      <c r="G111" s="507" t="str">
        <f>InpCompany!$F$11</f>
        <v>£m (2017-18 prices)</v>
      </c>
      <c r="H111" s="470"/>
      <c r="I111" s="431"/>
    </row>
    <row r="112" spans="1:9" s="195" customFormat="1">
      <c r="A112" s="431"/>
      <c r="B112" s="431"/>
      <c r="C112" s="431"/>
      <c r="D112" s="431"/>
      <c r="E112" s="431"/>
      <c r="F112" s="472"/>
      <c r="G112" s="472"/>
      <c r="H112" s="431"/>
      <c r="I112" s="431"/>
    </row>
    <row r="113" spans="1:9" s="195" customFormat="1">
      <c r="A113" s="431"/>
      <c r="B113" s="431"/>
      <c r="C113" s="451" t="s">
        <v>4864</v>
      </c>
      <c r="D113" s="431"/>
      <c r="E113" s="431"/>
      <c r="F113" s="472"/>
      <c r="G113" s="472"/>
      <c r="H113" s="431"/>
      <c r="I113" s="431"/>
    </row>
    <row r="114" spans="1:9" s="195" customFormat="1">
      <c r="A114" s="431"/>
      <c r="B114" s="431"/>
      <c r="C114" s="431"/>
      <c r="D114" s="431"/>
      <c r="E114" s="431"/>
      <c r="F114" s="472"/>
      <c r="G114" s="472"/>
      <c r="H114" s="431"/>
      <c r="I114" s="431"/>
    </row>
    <row r="115" spans="1:9" s="195" customFormat="1">
      <c r="A115" s="431"/>
      <c r="B115" s="431"/>
      <c r="C115" s="431"/>
      <c r="D115" s="441" t="s">
        <v>4865</v>
      </c>
      <c r="E115" s="431"/>
      <c r="F115" s="472"/>
      <c r="G115" s="472"/>
      <c r="H115" s="431"/>
      <c r="I115" s="431"/>
    </row>
    <row r="116" spans="1:9" s="195" customFormat="1">
      <c r="A116" s="431"/>
      <c r="B116" s="431"/>
      <c r="C116" s="431"/>
      <c r="D116" s="431"/>
      <c r="E116" s="605" t="s">
        <v>2120</v>
      </c>
      <c r="F116" s="653">
        <f>F78+F96</f>
        <v>0</v>
      </c>
      <c r="G116" s="654" t="str">
        <f>InpCompany!$F$11</f>
        <v>£m (2017-18 prices)</v>
      </c>
      <c r="H116" s="653"/>
      <c r="I116" s="431"/>
    </row>
    <row r="117" spans="1:9" s="195" customFormat="1">
      <c r="A117" s="431"/>
      <c r="B117" s="431"/>
      <c r="C117" s="431"/>
      <c r="D117" s="431"/>
      <c r="E117" s="605" t="s">
        <v>2121</v>
      </c>
      <c r="F117" s="653">
        <f t="shared" ref="F117:F122" si="5">F79+F97</f>
        <v>-0.48620000000000019</v>
      </c>
      <c r="G117" s="654" t="str">
        <f>InpCompany!$F$11</f>
        <v>£m (2017-18 prices)</v>
      </c>
      <c r="H117" s="653"/>
      <c r="I117" s="431"/>
    </row>
    <row r="118" spans="1:9" s="195" customFormat="1">
      <c r="A118" s="431"/>
      <c r="B118" s="431"/>
      <c r="C118" s="431"/>
      <c r="D118" s="431"/>
      <c r="E118" s="605" t="s">
        <v>2122</v>
      </c>
      <c r="F118" s="653">
        <f t="shared" si="5"/>
        <v>-1.1240000000000006</v>
      </c>
      <c r="G118" s="654" t="str">
        <f>InpCompany!$F$11</f>
        <v>£m (2017-18 prices)</v>
      </c>
      <c r="H118" s="653"/>
      <c r="I118" s="431"/>
    </row>
    <row r="119" spans="1:9" s="195" customFormat="1">
      <c r="A119" s="431"/>
      <c r="B119" s="431"/>
      <c r="C119" s="431"/>
      <c r="D119" s="431"/>
      <c r="E119" s="605" t="s">
        <v>2123</v>
      </c>
      <c r="F119" s="653">
        <f t="shared" si="5"/>
        <v>0</v>
      </c>
      <c r="G119" s="654" t="str">
        <f>InpCompany!$F$11</f>
        <v>£m (2017-18 prices)</v>
      </c>
      <c r="H119" s="653"/>
      <c r="I119" s="431"/>
    </row>
    <row r="120" spans="1:9" s="195" customFormat="1">
      <c r="A120" s="431"/>
      <c r="B120" s="431"/>
      <c r="C120" s="431"/>
      <c r="D120" s="431"/>
      <c r="E120" s="605" t="s">
        <v>2124</v>
      </c>
      <c r="F120" s="653">
        <f t="shared" si="5"/>
        <v>0</v>
      </c>
      <c r="G120" s="654" t="str">
        <f>InpCompany!$F$11</f>
        <v>£m (2017-18 prices)</v>
      </c>
      <c r="H120" s="653"/>
      <c r="I120" s="431"/>
    </row>
    <row r="121" spans="1:9" s="195" customFormat="1">
      <c r="A121" s="431"/>
      <c r="B121" s="431"/>
      <c r="C121" s="431"/>
      <c r="D121" s="431"/>
      <c r="E121" s="605" t="s">
        <v>2125</v>
      </c>
      <c r="F121" s="653">
        <f t="shared" si="5"/>
        <v>0</v>
      </c>
      <c r="G121" s="654" t="str">
        <f>InpCompany!$F$11</f>
        <v>£m (2017-18 prices)</v>
      </c>
      <c r="H121" s="653"/>
      <c r="I121" s="431"/>
    </row>
    <row r="122" spans="1:9" s="195" customFormat="1">
      <c r="A122" s="431"/>
      <c r="B122" s="431"/>
      <c r="C122" s="431"/>
      <c r="D122" s="431"/>
      <c r="E122" s="605" t="s">
        <v>2126</v>
      </c>
      <c r="F122" s="653">
        <f t="shared" si="5"/>
        <v>0</v>
      </c>
      <c r="G122" s="654" t="str">
        <f>InpCompany!$F$11</f>
        <v>£m (2017-18 prices)</v>
      </c>
      <c r="H122" s="653"/>
      <c r="I122" s="431"/>
    </row>
    <row r="123" spans="1:9" s="195" customFormat="1">
      <c r="A123" s="431"/>
      <c r="B123" s="431"/>
      <c r="C123" s="431"/>
      <c r="D123" s="431"/>
      <c r="E123" s="654"/>
      <c r="F123" s="472"/>
      <c r="G123" s="472"/>
      <c r="H123" s="605"/>
      <c r="I123" s="431"/>
    </row>
    <row r="124" spans="1:9" s="195" customFormat="1">
      <c r="A124" s="431"/>
      <c r="B124" s="431"/>
      <c r="C124" s="431"/>
      <c r="D124" s="441" t="s">
        <v>4866</v>
      </c>
      <c r="E124" s="654"/>
      <c r="F124" s="472"/>
      <c r="G124" s="472"/>
      <c r="H124" s="605"/>
      <c r="I124" s="431"/>
    </row>
    <row r="125" spans="1:9" s="195" customFormat="1">
      <c r="A125" s="431"/>
      <c r="B125" s="431"/>
      <c r="C125" s="431"/>
      <c r="D125" s="431"/>
      <c r="E125" s="605" t="s">
        <v>2127</v>
      </c>
      <c r="F125" s="653">
        <f>F87+F105</f>
        <v>0</v>
      </c>
      <c r="G125" s="654" t="str">
        <f>InpCompany!$F$11</f>
        <v>£m (2017-18 prices)</v>
      </c>
      <c r="H125" s="653"/>
      <c r="I125" s="431"/>
    </row>
    <row r="126" spans="1:9" s="195" customFormat="1">
      <c r="A126" s="431"/>
      <c r="B126" s="431"/>
      <c r="C126" s="431"/>
      <c r="D126" s="431"/>
      <c r="E126" s="605" t="s">
        <v>2128</v>
      </c>
      <c r="F126" s="653">
        <f t="shared" ref="F126:F131" si="6">F88+F106</f>
        <v>0</v>
      </c>
      <c r="G126" s="654" t="str">
        <f>InpCompany!$F$11</f>
        <v>£m (2017-18 prices)</v>
      </c>
      <c r="H126" s="653"/>
      <c r="I126" s="431"/>
    </row>
    <row r="127" spans="1:9" s="195" customFormat="1">
      <c r="A127" s="431"/>
      <c r="B127" s="431"/>
      <c r="C127" s="431"/>
      <c r="D127" s="431"/>
      <c r="E127" s="605" t="s">
        <v>2129</v>
      </c>
      <c r="F127" s="653">
        <f t="shared" si="6"/>
        <v>0</v>
      </c>
      <c r="G127" s="654" t="str">
        <f>InpCompany!$F$11</f>
        <v>£m (2017-18 prices)</v>
      </c>
      <c r="H127" s="653"/>
      <c r="I127" s="431"/>
    </row>
    <row r="128" spans="1:9" s="195" customFormat="1">
      <c r="A128" s="431"/>
      <c r="B128" s="431"/>
      <c r="C128" s="431"/>
      <c r="D128" s="431"/>
      <c r="E128" s="605" t="s">
        <v>2130</v>
      </c>
      <c r="F128" s="653">
        <f t="shared" si="6"/>
        <v>0</v>
      </c>
      <c r="G128" s="654" t="str">
        <f>InpCompany!$F$11</f>
        <v>£m (2017-18 prices)</v>
      </c>
      <c r="H128" s="653"/>
      <c r="I128" s="431"/>
    </row>
    <row r="129" spans="1:12" s="195" customFormat="1">
      <c r="A129" s="431"/>
      <c r="B129" s="431"/>
      <c r="C129" s="431"/>
      <c r="D129" s="431"/>
      <c r="E129" s="605" t="s">
        <v>2131</v>
      </c>
      <c r="F129" s="653">
        <f t="shared" si="6"/>
        <v>0</v>
      </c>
      <c r="G129" s="654" t="str">
        <f>InpCompany!$F$11</f>
        <v>£m (2017-18 prices)</v>
      </c>
      <c r="H129" s="653"/>
      <c r="I129" s="431"/>
    </row>
    <row r="130" spans="1:12" s="195" customFormat="1">
      <c r="A130" s="431"/>
      <c r="B130" s="431"/>
      <c r="C130" s="431"/>
      <c r="D130" s="431"/>
      <c r="E130" s="605" t="s">
        <v>2132</v>
      </c>
      <c r="F130" s="653">
        <f t="shared" si="6"/>
        <v>0</v>
      </c>
      <c r="G130" s="654" t="str">
        <f>InpCompany!$F$11</f>
        <v>£m (2017-18 prices)</v>
      </c>
      <c r="H130" s="653"/>
      <c r="I130" s="431"/>
    </row>
    <row r="131" spans="1:12" s="195" customFormat="1">
      <c r="A131" s="431"/>
      <c r="B131" s="431"/>
      <c r="C131" s="431"/>
      <c r="D131" s="431"/>
      <c r="E131" s="605" t="s">
        <v>2133</v>
      </c>
      <c r="F131" s="653">
        <f t="shared" si="6"/>
        <v>0</v>
      </c>
      <c r="G131" s="654" t="str">
        <f>InpCompany!$F$11</f>
        <v>£m (2017-18 prices)</v>
      </c>
      <c r="H131" s="653"/>
      <c r="I131" s="431"/>
    </row>
    <row r="132" spans="1:12" s="195" customFormat="1">
      <c r="A132" s="431"/>
      <c r="B132" s="431"/>
      <c r="C132" s="431"/>
      <c r="D132" s="431"/>
      <c r="E132" s="431"/>
      <c r="F132" s="472"/>
      <c r="G132" s="472"/>
      <c r="H132" s="431"/>
      <c r="I132" s="431"/>
    </row>
    <row r="133" spans="1:12" ht="20.25">
      <c r="A133" s="417" t="s">
        <v>1082</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bottomRight"/>
      <selection pane="bottomLeft"/>
      <selection pane="topRight"/>
    </sheetView>
  </sheetViews>
  <sheetFormatPr defaultColWidth="0" defaultRowHeight="12.75" customHeight="1" outlineLevelCol="1"/>
  <cols>
    <col min="1" max="4" width="1.625" style="200" customWidth="1"/>
    <col min="5" max="5" width="45.625" style="200" customWidth="1"/>
    <col min="6" max="8" width="15.625" style="200" customWidth="1"/>
    <col min="9" max="9" width="2.625" style="200" customWidth="1"/>
    <col min="10" max="55" width="28.625" style="200" customWidth="1"/>
    <col min="56" max="71" width="25.625" style="200" hidden="1" customWidth="1" outlineLevel="1"/>
    <col min="72" max="72" width="8.625" style="200" hidden="1" customWidth="1" collapsed="1"/>
    <col min="73" max="16384" width="8.625" style="200" hidden="1"/>
  </cols>
  <sheetData>
    <row r="1" spans="1:71" s="239" customFormat="1" ht="44.25">
      <c r="A1" s="657" t="e">
        <f ca="1" xml:space="preserve"> RIGHT(CELL("filename", $A$1), LEN(CELL("filename", $A$1)) - SEARCH("]", CELL("filename", $A$1)))</f>
        <v>#VALUE!</v>
      </c>
      <c r="B1" s="236"/>
      <c r="C1" s="236"/>
      <c r="D1" s="237"/>
      <c r="E1" s="238"/>
      <c r="F1" s="238"/>
      <c r="G1" s="238"/>
      <c r="H1" s="643" t="str">
        <f>InpCompany!F5</f>
        <v>Anglian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c r="A2" s="431"/>
      <c r="B2" s="431"/>
      <c r="C2" s="431"/>
      <c r="D2" s="431"/>
      <c r="E2" s="431"/>
      <c r="F2" s="440" t="s">
        <v>1938</v>
      </c>
      <c r="G2" s="440" t="s">
        <v>155</v>
      </c>
      <c r="H2" s="440" t="s">
        <v>1299</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c r="A3" s="614" t="s">
        <v>4867</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PR19ANH_3</v>
      </c>
      <c r="K5" s="660" t="str">
        <f>IF(InpPerformance!K16&lt;&gt;"",InpPerformance!K16,"")</f>
        <v>PR19ANH_4</v>
      </c>
      <c r="L5" s="660" t="str">
        <f>IF(InpPerformance!L16&lt;&gt;"",InpPerformance!L16,"")</f>
        <v>PR19ANH_5</v>
      </c>
      <c r="M5" s="660" t="str">
        <f>IF(InpPerformance!M16&lt;&gt;"",InpPerformance!M16,"")</f>
        <v/>
      </c>
      <c r="N5" s="660" t="str">
        <f>IF(InpPerformance!N16&lt;&gt;"",InpPerformance!N16,"")</f>
        <v>PR19ANH_6</v>
      </c>
      <c r="O5" s="660" t="str">
        <f>IF(InpPerformance!O16&lt;&gt;"",InpPerformance!O16,"")</f>
        <v/>
      </c>
      <c r="P5" s="660" t="str">
        <f>IF(InpPerformance!P16&lt;&gt;"",InpPerformance!P16,"")</f>
        <v>PR19ANH_11</v>
      </c>
      <c r="Q5" s="661" t="str">
        <f>IF(InpPerformance!Q16&lt;&gt;"",InpPerformance!Q16,"")</f>
        <v>PR19ANH_12</v>
      </c>
      <c r="R5" s="660" t="str">
        <f>IF(InpPerformance!R16&lt;&gt;"",InpPerformance!R16,"")</f>
        <v>PR19ANH_15</v>
      </c>
      <c r="S5" s="660" t="str">
        <f>IF(InpPerformance!S16&lt;&gt;"",InpPerformance!S16,"")</f>
        <v>PR19ANH_16</v>
      </c>
      <c r="T5" s="660" t="str">
        <f>IF(InpPerformance!T16&lt;&gt;"",InpPerformance!T16,"")</f>
        <v>PR19ANH_20</v>
      </c>
      <c r="U5" s="660" t="str">
        <f>IF(InpPerformance!U16&lt;&gt;"",InpPerformance!U16,"")</f>
        <v>PR19ANH_23</v>
      </c>
      <c r="V5" s="660" t="str">
        <f>IF(InpPerformance!V16&lt;&gt;"",InpPerformance!V16,"")</f>
        <v>PR19ANH_34</v>
      </c>
      <c r="W5" s="558" t="str">
        <f>IF(InpPerformance!W16&lt;&gt;"",InpPerformance!W16,"")</f>
        <v>PR19ANH_38</v>
      </c>
      <c r="X5" s="558" t="str">
        <f>IF(InpPerformance!X16&lt;&gt;"",InpPerformance!X16,"")</f>
        <v>PR19ANH_39</v>
      </c>
      <c r="Y5" s="558" t="str">
        <f>IF(InpPerformance!Y16&lt;&gt;"",InpPerformance!Y16,"")</f>
        <v>PR19ANH_41</v>
      </c>
      <c r="Z5" s="558" t="str">
        <f>IF(InpPerformance!Z16&lt;&gt;"",InpPerformance!Z16,"")</f>
        <v>PR19ANH_47</v>
      </c>
      <c r="AA5" s="558" t="str">
        <f>IF(InpPerformance!AA16&lt;&gt;"",InpPerformance!AA16,"")</f>
        <v>PR19ANH_48</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PR19ANH_7</v>
      </c>
      <c r="AM5" s="660" t="str">
        <f>IF(InpPerformance!AM16&lt;&gt;"",InpPerformance!AM16,"")</f>
        <v>PR19ANH_8</v>
      </c>
      <c r="AN5" s="660" t="str">
        <f>IF(InpPerformance!AN16&lt;&gt;"",InpPerformance!AN16,"")</f>
        <v>PR19ANH_13</v>
      </c>
      <c r="AO5" s="661" t="str">
        <f>IF(InpPerformance!AO16&lt;&gt;"",InpPerformance!AO16,"")</f>
        <v>PR19ANH_14</v>
      </c>
      <c r="AP5" s="660" t="str">
        <f>IF(InpPerformance!AP16&lt;&gt;"",InpPerformance!AP16,"")</f>
        <v>PR19ANH_17</v>
      </c>
      <c r="AQ5" s="558" t="str">
        <f>IF(InpPerformance!AQ16&lt;&gt;"",InpPerformance!AQ16,"")</f>
        <v>PR19ANH_19</v>
      </c>
      <c r="AR5" s="660" t="str">
        <f>IF(InpPerformance!AR16&lt;&gt;"",InpPerformance!AR16,"")</f>
        <v>PR19ANH_32</v>
      </c>
      <c r="AS5" s="558" t="str">
        <f>IF(InpPerformance!AS16&lt;&gt;"",InpPerformance!AS16,"")</f>
        <v>PR19ANH_42</v>
      </c>
      <c r="AT5" s="558" t="str">
        <f>IF(InpPerformance!AT16&lt;&gt;"",InpPerformance!AT16,"")</f>
        <v>PR19CMA_ANH-01</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Percentage of population supplied by a single supply system</v>
      </c>
      <c r="S7" s="660" t="str">
        <f>IF(InpPerformance!S17&lt;&gt;"",InpPerformance!S17,"")</f>
        <v>Properties at risk of persistent low pressure</v>
      </c>
      <c r="T7" s="660" t="str">
        <f>IF(InpPerformance!T17&lt;&gt;"",InpPerformance!T17,"")</f>
        <v>Abstraction Incentive Mechanism</v>
      </c>
      <c r="U7" s="660" t="str">
        <f>IF(InpPerformance!U17&lt;&gt;"",InpPerformance!U17,"")</f>
        <v>Managing void properties</v>
      </c>
      <c r="V7" s="660" t="str">
        <f>IF(InpPerformance!V17&lt;&gt;"",InpPerformance!V17,"")</f>
        <v>Water quality contacts</v>
      </c>
      <c r="W7" s="558" t="str">
        <f>IF(InpPerformance!W17&lt;&gt;"",InpPerformance!W17,"")</f>
        <v>Smart metering delivery</v>
      </c>
      <c r="X7" s="558" t="str">
        <f>IF(InpPerformance!X17&lt;&gt;"",InpPerformance!X17,"")</f>
        <v>Internal interconnection delivery</v>
      </c>
      <c r="Y7" s="558" t="str">
        <f>IF(InpPerformance!Y17&lt;&gt;"",InpPerformance!Y17,"")</f>
        <v>Cyber Security</v>
      </c>
      <c r="Z7" s="558" t="str">
        <f>IF(InpPerformance!Z17&lt;&gt;"",InpPerformance!Z17,"")</f>
        <v>Underperformance incentive for Elsham treatment works and transfer scheme</v>
      </c>
      <c r="AA7" s="558" t="str">
        <f>IF(InpPerformance!AA17&lt;&gt;"",InpPerformance!AA17,"")</f>
        <v>Outperformance payment for Elsham treatment works and transfer scheme</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External Sewer Flooding</v>
      </c>
      <c r="AQ7" s="558" t="str">
        <f>IF(InpPerformance!AQ17&lt;&gt;"",InpPerformance!AQ17,"")</f>
        <v>Bathing Waters Attaining Excellent Status</v>
      </c>
      <c r="AR7" s="660" t="str">
        <f>IF(InpPerformance!AR17&lt;&gt;"",InpPerformance!AR17,"")</f>
        <v>Water Industry National Environment Programme</v>
      </c>
      <c r="AS7" s="558" t="str">
        <f>IF(InpPerformance!AS17&lt;&gt;"",InpPerformance!AS17,"")</f>
        <v>Partnership working on pluvial and fluvial flood risk</v>
      </c>
      <c r="AT7" s="558" t="str">
        <f>IF(InpPerformance!AT17&lt;&gt;"",InpPerformance!AT17,"")</f>
        <v>Additional sludge treatment capacity at Whitlingham</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5">
      <c r="A8" s="1329"/>
      <c r="B8" s="1329"/>
      <c r="C8" s="1329"/>
      <c r="D8" s="1329"/>
      <c r="E8" s="1329"/>
      <c r="F8" s="1329"/>
      <c r="G8" s="1329"/>
      <c r="H8" s="1329"/>
      <c r="I8" s="1329"/>
      <c r="J8" s="1344"/>
      <c r="K8" s="1344"/>
      <c r="L8" s="1344"/>
      <c r="M8" s="1344"/>
      <c r="N8" s="1344"/>
      <c r="O8" s="1344"/>
      <c r="P8" s="1344"/>
      <c r="Q8" s="1345"/>
      <c r="R8" s="1344"/>
      <c r="S8" s="1344"/>
      <c r="T8" s="1344"/>
      <c r="U8" s="1344"/>
      <c r="V8" s="1344"/>
      <c r="W8" s="1884"/>
      <c r="X8" s="1884"/>
      <c r="Y8" s="1884"/>
      <c r="Z8" s="1884"/>
      <c r="AA8" s="1884"/>
      <c r="AB8" s="1884"/>
      <c r="AC8" s="1884"/>
      <c r="AD8" s="1884"/>
      <c r="AE8" s="1884"/>
      <c r="AF8" s="1884"/>
      <c r="AG8" s="1884"/>
      <c r="AH8" s="1884"/>
      <c r="AI8" s="1344"/>
      <c r="AJ8" s="1344"/>
      <c r="AK8" s="1345"/>
      <c r="AL8" s="1344"/>
      <c r="AM8" s="1344"/>
      <c r="AN8" s="1344"/>
      <c r="AO8" s="1345"/>
      <c r="AP8" s="1344"/>
      <c r="AQ8" s="1884"/>
      <c r="AR8" s="1344"/>
      <c r="AS8" s="1884"/>
      <c r="AT8" s="1884"/>
      <c r="AU8" s="1344"/>
      <c r="AV8" s="1344"/>
      <c r="AW8" s="1344"/>
      <c r="AX8" s="1344"/>
      <c r="AY8" s="1344"/>
      <c r="AZ8" s="1344"/>
      <c r="BA8" s="1344"/>
      <c r="BB8" s="1344"/>
      <c r="BC8" s="1345"/>
      <c r="BD8" s="1344"/>
      <c r="BE8" s="1344"/>
      <c r="BF8" s="1344"/>
      <c r="BG8" s="1344"/>
      <c r="BH8" s="1344"/>
      <c r="BI8" s="1344"/>
      <c r="BJ8" s="1344"/>
      <c r="BK8" s="1344"/>
      <c r="BL8" s="1344"/>
      <c r="BM8" s="1344"/>
      <c r="BN8" s="1344"/>
      <c r="BO8" s="1344"/>
      <c r="BP8" s="1344"/>
      <c r="BQ8" s="1344"/>
      <c r="BR8" s="1344"/>
      <c r="BS8" s="1344"/>
    </row>
    <row r="9" spans="1:71" customFormat="1" ht="15">
      <c r="A9" s="1329"/>
      <c r="B9" s="1329"/>
      <c r="C9" s="1329"/>
      <c r="D9" s="1329"/>
      <c r="E9" s="560" t="str">
        <f>Performance!E174</f>
        <v>Total outperformance payments</v>
      </c>
      <c r="F9" s="1329"/>
      <c r="G9" s="560" t="str">
        <f>Performance!G174</f>
        <v>£m (2017-18 prices)</v>
      </c>
      <c r="H9" s="1329"/>
      <c r="I9" s="1329"/>
      <c r="J9" s="1917">
        <f>IF(Performance!J174=0,0,Performance!J174)</f>
        <v>0</v>
      </c>
      <c r="K9" s="1917">
        <f>IF(Performance!K174=0,0,Performance!K174)</f>
        <v>0</v>
      </c>
      <c r="L9" s="1902">
        <f>IF(Performance!L174=0,0,Performance!L174)</f>
        <v>0</v>
      </c>
      <c r="M9" s="1902">
        <f>IF(Performance!M174=0,0,Performance!M174)</f>
        <v>0</v>
      </c>
      <c r="N9" s="665">
        <f>IF(Performance!N174=0,0,Performance!N174)</f>
        <v>0</v>
      </c>
      <c r="O9" s="1902">
        <f>IF(Performance!O174=0,0,Performance!O174)</f>
        <v>0</v>
      </c>
      <c r="P9" s="1902">
        <f>IF(Performance!P174=0,0,Performance!P174)</f>
        <v>0</v>
      </c>
      <c r="Q9" s="1918">
        <f>IF(Performance!Q174=0,0,Performance!Q174)</f>
        <v>0</v>
      </c>
      <c r="R9" s="1902">
        <f>IF(Performance!R174=0,0,Performance!R174)</f>
        <v>0</v>
      </c>
      <c r="S9" s="1902">
        <f>IF(Performance!S174=0,0,Performance!S174)</f>
        <v>0.27895999999999999</v>
      </c>
      <c r="T9" s="1902">
        <f>IF(Performance!T174=0,0,Performance!T174)</f>
        <v>0</v>
      </c>
      <c r="U9" s="1902">
        <f>IF(Performance!U174=0,0,Performance!U174)</f>
        <v>0.89604000000000006</v>
      </c>
      <c r="V9" s="1902">
        <f>IF(Performance!V174=0,0,Performance!V174)</f>
        <v>0</v>
      </c>
      <c r="W9" s="1902">
        <f>IF(Performance!W174=0,0,Performance!W174)</f>
        <v>0</v>
      </c>
      <c r="X9" s="1902">
        <f>IF(Performance!X174=0,0,Performance!X174)</f>
        <v>0</v>
      </c>
      <c r="Y9" s="1902">
        <f>IF(Performance!Y174=0,0,Performance!Y174)</f>
        <v>0</v>
      </c>
      <c r="Z9" s="1902">
        <f>IF(Performance!Z174=0,0,Performance!Z174)</f>
        <v>0</v>
      </c>
      <c r="AA9" s="1902">
        <f>IF(Performance!AA174=0,0,Performance!AA174)</f>
        <v>0</v>
      </c>
      <c r="AB9" s="1902">
        <f>IF(Performance!AB174=0,0,Performance!AB174)</f>
        <v>0</v>
      </c>
      <c r="AC9" s="1902">
        <f>IF(Performance!AC174=0,0,Performance!AC174)</f>
        <v>0</v>
      </c>
      <c r="AD9" s="1902">
        <f>IF(Performance!AD174=0,0,Performance!AD174)</f>
        <v>0</v>
      </c>
      <c r="AE9" s="1902">
        <f>IF(Performance!AE174=0,0,Performance!AE174)</f>
        <v>0</v>
      </c>
      <c r="AF9" s="1902">
        <f>IF(Performance!AF174=0,0,Performance!AF174)</f>
        <v>0</v>
      </c>
      <c r="AG9" s="1902">
        <f>IF(Performance!AG174=0,0,Performance!AG174)</f>
        <v>0</v>
      </c>
      <c r="AH9" s="1902">
        <f>IF(Performance!AH174=0,0,Performance!AH174)</f>
        <v>0</v>
      </c>
      <c r="AI9" s="1902">
        <f>IF(Performance!AI174=0,0,Performance!AI174)</f>
        <v>0</v>
      </c>
      <c r="AJ9" s="1902">
        <f>IF(Performance!AJ174=0,0,Performance!AJ174)</f>
        <v>0</v>
      </c>
      <c r="AK9" s="1918">
        <f>IF(Performance!AK174=0,0,Performance!AK174)</f>
        <v>0</v>
      </c>
      <c r="AL9" s="1902">
        <f>IF(Performance!AL174=0,0,Performance!AL174)</f>
        <v>0</v>
      </c>
      <c r="AM9" s="1902">
        <f>IF(Performance!AM174=0,0,Performance!AM174)</f>
        <v>0</v>
      </c>
      <c r="AN9" s="1902">
        <f>IF(Performance!AN174=0,0,Performance!AN174)</f>
        <v>0</v>
      </c>
      <c r="AO9" s="1918">
        <f>IF(Performance!AO174=0,0,Performance!AO174)</f>
        <v>0</v>
      </c>
      <c r="AP9" s="1902">
        <f>IF(Performance!AP174=0,0,Performance!AP174)</f>
        <v>0</v>
      </c>
      <c r="AQ9" s="1902">
        <f>IF(Performance!AQ174=0,0,Performance!AQ174)</f>
        <v>0</v>
      </c>
      <c r="AR9" s="1902">
        <f>IF(Performance!AR174=0,0,Performance!AR174)</f>
        <v>0</v>
      </c>
      <c r="AS9" s="1902">
        <f>IF(Performance!AS174=0,0,Performance!AS174)</f>
        <v>0</v>
      </c>
      <c r="AT9" s="1902">
        <f>IF(Performance!AT174=0,0,Performance!AT174)</f>
        <v>0</v>
      </c>
      <c r="AU9" s="1902">
        <f>IF(Performance!AU174=0,0,Performance!AU174)</f>
        <v>0</v>
      </c>
      <c r="AV9" s="1902">
        <f>IF(Performance!AV174=0,0,Performance!AV174)</f>
        <v>0</v>
      </c>
      <c r="AW9" s="1902">
        <f>IF(Performance!AW174=0,0,Performance!AW174)</f>
        <v>0</v>
      </c>
      <c r="AX9" s="1902">
        <f>IF(Performance!AX174=0,0,Performance!AX174)</f>
        <v>0</v>
      </c>
      <c r="AY9" s="1902">
        <f>IF(Performance!AY174=0,0,Performance!AY174)</f>
        <v>0</v>
      </c>
      <c r="AZ9" s="1902">
        <f>IF(Performance!AZ174=0,0,Performance!AZ174)</f>
        <v>0</v>
      </c>
      <c r="BA9" s="1902">
        <f>IF(Performance!BA174=0,0,Performance!BA174)</f>
        <v>0</v>
      </c>
      <c r="BB9" s="1902">
        <f>IF(Performance!BB174=0,0,Performance!BB174)</f>
        <v>0</v>
      </c>
      <c r="BC9" s="1918">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5">
      <c r="A10" s="1329"/>
      <c r="B10" s="1329"/>
      <c r="C10" s="1329"/>
      <c r="D10" s="1329"/>
      <c r="E10" s="560" t="str">
        <f>Performance!E179</f>
        <v>Total underperformance payments</v>
      </c>
      <c r="F10" s="1329"/>
      <c r="G10" s="560" t="str">
        <f>Performance!G179</f>
        <v>£m (2017-18 prices)</v>
      </c>
      <c r="H10" s="1329"/>
      <c r="I10" s="1329"/>
      <c r="J10" s="1902">
        <f>IF(Performance!J179=0,0,Performance!J179)</f>
        <v>-0.49643999999999994</v>
      </c>
      <c r="K10" s="1902">
        <f>IF(Performance!K179=0,0,Performance!K179)</f>
        <v>-2.1245391315531585</v>
      </c>
      <c r="L10" s="1902">
        <f>IF(Performance!L179=0,0,Performance!L179)</f>
        <v>-16.940000000000001</v>
      </c>
      <c r="M10" s="1902">
        <f>IF(Performance!M179=0,0,Performance!M179)</f>
        <v>0</v>
      </c>
      <c r="N10" s="665">
        <f>IF(Performance!N179=0,0,Performance!N179)</f>
        <v>-0.48620000000000002</v>
      </c>
      <c r="O10" s="1902">
        <f>IF(Performance!O179=0,0,Performance!O179)</f>
        <v>0</v>
      </c>
      <c r="P10" s="1902">
        <f>IF(Performance!P179=0,0,Performance!P179)</f>
        <v>0</v>
      </c>
      <c r="Q10" s="1918">
        <f>IF(Performance!Q179=0,0,Performance!Q179)</f>
        <v>0</v>
      </c>
      <c r="R10" s="1902">
        <f>IF(Performance!R179=0,0,Performance!R179)</f>
        <v>0</v>
      </c>
      <c r="S10" s="1902">
        <f>IF(Performance!S179=0,0,Performance!S179)</f>
        <v>0</v>
      </c>
      <c r="T10" s="1902">
        <f>IF(Performance!T179=0,0,Performance!T179)</f>
        <v>-8.7999999999999995E-2</v>
      </c>
      <c r="U10" s="1902">
        <f>IF(Performance!U179=0,0,Performance!U179)</f>
        <v>0</v>
      </c>
      <c r="V10" s="1902">
        <f>IF(Performance!V179=0,0,Performance!V179)</f>
        <v>-0.37464000000000008</v>
      </c>
      <c r="W10" s="1902">
        <f>IF(Performance!W179=0,0,Performance!W179)</f>
        <v>0</v>
      </c>
      <c r="X10" s="1902">
        <f>IF(Performance!X179=0,0,Performance!X179)</f>
        <v>0</v>
      </c>
      <c r="Y10" s="1902">
        <f>IF(Performance!Y179=0,0,Performance!Y179)</f>
        <v>0</v>
      </c>
      <c r="Z10" s="1902">
        <f>IF(Performance!Z179=0,0,Performance!Z179)</f>
        <v>0</v>
      </c>
      <c r="AA10" s="1902">
        <f>IF(Performance!AA179=0,0,Performance!AA179)</f>
        <v>0</v>
      </c>
      <c r="AB10" s="1902">
        <f>IF(Performance!AB179=0,0,Performance!AB179)</f>
        <v>0</v>
      </c>
      <c r="AC10" s="1902">
        <f>IF(Performance!AC179=0,0,Performance!AC179)</f>
        <v>0</v>
      </c>
      <c r="AD10" s="1902">
        <f>IF(Performance!AD179=0,0,Performance!AD179)</f>
        <v>0</v>
      </c>
      <c r="AE10" s="1902">
        <f>IF(Performance!AE179=0,0,Performance!AE179)</f>
        <v>0</v>
      </c>
      <c r="AF10" s="1902">
        <f>IF(Performance!AF179=0,0,Performance!AF179)</f>
        <v>0</v>
      </c>
      <c r="AG10" s="1902">
        <f>IF(Performance!AG179=0,0,Performance!AG179)</f>
        <v>0</v>
      </c>
      <c r="AH10" s="1902">
        <f>IF(Performance!AH179=0,0,Performance!AH179)</f>
        <v>0</v>
      </c>
      <c r="AI10" s="1902">
        <f>IF(Performance!AI179=0,0,Performance!AI179)</f>
        <v>0</v>
      </c>
      <c r="AJ10" s="1902">
        <f>IF(Performance!AJ179=0,0,Performance!AJ179)</f>
        <v>0</v>
      </c>
      <c r="AK10" s="1918">
        <f>IF(Performance!AK179=0,0,Performance!AK179)</f>
        <v>0</v>
      </c>
      <c r="AL10" s="1902">
        <f>IF(Performance!AL179=0,0,Performance!AL179)</f>
        <v>-0.76607999999999832</v>
      </c>
      <c r="AM10" s="1902">
        <f>IF(Performance!AM179=0,0,Performance!AM179)</f>
        <v>-9.8345000000000002</v>
      </c>
      <c r="AN10" s="1902">
        <f>IF(Performance!AN179=0,0,Performance!AN179)</f>
        <v>0</v>
      </c>
      <c r="AO10" s="1918">
        <f>IF(Performance!AO179=0,0,Performance!AO179)</f>
        <v>0</v>
      </c>
      <c r="AP10" s="1902">
        <f>IF(Performance!AP179=0,0,Performance!AP179)</f>
        <v>-5.1836570000000002</v>
      </c>
      <c r="AQ10" s="1902">
        <f>IF(Performance!AQ179=0,0,Performance!AQ179)</f>
        <v>-1.1240000000000001</v>
      </c>
      <c r="AR10" s="1902">
        <f>IF(Performance!AR179=0,0,Performance!AR179)</f>
        <v>0</v>
      </c>
      <c r="AS10" s="1902">
        <f>IF(Performance!AS179=0,0,Performance!AS179)</f>
        <v>0</v>
      </c>
      <c r="AT10" s="1902">
        <f>IF(Performance!AT179=0,0,Performance!AT179)</f>
        <v>0</v>
      </c>
      <c r="AU10" s="1902">
        <f>IF(Performance!AU179=0,0,Performance!AU179)</f>
        <v>0</v>
      </c>
      <c r="AV10" s="1902">
        <f>IF(Performance!AV179=0,0,Performance!AV179)</f>
        <v>0</v>
      </c>
      <c r="AW10" s="1902">
        <f>IF(Performance!AW179=0,0,Performance!AW179)</f>
        <v>0</v>
      </c>
      <c r="AX10" s="1902">
        <f>IF(Performance!AX179=0,0,Performance!AX179)</f>
        <v>0</v>
      </c>
      <c r="AY10" s="1902">
        <f>IF(Performance!AY179=0,0,Performance!AY179)</f>
        <v>0</v>
      </c>
      <c r="AZ10" s="1902">
        <f>IF(Performance!AZ179=0,0,Performance!AZ179)</f>
        <v>0</v>
      </c>
      <c r="BA10" s="1902">
        <f>IF(Performance!BA179=0,0,Performance!BA179)</f>
        <v>0</v>
      </c>
      <c r="BB10" s="1902">
        <f>IF(Performance!BB179=0,0,Performance!BB179)</f>
        <v>0</v>
      </c>
      <c r="BC10" s="1918">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5">
      <c r="A11" s="1329"/>
      <c r="B11" s="1329"/>
      <c r="C11" s="1329"/>
      <c r="D11" s="1329"/>
      <c r="E11" s="560"/>
      <c r="F11" s="1329"/>
      <c r="G11" s="560"/>
      <c r="H11" s="1329"/>
      <c r="I11" s="1329"/>
      <c r="J11" s="665"/>
      <c r="K11" s="665"/>
      <c r="L11" s="665"/>
      <c r="M11" s="665"/>
      <c r="N11" s="665"/>
      <c r="O11" s="665"/>
      <c r="P11" s="665"/>
      <c r="Q11" s="666"/>
      <c r="R11" s="665"/>
      <c r="S11" s="665"/>
      <c r="T11" s="665"/>
      <c r="U11" s="665"/>
      <c r="V11" s="665"/>
      <c r="W11" s="1902"/>
      <c r="X11" s="1902"/>
      <c r="Y11" s="1902"/>
      <c r="Z11" s="1902"/>
      <c r="AA11" s="1902"/>
      <c r="AB11" s="1902"/>
      <c r="AC11" s="1902"/>
      <c r="AD11" s="665"/>
      <c r="AE11" s="665"/>
      <c r="AF11" s="665"/>
      <c r="AG11" s="665"/>
      <c r="AH11" s="665"/>
      <c r="AI11" s="665"/>
      <c r="AJ11" s="665"/>
      <c r="AK11" s="666"/>
      <c r="AL11" s="665"/>
      <c r="AM11" s="665"/>
      <c r="AN11" s="665"/>
      <c r="AO11" s="666"/>
      <c r="AP11" s="665"/>
      <c r="AQ11" s="1902"/>
      <c r="AR11" s="665"/>
      <c r="AS11" s="1902"/>
      <c r="AT11" s="1902"/>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5">
      <c r="A12" s="1329"/>
      <c r="B12" s="1329"/>
      <c r="C12" s="1329"/>
      <c r="D12" s="1329"/>
      <c r="E12" s="560" t="s">
        <v>4868</v>
      </c>
      <c r="F12" s="1329"/>
      <c r="G12" s="560" t="s">
        <v>1890</v>
      </c>
      <c r="H12" s="1329"/>
      <c r="I12" s="1329"/>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YES</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YES</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02" t="str">
        <f>IF(AND(InpPerformance!W23="",InpPerformance!W24="",InpPerformance!W25="",InpPerformance!W26="",InpPerformance!W27="",InpPerformance!W28="",InpPerformance!W29=""),"","YES")</f>
        <v/>
      </c>
      <c r="X12" s="1902" t="str">
        <f>IF(AND(InpPerformance!X23="",InpPerformance!X24="",InpPerformance!X25="",InpPerformance!X26="",InpPerformance!X27="",InpPerformance!X28="",InpPerformance!X29=""),"","YES")</f>
        <v>YES</v>
      </c>
      <c r="Y12" s="1902" t="str">
        <f>IF(AND(InpPerformance!Y23="",InpPerformance!Y24="",InpPerformance!Y25="",InpPerformance!Y26="",InpPerformance!Y27="",InpPerformance!Y28="",InpPerformance!Y29=""),"","YES")</f>
        <v/>
      </c>
      <c r="Z12" s="1902" t="str">
        <f>IF(AND(InpPerformance!Z23="",InpPerformance!Z24="",InpPerformance!Z25="",InpPerformance!Z26="",InpPerformance!Z27="",InpPerformance!Z28="",InpPerformance!Z29=""),"","YES")</f>
        <v>YES</v>
      </c>
      <c r="AA12" s="1902" t="str">
        <f>IF(AND(InpPerformance!AA23="",InpPerformance!AA24="",InpPerformance!AA25="",InpPerformance!AA26="",InpPerformance!AA27="",InpPerformance!AA28="",InpPerformance!AA29=""),"","YES")</f>
        <v>YES</v>
      </c>
      <c r="AB12" s="1902" t="str">
        <f>IF(AND(InpPerformance!AB23="",InpPerformance!AB24="",InpPerformance!AB25="",InpPerformance!AB26="",InpPerformance!AB27="",InpPerformance!AB28="",InpPerformance!AB29=""),"","YES")</f>
        <v/>
      </c>
      <c r="AC12" s="1902"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02"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YES</v>
      </c>
      <c r="AS12" s="1902" t="str">
        <f>IF(AND(InpPerformance!AS23="",InpPerformance!AS24="",InpPerformance!AS25="",InpPerformance!AS26="",InpPerformance!AS27="",InpPerformance!AS28="",InpPerformance!AS29=""),"","YES")</f>
        <v/>
      </c>
      <c r="AT12" s="1902"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5">
      <c r="A13" s="1329"/>
      <c r="B13" s="1329"/>
      <c r="C13" s="1329"/>
      <c r="D13" s="1329"/>
      <c r="E13" s="560" t="s">
        <v>4869</v>
      </c>
      <c r="F13" s="1329"/>
      <c r="G13" s="560" t="s">
        <v>1890</v>
      </c>
      <c r="H13" s="1329"/>
      <c r="I13" s="1329"/>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YES</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YES</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02" t="str">
        <f>IF(AND(InpPerformance!W24="",InpPerformance!W25="",InpPerformance!W26="",InpPerformance!W27="",InpPerformance!W28="",InpPerformance!W29="",InpPerformance!W30=""),"","YES")</f>
        <v/>
      </c>
      <c r="X13" s="1902" t="str">
        <f>IF(AND(InpPerformance!X24="",InpPerformance!X25="",InpPerformance!X26="",InpPerformance!X27="",InpPerformance!X28="",InpPerformance!X29="",InpPerformance!X30=""),"","YES")</f>
        <v>YES</v>
      </c>
      <c r="Y13" s="1902" t="str">
        <f>IF(AND(InpPerformance!Y24="",InpPerformance!Y25="",InpPerformance!Y26="",InpPerformance!Y27="",InpPerformance!Y28="",InpPerformance!Y29="",InpPerformance!Y30=""),"","YES")</f>
        <v/>
      </c>
      <c r="Z13" s="1902" t="str">
        <f>IF(AND(InpPerformance!Z24="",InpPerformance!Z25="",InpPerformance!Z26="",InpPerformance!Z27="",InpPerformance!Z28="",InpPerformance!Z29="",InpPerformance!Z30=""),"","YES")</f>
        <v>YES</v>
      </c>
      <c r="AA13" s="1902" t="str">
        <f>IF(AND(InpPerformance!AA24="",InpPerformance!AA25="",InpPerformance!AA26="",InpPerformance!AA27="",InpPerformance!AA28="",InpPerformance!AA29="",InpPerformance!AA30=""),"","YES")</f>
        <v/>
      </c>
      <c r="AB13" s="1902" t="str">
        <f>IF(AND(InpPerformance!AB24="",InpPerformance!AB25="",InpPerformance!AB26="",InpPerformance!AB27="",InpPerformance!AB28="",InpPerformance!AB29="",InpPerformance!AB30=""),"","YES")</f>
        <v/>
      </c>
      <c r="AC13" s="1902"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02"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YES</v>
      </c>
      <c r="AS13" s="1902" t="str">
        <f>IF(AND(InpPerformance!AS24="",InpPerformance!AS25="",InpPerformance!AS26="",InpPerformance!AS27="",InpPerformance!AS28="",InpPerformance!AS29="",InpPerformance!AS30=""),"","YES")</f>
        <v/>
      </c>
      <c r="AT13" s="1902"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5">
      <c r="A14" s="1329"/>
      <c r="B14" s="1329"/>
      <c r="C14" s="1329"/>
      <c r="D14" s="1329"/>
      <c r="E14" s="560" t="s">
        <v>4870</v>
      </c>
      <c r="F14" s="1329"/>
      <c r="G14" s="560" t="s">
        <v>1890</v>
      </c>
      <c r="H14" s="1329"/>
      <c r="I14" s="1329"/>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02"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02"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02"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02"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02"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02"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02"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02"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02"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02"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29"/>
      <c r="B15" s="1329"/>
      <c r="C15" s="1329"/>
      <c r="D15" s="1329"/>
      <c r="E15" s="560"/>
      <c r="F15" s="1329"/>
      <c r="G15" s="560"/>
      <c r="H15" s="1329"/>
      <c r="I15" s="1329"/>
      <c r="J15" s="667"/>
      <c r="K15" s="665"/>
      <c r="L15" s="665"/>
      <c r="M15" s="665"/>
      <c r="N15" s="665"/>
      <c r="O15" s="665"/>
      <c r="P15" s="665"/>
      <c r="Q15" s="666"/>
      <c r="R15" s="665"/>
      <c r="S15" s="665"/>
      <c r="T15" s="665"/>
      <c r="U15" s="665"/>
      <c r="V15" s="665"/>
      <c r="W15" s="1902"/>
      <c r="X15" s="1902"/>
      <c r="Y15" s="1902"/>
      <c r="Z15" s="1902"/>
      <c r="AA15" s="1902"/>
      <c r="AB15" s="1902"/>
      <c r="AC15" s="1902"/>
      <c r="AD15" s="665"/>
      <c r="AE15" s="665"/>
      <c r="AF15" s="665"/>
      <c r="AG15" s="665"/>
      <c r="AH15" s="665"/>
      <c r="AI15" s="665"/>
      <c r="AJ15" s="665"/>
      <c r="AK15" s="666"/>
      <c r="AL15" s="665"/>
      <c r="AM15" s="665"/>
      <c r="AN15" s="665"/>
      <c r="AO15" s="666"/>
      <c r="AP15" s="665"/>
      <c r="AQ15" s="1902"/>
      <c r="AR15" s="665"/>
      <c r="AS15" s="1902"/>
      <c r="AT15" s="1902"/>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5">
      <c r="A16" s="1329"/>
      <c r="B16" s="1329"/>
      <c r="C16" s="1329"/>
      <c r="D16" s="1329"/>
      <c r="E16" s="560" t="str">
        <f>Performance!E185</f>
        <v>Total in-period outperformance revenue payments to be applied this year i.e. 2024-25</v>
      </c>
      <c r="F16" s="1329"/>
      <c r="G16" s="560" t="str">
        <f>Performance!G185</f>
        <v>£m (2017-18 prices)</v>
      </c>
      <c r="H16" s="1329"/>
      <c r="I16" s="1329"/>
      <c r="J16" s="668">
        <f>Performance!J185</f>
        <v>0</v>
      </c>
      <c r="K16" s="668">
        <f>Performance!K185</f>
        <v>0</v>
      </c>
      <c r="L16" s="668">
        <f>Performance!L185</f>
        <v>0</v>
      </c>
      <c r="M16" s="668">
        <f>Performance!M185</f>
        <v>0</v>
      </c>
      <c r="N16" s="668">
        <f>Performance!N185</f>
        <v>0</v>
      </c>
      <c r="O16" s="668">
        <f>Performance!O185</f>
        <v>0</v>
      </c>
      <c r="P16" s="668">
        <f>Performance!P185</f>
        <v>0</v>
      </c>
      <c r="Q16" s="669">
        <f>Performance!Q185</f>
        <v>0</v>
      </c>
      <c r="R16" s="668">
        <f>Performance!R185</f>
        <v>0</v>
      </c>
      <c r="S16" s="668">
        <f>Performance!S185</f>
        <v>0.27895999999999999</v>
      </c>
      <c r="T16" s="668">
        <f>Performance!T185</f>
        <v>0</v>
      </c>
      <c r="U16" s="668">
        <f>Performance!U185</f>
        <v>0.89604000000000006</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5">
      <c r="A17" s="1329"/>
      <c r="B17" s="1329"/>
      <c r="C17" s="1329"/>
      <c r="D17" s="1329"/>
      <c r="E17" s="560" t="str">
        <f>Performance!E186</f>
        <v>Total in-period underperformance revenue payments to be applied this year i.e. 2024-25</v>
      </c>
      <c r="F17" s="1329"/>
      <c r="G17" s="560" t="str">
        <f>Performance!G186</f>
        <v>£m (2017-18 prices)</v>
      </c>
      <c r="H17" s="1329"/>
      <c r="I17" s="1329"/>
      <c r="J17" s="668">
        <f>Performance!J186</f>
        <v>-0.49643999999999994</v>
      </c>
      <c r="K17" s="668">
        <f>Performance!K186</f>
        <v>-2.1245391315531585</v>
      </c>
      <c r="L17" s="668">
        <f>Performance!L186</f>
        <v>-16.940000000000001</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-8.7999999999999995E-2</v>
      </c>
      <c r="U17" s="668">
        <f>Performance!U186</f>
        <v>0</v>
      </c>
      <c r="V17" s="668">
        <f>Performance!V186</f>
        <v>-0.37464000000000008</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-0.76607999999999832</v>
      </c>
      <c r="AM17" s="668">
        <f>Performance!AM186</f>
        <v>-9.8345000000000002</v>
      </c>
      <c r="AN17" s="668">
        <f>Performance!AN186</f>
        <v>0</v>
      </c>
      <c r="AO17" s="669">
        <f>Performance!AO186</f>
        <v>0</v>
      </c>
      <c r="AP17" s="668">
        <f>Performance!AP186</f>
        <v>-5.1836570000000002</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5">
      <c r="A18" s="1329"/>
      <c r="B18" s="1329"/>
      <c r="C18" s="1329"/>
      <c r="D18" s="1329"/>
      <c r="E18" s="560"/>
      <c r="F18" s="1329"/>
      <c r="G18" s="560"/>
      <c r="H18" s="1329"/>
      <c r="I18" s="1329"/>
      <c r="J18" s="665"/>
      <c r="K18" s="665"/>
      <c r="L18" s="665"/>
      <c r="M18" s="665"/>
      <c r="N18" s="665"/>
      <c r="O18" s="665"/>
      <c r="P18" s="665"/>
      <c r="Q18" s="666"/>
      <c r="R18" s="665"/>
      <c r="S18" s="665"/>
      <c r="T18" s="665"/>
      <c r="U18" s="665"/>
      <c r="V18" s="665"/>
      <c r="W18" s="1902"/>
      <c r="X18" s="1902"/>
      <c r="Y18" s="1902"/>
      <c r="Z18" s="1902"/>
      <c r="AA18" s="1902"/>
      <c r="AB18" s="1902"/>
      <c r="AC18" s="1902"/>
      <c r="AD18" s="665"/>
      <c r="AE18" s="665"/>
      <c r="AF18" s="665"/>
      <c r="AG18" s="665"/>
      <c r="AH18" s="665"/>
      <c r="AI18" s="665"/>
      <c r="AJ18" s="665"/>
      <c r="AK18" s="666"/>
      <c r="AL18" s="665"/>
      <c r="AM18" s="665"/>
      <c r="AN18" s="665"/>
      <c r="AO18" s="666"/>
      <c r="AP18" s="665"/>
      <c r="AQ18" s="1902"/>
      <c r="AR18" s="665"/>
      <c r="AS18" s="1902"/>
      <c r="AT18" s="1902"/>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55" customFormat="1" ht="15">
      <c r="A19" s="1329"/>
      <c r="B19" s="1329"/>
      <c r="C19" s="1329"/>
      <c r="D19" s="1329"/>
      <c r="E19" s="560" t="str">
        <f>"Total outperformance RCV payments calculated this year"&amp;" i.e. "&amp;'Validation summary'!$B$2</f>
        <v>Total outperformance RCV payments calculated this year i.e. 2024-25</v>
      </c>
      <c r="F19" s="1343"/>
      <c r="G19" s="560" t="s">
        <v>804</v>
      </c>
      <c r="H19" s="1343"/>
      <c r="I19" s="1343"/>
      <c r="J19" s="665">
        <f t="shared" ref="J19:M19" si="0">IF(J$25="RCV",J9,0)</f>
        <v>0</v>
      </c>
      <c r="K19" s="1902">
        <f t="shared" si="0"/>
        <v>0</v>
      </c>
      <c r="L19" s="1902">
        <f t="shared" si="0"/>
        <v>0</v>
      </c>
      <c r="M19" s="1902">
        <f t="shared" si="0"/>
        <v>0</v>
      </c>
      <c r="N19" s="1902">
        <f>IF(N$25="RCV",N9,0)</f>
        <v>0</v>
      </c>
      <c r="O19" s="1902">
        <f t="shared" ref="O19:BC19" si="1">IF(O$25="RCV",O9,0)</f>
        <v>0</v>
      </c>
      <c r="P19" s="1902">
        <f t="shared" si="1"/>
        <v>0</v>
      </c>
      <c r="Q19" s="1918">
        <f t="shared" si="1"/>
        <v>0</v>
      </c>
      <c r="R19" s="1902">
        <f t="shared" si="1"/>
        <v>0</v>
      </c>
      <c r="S19" s="1902">
        <f t="shared" si="1"/>
        <v>0</v>
      </c>
      <c r="T19" s="1902">
        <f t="shared" si="1"/>
        <v>0</v>
      </c>
      <c r="U19" s="1902">
        <f t="shared" si="1"/>
        <v>0</v>
      </c>
      <c r="V19" s="665">
        <f t="shared" si="1"/>
        <v>0</v>
      </c>
      <c r="W19" s="1902">
        <f t="shared" si="1"/>
        <v>0</v>
      </c>
      <c r="X19" s="1902">
        <f t="shared" si="1"/>
        <v>0</v>
      </c>
      <c r="Y19" s="1902">
        <f t="shared" si="1"/>
        <v>0</v>
      </c>
      <c r="Z19" s="1902">
        <f t="shared" si="1"/>
        <v>0</v>
      </c>
      <c r="AA19" s="1902">
        <f t="shared" si="1"/>
        <v>0</v>
      </c>
      <c r="AB19" s="1902">
        <f t="shared" si="1"/>
        <v>0</v>
      </c>
      <c r="AC19" s="1902">
        <f t="shared" si="1"/>
        <v>0</v>
      </c>
      <c r="AD19" s="1902">
        <f t="shared" si="1"/>
        <v>0</v>
      </c>
      <c r="AE19" s="1902">
        <f t="shared" si="1"/>
        <v>0</v>
      </c>
      <c r="AF19" s="1902">
        <f t="shared" si="1"/>
        <v>0</v>
      </c>
      <c r="AG19" s="1902">
        <f t="shared" si="1"/>
        <v>0</v>
      </c>
      <c r="AH19" s="1902">
        <f t="shared" si="1"/>
        <v>0</v>
      </c>
      <c r="AI19" s="1902">
        <f t="shared" si="1"/>
        <v>0</v>
      </c>
      <c r="AJ19" s="1902">
        <f t="shared" si="1"/>
        <v>0</v>
      </c>
      <c r="AK19" s="1918">
        <f t="shared" si="1"/>
        <v>0</v>
      </c>
      <c r="AL19" s="665">
        <f t="shared" si="1"/>
        <v>0</v>
      </c>
      <c r="AM19" s="1902">
        <f t="shared" si="1"/>
        <v>0</v>
      </c>
      <c r="AN19" s="1902">
        <f t="shared" si="1"/>
        <v>0</v>
      </c>
      <c r="AO19" s="1918">
        <f t="shared" si="1"/>
        <v>0</v>
      </c>
      <c r="AP19" s="665">
        <f t="shared" si="1"/>
        <v>0</v>
      </c>
      <c r="AQ19" s="1902">
        <f t="shared" si="1"/>
        <v>0</v>
      </c>
      <c r="AR19" s="1902">
        <f t="shared" si="1"/>
        <v>0</v>
      </c>
      <c r="AS19" s="1902">
        <f t="shared" si="1"/>
        <v>0</v>
      </c>
      <c r="AT19" s="665">
        <f t="shared" si="1"/>
        <v>0</v>
      </c>
      <c r="AU19" s="1902">
        <f t="shared" si="1"/>
        <v>0</v>
      </c>
      <c r="AV19" s="1902">
        <f t="shared" si="1"/>
        <v>0</v>
      </c>
      <c r="AW19" s="1902">
        <f t="shared" si="1"/>
        <v>0</v>
      </c>
      <c r="AX19" s="1902">
        <f t="shared" si="1"/>
        <v>0</v>
      </c>
      <c r="AY19" s="1902">
        <f t="shared" si="1"/>
        <v>0</v>
      </c>
      <c r="AZ19" s="1902">
        <f t="shared" si="1"/>
        <v>0</v>
      </c>
      <c r="BA19" s="1902">
        <f t="shared" si="1"/>
        <v>0</v>
      </c>
      <c r="BB19" s="1902">
        <f t="shared" si="1"/>
        <v>0</v>
      </c>
      <c r="BC19" s="1918">
        <f t="shared" si="1"/>
        <v>0</v>
      </c>
      <c r="BD19" s="1883"/>
      <c r="BE19" s="1883"/>
      <c r="BF19" s="1883"/>
      <c r="BG19" s="1883"/>
      <c r="BH19" s="1883"/>
      <c r="BI19" s="1883"/>
      <c r="BJ19" s="1883"/>
      <c r="BK19" s="1883"/>
      <c r="BL19" s="1883"/>
      <c r="BM19" s="1883"/>
      <c r="BN19" s="1883"/>
      <c r="BO19" s="1883"/>
      <c r="BP19" s="1883"/>
      <c r="BQ19" s="1883"/>
      <c r="BR19" s="1883"/>
      <c r="BS19" s="1883"/>
    </row>
    <row r="20" spans="1:16384" s="1755" customFormat="1" ht="15">
      <c r="A20" s="1329"/>
      <c r="B20" s="1329"/>
      <c r="C20" s="1329"/>
      <c r="D20" s="1329"/>
      <c r="E20" s="560" t="str">
        <f>"Total underperformance RCV payments calculated this year"&amp;" i.e. "&amp;'Validation summary'!$B$2</f>
        <v>Total underperformance RCV payments calculated this year i.e. 2024-25</v>
      </c>
      <c r="F20" s="1343"/>
      <c r="G20" s="560" t="s">
        <v>804</v>
      </c>
      <c r="H20" s="1343"/>
      <c r="I20" s="1343"/>
      <c r="J20" s="665">
        <f t="shared" ref="J20:M20" si="2">IF(J$25="RCV",J10,0)</f>
        <v>0</v>
      </c>
      <c r="K20" s="1902">
        <f t="shared" si="2"/>
        <v>0</v>
      </c>
      <c r="L20" s="1902">
        <f t="shared" si="2"/>
        <v>0</v>
      </c>
      <c r="M20" s="1902">
        <f t="shared" si="2"/>
        <v>0</v>
      </c>
      <c r="N20" s="1902">
        <f>IF(N$25="RCV",N10,0)</f>
        <v>0</v>
      </c>
      <c r="O20" s="1902">
        <f t="shared" ref="O20:BC20" si="3">IF(O$25="RCV",O10,0)</f>
        <v>0</v>
      </c>
      <c r="P20" s="1902">
        <f t="shared" si="3"/>
        <v>0</v>
      </c>
      <c r="Q20" s="1918">
        <f t="shared" si="3"/>
        <v>0</v>
      </c>
      <c r="R20" s="1902">
        <f t="shared" si="3"/>
        <v>0</v>
      </c>
      <c r="S20" s="1902">
        <f t="shared" si="3"/>
        <v>0</v>
      </c>
      <c r="T20" s="1902">
        <f t="shared" si="3"/>
        <v>0</v>
      </c>
      <c r="U20" s="1902">
        <f t="shared" si="3"/>
        <v>0</v>
      </c>
      <c r="V20" s="665">
        <f t="shared" si="3"/>
        <v>0</v>
      </c>
      <c r="W20" s="1902">
        <f t="shared" si="3"/>
        <v>0</v>
      </c>
      <c r="X20" s="1902">
        <f t="shared" si="3"/>
        <v>0</v>
      </c>
      <c r="Y20" s="1902">
        <f t="shared" si="3"/>
        <v>0</v>
      </c>
      <c r="Z20" s="1902">
        <f t="shared" si="3"/>
        <v>0</v>
      </c>
      <c r="AA20" s="1902">
        <f t="shared" si="3"/>
        <v>0</v>
      </c>
      <c r="AB20" s="1902">
        <f t="shared" si="3"/>
        <v>0</v>
      </c>
      <c r="AC20" s="1902">
        <f t="shared" si="3"/>
        <v>0</v>
      </c>
      <c r="AD20" s="1902">
        <f t="shared" si="3"/>
        <v>0</v>
      </c>
      <c r="AE20" s="1902">
        <f t="shared" si="3"/>
        <v>0</v>
      </c>
      <c r="AF20" s="1902">
        <f t="shared" si="3"/>
        <v>0</v>
      </c>
      <c r="AG20" s="1902">
        <f t="shared" si="3"/>
        <v>0</v>
      </c>
      <c r="AH20" s="1902">
        <f t="shared" si="3"/>
        <v>0</v>
      </c>
      <c r="AI20" s="1902">
        <f t="shared" si="3"/>
        <v>0</v>
      </c>
      <c r="AJ20" s="1902">
        <f t="shared" si="3"/>
        <v>0</v>
      </c>
      <c r="AK20" s="1918">
        <f t="shared" si="3"/>
        <v>0</v>
      </c>
      <c r="AL20" s="665">
        <f t="shared" si="3"/>
        <v>0</v>
      </c>
      <c r="AM20" s="1902">
        <f t="shared" si="3"/>
        <v>0</v>
      </c>
      <c r="AN20" s="1902">
        <f t="shared" si="3"/>
        <v>0</v>
      </c>
      <c r="AO20" s="1918">
        <f t="shared" si="3"/>
        <v>0</v>
      </c>
      <c r="AP20" s="665">
        <f t="shared" si="3"/>
        <v>0</v>
      </c>
      <c r="AQ20" s="1902">
        <f t="shared" si="3"/>
        <v>0</v>
      </c>
      <c r="AR20" s="1902">
        <f t="shared" si="3"/>
        <v>0</v>
      </c>
      <c r="AS20" s="1902">
        <f t="shared" si="3"/>
        <v>0</v>
      </c>
      <c r="AT20" s="665">
        <f t="shared" si="3"/>
        <v>0</v>
      </c>
      <c r="AU20" s="1902">
        <f t="shared" si="3"/>
        <v>0</v>
      </c>
      <c r="AV20" s="1902">
        <f t="shared" si="3"/>
        <v>0</v>
      </c>
      <c r="AW20" s="1902">
        <f t="shared" si="3"/>
        <v>0</v>
      </c>
      <c r="AX20" s="1902">
        <f t="shared" si="3"/>
        <v>0</v>
      </c>
      <c r="AY20" s="1902">
        <f t="shared" si="3"/>
        <v>0</v>
      </c>
      <c r="AZ20" s="1902">
        <f t="shared" si="3"/>
        <v>0</v>
      </c>
      <c r="BA20" s="1902">
        <f t="shared" si="3"/>
        <v>0</v>
      </c>
      <c r="BB20" s="1902">
        <f t="shared" si="3"/>
        <v>0</v>
      </c>
      <c r="BC20" s="1918">
        <f t="shared" si="3"/>
        <v>0</v>
      </c>
      <c r="BD20" s="1883"/>
      <c r="BE20" s="1883"/>
      <c r="BF20" s="1883"/>
      <c r="BG20" s="1883"/>
      <c r="BH20" s="1883"/>
      <c r="BI20" s="1883"/>
      <c r="BJ20" s="1883"/>
      <c r="BK20" s="1883"/>
      <c r="BL20" s="1883"/>
      <c r="BM20" s="1883"/>
      <c r="BN20" s="1883"/>
      <c r="BO20" s="1883"/>
      <c r="BP20" s="1883"/>
      <c r="BQ20" s="1883"/>
      <c r="BR20" s="1883"/>
      <c r="BS20" s="1883"/>
    </row>
    <row r="21" spans="1:16384" customFormat="1" ht="15">
      <c r="A21" s="1329"/>
      <c r="B21" s="1329"/>
      <c r="C21" s="1329"/>
      <c r="D21" s="1329"/>
      <c r="E21" s="560"/>
      <c r="F21" s="1329"/>
      <c r="G21" s="560"/>
      <c r="H21" s="1329"/>
      <c r="I21" s="1329"/>
      <c r="J21" s="665"/>
      <c r="K21" s="665"/>
      <c r="L21" s="665"/>
      <c r="M21" s="665"/>
      <c r="N21" s="665"/>
      <c r="O21" s="665"/>
      <c r="P21" s="665"/>
      <c r="Q21" s="666"/>
      <c r="R21" s="665"/>
      <c r="S21" s="665"/>
      <c r="T21" s="665"/>
      <c r="U21" s="665"/>
      <c r="V21" s="665"/>
      <c r="W21" s="1902"/>
      <c r="X21" s="1902"/>
      <c r="Y21" s="1902"/>
      <c r="Z21" s="1902"/>
      <c r="AA21" s="1902"/>
      <c r="AB21" s="1902"/>
      <c r="AC21" s="1902"/>
      <c r="AD21" s="665"/>
      <c r="AE21" s="665"/>
      <c r="AF21" s="665"/>
      <c r="AG21" s="665"/>
      <c r="AH21" s="665"/>
      <c r="AI21" s="665"/>
      <c r="AJ21" s="665"/>
      <c r="AK21" s="666"/>
      <c r="AL21" s="665"/>
      <c r="AM21" s="665"/>
      <c r="AN21" s="665"/>
      <c r="AO21" s="666"/>
      <c r="AP21" s="665"/>
      <c r="AQ21" s="1902"/>
      <c r="AR21" s="665"/>
      <c r="AS21" s="1902"/>
      <c r="AT21" s="1902"/>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5">
      <c r="A22" s="1329"/>
      <c r="B22" s="1329"/>
      <c r="C22" s="1329"/>
      <c r="D22" s="1329"/>
      <c r="E22" s="560" t="s">
        <v>4871</v>
      </c>
      <c r="F22" s="1343"/>
      <c r="G22" s="560" t="s">
        <v>804</v>
      </c>
      <c r="H22" s="1343"/>
      <c r="I22" s="1343"/>
      <c r="J22" s="1902">
        <f>IF(AND(J$26="End of period",J$25="Revenue"),J9,0)</f>
        <v>0</v>
      </c>
      <c r="K22" s="1902">
        <f t="shared" ref="K22:BV22" si="4">IF(AND(K$26="End of period",K$25="Revenue"),K9,0)</f>
        <v>0</v>
      </c>
      <c r="L22" s="1902">
        <f t="shared" si="4"/>
        <v>0</v>
      </c>
      <c r="M22" s="1902">
        <f t="shared" si="4"/>
        <v>0</v>
      </c>
      <c r="N22" s="1902">
        <f t="shared" si="4"/>
        <v>0</v>
      </c>
      <c r="O22" s="1902">
        <f t="shared" si="4"/>
        <v>0</v>
      </c>
      <c r="P22" s="1902">
        <f t="shared" si="4"/>
        <v>0</v>
      </c>
      <c r="Q22" s="1918">
        <f t="shared" si="4"/>
        <v>0</v>
      </c>
      <c r="R22" s="1902">
        <f t="shared" si="4"/>
        <v>0</v>
      </c>
      <c r="S22" s="1902">
        <f t="shared" si="4"/>
        <v>0</v>
      </c>
      <c r="T22" s="1902">
        <f t="shared" si="4"/>
        <v>0</v>
      </c>
      <c r="U22" s="1902">
        <f t="shared" si="4"/>
        <v>0</v>
      </c>
      <c r="V22" s="1902">
        <f t="shared" si="4"/>
        <v>0</v>
      </c>
      <c r="W22" s="1902">
        <f t="shared" si="4"/>
        <v>0</v>
      </c>
      <c r="X22" s="1902">
        <f t="shared" si="4"/>
        <v>0</v>
      </c>
      <c r="Y22" s="1902">
        <f t="shared" si="4"/>
        <v>0</v>
      </c>
      <c r="Z22" s="1902">
        <f t="shared" si="4"/>
        <v>0</v>
      </c>
      <c r="AA22" s="1902">
        <f t="shared" si="4"/>
        <v>0</v>
      </c>
      <c r="AB22" s="1902">
        <f t="shared" si="4"/>
        <v>0</v>
      </c>
      <c r="AC22" s="1902">
        <f t="shared" si="4"/>
        <v>0</v>
      </c>
      <c r="AD22" s="1902">
        <f t="shared" si="4"/>
        <v>0</v>
      </c>
      <c r="AE22" s="1902">
        <f t="shared" si="4"/>
        <v>0</v>
      </c>
      <c r="AF22" s="1902">
        <f t="shared" si="4"/>
        <v>0</v>
      </c>
      <c r="AG22" s="1902">
        <f t="shared" si="4"/>
        <v>0</v>
      </c>
      <c r="AH22" s="1902">
        <f t="shared" si="4"/>
        <v>0</v>
      </c>
      <c r="AI22" s="1902">
        <f t="shared" si="4"/>
        <v>0</v>
      </c>
      <c r="AJ22" s="1902">
        <f t="shared" si="4"/>
        <v>0</v>
      </c>
      <c r="AK22" s="1918">
        <f t="shared" si="4"/>
        <v>0</v>
      </c>
      <c r="AL22" s="1902">
        <f t="shared" si="4"/>
        <v>0</v>
      </c>
      <c r="AM22" s="1902">
        <f t="shared" si="4"/>
        <v>0</v>
      </c>
      <c r="AN22" s="1902">
        <f t="shared" si="4"/>
        <v>0</v>
      </c>
      <c r="AO22" s="1918">
        <f t="shared" si="4"/>
        <v>0</v>
      </c>
      <c r="AP22" s="1902">
        <f t="shared" si="4"/>
        <v>0</v>
      </c>
      <c r="AQ22" s="1902">
        <f t="shared" si="4"/>
        <v>0</v>
      </c>
      <c r="AR22" s="1902">
        <f t="shared" si="4"/>
        <v>0</v>
      </c>
      <c r="AS22" s="1902">
        <f t="shared" si="4"/>
        <v>0</v>
      </c>
      <c r="AT22" s="1902">
        <f t="shared" si="4"/>
        <v>0</v>
      </c>
      <c r="AU22" s="1902">
        <f t="shared" si="4"/>
        <v>0</v>
      </c>
      <c r="AV22" s="1902">
        <f t="shared" si="4"/>
        <v>0</v>
      </c>
      <c r="AW22" s="1902">
        <f t="shared" si="4"/>
        <v>0</v>
      </c>
      <c r="AX22" s="1902">
        <f t="shared" si="4"/>
        <v>0</v>
      </c>
      <c r="AY22" s="1902">
        <f t="shared" si="4"/>
        <v>0</v>
      </c>
      <c r="AZ22" s="1902">
        <f t="shared" si="4"/>
        <v>0</v>
      </c>
      <c r="BA22" s="1902">
        <f t="shared" si="4"/>
        <v>0</v>
      </c>
      <c r="BB22" s="1902">
        <f t="shared" si="4"/>
        <v>0</v>
      </c>
      <c r="BC22" s="1902">
        <f t="shared" si="4"/>
        <v>0</v>
      </c>
      <c r="BD22" s="1902">
        <f t="shared" si="4"/>
        <v>0</v>
      </c>
      <c r="BE22" s="1902">
        <f t="shared" si="4"/>
        <v>0</v>
      </c>
      <c r="BF22" s="1902">
        <f t="shared" si="4"/>
        <v>0</v>
      </c>
      <c r="BG22" s="1902">
        <f t="shared" si="4"/>
        <v>0</v>
      </c>
      <c r="BH22" s="1902">
        <f t="shared" si="4"/>
        <v>0</v>
      </c>
      <c r="BI22" s="1902">
        <f t="shared" si="4"/>
        <v>0</v>
      </c>
      <c r="BJ22" s="1902">
        <f t="shared" si="4"/>
        <v>0</v>
      </c>
      <c r="BK22" s="1902">
        <f t="shared" si="4"/>
        <v>0</v>
      </c>
      <c r="BL22" s="1902">
        <f t="shared" si="4"/>
        <v>0</v>
      </c>
      <c r="BM22" s="1902">
        <f t="shared" si="4"/>
        <v>0</v>
      </c>
      <c r="BN22" s="1902">
        <f t="shared" si="4"/>
        <v>0</v>
      </c>
      <c r="BO22" s="1902">
        <f t="shared" si="4"/>
        <v>0</v>
      </c>
      <c r="BP22" s="1902">
        <f t="shared" si="4"/>
        <v>0</v>
      </c>
      <c r="BQ22" s="1902">
        <f t="shared" si="4"/>
        <v>0</v>
      </c>
      <c r="BR22" s="1902">
        <f t="shared" si="4"/>
        <v>0</v>
      </c>
      <c r="BS22" s="1902">
        <f t="shared" si="4"/>
        <v>0</v>
      </c>
      <c r="BT22" s="1902">
        <f t="shared" si="4"/>
        <v>0</v>
      </c>
      <c r="BU22" s="1902">
        <f t="shared" si="4"/>
        <v>0</v>
      </c>
      <c r="BV22" s="1902">
        <f t="shared" si="4"/>
        <v>0</v>
      </c>
      <c r="BW22" s="1902">
        <f t="shared" ref="BW22:EH22" si="5">IF(AND(BW$26="End of period",BW$25="Revenue"),BW9,0)</f>
        <v>0</v>
      </c>
      <c r="BX22" s="1902">
        <f t="shared" si="5"/>
        <v>0</v>
      </c>
      <c r="BY22" s="1902">
        <f t="shared" si="5"/>
        <v>0</v>
      </c>
      <c r="BZ22" s="1902">
        <f t="shared" si="5"/>
        <v>0</v>
      </c>
      <c r="CA22" s="1902">
        <f t="shared" si="5"/>
        <v>0</v>
      </c>
      <c r="CB22" s="1902">
        <f t="shared" si="5"/>
        <v>0</v>
      </c>
      <c r="CC22" s="1902">
        <f t="shared" si="5"/>
        <v>0</v>
      </c>
      <c r="CD22" s="1902">
        <f t="shared" si="5"/>
        <v>0</v>
      </c>
      <c r="CE22" s="1902">
        <f t="shared" si="5"/>
        <v>0</v>
      </c>
      <c r="CF22" s="1902">
        <f t="shared" si="5"/>
        <v>0</v>
      </c>
      <c r="CG22" s="1902">
        <f t="shared" si="5"/>
        <v>0</v>
      </c>
      <c r="CH22" s="1902">
        <f t="shared" si="5"/>
        <v>0</v>
      </c>
      <c r="CI22" s="1902">
        <f t="shared" si="5"/>
        <v>0</v>
      </c>
      <c r="CJ22" s="1902">
        <f t="shared" si="5"/>
        <v>0</v>
      </c>
      <c r="CK22" s="1902">
        <f t="shared" si="5"/>
        <v>0</v>
      </c>
      <c r="CL22" s="1902">
        <f t="shared" si="5"/>
        <v>0</v>
      </c>
      <c r="CM22" s="1902">
        <f t="shared" si="5"/>
        <v>0</v>
      </c>
      <c r="CN22" s="1902">
        <f t="shared" si="5"/>
        <v>0</v>
      </c>
      <c r="CO22" s="1902">
        <f t="shared" si="5"/>
        <v>0</v>
      </c>
      <c r="CP22" s="1902">
        <f t="shared" si="5"/>
        <v>0</v>
      </c>
      <c r="CQ22" s="1902">
        <f t="shared" si="5"/>
        <v>0</v>
      </c>
      <c r="CR22" s="1902">
        <f t="shared" si="5"/>
        <v>0</v>
      </c>
      <c r="CS22" s="1902">
        <f t="shared" si="5"/>
        <v>0</v>
      </c>
      <c r="CT22" s="1902">
        <f t="shared" si="5"/>
        <v>0</v>
      </c>
      <c r="CU22" s="1902">
        <f t="shared" si="5"/>
        <v>0</v>
      </c>
      <c r="CV22" s="1902">
        <f t="shared" si="5"/>
        <v>0</v>
      </c>
      <c r="CW22" s="1902">
        <f t="shared" si="5"/>
        <v>0</v>
      </c>
      <c r="CX22" s="1902">
        <f t="shared" si="5"/>
        <v>0</v>
      </c>
      <c r="CY22" s="1902">
        <f t="shared" si="5"/>
        <v>0</v>
      </c>
      <c r="CZ22" s="1902">
        <f t="shared" si="5"/>
        <v>0</v>
      </c>
      <c r="DA22" s="1902">
        <f t="shared" si="5"/>
        <v>0</v>
      </c>
      <c r="DB22" s="1902">
        <f t="shared" si="5"/>
        <v>0</v>
      </c>
      <c r="DC22" s="1902">
        <f t="shared" si="5"/>
        <v>0</v>
      </c>
      <c r="DD22" s="1902">
        <f t="shared" si="5"/>
        <v>0</v>
      </c>
      <c r="DE22" s="1902">
        <f t="shared" si="5"/>
        <v>0</v>
      </c>
      <c r="DF22" s="1902">
        <f t="shared" si="5"/>
        <v>0</v>
      </c>
      <c r="DG22" s="1902">
        <f t="shared" si="5"/>
        <v>0</v>
      </c>
      <c r="DH22" s="1902">
        <f t="shared" si="5"/>
        <v>0</v>
      </c>
      <c r="DI22" s="1902">
        <f t="shared" si="5"/>
        <v>0</v>
      </c>
      <c r="DJ22" s="1902">
        <f t="shared" si="5"/>
        <v>0</v>
      </c>
      <c r="DK22" s="1902">
        <f t="shared" si="5"/>
        <v>0</v>
      </c>
      <c r="DL22" s="1902">
        <f t="shared" si="5"/>
        <v>0</v>
      </c>
      <c r="DM22" s="1902">
        <f t="shared" si="5"/>
        <v>0</v>
      </c>
      <c r="DN22" s="1902">
        <f t="shared" si="5"/>
        <v>0</v>
      </c>
      <c r="DO22" s="1902">
        <f t="shared" si="5"/>
        <v>0</v>
      </c>
      <c r="DP22" s="1902">
        <f t="shared" si="5"/>
        <v>0</v>
      </c>
      <c r="DQ22" s="1902">
        <f t="shared" si="5"/>
        <v>0</v>
      </c>
      <c r="DR22" s="1902">
        <f t="shared" si="5"/>
        <v>0</v>
      </c>
      <c r="DS22" s="1902">
        <f t="shared" si="5"/>
        <v>0</v>
      </c>
      <c r="DT22" s="1902">
        <f t="shared" si="5"/>
        <v>0</v>
      </c>
      <c r="DU22" s="1902">
        <f t="shared" si="5"/>
        <v>0</v>
      </c>
      <c r="DV22" s="1902">
        <f t="shared" si="5"/>
        <v>0</v>
      </c>
      <c r="DW22" s="1902">
        <f t="shared" si="5"/>
        <v>0</v>
      </c>
      <c r="DX22" s="1902">
        <f t="shared" si="5"/>
        <v>0</v>
      </c>
      <c r="DY22" s="1902">
        <f t="shared" si="5"/>
        <v>0</v>
      </c>
      <c r="DZ22" s="1902">
        <f t="shared" si="5"/>
        <v>0</v>
      </c>
      <c r="EA22" s="1902">
        <f t="shared" si="5"/>
        <v>0</v>
      </c>
      <c r="EB22" s="1902">
        <f t="shared" si="5"/>
        <v>0</v>
      </c>
      <c r="EC22" s="1902">
        <f t="shared" si="5"/>
        <v>0</v>
      </c>
      <c r="ED22" s="1902">
        <f t="shared" si="5"/>
        <v>0</v>
      </c>
      <c r="EE22" s="1902">
        <f t="shared" si="5"/>
        <v>0</v>
      </c>
      <c r="EF22" s="1902">
        <f t="shared" si="5"/>
        <v>0</v>
      </c>
      <c r="EG22" s="1902">
        <f t="shared" si="5"/>
        <v>0</v>
      </c>
      <c r="EH22" s="1902">
        <f t="shared" si="5"/>
        <v>0</v>
      </c>
      <c r="EI22" s="1902">
        <f t="shared" ref="EI22:GT22" si="6">IF(AND(EI$26="End of period",EI$25="Revenue"),EI9,0)</f>
        <v>0</v>
      </c>
      <c r="EJ22" s="1902">
        <f t="shared" si="6"/>
        <v>0</v>
      </c>
      <c r="EK22" s="1902">
        <f t="shared" si="6"/>
        <v>0</v>
      </c>
      <c r="EL22" s="1902">
        <f t="shared" si="6"/>
        <v>0</v>
      </c>
      <c r="EM22" s="1902">
        <f t="shared" si="6"/>
        <v>0</v>
      </c>
      <c r="EN22" s="1902">
        <f t="shared" si="6"/>
        <v>0</v>
      </c>
      <c r="EO22" s="1902">
        <f t="shared" si="6"/>
        <v>0</v>
      </c>
      <c r="EP22" s="1902">
        <f t="shared" si="6"/>
        <v>0</v>
      </c>
      <c r="EQ22" s="1902">
        <f t="shared" si="6"/>
        <v>0</v>
      </c>
      <c r="ER22" s="1902">
        <f t="shared" si="6"/>
        <v>0</v>
      </c>
      <c r="ES22" s="1902">
        <f t="shared" si="6"/>
        <v>0</v>
      </c>
      <c r="ET22" s="1902">
        <f t="shared" si="6"/>
        <v>0</v>
      </c>
      <c r="EU22" s="1902">
        <f t="shared" si="6"/>
        <v>0</v>
      </c>
      <c r="EV22" s="1902">
        <f t="shared" si="6"/>
        <v>0</v>
      </c>
      <c r="EW22" s="1902">
        <f t="shared" si="6"/>
        <v>0</v>
      </c>
      <c r="EX22" s="1902">
        <f t="shared" si="6"/>
        <v>0</v>
      </c>
      <c r="EY22" s="1902">
        <f t="shared" si="6"/>
        <v>0</v>
      </c>
      <c r="EZ22" s="1902">
        <f t="shared" si="6"/>
        <v>0</v>
      </c>
      <c r="FA22" s="1902">
        <f t="shared" si="6"/>
        <v>0</v>
      </c>
      <c r="FB22" s="1902">
        <f t="shared" si="6"/>
        <v>0</v>
      </c>
      <c r="FC22" s="1902">
        <f t="shared" si="6"/>
        <v>0</v>
      </c>
      <c r="FD22" s="1902">
        <f t="shared" si="6"/>
        <v>0</v>
      </c>
      <c r="FE22" s="1902">
        <f t="shared" si="6"/>
        <v>0</v>
      </c>
      <c r="FF22" s="1902">
        <f t="shared" si="6"/>
        <v>0</v>
      </c>
      <c r="FG22" s="1902">
        <f t="shared" si="6"/>
        <v>0</v>
      </c>
      <c r="FH22" s="1902">
        <f t="shared" si="6"/>
        <v>0</v>
      </c>
      <c r="FI22" s="1902">
        <f t="shared" si="6"/>
        <v>0</v>
      </c>
      <c r="FJ22" s="1902">
        <f t="shared" si="6"/>
        <v>0</v>
      </c>
      <c r="FK22" s="1902">
        <f t="shared" si="6"/>
        <v>0</v>
      </c>
      <c r="FL22" s="1902">
        <f t="shared" si="6"/>
        <v>0</v>
      </c>
      <c r="FM22" s="1902">
        <f t="shared" si="6"/>
        <v>0</v>
      </c>
      <c r="FN22" s="1902">
        <f t="shared" si="6"/>
        <v>0</v>
      </c>
      <c r="FO22" s="1902">
        <f t="shared" si="6"/>
        <v>0</v>
      </c>
      <c r="FP22" s="1902">
        <f t="shared" si="6"/>
        <v>0</v>
      </c>
      <c r="FQ22" s="1902">
        <f t="shared" si="6"/>
        <v>0</v>
      </c>
      <c r="FR22" s="1902">
        <f t="shared" si="6"/>
        <v>0</v>
      </c>
      <c r="FS22" s="1902">
        <f t="shared" si="6"/>
        <v>0</v>
      </c>
      <c r="FT22" s="1902">
        <f t="shared" si="6"/>
        <v>0</v>
      </c>
      <c r="FU22" s="1902">
        <f t="shared" si="6"/>
        <v>0</v>
      </c>
      <c r="FV22" s="1902">
        <f t="shared" si="6"/>
        <v>0</v>
      </c>
      <c r="FW22" s="1902">
        <f t="shared" si="6"/>
        <v>0</v>
      </c>
      <c r="FX22" s="1902">
        <f t="shared" si="6"/>
        <v>0</v>
      </c>
      <c r="FY22" s="1902">
        <f t="shared" si="6"/>
        <v>0</v>
      </c>
      <c r="FZ22" s="1902">
        <f t="shared" si="6"/>
        <v>0</v>
      </c>
      <c r="GA22" s="1902">
        <f t="shared" si="6"/>
        <v>0</v>
      </c>
      <c r="GB22" s="1902">
        <f t="shared" si="6"/>
        <v>0</v>
      </c>
      <c r="GC22" s="1902">
        <f t="shared" si="6"/>
        <v>0</v>
      </c>
      <c r="GD22" s="1902">
        <f t="shared" si="6"/>
        <v>0</v>
      </c>
      <c r="GE22" s="1902">
        <f t="shared" si="6"/>
        <v>0</v>
      </c>
      <c r="GF22" s="1902">
        <f t="shared" si="6"/>
        <v>0</v>
      </c>
      <c r="GG22" s="1902">
        <f t="shared" si="6"/>
        <v>0</v>
      </c>
      <c r="GH22" s="1902">
        <f t="shared" si="6"/>
        <v>0</v>
      </c>
      <c r="GI22" s="1902">
        <f t="shared" si="6"/>
        <v>0</v>
      </c>
      <c r="GJ22" s="1902">
        <f t="shared" si="6"/>
        <v>0</v>
      </c>
      <c r="GK22" s="1902">
        <f t="shared" si="6"/>
        <v>0</v>
      </c>
      <c r="GL22" s="1902">
        <f t="shared" si="6"/>
        <v>0</v>
      </c>
      <c r="GM22" s="1902">
        <f t="shared" si="6"/>
        <v>0</v>
      </c>
      <c r="GN22" s="1902">
        <f t="shared" si="6"/>
        <v>0</v>
      </c>
      <c r="GO22" s="1902">
        <f t="shared" si="6"/>
        <v>0</v>
      </c>
      <c r="GP22" s="1902">
        <f t="shared" si="6"/>
        <v>0</v>
      </c>
      <c r="GQ22" s="1902">
        <f t="shared" si="6"/>
        <v>0</v>
      </c>
      <c r="GR22" s="1902">
        <f t="shared" si="6"/>
        <v>0</v>
      </c>
      <c r="GS22" s="1902">
        <f t="shared" si="6"/>
        <v>0</v>
      </c>
      <c r="GT22" s="1902">
        <f t="shared" si="6"/>
        <v>0</v>
      </c>
      <c r="GU22" s="1902">
        <f t="shared" ref="GU22:JF22" si="7">IF(AND(GU$26="End of period",GU$25="Revenue"),GU9,0)</f>
        <v>0</v>
      </c>
      <c r="GV22" s="1902">
        <f t="shared" si="7"/>
        <v>0</v>
      </c>
      <c r="GW22" s="1902">
        <f t="shared" si="7"/>
        <v>0</v>
      </c>
      <c r="GX22" s="1902">
        <f t="shared" si="7"/>
        <v>0</v>
      </c>
      <c r="GY22" s="1902">
        <f t="shared" si="7"/>
        <v>0</v>
      </c>
      <c r="GZ22" s="1902">
        <f t="shared" si="7"/>
        <v>0</v>
      </c>
      <c r="HA22" s="1902">
        <f t="shared" si="7"/>
        <v>0</v>
      </c>
      <c r="HB22" s="1902">
        <f t="shared" si="7"/>
        <v>0</v>
      </c>
      <c r="HC22" s="1902">
        <f t="shared" si="7"/>
        <v>0</v>
      </c>
      <c r="HD22" s="1902">
        <f t="shared" si="7"/>
        <v>0</v>
      </c>
      <c r="HE22" s="1902">
        <f t="shared" si="7"/>
        <v>0</v>
      </c>
      <c r="HF22" s="1902">
        <f t="shared" si="7"/>
        <v>0</v>
      </c>
      <c r="HG22" s="1902">
        <f t="shared" si="7"/>
        <v>0</v>
      </c>
      <c r="HH22" s="1902">
        <f t="shared" si="7"/>
        <v>0</v>
      </c>
      <c r="HI22" s="1902">
        <f t="shared" si="7"/>
        <v>0</v>
      </c>
      <c r="HJ22" s="1902">
        <f t="shared" si="7"/>
        <v>0</v>
      </c>
      <c r="HK22" s="1902">
        <f t="shared" si="7"/>
        <v>0</v>
      </c>
      <c r="HL22" s="1902">
        <f t="shared" si="7"/>
        <v>0</v>
      </c>
      <c r="HM22" s="1902">
        <f t="shared" si="7"/>
        <v>0</v>
      </c>
      <c r="HN22" s="1902">
        <f t="shared" si="7"/>
        <v>0</v>
      </c>
      <c r="HO22" s="1902">
        <f t="shared" si="7"/>
        <v>0</v>
      </c>
      <c r="HP22" s="1902">
        <f t="shared" si="7"/>
        <v>0</v>
      </c>
      <c r="HQ22" s="1902">
        <f t="shared" si="7"/>
        <v>0</v>
      </c>
      <c r="HR22" s="1902">
        <f t="shared" si="7"/>
        <v>0</v>
      </c>
      <c r="HS22" s="1902">
        <f t="shared" si="7"/>
        <v>0</v>
      </c>
      <c r="HT22" s="1902">
        <f t="shared" si="7"/>
        <v>0</v>
      </c>
      <c r="HU22" s="1902">
        <f t="shared" si="7"/>
        <v>0</v>
      </c>
      <c r="HV22" s="1902">
        <f t="shared" si="7"/>
        <v>0</v>
      </c>
      <c r="HW22" s="1902">
        <f t="shared" si="7"/>
        <v>0</v>
      </c>
      <c r="HX22" s="1902">
        <f t="shared" si="7"/>
        <v>0</v>
      </c>
      <c r="HY22" s="1902">
        <f t="shared" si="7"/>
        <v>0</v>
      </c>
      <c r="HZ22" s="1902">
        <f t="shared" si="7"/>
        <v>0</v>
      </c>
      <c r="IA22" s="1902">
        <f t="shared" si="7"/>
        <v>0</v>
      </c>
      <c r="IB22" s="1902">
        <f t="shared" si="7"/>
        <v>0</v>
      </c>
      <c r="IC22" s="1902">
        <f t="shared" si="7"/>
        <v>0</v>
      </c>
      <c r="ID22" s="1902">
        <f t="shared" si="7"/>
        <v>0</v>
      </c>
      <c r="IE22" s="1902">
        <f t="shared" si="7"/>
        <v>0</v>
      </c>
      <c r="IF22" s="1902">
        <f t="shared" si="7"/>
        <v>0</v>
      </c>
      <c r="IG22" s="1902">
        <f t="shared" si="7"/>
        <v>0</v>
      </c>
      <c r="IH22" s="1902">
        <f t="shared" si="7"/>
        <v>0</v>
      </c>
      <c r="II22" s="1902">
        <f t="shared" si="7"/>
        <v>0</v>
      </c>
      <c r="IJ22" s="1902">
        <f t="shared" si="7"/>
        <v>0</v>
      </c>
      <c r="IK22" s="1902">
        <f t="shared" si="7"/>
        <v>0</v>
      </c>
      <c r="IL22" s="1902">
        <f t="shared" si="7"/>
        <v>0</v>
      </c>
      <c r="IM22" s="1902">
        <f t="shared" si="7"/>
        <v>0</v>
      </c>
      <c r="IN22" s="1902">
        <f t="shared" si="7"/>
        <v>0</v>
      </c>
      <c r="IO22" s="1902">
        <f t="shared" si="7"/>
        <v>0</v>
      </c>
      <c r="IP22" s="1902">
        <f t="shared" si="7"/>
        <v>0</v>
      </c>
      <c r="IQ22" s="1902">
        <f t="shared" si="7"/>
        <v>0</v>
      </c>
      <c r="IR22" s="1902">
        <f t="shared" si="7"/>
        <v>0</v>
      </c>
      <c r="IS22" s="1902">
        <f t="shared" si="7"/>
        <v>0</v>
      </c>
      <c r="IT22" s="1902">
        <f t="shared" si="7"/>
        <v>0</v>
      </c>
      <c r="IU22" s="1902">
        <f t="shared" si="7"/>
        <v>0</v>
      </c>
      <c r="IV22" s="1902">
        <f t="shared" si="7"/>
        <v>0</v>
      </c>
      <c r="IW22" s="1902">
        <f t="shared" si="7"/>
        <v>0</v>
      </c>
      <c r="IX22" s="1902">
        <f t="shared" si="7"/>
        <v>0</v>
      </c>
      <c r="IY22" s="1902">
        <f t="shared" si="7"/>
        <v>0</v>
      </c>
      <c r="IZ22" s="1902">
        <f t="shared" si="7"/>
        <v>0</v>
      </c>
      <c r="JA22" s="1902">
        <f t="shared" si="7"/>
        <v>0</v>
      </c>
      <c r="JB22" s="1902">
        <f t="shared" si="7"/>
        <v>0</v>
      </c>
      <c r="JC22" s="1902">
        <f t="shared" si="7"/>
        <v>0</v>
      </c>
      <c r="JD22" s="1902">
        <f t="shared" si="7"/>
        <v>0</v>
      </c>
      <c r="JE22" s="1902">
        <f t="shared" si="7"/>
        <v>0</v>
      </c>
      <c r="JF22" s="1902">
        <f t="shared" si="7"/>
        <v>0</v>
      </c>
      <c r="JG22" s="1902">
        <f t="shared" ref="JG22:LR22" si="8">IF(AND(JG$26="End of period",JG$25="Revenue"),JG9,0)</f>
        <v>0</v>
      </c>
      <c r="JH22" s="1902">
        <f t="shared" si="8"/>
        <v>0</v>
      </c>
      <c r="JI22" s="1902">
        <f t="shared" si="8"/>
        <v>0</v>
      </c>
      <c r="JJ22" s="1902">
        <f t="shared" si="8"/>
        <v>0</v>
      </c>
      <c r="JK22" s="1902">
        <f t="shared" si="8"/>
        <v>0</v>
      </c>
      <c r="JL22" s="1902">
        <f t="shared" si="8"/>
        <v>0</v>
      </c>
      <c r="JM22" s="1902">
        <f t="shared" si="8"/>
        <v>0</v>
      </c>
      <c r="JN22" s="1902">
        <f t="shared" si="8"/>
        <v>0</v>
      </c>
      <c r="JO22" s="1902">
        <f t="shared" si="8"/>
        <v>0</v>
      </c>
      <c r="JP22" s="1902">
        <f t="shared" si="8"/>
        <v>0</v>
      </c>
      <c r="JQ22" s="1902">
        <f t="shared" si="8"/>
        <v>0</v>
      </c>
      <c r="JR22" s="1902">
        <f t="shared" si="8"/>
        <v>0</v>
      </c>
      <c r="JS22" s="1902">
        <f t="shared" si="8"/>
        <v>0</v>
      </c>
      <c r="JT22" s="1902">
        <f t="shared" si="8"/>
        <v>0</v>
      </c>
      <c r="JU22" s="1902">
        <f t="shared" si="8"/>
        <v>0</v>
      </c>
      <c r="JV22" s="1902">
        <f t="shared" si="8"/>
        <v>0</v>
      </c>
      <c r="JW22" s="1902">
        <f t="shared" si="8"/>
        <v>0</v>
      </c>
      <c r="JX22" s="1902">
        <f t="shared" si="8"/>
        <v>0</v>
      </c>
      <c r="JY22" s="1902">
        <f t="shared" si="8"/>
        <v>0</v>
      </c>
      <c r="JZ22" s="1902">
        <f t="shared" si="8"/>
        <v>0</v>
      </c>
      <c r="KA22" s="1902">
        <f t="shared" si="8"/>
        <v>0</v>
      </c>
      <c r="KB22" s="1902">
        <f t="shared" si="8"/>
        <v>0</v>
      </c>
      <c r="KC22" s="1902">
        <f t="shared" si="8"/>
        <v>0</v>
      </c>
      <c r="KD22" s="1902">
        <f t="shared" si="8"/>
        <v>0</v>
      </c>
      <c r="KE22" s="1902">
        <f t="shared" si="8"/>
        <v>0</v>
      </c>
      <c r="KF22" s="1902">
        <f t="shared" si="8"/>
        <v>0</v>
      </c>
      <c r="KG22" s="1902">
        <f t="shared" si="8"/>
        <v>0</v>
      </c>
      <c r="KH22" s="1902">
        <f t="shared" si="8"/>
        <v>0</v>
      </c>
      <c r="KI22" s="1902">
        <f t="shared" si="8"/>
        <v>0</v>
      </c>
      <c r="KJ22" s="1902">
        <f t="shared" si="8"/>
        <v>0</v>
      </c>
      <c r="KK22" s="1902">
        <f t="shared" si="8"/>
        <v>0</v>
      </c>
      <c r="KL22" s="1902">
        <f t="shared" si="8"/>
        <v>0</v>
      </c>
      <c r="KM22" s="1902">
        <f t="shared" si="8"/>
        <v>0</v>
      </c>
      <c r="KN22" s="1902">
        <f t="shared" si="8"/>
        <v>0</v>
      </c>
      <c r="KO22" s="1902">
        <f t="shared" si="8"/>
        <v>0</v>
      </c>
      <c r="KP22" s="1902">
        <f t="shared" si="8"/>
        <v>0</v>
      </c>
      <c r="KQ22" s="1902">
        <f t="shared" si="8"/>
        <v>0</v>
      </c>
      <c r="KR22" s="1902">
        <f t="shared" si="8"/>
        <v>0</v>
      </c>
      <c r="KS22" s="1902">
        <f t="shared" si="8"/>
        <v>0</v>
      </c>
      <c r="KT22" s="1902">
        <f t="shared" si="8"/>
        <v>0</v>
      </c>
      <c r="KU22" s="1902">
        <f t="shared" si="8"/>
        <v>0</v>
      </c>
      <c r="KV22" s="1902">
        <f t="shared" si="8"/>
        <v>0</v>
      </c>
      <c r="KW22" s="1902">
        <f t="shared" si="8"/>
        <v>0</v>
      </c>
      <c r="KX22" s="1902">
        <f t="shared" si="8"/>
        <v>0</v>
      </c>
      <c r="KY22" s="1902">
        <f t="shared" si="8"/>
        <v>0</v>
      </c>
      <c r="KZ22" s="1902">
        <f t="shared" si="8"/>
        <v>0</v>
      </c>
      <c r="LA22" s="1902">
        <f t="shared" si="8"/>
        <v>0</v>
      </c>
      <c r="LB22" s="1902">
        <f t="shared" si="8"/>
        <v>0</v>
      </c>
      <c r="LC22" s="1902">
        <f t="shared" si="8"/>
        <v>0</v>
      </c>
      <c r="LD22" s="1902">
        <f t="shared" si="8"/>
        <v>0</v>
      </c>
      <c r="LE22" s="1902">
        <f t="shared" si="8"/>
        <v>0</v>
      </c>
      <c r="LF22" s="1902">
        <f t="shared" si="8"/>
        <v>0</v>
      </c>
      <c r="LG22" s="1902">
        <f t="shared" si="8"/>
        <v>0</v>
      </c>
      <c r="LH22" s="1902">
        <f t="shared" si="8"/>
        <v>0</v>
      </c>
      <c r="LI22" s="1902">
        <f t="shared" si="8"/>
        <v>0</v>
      </c>
      <c r="LJ22" s="1902">
        <f t="shared" si="8"/>
        <v>0</v>
      </c>
      <c r="LK22" s="1902">
        <f t="shared" si="8"/>
        <v>0</v>
      </c>
      <c r="LL22" s="1902">
        <f t="shared" si="8"/>
        <v>0</v>
      </c>
      <c r="LM22" s="1902">
        <f t="shared" si="8"/>
        <v>0</v>
      </c>
      <c r="LN22" s="1902">
        <f t="shared" si="8"/>
        <v>0</v>
      </c>
      <c r="LO22" s="1902">
        <f t="shared" si="8"/>
        <v>0</v>
      </c>
      <c r="LP22" s="1902">
        <f t="shared" si="8"/>
        <v>0</v>
      </c>
      <c r="LQ22" s="1902">
        <f t="shared" si="8"/>
        <v>0</v>
      </c>
      <c r="LR22" s="1902">
        <f t="shared" si="8"/>
        <v>0</v>
      </c>
      <c r="LS22" s="1902">
        <f t="shared" ref="LS22:OD22" si="9">IF(AND(LS$26="End of period",LS$25="Revenue"),LS9,0)</f>
        <v>0</v>
      </c>
      <c r="LT22" s="1902">
        <f t="shared" si="9"/>
        <v>0</v>
      </c>
      <c r="LU22" s="1902">
        <f t="shared" si="9"/>
        <v>0</v>
      </c>
      <c r="LV22" s="1902">
        <f t="shared" si="9"/>
        <v>0</v>
      </c>
      <c r="LW22" s="1902">
        <f t="shared" si="9"/>
        <v>0</v>
      </c>
      <c r="LX22" s="1902">
        <f t="shared" si="9"/>
        <v>0</v>
      </c>
      <c r="LY22" s="1902">
        <f t="shared" si="9"/>
        <v>0</v>
      </c>
      <c r="LZ22" s="1902">
        <f t="shared" si="9"/>
        <v>0</v>
      </c>
      <c r="MA22" s="1902">
        <f t="shared" si="9"/>
        <v>0</v>
      </c>
      <c r="MB22" s="1902">
        <f t="shared" si="9"/>
        <v>0</v>
      </c>
      <c r="MC22" s="1902">
        <f t="shared" si="9"/>
        <v>0</v>
      </c>
      <c r="MD22" s="1902">
        <f t="shared" si="9"/>
        <v>0</v>
      </c>
      <c r="ME22" s="1902">
        <f t="shared" si="9"/>
        <v>0</v>
      </c>
      <c r="MF22" s="1902">
        <f t="shared" si="9"/>
        <v>0</v>
      </c>
      <c r="MG22" s="1902">
        <f t="shared" si="9"/>
        <v>0</v>
      </c>
      <c r="MH22" s="1902">
        <f t="shared" si="9"/>
        <v>0</v>
      </c>
      <c r="MI22" s="1902">
        <f t="shared" si="9"/>
        <v>0</v>
      </c>
      <c r="MJ22" s="1902">
        <f t="shared" si="9"/>
        <v>0</v>
      </c>
      <c r="MK22" s="1902">
        <f t="shared" si="9"/>
        <v>0</v>
      </c>
      <c r="ML22" s="1902">
        <f t="shared" si="9"/>
        <v>0</v>
      </c>
      <c r="MM22" s="1902">
        <f t="shared" si="9"/>
        <v>0</v>
      </c>
      <c r="MN22" s="1902">
        <f t="shared" si="9"/>
        <v>0</v>
      </c>
      <c r="MO22" s="1902">
        <f t="shared" si="9"/>
        <v>0</v>
      </c>
      <c r="MP22" s="1902">
        <f t="shared" si="9"/>
        <v>0</v>
      </c>
      <c r="MQ22" s="1902">
        <f t="shared" si="9"/>
        <v>0</v>
      </c>
      <c r="MR22" s="1902">
        <f t="shared" si="9"/>
        <v>0</v>
      </c>
      <c r="MS22" s="1902">
        <f t="shared" si="9"/>
        <v>0</v>
      </c>
      <c r="MT22" s="1902">
        <f t="shared" si="9"/>
        <v>0</v>
      </c>
      <c r="MU22" s="1902">
        <f t="shared" si="9"/>
        <v>0</v>
      </c>
      <c r="MV22" s="1902">
        <f t="shared" si="9"/>
        <v>0</v>
      </c>
      <c r="MW22" s="1902">
        <f t="shared" si="9"/>
        <v>0</v>
      </c>
      <c r="MX22" s="1902">
        <f t="shared" si="9"/>
        <v>0</v>
      </c>
      <c r="MY22" s="1902">
        <f t="shared" si="9"/>
        <v>0</v>
      </c>
      <c r="MZ22" s="1902">
        <f t="shared" si="9"/>
        <v>0</v>
      </c>
      <c r="NA22" s="1902">
        <f t="shared" si="9"/>
        <v>0</v>
      </c>
      <c r="NB22" s="1902">
        <f t="shared" si="9"/>
        <v>0</v>
      </c>
      <c r="NC22" s="1902">
        <f t="shared" si="9"/>
        <v>0</v>
      </c>
      <c r="ND22" s="1902">
        <f t="shared" si="9"/>
        <v>0</v>
      </c>
      <c r="NE22" s="1902">
        <f t="shared" si="9"/>
        <v>0</v>
      </c>
      <c r="NF22" s="1902">
        <f t="shared" si="9"/>
        <v>0</v>
      </c>
      <c r="NG22" s="1902">
        <f t="shared" si="9"/>
        <v>0</v>
      </c>
      <c r="NH22" s="1902">
        <f t="shared" si="9"/>
        <v>0</v>
      </c>
      <c r="NI22" s="1902">
        <f t="shared" si="9"/>
        <v>0</v>
      </c>
      <c r="NJ22" s="1902">
        <f t="shared" si="9"/>
        <v>0</v>
      </c>
      <c r="NK22" s="1902">
        <f t="shared" si="9"/>
        <v>0</v>
      </c>
      <c r="NL22" s="1902">
        <f t="shared" si="9"/>
        <v>0</v>
      </c>
      <c r="NM22" s="1902">
        <f t="shared" si="9"/>
        <v>0</v>
      </c>
      <c r="NN22" s="1902">
        <f t="shared" si="9"/>
        <v>0</v>
      </c>
      <c r="NO22" s="1902">
        <f t="shared" si="9"/>
        <v>0</v>
      </c>
      <c r="NP22" s="1902">
        <f t="shared" si="9"/>
        <v>0</v>
      </c>
      <c r="NQ22" s="1902">
        <f t="shared" si="9"/>
        <v>0</v>
      </c>
      <c r="NR22" s="1902">
        <f t="shared" si="9"/>
        <v>0</v>
      </c>
      <c r="NS22" s="1902">
        <f t="shared" si="9"/>
        <v>0</v>
      </c>
      <c r="NT22" s="1902">
        <f t="shared" si="9"/>
        <v>0</v>
      </c>
      <c r="NU22" s="1902">
        <f t="shared" si="9"/>
        <v>0</v>
      </c>
      <c r="NV22" s="1902">
        <f t="shared" si="9"/>
        <v>0</v>
      </c>
      <c r="NW22" s="1902">
        <f t="shared" si="9"/>
        <v>0</v>
      </c>
      <c r="NX22" s="1902">
        <f t="shared" si="9"/>
        <v>0</v>
      </c>
      <c r="NY22" s="1902">
        <f t="shared" si="9"/>
        <v>0</v>
      </c>
      <c r="NZ22" s="1902">
        <f t="shared" si="9"/>
        <v>0</v>
      </c>
      <c r="OA22" s="1902">
        <f t="shared" si="9"/>
        <v>0</v>
      </c>
      <c r="OB22" s="1902">
        <f t="shared" si="9"/>
        <v>0</v>
      </c>
      <c r="OC22" s="1902">
        <f t="shared" si="9"/>
        <v>0</v>
      </c>
      <c r="OD22" s="1902">
        <f t="shared" si="9"/>
        <v>0</v>
      </c>
      <c r="OE22" s="1902">
        <f t="shared" ref="OE22:QP22" si="10">IF(AND(OE$26="End of period",OE$25="Revenue"),OE9,0)</f>
        <v>0</v>
      </c>
      <c r="OF22" s="1902">
        <f t="shared" si="10"/>
        <v>0</v>
      </c>
      <c r="OG22" s="1902">
        <f t="shared" si="10"/>
        <v>0</v>
      </c>
      <c r="OH22" s="1902">
        <f t="shared" si="10"/>
        <v>0</v>
      </c>
      <c r="OI22" s="1902">
        <f t="shared" si="10"/>
        <v>0</v>
      </c>
      <c r="OJ22" s="1902">
        <f t="shared" si="10"/>
        <v>0</v>
      </c>
      <c r="OK22" s="1902">
        <f t="shared" si="10"/>
        <v>0</v>
      </c>
      <c r="OL22" s="1902">
        <f t="shared" si="10"/>
        <v>0</v>
      </c>
      <c r="OM22" s="1902">
        <f t="shared" si="10"/>
        <v>0</v>
      </c>
      <c r="ON22" s="1902">
        <f t="shared" si="10"/>
        <v>0</v>
      </c>
      <c r="OO22" s="1902">
        <f t="shared" si="10"/>
        <v>0</v>
      </c>
      <c r="OP22" s="1902">
        <f t="shared" si="10"/>
        <v>0</v>
      </c>
      <c r="OQ22" s="1902">
        <f t="shared" si="10"/>
        <v>0</v>
      </c>
      <c r="OR22" s="1902">
        <f t="shared" si="10"/>
        <v>0</v>
      </c>
      <c r="OS22" s="1902">
        <f t="shared" si="10"/>
        <v>0</v>
      </c>
      <c r="OT22" s="1902">
        <f t="shared" si="10"/>
        <v>0</v>
      </c>
      <c r="OU22" s="1902">
        <f t="shared" si="10"/>
        <v>0</v>
      </c>
      <c r="OV22" s="1902">
        <f t="shared" si="10"/>
        <v>0</v>
      </c>
      <c r="OW22" s="1902">
        <f t="shared" si="10"/>
        <v>0</v>
      </c>
      <c r="OX22" s="1902">
        <f t="shared" si="10"/>
        <v>0</v>
      </c>
      <c r="OY22" s="1902">
        <f t="shared" si="10"/>
        <v>0</v>
      </c>
      <c r="OZ22" s="1902">
        <f t="shared" si="10"/>
        <v>0</v>
      </c>
      <c r="PA22" s="1902">
        <f t="shared" si="10"/>
        <v>0</v>
      </c>
      <c r="PB22" s="1902">
        <f t="shared" si="10"/>
        <v>0</v>
      </c>
      <c r="PC22" s="1902">
        <f t="shared" si="10"/>
        <v>0</v>
      </c>
      <c r="PD22" s="1902">
        <f t="shared" si="10"/>
        <v>0</v>
      </c>
      <c r="PE22" s="1902">
        <f t="shared" si="10"/>
        <v>0</v>
      </c>
      <c r="PF22" s="1902">
        <f t="shared" si="10"/>
        <v>0</v>
      </c>
      <c r="PG22" s="1902">
        <f t="shared" si="10"/>
        <v>0</v>
      </c>
      <c r="PH22" s="1902">
        <f t="shared" si="10"/>
        <v>0</v>
      </c>
      <c r="PI22" s="1902">
        <f t="shared" si="10"/>
        <v>0</v>
      </c>
      <c r="PJ22" s="1902">
        <f t="shared" si="10"/>
        <v>0</v>
      </c>
      <c r="PK22" s="1902">
        <f t="shared" si="10"/>
        <v>0</v>
      </c>
      <c r="PL22" s="1902">
        <f t="shared" si="10"/>
        <v>0</v>
      </c>
      <c r="PM22" s="1902">
        <f t="shared" si="10"/>
        <v>0</v>
      </c>
      <c r="PN22" s="1902">
        <f t="shared" si="10"/>
        <v>0</v>
      </c>
      <c r="PO22" s="1902">
        <f t="shared" si="10"/>
        <v>0</v>
      </c>
      <c r="PP22" s="1902">
        <f t="shared" si="10"/>
        <v>0</v>
      </c>
      <c r="PQ22" s="1902">
        <f t="shared" si="10"/>
        <v>0</v>
      </c>
      <c r="PR22" s="1902">
        <f t="shared" si="10"/>
        <v>0</v>
      </c>
      <c r="PS22" s="1902">
        <f t="shared" si="10"/>
        <v>0</v>
      </c>
      <c r="PT22" s="1902">
        <f t="shared" si="10"/>
        <v>0</v>
      </c>
      <c r="PU22" s="1902">
        <f t="shared" si="10"/>
        <v>0</v>
      </c>
      <c r="PV22" s="1902">
        <f t="shared" si="10"/>
        <v>0</v>
      </c>
      <c r="PW22" s="1902">
        <f t="shared" si="10"/>
        <v>0</v>
      </c>
      <c r="PX22" s="1902">
        <f t="shared" si="10"/>
        <v>0</v>
      </c>
      <c r="PY22" s="1902">
        <f t="shared" si="10"/>
        <v>0</v>
      </c>
      <c r="PZ22" s="1902">
        <f t="shared" si="10"/>
        <v>0</v>
      </c>
      <c r="QA22" s="1902">
        <f t="shared" si="10"/>
        <v>0</v>
      </c>
      <c r="QB22" s="1902">
        <f t="shared" si="10"/>
        <v>0</v>
      </c>
      <c r="QC22" s="1902">
        <f t="shared" si="10"/>
        <v>0</v>
      </c>
      <c r="QD22" s="1902">
        <f t="shared" si="10"/>
        <v>0</v>
      </c>
      <c r="QE22" s="1902">
        <f t="shared" si="10"/>
        <v>0</v>
      </c>
      <c r="QF22" s="1902">
        <f t="shared" si="10"/>
        <v>0</v>
      </c>
      <c r="QG22" s="1902">
        <f t="shared" si="10"/>
        <v>0</v>
      </c>
      <c r="QH22" s="1902">
        <f t="shared" si="10"/>
        <v>0</v>
      </c>
      <c r="QI22" s="1902">
        <f t="shared" si="10"/>
        <v>0</v>
      </c>
      <c r="QJ22" s="1902">
        <f t="shared" si="10"/>
        <v>0</v>
      </c>
      <c r="QK22" s="1902">
        <f t="shared" si="10"/>
        <v>0</v>
      </c>
      <c r="QL22" s="1902">
        <f t="shared" si="10"/>
        <v>0</v>
      </c>
      <c r="QM22" s="1902">
        <f t="shared" si="10"/>
        <v>0</v>
      </c>
      <c r="QN22" s="1902">
        <f t="shared" si="10"/>
        <v>0</v>
      </c>
      <c r="QO22" s="1902">
        <f t="shared" si="10"/>
        <v>0</v>
      </c>
      <c r="QP22" s="1902">
        <f t="shared" si="10"/>
        <v>0</v>
      </c>
      <c r="QQ22" s="1902">
        <f t="shared" ref="QQ22:TB22" si="11">IF(AND(QQ$26="End of period",QQ$25="Revenue"),QQ9,0)</f>
        <v>0</v>
      </c>
      <c r="QR22" s="1902">
        <f t="shared" si="11"/>
        <v>0</v>
      </c>
      <c r="QS22" s="1902">
        <f t="shared" si="11"/>
        <v>0</v>
      </c>
      <c r="QT22" s="1902">
        <f t="shared" si="11"/>
        <v>0</v>
      </c>
      <c r="QU22" s="1902">
        <f t="shared" si="11"/>
        <v>0</v>
      </c>
      <c r="QV22" s="1902">
        <f t="shared" si="11"/>
        <v>0</v>
      </c>
      <c r="QW22" s="1902">
        <f t="shared" si="11"/>
        <v>0</v>
      </c>
      <c r="QX22" s="1902">
        <f t="shared" si="11"/>
        <v>0</v>
      </c>
      <c r="QY22" s="1902">
        <f t="shared" si="11"/>
        <v>0</v>
      </c>
      <c r="QZ22" s="1902">
        <f t="shared" si="11"/>
        <v>0</v>
      </c>
      <c r="RA22" s="1902">
        <f t="shared" si="11"/>
        <v>0</v>
      </c>
      <c r="RB22" s="1902">
        <f t="shared" si="11"/>
        <v>0</v>
      </c>
      <c r="RC22" s="1902">
        <f t="shared" si="11"/>
        <v>0</v>
      </c>
      <c r="RD22" s="1902">
        <f t="shared" si="11"/>
        <v>0</v>
      </c>
      <c r="RE22" s="1902">
        <f t="shared" si="11"/>
        <v>0</v>
      </c>
      <c r="RF22" s="1902">
        <f t="shared" si="11"/>
        <v>0</v>
      </c>
      <c r="RG22" s="1902">
        <f t="shared" si="11"/>
        <v>0</v>
      </c>
      <c r="RH22" s="1902">
        <f t="shared" si="11"/>
        <v>0</v>
      </c>
      <c r="RI22" s="1902">
        <f t="shared" si="11"/>
        <v>0</v>
      </c>
      <c r="RJ22" s="1902">
        <f t="shared" si="11"/>
        <v>0</v>
      </c>
      <c r="RK22" s="1902">
        <f t="shared" si="11"/>
        <v>0</v>
      </c>
      <c r="RL22" s="1902">
        <f t="shared" si="11"/>
        <v>0</v>
      </c>
      <c r="RM22" s="1902">
        <f t="shared" si="11"/>
        <v>0</v>
      </c>
      <c r="RN22" s="1902">
        <f t="shared" si="11"/>
        <v>0</v>
      </c>
      <c r="RO22" s="1902">
        <f t="shared" si="11"/>
        <v>0</v>
      </c>
      <c r="RP22" s="1902">
        <f t="shared" si="11"/>
        <v>0</v>
      </c>
      <c r="RQ22" s="1902">
        <f t="shared" si="11"/>
        <v>0</v>
      </c>
      <c r="RR22" s="1902">
        <f t="shared" si="11"/>
        <v>0</v>
      </c>
      <c r="RS22" s="1902">
        <f t="shared" si="11"/>
        <v>0</v>
      </c>
      <c r="RT22" s="1902">
        <f t="shared" si="11"/>
        <v>0</v>
      </c>
      <c r="RU22" s="1902">
        <f t="shared" si="11"/>
        <v>0</v>
      </c>
      <c r="RV22" s="1902">
        <f t="shared" si="11"/>
        <v>0</v>
      </c>
      <c r="RW22" s="1902">
        <f t="shared" si="11"/>
        <v>0</v>
      </c>
      <c r="RX22" s="1902">
        <f t="shared" si="11"/>
        <v>0</v>
      </c>
      <c r="RY22" s="1902">
        <f t="shared" si="11"/>
        <v>0</v>
      </c>
      <c r="RZ22" s="1902">
        <f t="shared" si="11"/>
        <v>0</v>
      </c>
      <c r="SA22" s="1902">
        <f t="shared" si="11"/>
        <v>0</v>
      </c>
      <c r="SB22" s="1902">
        <f t="shared" si="11"/>
        <v>0</v>
      </c>
      <c r="SC22" s="1902">
        <f t="shared" si="11"/>
        <v>0</v>
      </c>
      <c r="SD22" s="1902">
        <f t="shared" si="11"/>
        <v>0</v>
      </c>
      <c r="SE22" s="1902">
        <f t="shared" si="11"/>
        <v>0</v>
      </c>
      <c r="SF22" s="1902">
        <f t="shared" si="11"/>
        <v>0</v>
      </c>
      <c r="SG22" s="1902">
        <f t="shared" si="11"/>
        <v>0</v>
      </c>
      <c r="SH22" s="1902">
        <f t="shared" si="11"/>
        <v>0</v>
      </c>
      <c r="SI22" s="1902">
        <f t="shared" si="11"/>
        <v>0</v>
      </c>
      <c r="SJ22" s="1902">
        <f t="shared" si="11"/>
        <v>0</v>
      </c>
      <c r="SK22" s="1902">
        <f t="shared" si="11"/>
        <v>0</v>
      </c>
      <c r="SL22" s="1902">
        <f t="shared" si="11"/>
        <v>0</v>
      </c>
      <c r="SM22" s="1902">
        <f t="shared" si="11"/>
        <v>0</v>
      </c>
      <c r="SN22" s="1902">
        <f t="shared" si="11"/>
        <v>0</v>
      </c>
      <c r="SO22" s="1902">
        <f t="shared" si="11"/>
        <v>0</v>
      </c>
      <c r="SP22" s="1902">
        <f t="shared" si="11"/>
        <v>0</v>
      </c>
      <c r="SQ22" s="1902">
        <f t="shared" si="11"/>
        <v>0</v>
      </c>
      <c r="SR22" s="1902">
        <f t="shared" si="11"/>
        <v>0</v>
      </c>
      <c r="SS22" s="1902">
        <f t="shared" si="11"/>
        <v>0</v>
      </c>
      <c r="ST22" s="1902">
        <f t="shared" si="11"/>
        <v>0</v>
      </c>
      <c r="SU22" s="1902">
        <f t="shared" si="11"/>
        <v>0</v>
      </c>
      <c r="SV22" s="1902">
        <f t="shared" si="11"/>
        <v>0</v>
      </c>
      <c r="SW22" s="1902">
        <f t="shared" si="11"/>
        <v>0</v>
      </c>
      <c r="SX22" s="1902">
        <f t="shared" si="11"/>
        <v>0</v>
      </c>
      <c r="SY22" s="1902">
        <f t="shared" si="11"/>
        <v>0</v>
      </c>
      <c r="SZ22" s="1902">
        <f t="shared" si="11"/>
        <v>0</v>
      </c>
      <c r="TA22" s="1902">
        <f t="shared" si="11"/>
        <v>0</v>
      </c>
      <c r="TB22" s="1902">
        <f t="shared" si="11"/>
        <v>0</v>
      </c>
      <c r="TC22" s="1902">
        <f t="shared" ref="TC22:VN22" si="12">IF(AND(TC$26="End of period",TC$25="Revenue"),TC9,0)</f>
        <v>0</v>
      </c>
      <c r="TD22" s="1902">
        <f t="shared" si="12"/>
        <v>0</v>
      </c>
      <c r="TE22" s="1902">
        <f t="shared" si="12"/>
        <v>0</v>
      </c>
      <c r="TF22" s="1902">
        <f t="shared" si="12"/>
        <v>0</v>
      </c>
      <c r="TG22" s="1902">
        <f t="shared" si="12"/>
        <v>0</v>
      </c>
      <c r="TH22" s="1902">
        <f t="shared" si="12"/>
        <v>0</v>
      </c>
      <c r="TI22" s="1902">
        <f t="shared" si="12"/>
        <v>0</v>
      </c>
      <c r="TJ22" s="1902">
        <f t="shared" si="12"/>
        <v>0</v>
      </c>
      <c r="TK22" s="1902">
        <f t="shared" si="12"/>
        <v>0</v>
      </c>
      <c r="TL22" s="1902">
        <f t="shared" si="12"/>
        <v>0</v>
      </c>
      <c r="TM22" s="1902">
        <f t="shared" si="12"/>
        <v>0</v>
      </c>
      <c r="TN22" s="1902">
        <f t="shared" si="12"/>
        <v>0</v>
      </c>
      <c r="TO22" s="1902">
        <f t="shared" si="12"/>
        <v>0</v>
      </c>
      <c r="TP22" s="1902">
        <f t="shared" si="12"/>
        <v>0</v>
      </c>
      <c r="TQ22" s="1902">
        <f t="shared" si="12"/>
        <v>0</v>
      </c>
      <c r="TR22" s="1902">
        <f t="shared" si="12"/>
        <v>0</v>
      </c>
      <c r="TS22" s="1902">
        <f t="shared" si="12"/>
        <v>0</v>
      </c>
      <c r="TT22" s="1902">
        <f t="shared" si="12"/>
        <v>0</v>
      </c>
      <c r="TU22" s="1902">
        <f t="shared" si="12"/>
        <v>0</v>
      </c>
      <c r="TV22" s="1902">
        <f t="shared" si="12"/>
        <v>0</v>
      </c>
      <c r="TW22" s="1902">
        <f t="shared" si="12"/>
        <v>0</v>
      </c>
      <c r="TX22" s="1902">
        <f t="shared" si="12"/>
        <v>0</v>
      </c>
      <c r="TY22" s="1902">
        <f t="shared" si="12"/>
        <v>0</v>
      </c>
      <c r="TZ22" s="1902">
        <f t="shared" si="12"/>
        <v>0</v>
      </c>
      <c r="UA22" s="1902">
        <f t="shared" si="12"/>
        <v>0</v>
      </c>
      <c r="UB22" s="1902">
        <f t="shared" si="12"/>
        <v>0</v>
      </c>
      <c r="UC22" s="1902">
        <f t="shared" si="12"/>
        <v>0</v>
      </c>
      <c r="UD22" s="1902">
        <f t="shared" si="12"/>
        <v>0</v>
      </c>
      <c r="UE22" s="1902">
        <f t="shared" si="12"/>
        <v>0</v>
      </c>
      <c r="UF22" s="1902">
        <f t="shared" si="12"/>
        <v>0</v>
      </c>
      <c r="UG22" s="1902">
        <f t="shared" si="12"/>
        <v>0</v>
      </c>
      <c r="UH22" s="1902">
        <f t="shared" si="12"/>
        <v>0</v>
      </c>
      <c r="UI22" s="1902">
        <f t="shared" si="12"/>
        <v>0</v>
      </c>
      <c r="UJ22" s="1902">
        <f t="shared" si="12"/>
        <v>0</v>
      </c>
      <c r="UK22" s="1902">
        <f t="shared" si="12"/>
        <v>0</v>
      </c>
      <c r="UL22" s="1902">
        <f t="shared" si="12"/>
        <v>0</v>
      </c>
      <c r="UM22" s="1902">
        <f t="shared" si="12"/>
        <v>0</v>
      </c>
      <c r="UN22" s="1902">
        <f t="shared" si="12"/>
        <v>0</v>
      </c>
      <c r="UO22" s="1902">
        <f t="shared" si="12"/>
        <v>0</v>
      </c>
      <c r="UP22" s="1902">
        <f t="shared" si="12"/>
        <v>0</v>
      </c>
      <c r="UQ22" s="1902">
        <f t="shared" si="12"/>
        <v>0</v>
      </c>
      <c r="UR22" s="1902">
        <f t="shared" si="12"/>
        <v>0</v>
      </c>
      <c r="US22" s="1902">
        <f t="shared" si="12"/>
        <v>0</v>
      </c>
      <c r="UT22" s="1902">
        <f t="shared" si="12"/>
        <v>0</v>
      </c>
      <c r="UU22" s="1902">
        <f t="shared" si="12"/>
        <v>0</v>
      </c>
      <c r="UV22" s="1902">
        <f t="shared" si="12"/>
        <v>0</v>
      </c>
      <c r="UW22" s="1902">
        <f t="shared" si="12"/>
        <v>0</v>
      </c>
      <c r="UX22" s="1902">
        <f t="shared" si="12"/>
        <v>0</v>
      </c>
      <c r="UY22" s="1902">
        <f t="shared" si="12"/>
        <v>0</v>
      </c>
      <c r="UZ22" s="1902">
        <f t="shared" si="12"/>
        <v>0</v>
      </c>
      <c r="VA22" s="1902">
        <f t="shared" si="12"/>
        <v>0</v>
      </c>
      <c r="VB22" s="1902">
        <f t="shared" si="12"/>
        <v>0</v>
      </c>
      <c r="VC22" s="1902">
        <f t="shared" si="12"/>
        <v>0</v>
      </c>
      <c r="VD22" s="1902">
        <f t="shared" si="12"/>
        <v>0</v>
      </c>
      <c r="VE22" s="1902">
        <f t="shared" si="12"/>
        <v>0</v>
      </c>
      <c r="VF22" s="1902">
        <f t="shared" si="12"/>
        <v>0</v>
      </c>
      <c r="VG22" s="1902">
        <f t="shared" si="12"/>
        <v>0</v>
      </c>
      <c r="VH22" s="1902">
        <f t="shared" si="12"/>
        <v>0</v>
      </c>
      <c r="VI22" s="1902">
        <f t="shared" si="12"/>
        <v>0</v>
      </c>
      <c r="VJ22" s="1902">
        <f t="shared" si="12"/>
        <v>0</v>
      </c>
      <c r="VK22" s="1902">
        <f t="shared" si="12"/>
        <v>0</v>
      </c>
      <c r="VL22" s="1902">
        <f t="shared" si="12"/>
        <v>0</v>
      </c>
      <c r="VM22" s="1902">
        <f t="shared" si="12"/>
        <v>0</v>
      </c>
      <c r="VN22" s="1902">
        <f t="shared" si="12"/>
        <v>0</v>
      </c>
      <c r="VO22" s="1902">
        <f t="shared" ref="VO22:XZ22" si="13">IF(AND(VO$26="End of period",VO$25="Revenue"),VO9,0)</f>
        <v>0</v>
      </c>
      <c r="VP22" s="1902">
        <f t="shared" si="13"/>
        <v>0</v>
      </c>
      <c r="VQ22" s="1902">
        <f t="shared" si="13"/>
        <v>0</v>
      </c>
      <c r="VR22" s="1902">
        <f t="shared" si="13"/>
        <v>0</v>
      </c>
      <c r="VS22" s="1902">
        <f t="shared" si="13"/>
        <v>0</v>
      </c>
      <c r="VT22" s="1902">
        <f t="shared" si="13"/>
        <v>0</v>
      </c>
      <c r="VU22" s="1902">
        <f t="shared" si="13"/>
        <v>0</v>
      </c>
      <c r="VV22" s="1902">
        <f t="shared" si="13"/>
        <v>0</v>
      </c>
      <c r="VW22" s="1902">
        <f t="shared" si="13"/>
        <v>0</v>
      </c>
      <c r="VX22" s="1902">
        <f t="shared" si="13"/>
        <v>0</v>
      </c>
      <c r="VY22" s="1902">
        <f t="shared" si="13"/>
        <v>0</v>
      </c>
      <c r="VZ22" s="1902">
        <f t="shared" si="13"/>
        <v>0</v>
      </c>
      <c r="WA22" s="1902">
        <f t="shared" si="13"/>
        <v>0</v>
      </c>
      <c r="WB22" s="1902">
        <f t="shared" si="13"/>
        <v>0</v>
      </c>
      <c r="WC22" s="1902">
        <f t="shared" si="13"/>
        <v>0</v>
      </c>
      <c r="WD22" s="1902">
        <f t="shared" si="13"/>
        <v>0</v>
      </c>
      <c r="WE22" s="1902">
        <f t="shared" si="13"/>
        <v>0</v>
      </c>
      <c r="WF22" s="1902">
        <f t="shared" si="13"/>
        <v>0</v>
      </c>
      <c r="WG22" s="1902">
        <f t="shared" si="13"/>
        <v>0</v>
      </c>
      <c r="WH22" s="1902">
        <f t="shared" si="13"/>
        <v>0</v>
      </c>
      <c r="WI22" s="1902">
        <f t="shared" si="13"/>
        <v>0</v>
      </c>
      <c r="WJ22" s="1902">
        <f t="shared" si="13"/>
        <v>0</v>
      </c>
      <c r="WK22" s="1902">
        <f t="shared" si="13"/>
        <v>0</v>
      </c>
      <c r="WL22" s="1902">
        <f t="shared" si="13"/>
        <v>0</v>
      </c>
      <c r="WM22" s="1902">
        <f t="shared" si="13"/>
        <v>0</v>
      </c>
      <c r="WN22" s="1902">
        <f t="shared" si="13"/>
        <v>0</v>
      </c>
      <c r="WO22" s="1902">
        <f t="shared" si="13"/>
        <v>0</v>
      </c>
      <c r="WP22" s="1902">
        <f t="shared" si="13"/>
        <v>0</v>
      </c>
      <c r="WQ22" s="1902">
        <f t="shared" si="13"/>
        <v>0</v>
      </c>
      <c r="WR22" s="1902">
        <f t="shared" si="13"/>
        <v>0</v>
      </c>
      <c r="WS22" s="1902">
        <f t="shared" si="13"/>
        <v>0</v>
      </c>
      <c r="WT22" s="1902">
        <f t="shared" si="13"/>
        <v>0</v>
      </c>
      <c r="WU22" s="1902">
        <f t="shared" si="13"/>
        <v>0</v>
      </c>
      <c r="WV22" s="1902">
        <f t="shared" si="13"/>
        <v>0</v>
      </c>
      <c r="WW22" s="1902">
        <f t="shared" si="13"/>
        <v>0</v>
      </c>
      <c r="WX22" s="1902">
        <f t="shared" si="13"/>
        <v>0</v>
      </c>
      <c r="WY22" s="1902">
        <f t="shared" si="13"/>
        <v>0</v>
      </c>
      <c r="WZ22" s="1902">
        <f t="shared" si="13"/>
        <v>0</v>
      </c>
      <c r="XA22" s="1902">
        <f t="shared" si="13"/>
        <v>0</v>
      </c>
      <c r="XB22" s="1902">
        <f t="shared" si="13"/>
        <v>0</v>
      </c>
      <c r="XC22" s="1902">
        <f t="shared" si="13"/>
        <v>0</v>
      </c>
      <c r="XD22" s="1902">
        <f t="shared" si="13"/>
        <v>0</v>
      </c>
      <c r="XE22" s="1902">
        <f t="shared" si="13"/>
        <v>0</v>
      </c>
      <c r="XF22" s="1902">
        <f t="shared" si="13"/>
        <v>0</v>
      </c>
      <c r="XG22" s="1902">
        <f t="shared" si="13"/>
        <v>0</v>
      </c>
      <c r="XH22" s="1902">
        <f t="shared" si="13"/>
        <v>0</v>
      </c>
      <c r="XI22" s="1902">
        <f t="shared" si="13"/>
        <v>0</v>
      </c>
      <c r="XJ22" s="1902">
        <f t="shared" si="13"/>
        <v>0</v>
      </c>
      <c r="XK22" s="1902">
        <f t="shared" si="13"/>
        <v>0</v>
      </c>
      <c r="XL22" s="1902">
        <f t="shared" si="13"/>
        <v>0</v>
      </c>
      <c r="XM22" s="1902">
        <f t="shared" si="13"/>
        <v>0</v>
      </c>
      <c r="XN22" s="1902">
        <f t="shared" si="13"/>
        <v>0</v>
      </c>
      <c r="XO22" s="1902">
        <f t="shared" si="13"/>
        <v>0</v>
      </c>
      <c r="XP22" s="1902">
        <f t="shared" si="13"/>
        <v>0</v>
      </c>
      <c r="XQ22" s="1902">
        <f t="shared" si="13"/>
        <v>0</v>
      </c>
      <c r="XR22" s="1902">
        <f t="shared" si="13"/>
        <v>0</v>
      </c>
      <c r="XS22" s="1902">
        <f t="shared" si="13"/>
        <v>0</v>
      </c>
      <c r="XT22" s="1902">
        <f t="shared" si="13"/>
        <v>0</v>
      </c>
      <c r="XU22" s="1902">
        <f t="shared" si="13"/>
        <v>0</v>
      </c>
      <c r="XV22" s="1902">
        <f t="shared" si="13"/>
        <v>0</v>
      </c>
      <c r="XW22" s="1902">
        <f t="shared" si="13"/>
        <v>0</v>
      </c>
      <c r="XX22" s="1902">
        <f t="shared" si="13"/>
        <v>0</v>
      </c>
      <c r="XY22" s="1902">
        <f t="shared" si="13"/>
        <v>0</v>
      </c>
      <c r="XZ22" s="1902">
        <f t="shared" si="13"/>
        <v>0</v>
      </c>
      <c r="YA22" s="1902">
        <f t="shared" ref="YA22:AAL22" si="14">IF(AND(YA$26="End of period",YA$25="Revenue"),YA9,0)</f>
        <v>0</v>
      </c>
      <c r="YB22" s="1902">
        <f t="shared" si="14"/>
        <v>0</v>
      </c>
      <c r="YC22" s="1902">
        <f t="shared" si="14"/>
        <v>0</v>
      </c>
      <c r="YD22" s="1902">
        <f t="shared" si="14"/>
        <v>0</v>
      </c>
      <c r="YE22" s="1902">
        <f t="shared" si="14"/>
        <v>0</v>
      </c>
      <c r="YF22" s="1902">
        <f t="shared" si="14"/>
        <v>0</v>
      </c>
      <c r="YG22" s="1902">
        <f t="shared" si="14"/>
        <v>0</v>
      </c>
      <c r="YH22" s="1902">
        <f t="shared" si="14"/>
        <v>0</v>
      </c>
      <c r="YI22" s="1902">
        <f t="shared" si="14"/>
        <v>0</v>
      </c>
      <c r="YJ22" s="1902">
        <f t="shared" si="14"/>
        <v>0</v>
      </c>
      <c r="YK22" s="1902">
        <f t="shared" si="14"/>
        <v>0</v>
      </c>
      <c r="YL22" s="1902">
        <f t="shared" si="14"/>
        <v>0</v>
      </c>
      <c r="YM22" s="1902">
        <f t="shared" si="14"/>
        <v>0</v>
      </c>
      <c r="YN22" s="1902">
        <f t="shared" si="14"/>
        <v>0</v>
      </c>
      <c r="YO22" s="1902">
        <f t="shared" si="14"/>
        <v>0</v>
      </c>
      <c r="YP22" s="1902">
        <f t="shared" si="14"/>
        <v>0</v>
      </c>
      <c r="YQ22" s="1902">
        <f t="shared" si="14"/>
        <v>0</v>
      </c>
      <c r="YR22" s="1902">
        <f t="shared" si="14"/>
        <v>0</v>
      </c>
      <c r="YS22" s="1902">
        <f t="shared" si="14"/>
        <v>0</v>
      </c>
      <c r="YT22" s="1902">
        <f t="shared" si="14"/>
        <v>0</v>
      </c>
      <c r="YU22" s="1902">
        <f t="shared" si="14"/>
        <v>0</v>
      </c>
      <c r="YV22" s="1902">
        <f t="shared" si="14"/>
        <v>0</v>
      </c>
      <c r="YW22" s="1902">
        <f t="shared" si="14"/>
        <v>0</v>
      </c>
      <c r="YX22" s="1902">
        <f t="shared" si="14"/>
        <v>0</v>
      </c>
      <c r="YY22" s="1902">
        <f t="shared" si="14"/>
        <v>0</v>
      </c>
      <c r="YZ22" s="1902">
        <f t="shared" si="14"/>
        <v>0</v>
      </c>
      <c r="ZA22" s="1902">
        <f t="shared" si="14"/>
        <v>0</v>
      </c>
      <c r="ZB22" s="1902">
        <f t="shared" si="14"/>
        <v>0</v>
      </c>
      <c r="ZC22" s="1902">
        <f t="shared" si="14"/>
        <v>0</v>
      </c>
      <c r="ZD22" s="1902">
        <f t="shared" si="14"/>
        <v>0</v>
      </c>
      <c r="ZE22" s="1902">
        <f t="shared" si="14"/>
        <v>0</v>
      </c>
      <c r="ZF22" s="1902">
        <f t="shared" si="14"/>
        <v>0</v>
      </c>
      <c r="ZG22" s="1902">
        <f t="shared" si="14"/>
        <v>0</v>
      </c>
      <c r="ZH22" s="1902">
        <f t="shared" si="14"/>
        <v>0</v>
      </c>
      <c r="ZI22" s="1902">
        <f t="shared" si="14"/>
        <v>0</v>
      </c>
      <c r="ZJ22" s="1902">
        <f t="shared" si="14"/>
        <v>0</v>
      </c>
      <c r="ZK22" s="1902">
        <f t="shared" si="14"/>
        <v>0</v>
      </c>
      <c r="ZL22" s="1902">
        <f t="shared" si="14"/>
        <v>0</v>
      </c>
      <c r="ZM22" s="1902">
        <f t="shared" si="14"/>
        <v>0</v>
      </c>
      <c r="ZN22" s="1902">
        <f t="shared" si="14"/>
        <v>0</v>
      </c>
      <c r="ZO22" s="1902">
        <f t="shared" si="14"/>
        <v>0</v>
      </c>
      <c r="ZP22" s="1902">
        <f t="shared" si="14"/>
        <v>0</v>
      </c>
      <c r="ZQ22" s="1902">
        <f t="shared" si="14"/>
        <v>0</v>
      </c>
      <c r="ZR22" s="1902">
        <f t="shared" si="14"/>
        <v>0</v>
      </c>
      <c r="ZS22" s="1902">
        <f t="shared" si="14"/>
        <v>0</v>
      </c>
      <c r="ZT22" s="1902">
        <f t="shared" si="14"/>
        <v>0</v>
      </c>
      <c r="ZU22" s="1902">
        <f t="shared" si="14"/>
        <v>0</v>
      </c>
      <c r="ZV22" s="1902">
        <f t="shared" si="14"/>
        <v>0</v>
      </c>
      <c r="ZW22" s="1902">
        <f t="shared" si="14"/>
        <v>0</v>
      </c>
      <c r="ZX22" s="1902">
        <f t="shared" si="14"/>
        <v>0</v>
      </c>
      <c r="ZY22" s="1902">
        <f t="shared" si="14"/>
        <v>0</v>
      </c>
      <c r="ZZ22" s="1902">
        <f t="shared" si="14"/>
        <v>0</v>
      </c>
      <c r="AAA22" s="1902">
        <f t="shared" si="14"/>
        <v>0</v>
      </c>
      <c r="AAB22" s="1902">
        <f t="shared" si="14"/>
        <v>0</v>
      </c>
      <c r="AAC22" s="1902">
        <f t="shared" si="14"/>
        <v>0</v>
      </c>
      <c r="AAD22" s="1902">
        <f t="shared" si="14"/>
        <v>0</v>
      </c>
      <c r="AAE22" s="1902">
        <f t="shared" si="14"/>
        <v>0</v>
      </c>
      <c r="AAF22" s="1902">
        <f t="shared" si="14"/>
        <v>0</v>
      </c>
      <c r="AAG22" s="1902">
        <f t="shared" si="14"/>
        <v>0</v>
      </c>
      <c r="AAH22" s="1902">
        <f t="shared" si="14"/>
        <v>0</v>
      </c>
      <c r="AAI22" s="1902">
        <f t="shared" si="14"/>
        <v>0</v>
      </c>
      <c r="AAJ22" s="1902">
        <f t="shared" si="14"/>
        <v>0</v>
      </c>
      <c r="AAK22" s="1902">
        <f t="shared" si="14"/>
        <v>0</v>
      </c>
      <c r="AAL22" s="1902">
        <f t="shared" si="14"/>
        <v>0</v>
      </c>
      <c r="AAM22" s="1902">
        <f t="shared" ref="AAM22:ACX22" si="15">IF(AND(AAM$26="End of period",AAM$25="Revenue"),AAM9,0)</f>
        <v>0</v>
      </c>
      <c r="AAN22" s="1902">
        <f t="shared" si="15"/>
        <v>0</v>
      </c>
      <c r="AAO22" s="1902">
        <f t="shared" si="15"/>
        <v>0</v>
      </c>
      <c r="AAP22" s="1902">
        <f t="shared" si="15"/>
        <v>0</v>
      </c>
      <c r="AAQ22" s="1902">
        <f t="shared" si="15"/>
        <v>0</v>
      </c>
      <c r="AAR22" s="1902">
        <f t="shared" si="15"/>
        <v>0</v>
      </c>
      <c r="AAS22" s="1902">
        <f t="shared" si="15"/>
        <v>0</v>
      </c>
      <c r="AAT22" s="1902">
        <f t="shared" si="15"/>
        <v>0</v>
      </c>
      <c r="AAU22" s="1902">
        <f t="shared" si="15"/>
        <v>0</v>
      </c>
      <c r="AAV22" s="1902">
        <f t="shared" si="15"/>
        <v>0</v>
      </c>
      <c r="AAW22" s="1902">
        <f t="shared" si="15"/>
        <v>0</v>
      </c>
      <c r="AAX22" s="1902">
        <f t="shared" si="15"/>
        <v>0</v>
      </c>
      <c r="AAY22" s="1902">
        <f t="shared" si="15"/>
        <v>0</v>
      </c>
      <c r="AAZ22" s="1902">
        <f t="shared" si="15"/>
        <v>0</v>
      </c>
      <c r="ABA22" s="1902">
        <f t="shared" si="15"/>
        <v>0</v>
      </c>
      <c r="ABB22" s="1902">
        <f t="shared" si="15"/>
        <v>0</v>
      </c>
      <c r="ABC22" s="1902">
        <f t="shared" si="15"/>
        <v>0</v>
      </c>
      <c r="ABD22" s="1902">
        <f t="shared" si="15"/>
        <v>0</v>
      </c>
      <c r="ABE22" s="1902">
        <f t="shared" si="15"/>
        <v>0</v>
      </c>
      <c r="ABF22" s="1902">
        <f t="shared" si="15"/>
        <v>0</v>
      </c>
      <c r="ABG22" s="1902">
        <f t="shared" si="15"/>
        <v>0</v>
      </c>
      <c r="ABH22" s="1902">
        <f t="shared" si="15"/>
        <v>0</v>
      </c>
      <c r="ABI22" s="1902">
        <f t="shared" si="15"/>
        <v>0</v>
      </c>
      <c r="ABJ22" s="1902">
        <f t="shared" si="15"/>
        <v>0</v>
      </c>
      <c r="ABK22" s="1902">
        <f t="shared" si="15"/>
        <v>0</v>
      </c>
      <c r="ABL22" s="1902">
        <f t="shared" si="15"/>
        <v>0</v>
      </c>
      <c r="ABM22" s="1902">
        <f t="shared" si="15"/>
        <v>0</v>
      </c>
      <c r="ABN22" s="1902">
        <f t="shared" si="15"/>
        <v>0</v>
      </c>
      <c r="ABO22" s="1902">
        <f t="shared" si="15"/>
        <v>0</v>
      </c>
      <c r="ABP22" s="1902">
        <f t="shared" si="15"/>
        <v>0</v>
      </c>
      <c r="ABQ22" s="1902">
        <f t="shared" si="15"/>
        <v>0</v>
      </c>
      <c r="ABR22" s="1902">
        <f t="shared" si="15"/>
        <v>0</v>
      </c>
      <c r="ABS22" s="1902">
        <f t="shared" si="15"/>
        <v>0</v>
      </c>
      <c r="ABT22" s="1902">
        <f t="shared" si="15"/>
        <v>0</v>
      </c>
      <c r="ABU22" s="1902">
        <f t="shared" si="15"/>
        <v>0</v>
      </c>
      <c r="ABV22" s="1902">
        <f t="shared" si="15"/>
        <v>0</v>
      </c>
      <c r="ABW22" s="1902">
        <f t="shared" si="15"/>
        <v>0</v>
      </c>
      <c r="ABX22" s="1902">
        <f t="shared" si="15"/>
        <v>0</v>
      </c>
      <c r="ABY22" s="1902">
        <f t="shared" si="15"/>
        <v>0</v>
      </c>
      <c r="ABZ22" s="1902">
        <f t="shared" si="15"/>
        <v>0</v>
      </c>
      <c r="ACA22" s="1902">
        <f t="shared" si="15"/>
        <v>0</v>
      </c>
      <c r="ACB22" s="1902">
        <f t="shared" si="15"/>
        <v>0</v>
      </c>
      <c r="ACC22" s="1902">
        <f t="shared" si="15"/>
        <v>0</v>
      </c>
      <c r="ACD22" s="1902">
        <f t="shared" si="15"/>
        <v>0</v>
      </c>
      <c r="ACE22" s="1902">
        <f t="shared" si="15"/>
        <v>0</v>
      </c>
      <c r="ACF22" s="1902">
        <f t="shared" si="15"/>
        <v>0</v>
      </c>
      <c r="ACG22" s="1902">
        <f t="shared" si="15"/>
        <v>0</v>
      </c>
      <c r="ACH22" s="1902">
        <f t="shared" si="15"/>
        <v>0</v>
      </c>
      <c r="ACI22" s="1902">
        <f t="shared" si="15"/>
        <v>0</v>
      </c>
      <c r="ACJ22" s="1902">
        <f t="shared" si="15"/>
        <v>0</v>
      </c>
      <c r="ACK22" s="1902">
        <f t="shared" si="15"/>
        <v>0</v>
      </c>
      <c r="ACL22" s="1902">
        <f t="shared" si="15"/>
        <v>0</v>
      </c>
      <c r="ACM22" s="1902">
        <f t="shared" si="15"/>
        <v>0</v>
      </c>
      <c r="ACN22" s="1902">
        <f t="shared" si="15"/>
        <v>0</v>
      </c>
      <c r="ACO22" s="1902">
        <f t="shared" si="15"/>
        <v>0</v>
      </c>
      <c r="ACP22" s="1902">
        <f t="shared" si="15"/>
        <v>0</v>
      </c>
      <c r="ACQ22" s="1902">
        <f t="shared" si="15"/>
        <v>0</v>
      </c>
      <c r="ACR22" s="1902">
        <f t="shared" si="15"/>
        <v>0</v>
      </c>
      <c r="ACS22" s="1902">
        <f t="shared" si="15"/>
        <v>0</v>
      </c>
      <c r="ACT22" s="1902">
        <f t="shared" si="15"/>
        <v>0</v>
      </c>
      <c r="ACU22" s="1902">
        <f t="shared" si="15"/>
        <v>0</v>
      </c>
      <c r="ACV22" s="1902">
        <f t="shared" si="15"/>
        <v>0</v>
      </c>
      <c r="ACW22" s="1902">
        <f t="shared" si="15"/>
        <v>0</v>
      </c>
      <c r="ACX22" s="1902">
        <f t="shared" si="15"/>
        <v>0</v>
      </c>
      <c r="ACY22" s="1902">
        <f t="shared" ref="ACY22:AFJ22" si="16">IF(AND(ACY$26="End of period",ACY$25="Revenue"),ACY9,0)</f>
        <v>0</v>
      </c>
      <c r="ACZ22" s="1902">
        <f t="shared" si="16"/>
        <v>0</v>
      </c>
      <c r="ADA22" s="1902">
        <f t="shared" si="16"/>
        <v>0</v>
      </c>
      <c r="ADB22" s="1902">
        <f t="shared" si="16"/>
        <v>0</v>
      </c>
      <c r="ADC22" s="1902">
        <f t="shared" si="16"/>
        <v>0</v>
      </c>
      <c r="ADD22" s="1902">
        <f t="shared" si="16"/>
        <v>0</v>
      </c>
      <c r="ADE22" s="1902">
        <f t="shared" si="16"/>
        <v>0</v>
      </c>
      <c r="ADF22" s="1902">
        <f t="shared" si="16"/>
        <v>0</v>
      </c>
      <c r="ADG22" s="1902">
        <f t="shared" si="16"/>
        <v>0</v>
      </c>
      <c r="ADH22" s="1902">
        <f t="shared" si="16"/>
        <v>0</v>
      </c>
      <c r="ADI22" s="1902">
        <f t="shared" si="16"/>
        <v>0</v>
      </c>
      <c r="ADJ22" s="1902">
        <f t="shared" si="16"/>
        <v>0</v>
      </c>
      <c r="ADK22" s="1902">
        <f t="shared" si="16"/>
        <v>0</v>
      </c>
      <c r="ADL22" s="1902">
        <f t="shared" si="16"/>
        <v>0</v>
      </c>
      <c r="ADM22" s="1902">
        <f t="shared" si="16"/>
        <v>0</v>
      </c>
      <c r="ADN22" s="1902">
        <f t="shared" si="16"/>
        <v>0</v>
      </c>
      <c r="ADO22" s="1902">
        <f t="shared" si="16"/>
        <v>0</v>
      </c>
      <c r="ADP22" s="1902">
        <f t="shared" si="16"/>
        <v>0</v>
      </c>
      <c r="ADQ22" s="1902">
        <f t="shared" si="16"/>
        <v>0</v>
      </c>
      <c r="ADR22" s="1902">
        <f t="shared" si="16"/>
        <v>0</v>
      </c>
      <c r="ADS22" s="1902">
        <f t="shared" si="16"/>
        <v>0</v>
      </c>
      <c r="ADT22" s="1902">
        <f t="shared" si="16"/>
        <v>0</v>
      </c>
      <c r="ADU22" s="1902">
        <f t="shared" si="16"/>
        <v>0</v>
      </c>
      <c r="ADV22" s="1902">
        <f t="shared" si="16"/>
        <v>0</v>
      </c>
      <c r="ADW22" s="1902">
        <f t="shared" si="16"/>
        <v>0</v>
      </c>
      <c r="ADX22" s="1902">
        <f t="shared" si="16"/>
        <v>0</v>
      </c>
      <c r="ADY22" s="1902">
        <f t="shared" si="16"/>
        <v>0</v>
      </c>
      <c r="ADZ22" s="1902">
        <f t="shared" si="16"/>
        <v>0</v>
      </c>
      <c r="AEA22" s="1902">
        <f t="shared" si="16"/>
        <v>0</v>
      </c>
      <c r="AEB22" s="1902">
        <f t="shared" si="16"/>
        <v>0</v>
      </c>
      <c r="AEC22" s="1902">
        <f t="shared" si="16"/>
        <v>0</v>
      </c>
      <c r="AED22" s="1902">
        <f t="shared" si="16"/>
        <v>0</v>
      </c>
      <c r="AEE22" s="1902">
        <f t="shared" si="16"/>
        <v>0</v>
      </c>
      <c r="AEF22" s="1902">
        <f t="shared" si="16"/>
        <v>0</v>
      </c>
      <c r="AEG22" s="1902">
        <f t="shared" si="16"/>
        <v>0</v>
      </c>
      <c r="AEH22" s="1902">
        <f t="shared" si="16"/>
        <v>0</v>
      </c>
      <c r="AEI22" s="1902">
        <f t="shared" si="16"/>
        <v>0</v>
      </c>
      <c r="AEJ22" s="1902">
        <f t="shared" si="16"/>
        <v>0</v>
      </c>
      <c r="AEK22" s="1902">
        <f t="shared" si="16"/>
        <v>0</v>
      </c>
      <c r="AEL22" s="1902">
        <f t="shared" si="16"/>
        <v>0</v>
      </c>
      <c r="AEM22" s="1902">
        <f t="shared" si="16"/>
        <v>0</v>
      </c>
      <c r="AEN22" s="1902">
        <f t="shared" si="16"/>
        <v>0</v>
      </c>
      <c r="AEO22" s="1902">
        <f t="shared" si="16"/>
        <v>0</v>
      </c>
      <c r="AEP22" s="1902">
        <f t="shared" si="16"/>
        <v>0</v>
      </c>
      <c r="AEQ22" s="1902">
        <f t="shared" si="16"/>
        <v>0</v>
      </c>
      <c r="AER22" s="1902">
        <f t="shared" si="16"/>
        <v>0</v>
      </c>
      <c r="AES22" s="1902">
        <f t="shared" si="16"/>
        <v>0</v>
      </c>
      <c r="AET22" s="1902">
        <f t="shared" si="16"/>
        <v>0</v>
      </c>
      <c r="AEU22" s="1902">
        <f t="shared" si="16"/>
        <v>0</v>
      </c>
      <c r="AEV22" s="1902">
        <f t="shared" si="16"/>
        <v>0</v>
      </c>
      <c r="AEW22" s="1902">
        <f t="shared" si="16"/>
        <v>0</v>
      </c>
      <c r="AEX22" s="1902">
        <f t="shared" si="16"/>
        <v>0</v>
      </c>
      <c r="AEY22" s="1902">
        <f t="shared" si="16"/>
        <v>0</v>
      </c>
      <c r="AEZ22" s="1902">
        <f t="shared" si="16"/>
        <v>0</v>
      </c>
      <c r="AFA22" s="1902">
        <f t="shared" si="16"/>
        <v>0</v>
      </c>
      <c r="AFB22" s="1902">
        <f t="shared" si="16"/>
        <v>0</v>
      </c>
      <c r="AFC22" s="1902">
        <f t="shared" si="16"/>
        <v>0</v>
      </c>
      <c r="AFD22" s="1902">
        <f t="shared" si="16"/>
        <v>0</v>
      </c>
      <c r="AFE22" s="1902">
        <f t="shared" si="16"/>
        <v>0</v>
      </c>
      <c r="AFF22" s="1902">
        <f t="shared" si="16"/>
        <v>0</v>
      </c>
      <c r="AFG22" s="1902">
        <f t="shared" si="16"/>
        <v>0</v>
      </c>
      <c r="AFH22" s="1902">
        <f t="shared" si="16"/>
        <v>0</v>
      </c>
      <c r="AFI22" s="1902">
        <f t="shared" si="16"/>
        <v>0</v>
      </c>
      <c r="AFJ22" s="1902">
        <f t="shared" si="16"/>
        <v>0</v>
      </c>
      <c r="AFK22" s="1902">
        <f t="shared" ref="AFK22:AHV22" si="17">IF(AND(AFK$26="End of period",AFK$25="Revenue"),AFK9,0)</f>
        <v>0</v>
      </c>
      <c r="AFL22" s="1902">
        <f t="shared" si="17"/>
        <v>0</v>
      </c>
      <c r="AFM22" s="1902">
        <f t="shared" si="17"/>
        <v>0</v>
      </c>
      <c r="AFN22" s="1902">
        <f t="shared" si="17"/>
        <v>0</v>
      </c>
      <c r="AFO22" s="1902">
        <f t="shared" si="17"/>
        <v>0</v>
      </c>
      <c r="AFP22" s="1902">
        <f t="shared" si="17"/>
        <v>0</v>
      </c>
      <c r="AFQ22" s="1902">
        <f t="shared" si="17"/>
        <v>0</v>
      </c>
      <c r="AFR22" s="1902">
        <f t="shared" si="17"/>
        <v>0</v>
      </c>
      <c r="AFS22" s="1902">
        <f t="shared" si="17"/>
        <v>0</v>
      </c>
      <c r="AFT22" s="1902">
        <f t="shared" si="17"/>
        <v>0</v>
      </c>
      <c r="AFU22" s="1902">
        <f t="shared" si="17"/>
        <v>0</v>
      </c>
      <c r="AFV22" s="1902">
        <f t="shared" si="17"/>
        <v>0</v>
      </c>
      <c r="AFW22" s="1902">
        <f t="shared" si="17"/>
        <v>0</v>
      </c>
      <c r="AFX22" s="1902">
        <f t="shared" si="17"/>
        <v>0</v>
      </c>
      <c r="AFY22" s="1902">
        <f t="shared" si="17"/>
        <v>0</v>
      </c>
      <c r="AFZ22" s="1902">
        <f t="shared" si="17"/>
        <v>0</v>
      </c>
      <c r="AGA22" s="1902">
        <f t="shared" si="17"/>
        <v>0</v>
      </c>
      <c r="AGB22" s="1902">
        <f t="shared" si="17"/>
        <v>0</v>
      </c>
      <c r="AGC22" s="1902">
        <f t="shared" si="17"/>
        <v>0</v>
      </c>
      <c r="AGD22" s="1902">
        <f t="shared" si="17"/>
        <v>0</v>
      </c>
      <c r="AGE22" s="1902">
        <f t="shared" si="17"/>
        <v>0</v>
      </c>
      <c r="AGF22" s="1902">
        <f t="shared" si="17"/>
        <v>0</v>
      </c>
      <c r="AGG22" s="1902">
        <f t="shared" si="17"/>
        <v>0</v>
      </c>
      <c r="AGH22" s="1902">
        <f t="shared" si="17"/>
        <v>0</v>
      </c>
      <c r="AGI22" s="1902">
        <f t="shared" si="17"/>
        <v>0</v>
      </c>
      <c r="AGJ22" s="1902">
        <f t="shared" si="17"/>
        <v>0</v>
      </c>
      <c r="AGK22" s="1902">
        <f t="shared" si="17"/>
        <v>0</v>
      </c>
      <c r="AGL22" s="1902">
        <f t="shared" si="17"/>
        <v>0</v>
      </c>
      <c r="AGM22" s="1902">
        <f t="shared" si="17"/>
        <v>0</v>
      </c>
      <c r="AGN22" s="1902">
        <f t="shared" si="17"/>
        <v>0</v>
      </c>
      <c r="AGO22" s="1902">
        <f t="shared" si="17"/>
        <v>0</v>
      </c>
      <c r="AGP22" s="1902">
        <f t="shared" si="17"/>
        <v>0</v>
      </c>
      <c r="AGQ22" s="1902">
        <f t="shared" si="17"/>
        <v>0</v>
      </c>
      <c r="AGR22" s="1902">
        <f t="shared" si="17"/>
        <v>0</v>
      </c>
      <c r="AGS22" s="1902">
        <f t="shared" si="17"/>
        <v>0</v>
      </c>
      <c r="AGT22" s="1902">
        <f t="shared" si="17"/>
        <v>0</v>
      </c>
      <c r="AGU22" s="1902">
        <f t="shared" si="17"/>
        <v>0</v>
      </c>
      <c r="AGV22" s="1902">
        <f t="shared" si="17"/>
        <v>0</v>
      </c>
      <c r="AGW22" s="1902">
        <f t="shared" si="17"/>
        <v>0</v>
      </c>
      <c r="AGX22" s="1902">
        <f t="shared" si="17"/>
        <v>0</v>
      </c>
      <c r="AGY22" s="1902">
        <f t="shared" si="17"/>
        <v>0</v>
      </c>
      <c r="AGZ22" s="1902">
        <f t="shared" si="17"/>
        <v>0</v>
      </c>
      <c r="AHA22" s="1902">
        <f t="shared" si="17"/>
        <v>0</v>
      </c>
      <c r="AHB22" s="1902">
        <f t="shared" si="17"/>
        <v>0</v>
      </c>
      <c r="AHC22" s="1902">
        <f t="shared" si="17"/>
        <v>0</v>
      </c>
      <c r="AHD22" s="1902">
        <f t="shared" si="17"/>
        <v>0</v>
      </c>
      <c r="AHE22" s="1902">
        <f t="shared" si="17"/>
        <v>0</v>
      </c>
      <c r="AHF22" s="1902">
        <f t="shared" si="17"/>
        <v>0</v>
      </c>
      <c r="AHG22" s="1902">
        <f t="shared" si="17"/>
        <v>0</v>
      </c>
      <c r="AHH22" s="1902">
        <f t="shared" si="17"/>
        <v>0</v>
      </c>
      <c r="AHI22" s="1902">
        <f t="shared" si="17"/>
        <v>0</v>
      </c>
      <c r="AHJ22" s="1902">
        <f t="shared" si="17"/>
        <v>0</v>
      </c>
      <c r="AHK22" s="1902">
        <f t="shared" si="17"/>
        <v>0</v>
      </c>
      <c r="AHL22" s="1902">
        <f t="shared" si="17"/>
        <v>0</v>
      </c>
      <c r="AHM22" s="1902">
        <f t="shared" si="17"/>
        <v>0</v>
      </c>
      <c r="AHN22" s="1902">
        <f t="shared" si="17"/>
        <v>0</v>
      </c>
      <c r="AHO22" s="1902">
        <f t="shared" si="17"/>
        <v>0</v>
      </c>
      <c r="AHP22" s="1902">
        <f t="shared" si="17"/>
        <v>0</v>
      </c>
      <c r="AHQ22" s="1902">
        <f t="shared" si="17"/>
        <v>0</v>
      </c>
      <c r="AHR22" s="1902">
        <f t="shared" si="17"/>
        <v>0</v>
      </c>
      <c r="AHS22" s="1902">
        <f t="shared" si="17"/>
        <v>0</v>
      </c>
      <c r="AHT22" s="1902">
        <f t="shared" si="17"/>
        <v>0</v>
      </c>
      <c r="AHU22" s="1902">
        <f t="shared" si="17"/>
        <v>0</v>
      </c>
      <c r="AHV22" s="1902">
        <f t="shared" si="17"/>
        <v>0</v>
      </c>
      <c r="AHW22" s="1902">
        <f t="shared" ref="AHW22:AKH22" si="18">IF(AND(AHW$26="End of period",AHW$25="Revenue"),AHW9,0)</f>
        <v>0</v>
      </c>
      <c r="AHX22" s="1902">
        <f t="shared" si="18"/>
        <v>0</v>
      </c>
      <c r="AHY22" s="1902">
        <f t="shared" si="18"/>
        <v>0</v>
      </c>
      <c r="AHZ22" s="1902">
        <f t="shared" si="18"/>
        <v>0</v>
      </c>
      <c r="AIA22" s="1902">
        <f t="shared" si="18"/>
        <v>0</v>
      </c>
      <c r="AIB22" s="1902">
        <f t="shared" si="18"/>
        <v>0</v>
      </c>
      <c r="AIC22" s="1902">
        <f t="shared" si="18"/>
        <v>0</v>
      </c>
      <c r="AID22" s="1902">
        <f t="shared" si="18"/>
        <v>0</v>
      </c>
      <c r="AIE22" s="1902">
        <f t="shared" si="18"/>
        <v>0</v>
      </c>
      <c r="AIF22" s="1902">
        <f t="shared" si="18"/>
        <v>0</v>
      </c>
      <c r="AIG22" s="1902">
        <f t="shared" si="18"/>
        <v>0</v>
      </c>
      <c r="AIH22" s="1902">
        <f t="shared" si="18"/>
        <v>0</v>
      </c>
      <c r="AII22" s="1902">
        <f t="shared" si="18"/>
        <v>0</v>
      </c>
      <c r="AIJ22" s="1902">
        <f t="shared" si="18"/>
        <v>0</v>
      </c>
      <c r="AIK22" s="1902">
        <f t="shared" si="18"/>
        <v>0</v>
      </c>
      <c r="AIL22" s="1902">
        <f t="shared" si="18"/>
        <v>0</v>
      </c>
      <c r="AIM22" s="1902">
        <f t="shared" si="18"/>
        <v>0</v>
      </c>
      <c r="AIN22" s="1902">
        <f t="shared" si="18"/>
        <v>0</v>
      </c>
      <c r="AIO22" s="1902">
        <f t="shared" si="18"/>
        <v>0</v>
      </c>
      <c r="AIP22" s="1902">
        <f t="shared" si="18"/>
        <v>0</v>
      </c>
      <c r="AIQ22" s="1902">
        <f t="shared" si="18"/>
        <v>0</v>
      </c>
      <c r="AIR22" s="1902">
        <f t="shared" si="18"/>
        <v>0</v>
      </c>
      <c r="AIS22" s="1902">
        <f t="shared" si="18"/>
        <v>0</v>
      </c>
      <c r="AIT22" s="1902">
        <f t="shared" si="18"/>
        <v>0</v>
      </c>
      <c r="AIU22" s="1902">
        <f t="shared" si="18"/>
        <v>0</v>
      </c>
      <c r="AIV22" s="1902">
        <f t="shared" si="18"/>
        <v>0</v>
      </c>
      <c r="AIW22" s="1902">
        <f t="shared" si="18"/>
        <v>0</v>
      </c>
      <c r="AIX22" s="1902">
        <f t="shared" si="18"/>
        <v>0</v>
      </c>
      <c r="AIY22" s="1902">
        <f t="shared" si="18"/>
        <v>0</v>
      </c>
      <c r="AIZ22" s="1902">
        <f t="shared" si="18"/>
        <v>0</v>
      </c>
      <c r="AJA22" s="1902">
        <f t="shared" si="18"/>
        <v>0</v>
      </c>
      <c r="AJB22" s="1902">
        <f t="shared" si="18"/>
        <v>0</v>
      </c>
      <c r="AJC22" s="1902">
        <f t="shared" si="18"/>
        <v>0</v>
      </c>
      <c r="AJD22" s="1902">
        <f t="shared" si="18"/>
        <v>0</v>
      </c>
      <c r="AJE22" s="1902">
        <f t="shared" si="18"/>
        <v>0</v>
      </c>
      <c r="AJF22" s="1902">
        <f t="shared" si="18"/>
        <v>0</v>
      </c>
      <c r="AJG22" s="1902">
        <f t="shared" si="18"/>
        <v>0</v>
      </c>
      <c r="AJH22" s="1902">
        <f t="shared" si="18"/>
        <v>0</v>
      </c>
      <c r="AJI22" s="1902">
        <f t="shared" si="18"/>
        <v>0</v>
      </c>
      <c r="AJJ22" s="1902">
        <f t="shared" si="18"/>
        <v>0</v>
      </c>
      <c r="AJK22" s="1902">
        <f t="shared" si="18"/>
        <v>0</v>
      </c>
      <c r="AJL22" s="1902">
        <f t="shared" si="18"/>
        <v>0</v>
      </c>
      <c r="AJM22" s="1902">
        <f t="shared" si="18"/>
        <v>0</v>
      </c>
      <c r="AJN22" s="1902">
        <f t="shared" si="18"/>
        <v>0</v>
      </c>
      <c r="AJO22" s="1902">
        <f t="shared" si="18"/>
        <v>0</v>
      </c>
      <c r="AJP22" s="1902">
        <f t="shared" si="18"/>
        <v>0</v>
      </c>
      <c r="AJQ22" s="1902">
        <f t="shared" si="18"/>
        <v>0</v>
      </c>
      <c r="AJR22" s="1902">
        <f t="shared" si="18"/>
        <v>0</v>
      </c>
      <c r="AJS22" s="1902">
        <f t="shared" si="18"/>
        <v>0</v>
      </c>
      <c r="AJT22" s="1902">
        <f t="shared" si="18"/>
        <v>0</v>
      </c>
      <c r="AJU22" s="1902">
        <f t="shared" si="18"/>
        <v>0</v>
      </c>
      <c r="AJV22" s="1902">
        <f t="shared" si="18"/>
        <v>0</v>
      </c>
      <c r="AJW22" s="1902">
        <f t="shared" si="18"/>
        <v>0</v>
      </c>
      <c r="AJX22" s="1902">
        <f t="shared" si="18"/>
        <v>0</v>
      </c>
      <c r="AJY22" s="1902">
        <f t="shared" si="18"/>
        <v>0</v>
      </c>
      <c r="AJZ22" s="1902">
        <f t="shared" si="18"/>
        <v>0</v>
      </c>
      <c r="AKA22" s="1902">
        <f t="shared" si="18"/>
        <v>0</v>
      </c>
      <c r="AKB22" s="1902">
        <f t="shared" si="18"/>
        <v>0</v>
      </c>
      <c r="AKC22" s="1902">
        <f t="shared" si="18"/>
        <v>0</v>
      </c>
      <c r="AKD22" s="1902">
        <f t="shared" si="18"/>
        <v>0</v>
      </c>
      <c r="AKE22" s="1902">
        <f t="shared" si="18"/>
        <v>0</v>
      </c>
      <c r="AKF22" s="1902">
        <f t="shared" si="18"/>
        <v>0</v>
      </c>
      <c r="AKG22" s="1902">
        <f t="shared" si="18"/>
        <v>0</v>
      </c>
      <c r="AKH22" s="1902">
        <f t="shared" si="18"/>
        <v>0</v>
      </c>
      <c r="AKI22" s="1902">
        <f t="shared" ref="AKI22:AMT22" si="19">IF(AND(AKI$26="End of period",AKI$25="Revenue"),AKI9,0)</f>
        <v>0</v>
      </c>
      <c r="AKJ22" s="1902">
        <f t="shared" si="19"/>
        <v>0</v>
      </c>
      <c r="AKK22" s="1902">
        <f t="shared" si="19"/>
        <v>0</v>
      </c>
      <c r="AKL22" s="1902">
        <f t="shared" si="19"/>
        <v>0</v>
      </c>
      <c r="AKM22" s="1902">
        <f t="shared" si="19"/>
        <v>0</v>
      </c>
      <c r="AKN22" s="1902">
        <f t="shared" si="19"/>
        <v>0</v>
      </c>
      <c r="AKO22" s="1902">
        <f t="shared" si="19"/>
        <v>0</v>
      </c>
      <c r="AKP22" s="1902">
        <f t="shared" si="19"/>
        <v>0</v>
      </c>
      <c r="AKQ22" s="1902">
        <f t="shared" si="19"/>
        <v>0</v>
      </c>
      <c r="AKR22" s="1902">
        <f t="shared" si="19"/>
        <v>0</v>
      </c>
      <c r="AKS22" s="1902">
        <f t="shared" si="19"/>
        <v>0</v>
      </c>
      <c r="AKT22" s="1902">
        <f t="shared" si="19"/>
        <v>0</v>
      </c>
      <c r="AKU22" s="1902">
        <f t="shared" si="19"/>
        <v>0</v>
      </c>
      <c r="AKV22" s="1902">
        <f t="shared" si="19"/>
        <v>0</v>
      </c>
      <c r="AKW22" s="1902">
        <f t="shared" si="19"/>
        <v>0</v>
      </c>
      <c r="AKX22" s="1902">
        <f t="shared" si="19"/>
        <v>0</v>
      </c>
      <c r="AKY22" s="1902">
        <f t="shared" si="19"/>
        <v>0</v>
      </c>
      <c r="AKZ22" s="1902">
        <f t="shared" si="19"/>
        <v>0</v>
      </c>
      <c r="ALA22" s="1902">
        <f t="shared" si="19"/>
        <v>0</v>
      </c>
      <c r="ALB22" s="1902">
        <f t="shared" si="19"/>
        <v>0</v>
      </c>
      <c r="ALC22" s="1902">
        <f t="shared" si="19"/>
        <v>0</v>
      </c>
      <c r="ALD22" s="1902">
        <f t="shared" si="19"/>
        <v>0</v>
      </c>
      <c r="ALE22" s="1902">
        <f t="shared" si="19"/>
        <v>0</v>
      </c>
      <c r="ALF22" s="1902">
        <f t="shared" si="19"/>
        <v>0</v>
      </c>
      <c r="ALG22" s="1902">
        <f t="shared" si="19"/>
        <v>0</v>
      </c>
      <c r="ALH22" s="1902">
        <f t="shared" si="19"/>
        <v>0</v>
      </c>
      <c r="ALI22" s="1902">
        <f t="shared" si="19"/>
        <v>0</v>
      </c>
      <c r="ALJ22" s="1902">
        <f t="shared" si="19"/>
        <v>0</v>
      </c>
      <c r="ALK22" s="1902">
        <f t="shared" si="19"/>
        <v>0</v>
      </c>
      <c r="ALL22" s="1902">
        <f t="shared" si="19"/>
        <v>0</v>
      </c>
      <c r="ALM22" s="1902">
        <f t="shared" si="19"/>
        <v>0</v>
      </c>
      <c r="ALN22" s="1902">
        <f t="shared" si="19"/>
        <v>0</v>
      </c>
      <c r="ALO22" s="1902">
        <f t="shared" si="19"/>
        <v>0</v>
      </c>
      <c r="ALP22" s="1902">
        <f t="shared" si="19"/>
        <v>0</v>
      </c>
      <c r="ALQ22" s="1902">
        <f t="shared" si="19"/>
        <v>0</v>
      </c>
      <c r="ALR22" s="1902">
        <f t="shared" si="19"/>
        <v>0</v>
      </c>
      <c r="ALS22" s="1902">
        <f t="shared" si="19"/>
        <v>0</v>
      </c>
      <c r="ALT22" s="1902">
        <f t="shared" si="19"/>
        <v>0</v>
      </c>
      <c r="ALU22" s="1902">
        <f t="shared" si="19"/>
        <v>0</v>
      </c>
      <c r="ALV22" s="1902">
        <f t="shared" si="19"/>
        <v>0</v>
      </c>
      <c r="ALW22" s="1902">
        <f t="shared" si="19"/>
        <v>0</v>
      </c>
      <c r="ALX22" s="1902">
        <f t="shared" si="19"/>
        <v>0</v>
      </c>
      <c r="ALY22" s="1902">
        <f t="shared" si="19"/>
        <v>0</v>
      </c>
      <c r="ALZ22" s="1902">
        <f t="shared" si="19"/>
        <v>0</v>
      </c>
      <c r="AMA22" s="1902">
        <f t="shared" si="19"/>
        <v>0</v>
      </c>
      <c r="AMB22" s="1902">
        <f t="shared" si="19"/>
        <v>0</v>
      </c>
      <c r="AMC22" s="1902">
        <f t="shared" si="19"/>
        <v>0</v>
      </c>
      <c r="AMD22" s="1902">
        <f t="shared" si="19"/>
        <v>0</v>
      </c>
      <c r="AME22" s="1902">
        <f t="shared" si="19"/>
        <v>0</v>
      </c>
      <c r="AMF22" s="1902">
        <f t="shared" si="19"/>
        <v>0</v>
      </c>
      <c r="AMG22" s="1902">
        <f t="shared" si="19"/>
        <v>0</v>
      </c>
      <c r="AMH22" s="1902">
        <f t="shared" si="19"/>
        <v>0</v>
      </c>
      <c r="AMI22" s="1902">
        <f t="shared" si="19"/>
        <v>0</v>
      </c>
      <c r="AMJ22" s="1902">
        <f t="shared" si="19"/>
        <v>0</v>
      </c>
      <c r="AMK22" s="1902">
        <f t="shared" si="19"/>
        <v>0</v>
      </c>
      <c r="AML22" s="1902">
        <f t="shared" si="19"/>
        <v>0</v>
      </c>
      <c r="AMM22" s="1902">
        <f t="shared" si="19"/>
        <v>0</v>
      </c>
      <c r="AMN22" s="1902">
        <f t="shared" si="19"/>
        <v>0</v>
      </c>
      <c r="AMO22" s="1902">
        <f t="shared" si="19"/>
        <v>0</v>
      </c>
      <c r="AMP22" s="1902">
        <f t="shared" si="19"/>
        <v>0</v>
      </c>
      <c r="AMQ22" s="1902">
        <f t="shared" si="19"/>
        <v>0</v>
      </c>
      <c r="AMR22" s="1902">
        <f t="shared" si="19"/>
        <v>0</v>
      </c>
      <c r="AMS22" s="1902">
        <f t="shared" si="19"/>
        <v>0</v>
      </c>
      <c r="AMT22" s="1902">
        <f t="shared" si="19"/>
        <v>0</v>
      </c>
      <c r="AMU22" s="1902">
        <f t="shared" ref="AMU22:APF22" si="20">IF(AND(AMU$26="End of period",AMU$25="Revenue"),AMU9,0)</f>
        <v>0</v>
      </c>
      <c r="AMV22" s="1902">
        <f t="shared" si="20"/>
        <v>0</v>
      </c>
      <c r="AMW22" s="1902">
        <f t="shared" si="20"/>
        <v>0</v>
      </c>
      <c r="AMX22" s="1902">
        <f t="shared" si="20"/>
        <v>0</v>
      </c>
      <c r="AMY22" s="1902">
        <f t="shared" si="20"/>
        <v>0</v>
      </c>
      <c r="AMZ22" s="1902">
        <f t="shared" si="20"/>
        <v>0</v>
      </c>
      <c r="ANA22" s="1902">
        <f t="shared" si="20"/>
        <v>0</v>
      </c>
      <c r="ANB22" s="1902">
        <f t="shared" si="20"/>
        <v>0</v>
      </c>
      <c r="ANC22" s="1902">
        <f t="shared" si="20"/>
        <v>0</v>
      </c>
      <c r="AND22" s="1902">
        <f t="shared" si="20"/>
        <v>0</v>
      </c>
      <c r="ANE22" s="1902">
        <f t="shared" si="20"/>
        <v>0</v>
      </c>
      <c r="ANF22" s="1902">
        <f t="shared" si="20"/>
        <v>0</v>
      </c>
      <c r="ANG22" s="1902">
        <f t="shared" si="20"/>
        <v>0</v>
      </c>
      <c r="ANH22" s="1902">
        <f t="shared" si="20"/>
        <v>0</v>
      </c>
      <c r="ANI22" s="1902">
        <f t="shared" si="20"/>
        <v>0</v>
      </c>
      <c r="ANJ22" s="1902">
        <f t="shared" si="20"/>
        <v>0</v>
      </c>
      <c r="ANK22" s="1902">
        <f t="shared" si="20"/>
        <v>0</v>
      </c>
      <c r="ANL22" s="1902">
        <f t="shared" si="20"/>
        <v>0</v>
      </c>
      <c r="ANM22" s="1902">
        <f t="shared" si="20"/>
        <v>0</v>
      </c>
      <c r="ANN22" s="1902">
        <f t="shared" si="20"/>
        <v>0</v>
      </c>
      <c r="ANO22" s="1902">
        <f t="shared" si="20"/>
        <v>0</v>
      </c>
      <c r="ANP22" s="1902">
        <f t="shared" si="20"/>
        <v>0</v>
      </c>
      <c r="ANQ22" s="1902">
        <f t="shared" si="20"/>
        <v>0</v>
      </c>
      <c r="ANR22" s="1902">
        <f t="shared" si="20"/>
        <v>0</v>
      </c>
      <c r="ANS22" s="1902">
        <f t="shared" si="20"/>
        <v>0</v>
      </c>
      <c r="ANT22" s="1902">
        <f t="shared" si="20"/>
        <v>0</v>
      </c>
      <c r="ANU22" s="1902">
        <f t="shared" si="20"/>
        <v>0</v>
      </c>
      <c r="ANV22" s="1902">
        <f t="shared" si="20"/>
        <v>0</v>
      </c>
      <c r="ANW22" s="1902">
        <f t="shared" si="20"/>
        <v>0</v>
      </c>
      <c r="ANX22" s="1902">
        <f t="shared" si="20"/>
        <v>0</v>
      </c>
      <c r="ANY22" s="1902">
        <f t="shared" si="20"/>
        <v>0</v>
      </c>
      <c r="ANZ22" s="1902">
        <f t="shared" si="20"/>
        <v>0</v>
      </c>
      <c r="AOA22" s="1902">
        <f t="shared" si="20"/>
        <v>0</v>
      </c>
      <c r="AOB22" s="1902">
        <f t="shared" si="20"/>
        <v>0</v>
      </c>
      <c r="AOC22" s="1902">
        <f t="shared" si="20"/>
        <v>0</v>
      </c>
      <c r="AOD22" s="1902">
        <f t="shared" si="20"/>
        <v>0</v>
      </c>
      <c r="AOE22" s="1902">
        <f t="shared" si="20"/>
        <v>0</v>
      </c>
      <c r="AOF22" s="1902">
        <f t="shared" si="20"/>
        <v>0</v>
      </c>
      <c r="AOG22" s="1902">
        <f t="shared" si="20"/>
        <v>0</v>
      </c>
      <c r="AOH22" s="1902">
        <f t="shared" si="20"/>
        <v>0</v>
      </c>
      <c r="AOI22" s="1902">
        <f t="shared" si="20"/>
        <v>0</v>
      </c>
      <c r="AOJ22" s="1902">
        <f t="shared" si="20"/>
        <v>0</v>
      </c>
      <c r="AOK22" s="1902">
        <f t="shared" si="20"/>
        <v>0</v>
      </c>
      <c r="AOL22" s="1902">
        <f t="shared" si="20"/>
        <v>0</v>
      </c>
      <c r="AOM22" s="1902">
        <f t="shared" si="20"/>
        <v>0</v>
      </c>
      <c r="AON22" s="1902">
        <f t="shared" si="20"/>
        <v>0</v>
      </c>
      <c r="AOO22" s="1902">
        <f t="shared" si="20"/>
        <v>0</v>
      </c>
      <c r="AOP22" s="1902">
        <f t="shared" si="20"/>
        <v>0</v>
      </c>
      <c r="AOQ22" s="1902">
        <f t="shared" si="20"/>
        <v>0</v>
      </c>
      <c r="AOR22" s="1902">
        <f t="shared" si="20"/>
        <v>0</v>
      </c>
      <c r="AOS22" s="1902">
        <f t="shared" si="20"/>
        <v>0</v>
      </c>
      <c r="AOT22" s="1902">
        <f t="shared" si="20"/>
        <v>0</v>
      </c>
      <c r="AOU22" s="1902">
        <f t="shared" si="20"/>
        <v>0</v>
      </c>
      <c r="AOV22" s="1902">
        <f t="shared" si="20"/>
        <v>0</v>
      </c>
      <c r="AOW22" s="1902">
        <f t="shared" si="20"/>
        <v>0</v>
      </c>
      <c r="AOX22" s="1902">
        <f t="shared" si="20"/>
        <v>0</v>
      </c>
      <c r="AOY22" s="1902">
        <f t="shared" si="20"/>
        <v>0</v>
      </c>
      <c r="AOZ22" s="1902">
        <f t="shared" si="20"/>
        <v>0</v>
      </c>
      <c r="APA22" s="1902">
        <f t="shared" si="20"/>
        <v>0</v>
      </c>
      <c r="APB22" s="1902">
        <f t="shared" si="20"/>
        <v>0</v>
      </c>
      <c r="APC22" s="1902">
        <f t="shared" si="20"/>
        <v>0</v>
      </c>
      <c r="APD22" s="1902">
        <f t="shared" si="20"/>
        <v>0</v>
      </c>
      <c r="APE22" s="1902">
        <f t="shared" si="20"/>
        <v>0</v>
      </c>
      <c r="APF22" s="1902">
        <f t="shared" si="20"/>
        <v>0</v>
      </c>
      <c r="APG22" s="1902">
        <f t="shared" ref="APG22:ARR22" si="21">IF(AND(APG$26="End of period",APG$25="Revenue"),APG9,0)</f>
        <v>0</v>
      </c>
      <c r="APH22" s="1902">
        <f t="shared" si="21"/>
        <v>0</v>
      </c>
      <c r="API22" s="1902">
        <f t="shared" si="21"/>
        <v>0</v>
      </c>
      <c r="APJ22" s="1902">
        <f t="shared" si="21"/>
        <v>0</v>
      </c>
      <c r="APK22" s="1902">
        <f t="shared" si="21"/>
        <v>0</v>
      </c>
      <c r="APL22" s="1902">
        <f t="shared" si="21"/>
        <v>0</v>
      </c>
      <c r="APM22" s="1902">
        <f t="shared" si="21"/>
        <v>0</v>
      </c>
      <c r="APN22" s="1902">
        <f t="shared" si="21"/>
        <v>0</v>
      </c>
      <c r="APO22" s="1902">
        <f t="shared" si="21"/>
        <v>0</v>
      </c>
      <c r="APP22" s="1902">
        <f t="shared" si="21"/>
        <v>0</v>
      </c>
      <c r="APQ22" s="1902">
        <f t="shared" si="21"/>
        <v>0</v>
      </c>
      <c r="APR22" s="1902">
        <f t="shared" si="21"/>
        <v>0</v>
      </c>
      <c r="APS22" s="1902">
        <f t="shared" si="21"/>
        <v>0</v>
      </c>
      <c r="APT22" s="1902">
        <f t="shared" si="21"/>
        <v>0</v>
      </c>
      <c r="APU22" s="1902">
        <f t="shared" si="21"/>
        <v>0</v>
      </c>
      <c r="APV22" s="1902">
        <f t="shared" si="21"/>
        <v>0</v>
      </c>
      <c r="APW22" s="1902">
        <f t="shared" si="21"/>
        <v>0</v>
      </c>
      <c r="APX22" s="1902">
        <f t="shared" si="21"/>
        <v>0</v>
      </c>
      <c r="APY22" s="1902">
        <f t="shared" si="21"/>
        <v>0</v>
      </c>
      <c r="APZ22" s="1902">
        <f t="shared" si="21"/>
        <v>0</v>
      </c>
      <c r="AQA22" s="1902">
        <f t="shared" si="21"/>
        <v>0</v>
      </c>
      <c r="AQB22" s="1902">
        <f t="shared" si="21"/>
        <v>0</v>
      </c>
      <c r="AQC22" s="1902">
        <f t="shared" si="21"/>
        <v>0</v>
      </c>
      <c r="AQD22" s="1902">
        <f t="shared" si="21"/>
        <v>0</v>
      </c>
      <c r="AQE22" s="1902">
        <f t="shared" si="21"/>
        <v>0</v>
      </c>
      <c r="AQF22" s="1902">
        <f t="shared" si="21"/>
        <v>0</v>
      </c>
      <c r="AQG22" s="1902">
        <f t="shared" si="21"/>
        <v>0</v>
      </c>
      <c r="AQH22" s="1902">
        <f t="shared" si="21"/>
        <v>0</v>
      </c>
      <c r="AQI22" s="1902">
        <f t="shared" si="21"/>
        <v>0</v>
      </c>
      <c r="AQJ22" s="1902">
        <f t="shared" si="21"/>
        <v>0</v>
      </c>
      <c r="AQK22" s="1902">
        <f t="shared" si="21"/>
        <v>0</v>
      </c>
      <c r="AQL22" s="1902">
        <f t="shared" si="21"/>
        <v>0</v>
      </c>
      <c r="AQM22" s="1902">
        <f t="shared" si="21"/>
        <v>0</v>
      </c>
      <c r="AQN22" s="1902">
        <f t="shared" si="21"/>
        <v>0</v>
      </c>
      <c r="AQO22" s="1902">
        <f t="shared" si="21"/>
        <v>0</v>
      </c>
      <c r="AQP22" s="1902">
        <f t="shared" si="21"/>
        <v>0</v>
      </c>
      <c r="AQQ22" s="1902">
        <f t="shared" si="21"/>
        <v>0</v>
      </c>
      <c r="AQR22" s="1902">
        <f t="shared" si="21"/>
        <v>0</v>
      </c>
      <c r="AQS22" s="1902">
        <f t="shared" si="21"/>
        <v>0</v>
      </c>
      <c r="AQT22" s="1902">
        <f t="shared" si="21"/>
        <v>0</v>
      </c>
      <c r="AQU22" s="1902">
        <f t="shared" si="21"/>
        <v>0</v>
      </c>
      <c r="AQV22" s="1902">
        <f t="shared" si="21"/>
        <v>0</v>
      </c>
      <c r="AQW22" s="1902">
        <f t="shared" si="21"/>
        <v>0</v>
      </c>
      <c r="AQX22" s="1902">
        <f t="shared" si="21"/>
        <v>0</v>
      </c>
      <c r="AQY22" s="1902">
        <f t="shared" si="21"/>
        <v>0</v>
      </c>
      <c r="AQZ22" s="1902">
        <f t="shared" si="21"/>
        <v>0</v>
      </c>
      <c r="ARA22" s="1902">
        <f t="shared" si="21"/>
        <v>0</v>
      </c>
      <c r="ARB22" s="1902">
        <f t="shared" si="21"/>
        <v>0</v>
      </c>
      <c r="ARC22" s="1902">
        <f t="shared" si="21"/>
        <v>0</v>
      </c>
      <c r="ARD22" s="1902">
        <f t="shared" si="21"/>
        <v>0</v>
      </c>
      <c r="ARE22" s="1902">
        <f t="shared" si="21"/>
        <v>0</v>
      </c>
      <c r="ARF22" s="1902">
        <f t="shared" si="21"/>
        <v>0</v>
      </c>
      <c r="ARG22" s="1902">
        <f t="shared" si="21"/>
        <v>0</v>
      </c>
      <c r="ARH22" s="1902">
        <f t="shared" si="21"/>
        <v>0</v>
      </c>
      <c r="ARI22" s="1902">
        <f t="shared" si="21"/>
        <v>0</v>
      </c>
      <c r="ARJ22" s="1902">
        <f t="shared" si="21"/>
        <v>0</v>
      </c>
      <c r="ARK22" s="1902">
        <f t="shared" si="21"/>
        <v>0</v>
      </c>
      <c r="ARL22" s="1902">
        <f t="shared" si="21"/>
        <v>0</v>
      </c>
      <c r="ARM22" s="1902">
        <f t="shared" si="21"/>
        <v>0</v>
      </c>
      <c r="ARN22" s="1902">
        <f t="shared" si="21"/>
        <v>0</v>
      </c>
      <c r="ARO22" s="1902">
        <f t="shared" si="21"/>
        <v>0</v>
      </c>
      <c r="ARP22" s="1902">
        <f t="shared" si="21"/>
        <v>0</v>
      </c>
      <c r="ARQ22" s="1902">
        <f t="shared" si="21"/>
        <v>0</v>
      </c>
      <c r="ARR22" s="1902">
        <f t="shared" si="21"/>
        <v>0</v>
      </c>
      <c r="ARS22" s="1902">
        <f t="shared" ref="ARS22:AUD22" si="22">IF(AND(ARS$26="End of period",ARS$25="Revenue"),ARS9,0)</f>
        <v>0</v>
      </c>
      <c r="ART22" s="1902">
        <f t="shared" si="22"/>
        <v>0</v>
      </c>
      <c r="ARU22" s="1902">
        <f t="shared" si="22"/>
        <v>0</v>
      </c>
      <c r="ARV22" s="1902">
        <f t="shared" si="22"/>
        <v>0</v>
      </c>
      <c r="ARW22" s="1902">
        <f t="shared" si="22"/>
        <v>0</v>
      </c>
      <c r="ARX22" s="1902">
        <f t="shared" si="22"/>
        <v>0</v>
      </c>
      <c r="ARY22" s="1902">
        <f t="shared" si="22"/>
        <v>0</v>
      </c>
      <c r="ARZ22" s="1902">
        <f t="shared" si="22"/>
        <v>0</v>
      </c>
      <c r="ASA22" s="1902">
        <f t="shared" si="22"/>
        <v>0</v>
      </c>
      <c r="ASB22" s="1902">
        <f t="shared" si="22"/>
        <v>0</v>
      </c>
      <c r="ASC22" s="1902">
        <f t="shared" si="22"/>
        <v>0</v>
      </c>
      <c r="ASD22" s="1902">
        <f t="shared" si="22"/>
        <v>0</v>
      </c>
      <c r="ASE22" s="1902">
        <f t="shared" si="22"/>
        <v>0</v>
      </c>
      <c r="ASF22" s="1902">
        <f t="shared" si="22"/>
        <v>0</v>
      </c>
      <c r="ASG22" s="1902">
        <f t="shared" si="22"/>
        <v>0</v>
      </c>
      <c r="ASH22" s="1902">
        <f t="shared" si="22"/>
        <v>0</v>
      </c>
      <c r="ASI22" s="1902">
        <f t="shared" si="22"/>
        <v>0</v>
      </c>
      <c r="ASJ22" s="1902">
        <f t="shared" si="22"/>
        <v>0</v>
      </c>
      <c r="ASK22" s="1902">
        <f t="shared" si="22"/>
        <v>0</v>
      </c>
      <c r="ASL22" s="1902">
        <f t="shared" si="22"/>
        <v>0</v>
      </c>
      <c r="ASM22" s="1902">
        <f t="shared" si="22"/>
        <v>0</v>
      </c>
      <c r="ASN22" s="1902">
        <f t="shared" si="22"/>
        <v>0</v>
      </c>
      <c r="ASO22" s="1902">
        <f t="shared" si="22"/>
        <v>0</v>
      </c>
      <c r="ASP22" s="1902">
        <f t="shared" si="22"/>
        <v>0</v>
      </c>
      <c r="ASQ22" s="1902">
        <f t="shared" si="22"/>
        <v>0</v>
      </c>
      <c r="ASR22" s="1902">
        <f t="shared" si="22"/>
        <v>0</v>
      </c>
      <c r="ASS22" s="1902">
        <f t="shared" si="22"/>
        <v>0</v>
      </c>
      <c r="AST22" s="1902">
        <f t="shared" si="22"/>
        <v>0</v>
      </c>
      <c r="ASU22" s="1902">
        <f t="shared" si="22"/>
        <v>0</v>
      </c>
      <c r="ASV22" s="1902">
        <f t="shared" si="22"/>
        <v>0</v>
      </c>
      <c r="ASW22" s="1902">
        <f t="shared" si="22"/>
        <v>0</v>
      </c>
      <c r="ASX22" s="1902">
        <f t="shared" si="22"/>
        <v>0</v>
      </c>
      <c r="ASY22" s="1902">
        <f t="shared" si="22"/>
        <v>0</v>
      </c>
      <c r="ASZ22" s="1902">
        <f t="shared" si="22"/>
        <v>0</v>
      </c>
      <c r="ATA22" s="1902">
        <f t="shared" si="22"/>
        <v>0</v>
      </c>
      <c r="ATB22" s="1902">
        <f t="shared" si="22"/>
        <v>0</v>
      </c>
      <c r="ATC22" s="1902">
        <f t="shared" si="22"/>
        <v>0</v>
      </c>
      <c r="ATD22" s="1902">
        <f t="shared" si="22"/>
        <v>0</v>
      </c>
      <c r="ATE22" s="1902">
        <f t="shared" si="22"/>
        <v>0</v>
      </c>
      <c r="ATF22" s="1902">
        <f t="shared" si="22"/>
        <v>0</v>
      </c>
      <c r="ATG22" s="1902">
        <f t="shared" si="22"/>
        <v>0</v>
      </c>
      <c r="ATH22" s="1902">
        <f t="shared" si="22"/>
        <v>0</v>
      </c>
      <c r="ATI22" s="1902">
        <f t="shared" si="22"/>
        <v>0</v>
      </c>
      <c r="ATJ22" s="1902">
        <f t="shared" si="22"/>
        <v>0</v>
      </c>
      <c r="ATK22" s="1902">
        <f t="shared" si="22"/>
        <v>0</v>
      </c>
      <c r="ATL22" s="1902">
        <f t="shared" si="22"/>
        <v>0</v>
      </c>
      <c r="ATM22" s="1902">
        <f t="shared" si="22"/>
        <v>0</v>
      </c>
      <c r="ATN22" s="1902">
        <f t="shared" si="22"/>
        <v>0</v>
      </c>
      <c r="ATO22" s="1902">
        <f t="shared" si="22"/>
        <v>0</v>
      </c>
      <c r="ATP22" s="1902">
        <f t="shared" si="22"/>
        <v>0</v>
      </c>
      <c r="ATQ22" s="1902">
        <f t="shared" si="22"/>
        <v>0</v>
      </c>
      <c r="ATR22" s="1902">
        <f t="shared" si="22"/>
        <v>0</v>
      </c>
      <c r="ATS22" s="1902">
        <f t="shared" si="22"/>
        <v>0</v>
      </c>
      <c r="ATT22" s="1902">
        <f t="shared" si="22"/>
        <v>0</v>
      </c>
      <c r="ATU22" s="1902">
        <f t="shared" si="22"/>
        <v>0</v>
      </c>
      <c r="ATV22" s="1902">
        <f t="shared" si="22"/>
        <v>0</v>
      </c>
      <c r="ATW22" s="1902">
        <f t="shared" si="22"/>
        <v>0</v>
      </c>
      <c r="ATX22" s="1902">
        <f t="shared" si="22"/>
        <v>0</v>
      </c>
      <c r="ATY22" s="1902">
        <f t="shared" si="22"/>
        <v>0</v>
      </c>
      <c r="ATZ22" s="1902">
        <f t="shared" si="22"/>
        <v>0</v>
      </c>
      <c r="AUA22" s="1902">
        <f t="shared" si="22"/>
        <v>0</v>
      </c>
      <c r="AUB22" s="1902">
        <f t="shared" si="22"/>
        <v>0</v>
      </c>
      <c r="AUC22" s="1902">
        <f t="shared" si="22"/>
        <v>0</v>
      </c>
      <c r="AUD22" s="1902">
        <f t="shared" si="22"/>
        <v>0</v>
      </c>
      <c r="AUE22" s="1902">
        <f t="shared" ref="AUE22:AWP22" si="23">IF(AND(AUE$26="End of period",AUE$25="Revenue"),AUE9,0)</f>
        <v>0</v>
      </c>
      <c r="AUF22" s="1902">
        <f t="shared" si="23"/>
        <v>0</v>
      </c>
      <c r="AUG22" s="1902">
        <f t="shared" si="23"/>
        <v>0</v>
      </c>
      <c r="AUH22" s="1902">
        <f t="shared" si="23"/>
        <v>0</v>
      </c>
      <c r="AUI22" s="1902">
        <f t="shared" si="23"/>
        <v>0</v>
      </c>
      <c r="AUJ22" s="1902">
        <f t="shared" si="23"/>
        <v>0</v>
      </c>
      <c r="AUK22" s="1902">
        <f t="shared" si="23"/>
        <v>0</v>
      </c>
      <c r="AUL22" s="1902">
        <f t="shared" si="23"/>
        <v>0</v>
      </c>
      <c r="AUM22" s="1902">
        <f t="shared" si="23"/>
        <v>0</v>
      </c>
      <c r="AUN22" s="1902">
        <f t="shared" si="23"/>
        <v>0</v>
      </c>
      <c r="AUO22" s="1902">
        <f t="shared" si="23"/>
        <v>0</v>
      </c>
      <c r="AUP22" s="1902">
        <f t="shared" si="23"/>
        <v>0</v>
      </c>
      <c r="AUQ22" s="1902">
        <f t="shared" si="23"/>
        <v>0</v>
      </c>
      <c r="AUR22" s="1902">
        <f t="shared" si="23"/>
        <v>0</v>
      </c>
      <c r="AUS22" s="1902">
        <f t="shared" si="23"/>
        <v>0</v>
      </c>
      <c r="AUT22" s="1902">
        <f t="shared" si="23"/>
        <v>0</v>
      </c>
      <c r="AUU22" s="1902">
        <f t="shared" si="23"/>
        <v>0</v>
      </c>
      <c r="AUV22" s="1902">
        <f t="shared" si="23"/>
        <v>0</v>
      </c>
      <c r="AUW22" s="1902">
        <f t="shared" si="23"/>
        <v>0</v>
      </c>
      <c r="AUX22" s="1902">
        <f t="shared" si="23"/>
        <v>0</v>
      </c>
      <c r="AUY22" s="1902">
        <f t="shared" si="23"/>
        <v>0</v>
      </c>
      <c r="AUZ22" s="1902">
        <f t="shared" si="23"/>
        <v>0</v>
      </c>
      <c r="AVA22" s="1902">
        <f t="shared" si="23"/>
        <v>0</v>
      </c>
      <c r="AVB22" s="1902">
        <f t="shared" si="23"/>
        <v>0</v>
      </c>
      <c r="AVC22" s="1902">
        <f t="shared" si="23"/>
        <v>0</v>
      </c>
      <c r="AVD22" s="1902">
        <f t="shared" si="23"/>
        <v>0</v>
      </c>
      <c r="AVE22" s="1902">
        <f t="shared" si="23"/>
        <v>0</v>
      </c>
      <c r="AVF22" s="1902">
        <f t="shared" si="23"/>
        <v>0</v>
      </c>
      <c r="AVG22" s="1902">
        <f t="shared" si="23"/>
        <v>0</v>
      </c>
      <c r="AVH22" s="1902">
        <f t="shared" si="23"/>
        <v>0</v>
      </c>
      <c r="AVI22" s="1902">
        <f t="shared" si="23"/>
        <v>0</v>
      </c>
      <c r="AVJ22" s="1902">
        <f t="shared" si="23"/>
        <v>0</v>
      </c>
      <c r="AVK22" s="1902">
        <f t="shared" si="23"/>
        <v>0</v>
      </c>
      <c r="AVL22" s="1902">
        <f t="shared" si="23"/>
        <v>0</v>
      </c>
      <c r="AVM22" s="1902">
        <f t="shared" si="23"/>
        <v>0</v>
      </c>
      <c r="AVN22" s="1902">
        <f t="shared" si="23"/>
        <v>0</v>
      </c>
      <c r="AVO22" s="1902">
        <f t="shared" si="23"/>
        <v>0</v>
      </c>
      <c r="AVP22" s="1902">
        <f t="shared" si="23"/>
        <v>0</v>
      </c>
      <c r="AVQ22" s="1902">
        <f t="shared" si="23"/>
        <v>0</v>
      </c>
      <c r="AVR22" s="1902">
        <f t="shared" si="23"/>
        <v>0</v>
      </c>
      <c r="AVS22" s="1902">
        <f t="shared" si="23"/>
        <v>0</v>
      </c>
      <c r="AVT22" s="1902">
        <f t="shared" si="23"/>
        <v>0</v>
      </c>
      <c r="AVU22" s="1902">
        <f t="shared" si="23"/>
        <v>0</v>
      </c>
      <c r="AVV22" s="1902">
        <f t="shared" si="23"/>
        <v>0</v>
      </c>
      <c r="AVW22" s="1902">
        <f t="shared" si="23"/>
        <v>0</v>
      </c>
      <c r="AVX22" s="1902">
        <f t="shared" si="23"/>
        <v>0</v>
      </c>
      <c r="AVY22" s="1902">
        <f t="shared" si="23"/>
        <v>0</v>
      </c>
      <c r="AVZ22" s="1902">
        <f t="shared" si="23"/>
        <v>0</v>
      </c>
      <c r="AWA22" s="1902">
        <f t="shared" si="23"/>
        <v>0</v>
      </c>
      <c r="AWB22" s="1902">
        <f t="shared" si="23"/>
        <v>0</v>
      </c>
      <c r="AWC22" s="1902">
        <f t="shared" si="23"/>
        <v>0</v>
      </c>
      <c r="AWD22" s="1902">
        <f t="shared" si="23"/>
        <v>0</v>
      </c>
      <c r="AWE22" s="1902">
        <f t="shared" si="23"/>
        <v>0</v>
      </c>
      <c r="AWF22" s="1902">
        <f t="shared" si="23"/>
        <v>0</v>
      </c>
      <c r="AWG22" s="1902">
        <f t="shared" si="23"/>
        <v>0</v>
      </c>
      <c r="AWH22" s="1902">
        <f t="shared" si="23"/>
        <v>0</v>
      </c>
      <c r="AWI22" s="1902">
        <f t="shared" si="23"/>
        <v>0</v>
      </c>
      <c r="AWJ22" s="1902">
        <f t="shared" si="23"/>
        <v>0</v>
      </c>
      <c r="AWK22" s="1902">
        <f t="shared" si="23"/>
        <v>0</v>
      </c>
      <c r="AWL22" s="1902">
        <f t="shared" si="23"/>
        <v>0</v>
      </c>
      <c r="AWM22" s="1902">
        <f t="shared" si="23"/>
        <v>0</v>
      </c>
      <c r="AWN22" s="1902">
        <f t="shared" si="23"/>
        <v>0</v>
      </c>
      <c r="AWO22" s="1902">
        <f t="shared" si="23"/>
        <v>0</v>
      </c>
      <c r="AWP22" s="1902">
        <f t="shared" si="23"/>
        <v>0</v>
      </c>
      <c r="AWQ22" s="1902">
        <f t="shared" ref="AWQ22:AZB22" si="24">IF(AND(AWQ$26="End of period",AWQ$25="Revenue"),AWQ9,0)</f>
        <v>0</v>
      </c>
      <c r="AWR22" s="1902">
        <f t="shared" si="24"/>
        <v>0</v>
      </c>
      <c r="AWS22" s="1902">
        <f t="shared" si="24"/>
        <v>0</v>
      </c>
      <c r="AWT22" s="1902">
        <f t="shared" si="24"/>
        <v>0</v>
      </c>
      <c r="AWU22" s="1902">
        <f t="shared" si="24"/>
        <v>0</v>
      </c>
      <c r="AWV22" s="1902">
        <f t="shared" si="24"/>
        <v>0</v>
      </c>
      <c r="AWW22" s="1902">
        <f t="shared" si="24"/>
        <v>0</v>
      </c>
      <c r="AWX22" s="1902">
        <f t="shared" si="24"/>
        <v>0</v>
      </c>
      <c r="AWY22" s="1902">
        <f t="shared" si="24"/>
        <v>0</v>
      </c>
      <c r="AWZ22" s="1902">
        <f t="shared" si="24"/>
        <v>0</v>
      </c>
      <c r="AXA22" s="1902">
        <f t="shared" si="24"/>
        <v>0</v>
      </c>
      <c r="AXB22" s="1902">
        <f t="shared" si="24"/>
        <v>0</v>
      </c>
      <c r="AXC22" s="1902">
        <f t="shared" si="24"/>
        <v>0</v>
      </c>
      <c r="AXD22" s="1902">
        <f t="shared" si="24"/>
        <v>0</v>
      </c>
      <c r="AXE22" s="1902">
        <f t="shared" si="24"/>
        <v>0</v>
      </c>
      <c r="AXF22" s="1902">
        <f t="shared" si="24"/>
        <v>0</v>
      </c>
      <c r="AXG22" s="1902">
        <f t="shared" si="24"/>
        <v>0</v>
      </c>
      <c r="AXH22" s="1902">
        <f t="shared" si="24"/>
        <v>0</v>
      </c>
      <c r="AXI22" s="1902">
        <f t="shared" si="24"/>
        <v>0</v>
      </c>
      <c r="AXJ22" s="1902">
        <f t="shared" si="24"/>
        <v>0</v>
      </c>
      <c r="AXK22" s="1902">
        <f t="shared" si="24"/>
        <v>0</v>
      </c>
      <c r="AXL22" s="1902">
        <f t="shared" si="24"/>
        <v>0</v>
      </c>
      <c r="AXM22" s="1902">
        <f t="shared" si="24"/>
        <v>0</v>
      </c>
      <c r="AXN22" s="1902">
        <f t="shared" si="24"/>
        <v>0</v>
      </c>
      <c r="AXO22" s="1902">
        <f t="shared" si="24"/>
        <v>0</v>
      </c>
      <c r="AXP22" s="1902">
        <f t="shared" si="24"/>
        <v>0</v>
      </c>
      <c r="AXQ22" s="1902">
        <f t="shared" si="24"/>
        <v>0</v>
      </c>
      <c r="AXR22" s="1902">
        <f t="shared" si="24"/>
        <v>0</v>
      </c>
      <c r="AXS22" s="1902">
        <f t="shared" si="24"/>
        <v>0</v>
      </c>
      <c r="AXT22" s="1902">
        <f t="shared" si="24"/>
        <v>0</v>
      </c>
      <c r="AXU22" s="1902">
        <f t="shared" si="24"/>
        <v>0</v>
      </c>
      <c r="AXV22" s="1902">
        <f t="shared" si="24"/>
        <v>0</v>
      </c>
      <c r="AXW22" s="1902">
        <f t="shared" si="24"/>
        <v>0</v>
      </c>
      <c r="AXX22" s="1902">
        <f t="shared" si="24"/>
        <v>0</v>
      </c>
      <c r="AXY22" s="1902">
        <f t="shared" si="24"/>
        <v>0</v>
      </c>
      <c r="AXZ22" s="1902">
        <f t="shared" si="24"/>
        <v>0</v>
      </c>
      <c r="AYA22" s="1902">
        <f t="shared" si="24"/>
        <v>0</v>
      </c>
      <c r="AYB22" s="1902">
        <f t="shared" si="24"/>
        <v>0</v>
      </c>
      <c r="AYC22" s="1902">
        <f t="shared" si="24"/>
        <v>0</v>
      </c>
      <c r="AYD22" s="1902">
        <f t="shared" si="24"/>
        <v>0</v>
      </c>
      <c r="AYE22" s="1902">
        <f t="shared" si="24"/>
        <v>0</v>
      </c>
      <c r="AYF22" s="1902">
        <f t="shared" si="24"/>
        <v>0</v>
      </c>
      <c r="AYG22" s="1902">
        <f t="shared" si="24"/>
        <v>0</v>
      </c>
      <c r="AYH22" s="1902">
        <f t="shared" si="24"/>
        <v>0</v>
      </c>
      <c r="AYI22" s="1902">
        <f t="shared" si="24"/>
        <v>0</v>
      </c>
      <c r="AYJ22" s="1902">
        <f t="shared" si="24"/>
        <v>0</v>
      </c>
      <c r="AYK22" s="1902">
        <f t="shared" si="24"/>
        <v>0</v>
      </c>
      <c r="AYL22" s="1902">
        <f t="shared" si="24"/>
        <v>0</v>
      </c>
      <c r="AYM22" s="1902">
        <f t="shared" si="24"/>
        <v>0</v>
      </c>
      <c r="AYN22" s="1902">
        <f t="shared" si="24"/>
        <v>0</v>
      </c>
      <c r="AYO22" s="1902">
        <f t="shared" si="24"/>
        <v>0</v>
      </c>
      <c r="AYP22" s="1902">
        <f t="shared" si="24"/>
        <v>0</v>
      </c>
      <c r="AYQ22" s="1902">
        <f t="shared" si="24"/>
        <v>0</v>
      </c>
      <c r="AYR22" s="1902">
        <f t="shared" si="24"/>
        <v>0</v>
      </c>
      <c r="AYS22" s="1902">
        <f t="shared" si="24"/>
        <v>0</v>
      </c>
      <c r="AYT22" s="1902">
        <f t="shared" si="24"/>
        <v>0</v>
      </c>
      <c r="AYU22" s="1902">
        <f t="shared" si="24"/>
        <v>0</v>
      </c>
      <c r="AYV22" s="1902">
        <f t="shared" si="24"/>
        <v>0</v>
      </c>
      <c r="AYW22" s="1902">
        <f t="shared" si="24"/>
        <v>0</v>
      </c>
      <c r="AYX22" s="1902">
        <f t="shared" si="24"/>
        <v>0</v>
      </c>
      <c r="AYY22" s="1902">
        <f t="shared" si="24"/>
        <v>0</v>
      </c>
      <c r="AYZ22" s="1902">
        <f t="shared" si="24"/>
        <v>0</v>
      </c>
      <c r="AZA22" s="1902">
        <f t="shared" si="24"/>
        <v>0</v>
      </c>
      <c r="AZB22" s="1902">
        <f t="shared" si="24"/>
        <v>0</v>
      </c>
      <c r="AZC22" s="1902">
        <f t="shared" ref="AZC22:BBN22" si="25">IF(AND(AZC$26="End of period",AZC$25="Revenue"),AZC9,0)</f>
        <v>0</v>
      </c>
      <c r="AZD22" s="1902">
        <f t="shared" si="25"/>
        <v>0</v>
      </c>
      <c r="AZE22" s="1902">
        <f t="shared" si="25"/>
        <v>0</v>
      </c>
      <c r="AZF22" s="1902">
        <f t="shared" si="25"/>
        <v>0</v>
      </c>
      <c r="AZG22" s="1902">
        <f t="shared" si="25"/>
        <v>0</v>
      </c>
      <c r="AZH22" s="1902">
        <f t="shared" si="25"/>
        <v>0</v>
      </c>
      <c r="AZI22" s="1902">
        <f t="shared" si="25"/>
        <v>0</v>
      </c>
      <c r="AZJ22" s="1902">
        <f t="shared" si="25"/>
        <v>0</v>
      </c>
      <c r="AZK22" s="1902">
        <f t="shared" si="25"/>
        <v>0</v>
      </c>
      <c r="AZL22" s="1902">
        <f t="shared" si="25"/>
        <v>0</v>
      </c>
      <c r="AZM22" s="1902">
        <f t="shared" si="25"/>
        <v>0</v>
      </c>
      <c r="AZN22" s="1902">
        <f t="shared" si="25"/>
        <v>0</v>
      </c>
      <c r="AZO22" s="1902">
        <f t="shared" si="25"/>
        <v>0</v>
      </c>
      <c r="AZP22" s="1902">
        <f t="shared" si="25"/>
        <v>0</v>
      </c>
      <c r="AZQ22" s="1902">
        <f t="shared" si="25"/>
        <v>0</v>
      </c>
      <c r="AZR22" s="1902">
        <f t="shared" si="25"/>
        <v>0</v>
      </c>
      <c r="AZS22" s="1902">
        <f t="shared" si="25"/>
        <v>0</v>
      </c>
      <c r="AZT22" s="1902">
        <f t="shared" si="25"/>
        <v>0</v>
      </c>
      <c r="AZU22" s="1902">
        <f t="shared" si="25"/>
        <v>0</v>
      </c>
      <c r="AZV22" s="1902">
        <f t="shared" si="25"/>
        <v>0</v>
      </c>
      <c r="AZW22" s="1902">
        <f t="shared" si="25"/>
        <v>0</v>
      </c>
      <c r="AZX22" s="1902">
        <f t="shared" si="25"/>
        <v>0</v>
      </c>
      <c r="AZY22" s="1902">
        <f t="shared" si="25"/>
        <v>0</v>
      </c>
      <c r="AZZ22" s="1902">
        <f t="shared" si="25"/>
        <v>0</v>
      </c>
      <c r="BAA22" s="1902">
        <f t="shared" si="25"/>
        <v>0</v>
      </c>
      <c r="BAB22" s="1902">
        <f t="shared" si="25"/>
        <v>0</v>
      </c>
      <c r="BAC22" s="1902">
        <f t="shared" si="25"/>
        <v>0</v>
      </c>
      <c r="BAD22" s="1902">
        <f t="shared" si="25"/>
        <v>0</v>
      </c>
      <c r="BAE22" s="1902">
        <f t="shared" si="25"/>
        <v>0</v>
      </c>
      <c r="BAF22" s="1902">
        <f t="shared" si="25"/>
        <v>0</v>
      </c>
      <c r="BAG22" s="1902">
        <f t="shared" si="25"/>
        <v>0</v>
      </c>
      <c r="BAH22" s="1902">
        <f t="shared" si="25"/>
        <v>0</v>
      </c>
      <c r="BAI22" s="1902">
        <f t="shared" si="25"/>
        <v>0</v>
      </c>
      <c r="BAJ22" s="1902">
        <f t="shared" si="25"/>
        <v>0</v>
      </c>
      <c r="BAK22" s="1902">
        <f t="shared" si="25"/>
        <v>0</v>
      </c>
      <c r="BAL22" s="1902">
        <f t="shared" si="25"/>
        <v>0</v>
      </c>
      <c r="BAM22" s="1902">
        <f t="shared" si="25"/>
        <v>0</v>
      </c>
      <c r="BAN22" s="1902">
        <f t="shared" si="25"/>
        <v>0</v>
      </c>
      <c r="BAO22" s="1902">
        <f t="shared" si="25"/>
        <v>0</v>
      </c>
      <c r="BAP22" s="1902">
        <f t="shared" si="25"/>
        <v>0</v>
      </c>
      <c r="BAQ22" s="1902">
        <f t="shared" si="25"/>
        <v>0</v>
      </c>
      <c r="BAR22" s="1902">
        <f t="shared" si="25"/>
        <v>0</v>
      </c>
      <c r="BAS22" s="1902">
        <f t="shared" si="25"/>
        <v>0</v>
      </c>
      <c r="BAT22" s="1902">
        <f t="shared" si="25"/>
        <v>0</v>
      </c>
      <c r="BAU22" s="1902">
        <f t="shared" si="25"/>
        <v>0</v>
      </c>
      <c r="BAV22" s="1902">
        <f t="shared" si="25"/>
        <v>0</v>
      </c>
      <c r="BAW22" s="1902">
        <f t="shared" si="25"/>
        <v>0</v>
      </c>
      <c r="BAX22" s="1902">
        <f t="shared" si="25"/>
        <v>0</v>
      </c>
      <c r="BAY22" s="1902">
        <f t="shared" si="25"/>
        <v>0</v>
      </c>
      <c r="BAZ22" s="1902">
        <f t="shared" si="25"/>
        <v>0</v>
      </c>
      <c r="BBA22" s="1902">
        <f t="shared" si="25"/>
        <v>0</v>
      </c>
      <c r="BBB22" s="1902">
        <f t="shared" si="25"/>
        <v>0</v>
      </c>
      <c r="BBC22" s="1902">
        <f t="shared" si="25"/>
        <v>0</v>
      </c>
      <c r="BBD22" s="1902">
        <f t="shared" si="25"/>
        <v>0</v>
      </c>
      <c r="BBE22" s="1902">
        <f t="shared" si="25"/>
        <v>0</v>
      </c>
      <c r="BBF22" s="1902">
        <f t="shared" si="25"/>
        <v>0</v>
      </c>
      <c r="BBG22" s="1902">
        <f t="shared" si="25"/>
        <v>0</v>
      </c>
      <c r="BBH22" s="1902">
        <f t="shared" si="25"/>
        <v>0</v>
      </c>
      <c r="BBI22" s="1902">
        <f t="shared" si="25"/>
        <v>0</v>
      </c>
      <c r="BBJ22" s="1902">
        <f t="shared" si="25"/>
        <v>0</v>
      </c>
      <c r="BBK22" s="1902">
        <f t="shared" si="25"/>
        <v>0</v>
      </c>
      <c r="BBL22" s="1902">
        <f t="shared" si="25"/>
        <v>0</v>
      </c>
      <c r="BBM22" s="1902">
        <f t="shared" si="25"/>
        <v>0</v>
      </c>
      <c r="BBN22" s="1902">
        <f t="shared" si="25"/>
        <v>0</v>
      </c>
      <c r="BBO22" s="1902">
        <f t="shared" ref="BBO22:BDZ22" si="26">IF(AND(BBO$26="End of period",BBO$25="Revenue"),BBO9,0)</f>
        <v>0</v>
      </c>
      <c r="BBP22" s="1902">
        <f t="shared" si="26"/>
        <v>0</v>
      </c>
      <c r="BBQ22" s="1902">
        <f t="shared" si="26"/>
        <v>0</v>
      </c>
      <c r="BBR22" s="1902">
        <f t="shared" si="26"/>
        <v>0</v>
      </c>
      <c r="BBS22" s="1902">
        <f t="shared" si="26"/>
        <v>0</v>
      </c>
      <c r="BBT22" s="1902">
        <f t="shared" si="26"/>
        <v>0</v>
      </c>
      <c r="BBU22" s="1902">
        <f t="shared" si="26"/>
        <v>0</v>
      </c>
      <c r="BBV22" s="1902">
        <f t="shared" si="26"/>
        <v>0</v>
      </c>
      <c r="BBW22" s="1902">
        <f t="shared" si="26"/>
        <v>0</v>
      </c>
      <c r="BBX22" s="1902">
        <f t="shared" si="26"/>
        <v>0</v>
      </c>
      <c r="BBY22" s="1902">
        <f t="shared" si="26"/>
        <v>0</v>
      </c>
      <c r="BBZ22" s="1902">
        <f t="shared" si="26"/>
        <v>0</v>
      </c>
      <c r="BCA22" s="1902">
        <f t="shared" si="26"/>
        <v>0</v>
      </c>
      <c r="BCB22" s="1902">
        <f t="shared" si="26"/>
        <v>0</v>
      </c>
      <c r="BCC22" s="1902">
        <f t="shared" si="26"/>
        <v>0</v>
      </c>
      <c r="BCD22" s="1902">
        <f t="shared" si="26"/>
        <v>0</v>
      </c>
      <c r="BCE22" s="1902">
        <f t="shared" si="26"/>
        <v>0</v>
      </c>
      <c r="BCF22" s="1902">
        <f t="shared" si="26"/>
        <v>0</v>
      </c>
      <c r="BCG22" s="1902">
        <f t="shared" si="26"/>
        <v>0</v>
      </c>
      <c r="BCH22" s="1902">
        <f t="shared" si="26"/>
        <v>0</v>
      </c>
      <c r="BCI22" s="1902">
        <f t="shared" si="26"/>
        <v>0</v>
      </c>
      <c r="BCJ22" s="1902">
        <f t="shared" si="26"/>
        <v>0</v>
      </c>
      <c r="BCK22" s="1902">
        <f t="shared" si="26"/>
        <v>0</v>
      </c>
      <c r="BCL22" s="1902">
        <f t="shared" si="26"/>
        <v>0</v>
      </c>
      <c r="BCM22" s="1902">
        <f t="shared" si="26"/>
        <v>0</v>
      </c>
      <c r="BCN22" s="1902">
        <f t="shared" si="26"/>
        <v>0</v>
      </c>
      <c r="BCO22" s="1902">
        <f t="shared" si="26"/>
        <v>0</v>
      </c>
      <c r="BCP22" s="1902">
        <f t="shared" si="26"/>
        <v>0</v>
      </c>
      <c r="BCQ22" s="1902">
        <f t="shared" si="26"/>
        <v>0</v>
      </c>
      <c r="BCR22" s="1902">
        <f t="shared" si="26"/>
        <v>0</v>
      </c>
      <c r="BCS22" s="1902">
        <f t="shared" si="26"/>
        <v>0</v>
      </c>
      <c r="BCT22" s="1902">
        <f t="shared" si="26"/>
        <v>0</v>
      </c>
      <c r="BCU22" s="1902">
        <f t="shared" si="26"/>
        <v>0</v>
      </c>
      <c r="BCV22" s="1902">
        <f t="shared" si="26"/>
        <v>0</v>
      </c>
      <c r="BCW22" s="1902">
        <f t="shared" si="26"/>
        <v>0</v>
      </c>
      <c r="BCX22" s="1902">
        <f t="shared" si="26"/>
        <v>0</v>
      </c>
      <c r="BCY22" s="1902">
        <f t="shared" si="26"/>
        <v>0</v>
      </c>
      <c r="BCZ22" s="1902">
        <f t="shared" si="26"/>
        <v>0</v>
      </c>
      <c r="BDA22" s="1902">
        <f t="shared" si="26"/>
        <v>0</v>
      </c>
      <c r="BDB22" s="1902">
        <f t="shared" si="26"/>
        <v>0</v>
      </c>
      <c r="BDC22" s="1902">
        <f t="shared" si="26"/>
        <v>0</v>
      </c>
      <c r="BDD22" s="1902">
        <f t="shared" si="26"/>
        <v>0</v>
      </c>
      <c r="BDE22" s="1902">
        <f t="shared" si="26"/>
        <v>0</v>
      </c>
      <c r="BDF22" s="1902">
        <f t="shared" si="26"/>
        <v>0</v>
      </c>
      <c r="BDG22" s="1902">
        <f t="shared" si="26"/>
        <v>0</v>
      </c>
      <c r="BDH22" s="1902">
        <f t="shared" si="26"/>
        <v>0</v>
      </c>
      <c r="BDI22" s="1902">
        <f t="shared" si="26"/>
        <v>0</v>
      </c>
      <c r="BDJ22" s="1902">
        <f t="shared" si="26"/>
        <v>0</v>
      </c>
      <c r="BDK22" s="1902">
        <f t="shared" si="26"/>
        <v>0</v>
      </c>
      <c r="BDL22" s="1902">
        <f t="shared" si="26"/>
        <v>0</v>
      </c>
      <c r="BDM22" s="1902">
        <f t="shared" si="26"/>
        <v>0</v>
      </c>
      <c r="BDN22" s="1902">
        <f t="shared" si="26"/>
        <v>0</v>
      </c>
      <c r="BDO22" s="1902">
        <f t="shared" si="26"/>
        <v>0</v>
      </c>
      <c r="BDP22" s="1902">
        <f t="shared" si="26"/>
        <v>0</v>
      </c>
      <c r="BDQ22" s="1902">
        <f t="shared" si="26"/>
        <v>0</v>
      </c>
      <c r="BDR22" s="1902">
        <f t="shared" si="26"/>
        <v>0</v>
      </c>
      <c r="BDS22" s="1902">
        <f t="shared" si="26"/>
        <v>0</v>
      </c>
      <c r="BDT22" s="1902">
        <f t="shared" si="26"/>
        <v>0</v>
      </c>
      <c r="BDU22" s="1902">
        <f t="shared" si="26"/>
        <v>0</v>
      </c>
      <c r="BDV22" s="1902">
        <f t="shared" si="26"/>
        <v>0</v>
      </c>
      <c r="BDW22" s="1902">
        <f t="shared" si="26"/>
        <v>0</v>
      </c>
      <c r="BDX22" s="1902">
        <f t="shared" si="26"/>
        <v>0</v>
      </c>
      <c r="BDY22" s="1902">
        <f t="shared" si="26"/>
        <v>0</v>
      </c>
      <c r="BDZ22" s="1902">
        <f t="shared" si="26"/>
        <v>0</v>
      </c>
      <c r="BEA22" s="1902">
        <f t="shared" ref="BEA22:BGL22" si="27">IF(AND(BEA$26="End of period",BEA$25="Revenue"),BEA9,0)</f>
        <v>0</v>
      </c>
      <c r="BEB22" s="1902">
        <f t="shared" si="27"/>
        <v>0</v>
      </c>
      <c r="BEC22" s="1902">
        <f t="shared" si="27"/>
        <v>0</v>
      </c>
      <c r="BED22" s="1902">
        <f t="shared" si="27"/>
        <v>0</v>
      </c>
      <c r="BEE22" s="1902">
        <f t="shared" si="27"/>
        <v>0</v>
      </c>
      <c r="BEF22" s="1902">
        <f t="shared" si="27"/>
        <v>0</v>
      </c>
      <c r="BEG22" s="1902">
        <f t="shared" si="27"/>
        <v>0</v>
      </c>
      <c r="BEH22" s="1902">
        <f t="shared" si="27"/>
        <v>0</v>
      </c>
      <c r="BEI22" s="1902">
        <f t="shared" si="27"/>
        <v>0</v>
      </c>
      <c r="BEJ22" s="1902">
        <f t="shared" si="27"/>
        <v>0</v>
      </c>
      <c r="BEK22" s="1902">
        <f t="shared" si="27"/>
        <v>0</v>
      </c>
      <c r="BEL22" s="1902">
        <f t="shared" si="27"/>
        <v>0</v>
      </c>
      <c r="BEM22" s="1902">
        <f t="shared" si="27"/>
        <v>0</v>
      </c>
      <c r="BEN22" s="1902">
        <f t="shared" si="27"/>
        <v>0</v>
      </c>
      <c r="BEO22" s="1902">
        <f t="shared" si="27"/>
        <v>0</v>
      </c>
      <c r="BEP22" s="1902">
        <f t="shared" si="27"/>
        <v>0</v>
      </c>
      <c r="BEQ22" s="1902">
        <f t="shared" si="27"/>
        <v>0</v>
      </c>
      <c r="BER22" s="1902">
        <f t="shared" si="27"/>
        <v>0</v>
      </c>
      <c r="BES22" s="1902">
        <f t="shared" si="27"/>
        <v>0</v>
      </c>
      <c r="BET22" s="1902">
        <f t="shared" si="27"/>
        <v>0</v>
      </c>
      <c r="BEU22" s="1902">
        <f t="shared" si="27"/>
        <v>0</v>
      </c>
      <c r="BEV22" s="1902">
        <f t="shared" si="27"/>
        <v>0</v>
      </c>
      <c r="BEW22" s="1902">
        <f t="shared" si="27"/>
        <v>0</v>
      </c>
      <c r="BEX22" s="1902">
        <f t="shared" si="27"/>
        <v>0</v>
      </c>
      <c r="BEY22" s="1902">
        <f t="shared" si="27"/>
        <v>0</v>
      </c>
      <c r="BEZ22" s="1902">
        <f t="shared" si="27"/>
        <v>0</v>
      </c>
      <c r="BFA22" s="1902">
        <f t="shared" si="27"/>
        <v>0</v>
      </c>
      <c r="BFB22" s="1902">
        <f t="shared" si="27"/>
        <v>0</v>
      </c>
      <c r="BFC22" s="1902">
        <f t="shared" si="27"/>
        <v>0</v>
      </c>
      <c r="BFD22" s="1902">
        <f t="shared" si="27"/>
        <v>0</v>
      </c>
      <c r="BFE22" s="1902">
        <f t="shared" si="27"/>
        <v>0</v>
      </c>
      <c r="BFF22" s="1902">
        <f t="shared" si="27"/>
        <v>0</v>
      </c>
      <c r="BFG22" s="1902">
        <f t="shared" si="27"/>
        <v>0</v>
      </c>
      <c r="BFH22" s="1902">
        <f t="shared" si="27"/>
        <v>0</v>
      </c>
      <c r="BFI22" s="1902">
        <f t="shared" si="27"/>
        <v>0</v>
      </c>
      <c r="BFJ22" s="1902">
        <f t="shared" si="27"/>
        <v>0</v>
      </c>
      <c r="BFK22" s="1902">
        <f t="shared" si="27"/>
        <v>0</v>
      </c>
      <c r="BFL22" s="1902">
        <f t="shared" si="27"/>
        <v>0</v>
      </c>
      <c r="BFM22" s="1902">
        <f t="shared" si="27"/>
        <v>0</v>
      </c>
      <c r="BFN22" s="1902">
        <f t="shared" si="27"/>
        <v>0</v>
      </c>
      <c r="BFO22" s="1902">
        <f t="shared" si="27"/>
        <v>0</v>
      </c>
      <c r="BFP22" s="1902">
        <f t="shared" si="27"/>
        <v>0</v>
      </c>
      <c r="BFQ22" s="1902">
        <f t="shared" si="27"/>
        <v>0</v>
      </c>
      <c r="BFR22" s="1902">
        <f t="shared" si="27"/>
        <v>0</v>
      </c>
      <c r="BFS22" s="1902">
        <f t="shared" si="27"/>
        <v>0</v>
      </c>
      <c r="BFT22" s="1902">
        <f t="shared" si="27"/>
        <v>0</v>
      </c>
      <c r="BFU22" s="1902">
        <f t="shared" si="27"/>
        <v>0</v>
      </c>
      <c r="BFV22" s="1902">
        <f t="shared" si="27"/>
        <v>0</v>
      </c>
      <c r="BFW22" s="1902">
        <f t="shared" si="27"/>
        <v>0</v>
      </c>
      <c r="BFX22" s="1902">
        <f t="shared" si="27"/>
        <v>0</v>
      </c>
      <c r="BFY22" s="1902">
        <f t="shared" si="27"/>
        <v>0</v>
      </c>
      <c r="BFZ22" s="1902">
        <f t="shared" si="27"/>
        <v>0</v>
      </c>
      <c r="BGA22" s="1902">
        <f t="shared" si="27"/>
        <v>0</v>
      </c>
      <c r="BGB22" s="1902">
        <f t="shared" si="27"/>
        <v>0</v>
      </c>
      <c r="BGC22" s="1902">
        <f t="shared" si="27"/>
        <v>0</v>
      </c>
      <c r="BGD22" s="1902">
        <f t="shared" si="27"/>
        <v>0</v>
      </c>
      <c r="BGE22" s="1902">
        <f t="shared" si="27"/>
        <v>0</v>
      </c>
      <c r="BGF22" s="1902">
        <f t="shared" si="27"/>
        <v>0</v>
      </c>
      <c r="BGG22" s="1902">
        <f t="shared" si="27"/>
        <v>0</v>
      </c>
      <c r="BGH22" s="1902">
        <f t="shared" si="27"/>
        <v>0</v>
      </c>
      <c r="BGI22" s="1902">
        <f t="shared" si="27"/>
        <v>0</v>
      </c>
      <c r="BGJ22" s="1902">
        <f t="shared" si="27"/>
        <v>0</v>
      </c>
      <c r="BGK22" s="1902">
        <f t="shared" si="27"/>
        <v>0</v>
      </c>
      <c r="BGL22" s="1902">
        <f t="shared" si="27"/>
        <v>0</v>
      </c>
      <c r="BGM22" s="1902">
        <f t="shared" ref="BGM22:BIX22" si="28">IF(AND(BGM$26="End of period",BGM$25="Revenue"),BGM9,0)</f>
        <v>0</v>
      </c>
      <c r="BGN22" s="1902">
        <f t="shared" si="28"/>
        <v>0</v>
      </c>
      <c r="BGO22" s="1902">
        <f t="shared" si="28"/>
        <v>0</v>
      </c>
      <c r="BGP22" s="1902">
        <f t="shared" si="28"/>
        <v>0</v>
      </c>
      <c r="BGQ22" s="1902">
        <f t="shared" si="28"/>
        <v>0</v>
      </c>
      <c r="BGR22" s="1902">
        <f t="shared" si="28"/>
        <v>0</v>
      </c>
      <c r="BGS22" s="1902">
        <f t="shared" si="28"/>
        <v>0</v>
      </c>
      <c r="BGT22" s="1902">
        <f t="shared" si="28"/>
        <v>0</v>
      </c>
      <c r="BGU22" s="1902">
        <f t="shared" si="28"/>
        <v>0</v>
      </c>
      <c r="BGV22" s="1902">
        <f t="shared" si="28"/>
        <v>0</v>
      </c>
      <c r="BGW22" s="1902">
        <f t="shared" si="28"/>
        <v>0</v>
      </c>
      <c r="BGX22" s="1902">
        <f t="shared" si="28"/>
        <v>0</v>
      </c>
      <c r="BGY22" s="1902">
        <f t="shared" si="28"/>
        <v>0</v>
      </c>
      <c r="BGZ22" s="1902">
        <f t="shared" si="28"/>
        <v>0</v>
      </c>
      <c r="BHA22" s="1902">
        <f t="shared" si="28"/>
        <v>0</v>
      </c>
      <c r="BHB22" s="1902">
        <f t="shared" si="28"/>
        <v>0</v>
      </c>
      <c r="BHC22" s="1902">
        <f t="shared" si="28"/>
        <v>0</v>
      </c>
      <c r="BHD22" s="1902">
        <f t="shared" si="28"/>
        <v>0</v>
      </c>
      <c r="BHE22" s="1902">
        <f t="shared" si="28"/>
        <v>0</v>
      </c>
      <c r="BHF22" s="1902">
        <f t="shared" si="28"/>
        <v>0</v>
      </c>
      <c r="BHG22" s="1902">
        <f t="shared" si="28"/>
        <v>0</v>
      </c>
      <c r="BHH22" s="1902">
        <f t="shared" si="28"/>
        <v>0</v>
      </c>
      <c r="BHI22" s="1902">
        <f t="shared" si="28"/>
        <v>0</v>
      </c>
      <c r="BHJ22" s="1902">
        <f t="shared" si="28"/>
        <v>0</v>
      </c>
      <c r="BHK22" s="1902">
        <f t="shared" si="28"/>
        <v>0</v>
      </c>
      <c r="BHL22" s="1902">
        <f t="shared" si="28"/>
        <v>0</v>
      </c>
      <c r="BHM22" s="1902">
        <f t="shared" si="28"/>
        <v>0</v>
      </c>
      <c r="BHN22" s="1902">
        <f t="shared" si="28"/>
        <v>0</v>
      </c>
      <c r="BHO22" s="1902">
        <f t="shared" si="28"/>
        <v>0</v>
      </c>
      <c r="BHP22" s="1902">
        <f t="shared" si="28"/>
        <v>0</v>
      </c>
      <c r="BHQ22" s="1902">
        <f t="shared" si="28"/>
        <v>0</v>
      </c>
      <c r="BHR22" s="1902">
        <f t="shared" si="28"/>
        <v>0</v>
      </c>
      <c r="BHS22" s="1902">
        <f t="shared" si="28"/>
        <v>0</v>
      </c>
      <c r="BHT22" s="1902">
        <f t="shared" si="28"/>
        <v>0</v>
      </c>
      <c r="BHU22" s="1902">
        <f t="shared" si="28"/>
        <v>0</v>
      </c>
      <c r="BHV22" s="1902">
        <f t="shared" si="28"/>
        <v>0</v>
      </c>
      <c r="BHW22" s="1902">
        <f t="shared" si="28"/>
        <v>0</v>
      </c>
      <c r="BHX22" s="1902">
        <f t="shared" si="28"/>
        <v>0</v>
      </c>
      <c r="BHY22" s="1902">
        <f t="shared" si="28"/>
        <v>0</v>
      </c>
      <c r="BHZ22" s="1902">
        <f t="shared" si="28"/>
        <v>0</v>
      </c>
      <c r="BIA22" s="1902">
        <f t="shared" si="28"/>
        <v>0</v>
      </c>
      <c r="BIB22" s="1902">
        <f t="shared" si="28"/>
        <v>0</v>
      </c>
      <c r="BIC22" s="1902">
        <f t="shared" si="28"/>
        <v>0</v>
      </c>
      <c r="BID22" s="1902">
        <f t="shared" si="28"/>
        <v>0</v>
      </c>
      <c r="BIE22" s="1902">
        <f t="shared" si="28"/>
        <v>0</v>
      </c>
      <c r="BIF22" s="1902">
        <f t="shared" si="28"/>
        <v>0</v>
      </c>
      <c r="BIG22" s="1902">
        <f t="shared" si="28"/>
        <v>0</v>
      </c>
      <c r="BIH22" s="1902">
        <f t="shared" si="28"/>
        <v>0</v>
      </c>
      <c r="BII22" s="1902">
        <f t="shared" si="28"/>
        <v>0</v>
      </c>
      <c r="BIJ22" s="1902">
        <f t="shared" si="28"/>
        <v>0</v>
      </c>
      <c r="BIK22" s="1902">
        <f t="shared" si="28"/>
        <v>0</v>
      </c>
      <c r="BIL22" s="1902">
        <f t="shared" si="28"/>
        <v>0</v>
      </c>
      <c r="BIM22" s="1902">
        <f t="shared" si="28"/>
        <v>0</v>
      </c>
      <c r="BIN22" s="1902">
        <f t="shared" si="28"/>
        <v>0</v>
      </c>
      <c r="BIO22" s="1902">
        <f t="shared" si="28"/>
        <v>0</v>
      </c>
      <c r="BIP22" s="1902">
        <f t="shared" si="28"/>
        <v>0</v>
      </c>
      <c r="BIQ22" s="1902">
        <f t="shared" si="28"/>
        <v>0</v>
      </c>
      <c r="BIR22" s="1902">
        <f t="shared" si="28"/>
        <v>0</v>
      </c>
      <c r="BIS22" s="1902">
        <f t="shared" si="28"/>
        <v>0</v>
      </c>
      <c r="BIT22" s="1902">
        <f t="shared" si="28"/>
        <v>0</v>
      </c>
      <c r="BIU22" s="1902">
        <f t="shared" si="28"/>
        <v>0</v>
      </c>
      <c r="BIV22" s="1902">
        <f t="shared" si="28"/>
        <v>0</v>
      </c>
      <c r="BIW22" s="1902">
        <f t="shared" si="28"/>
        <v>0</v>
      </c>
      <c r="BIX22" s="1902">
        <f t="shared" si="28"/>
        <v>0</v>
      </c>
      <c r="BIY22" s="1902">
        <f t="shared" ref="BIY22:BLJ22" si="29">IF(AND(BIY$26="End of period",BIY$25="Revenue"),BIY9,0)</f>
        <v>0</v>
      </c>
      <c r="BIZ22" s="1902">
        <f t="shared" si="29"/>
        <v>0</v>
      </c>
      <c r="BJA22" s="1902">
        <f t="shared" si="29"/>
        <v>0</v>
      </c>
      <c r="BJB22" s="1902">
        <f t="shared" si="29"/>
        <v>0</v>
      </c>
      <c r="BJC22" s="1902">
        <f t="shared" si="29"/>
        <v>0</v>
      </c>
      <c r="BJD22" s="1902">
        <f t="shared" si="29"/>
        <v>0</v>
      </c>
      <c r="BJE22" s="1902">
        <f t="shared" si="29"/>
        <v>0</v>
      </c>
      <c r="BJF22" s="1902">
        <f t="shared" si="29"/>
        <v>0</v>
      </c>
      <c r="BJG22" s="1902">
        <f t="shared" si="29"/>
        <v>0</v>
      </c>
      <c r="BJH22" s="1902">
        <f t="shared" si="29"/>
        <v>0</v>
      </c>
      <c r="BJI22" s="1902">
        <f t="shared" si="29"/>
        <v>0</v>
      </c>
      <c r="BJJ22" s="1902">
        <f t="shared" si="29"/>
        <v>0</v>
      </c>
      <c r="BJK22" s="1902">
        <f t="shared" si="29"/>
        <v>0</v>
      </c>
      <c r="BJL22" s="1902">
        <f t="shared" si="29"/>
        <v>0</v>
      </c>
      <c r="BJM22" s="1902">
        <f t="shared" si="29"/>
        <v>0</v>
      </c>
      <c r="BJN22" s="1902">
        <f t="shared" si="29"/>
        <v>0</v>
      </c>
      <c r="BJO22" s="1902">
        <f t="shared" si="29"/>
        <v>0</v>
      </c>
      <c r="BJP22" s="1902">
        <f t="shared" si="29"/>
        <v>0</v>
      </c>
      <c r="BJQ22" s="1902">
        <f t="shared" si="29"/>
        <v>0</v>
      </c>
      <c r="BJR22" s="1902">
        <f t="shared" si="29"/>
        <v>0</v>
      </c>
      <c r="BJS22" s="1902">
        <f t="shared" si="29"/>
        <v>0</v>
      </c>
      <c r="BJT22" s="1902">
        <f t="shared" si="29"/>
        <v>0</v>
      </c>
      <c r="BJU22" s="1902">
        <f t="shared" si="29"/>
        <v>0</v>
      </c>
      <c r="BJV22" s="1902">
        <f t="shared" si="29"/>
        <v>0</v>
      </c>
      <c r="BJW22" s="1902">
        <f t="shared" si="29"/>
        <v>0</v>
      </c>
      <c r="BJX22" s="1902">
        <f t="shared" si="29"/>
        <v>0</v>
      </c>
      <c r="BJY22" s="1902">
        <f t="shared" si="29"/>
        <v>0</v>
      </c>
      <c r="BJZ22" s="1902">
        <f t="shared" si="29"/>
        <v>0</v>
      </c>
      <c r="BKA22" s="1902">
        <f t="shared" si="29"/>
        <v>0</v>
      </c>
      <c r="BKB22" s="1902">
        <f t="shared" si="29"/>
        <v>0</v>
      </c>
      <c r="BKC22" s="1902">
        <f t="shared" si="29"/>
        <v>0</v>
      </c>
      <c r="BKD22" s="1902">
        <f t="shared" si="29"/>
        <v>0</v>
      </c>
      <c r="BKE22" s="1902">
        <f t="shared" si="29"/>
        <v>0</v>
      </c>
      <c r="BKF22" s="1902">
        <f t="shared" si="29"/>
        <v>0</v>
      </c>
      <c r="BKG22" s="1902">
        <f t="shared" si="29"/>
        <v>0</v>
      </c>
      <c r="BKH22" s="1902">
        <f t="shared" si="29"/>
        <v>0</v>
      </c>
      <c r="BKI22" s="1902">
        <f t="shared" si="29"/>
        <v>0</v>
      </c>
      <c r="BKJ22" s="1902">
        <f t="shared" si="29"/>
        <v>0</v>
      </c>
      <c r="BKK22" s="1902">
        <f t="shared" si="29"/>
        <v>0</v>
      </c>
      <c r="BKL22" s="1902">
        <f t="shared" si="29"/>
        <v>0</v>
      </c>
      <c r="BKM22" s="1902">
        <f t="shared" si="29"/>
        <v>0</v>
      </c>
      <c r="BKN22" s="1902">
        <f t="shared" si="29"/>
        <v>0</v>
      </c>
      <c r="BKO22" s="1902">
        <f t="shared" si="29"/>
        <v>0</v>
      </c>
      <c r="BKP22" s="1902">
        <f t="shared" si="29"/>
        <v>0</v>
      </c>
      <c r="BKQ22" s="1902">
        <f t="shared" si="29"/>
        <v>0</v>
      </c>
      <c r="BKR22" s="1902">
        <f t="shared" si="29"/>
        <v>0</v>
      </c>
      <c r="BKS22" s="1902">
        <f t="shared" si="29"/>
        <v>0</v>
      </c>
      <c r="BKT22" s="1902">
        <f t="shared" si="29"/>
        <v>0</v>
      </c>
      <c r="BKU22" s="1902">
        <f t="shared" si="29"/>
        <v>0</v>
      </c>
      <c r="BKV22" s="1902">
        <f t="shared" si="29"/>
        <v>0</v>
      </c>
      <c r="BKW22" s="1902">
        <f t="shared" si="29"/>
        <v>0</v>
      </c>
      <c r="BKX22" s="1902">
        <f t="shared" si="29"/>
        <v>0</v>
      </c>
      <c r="BKY22" s="1902">
        <f t="shared" si="29"/>
        <v>0</v>
      </c>
      <c r="BKZ22" s="1902">
        <f t="shared" si="29"/>
        <v>0</v>
      </c>
      <c r="BLA22" s="1902">
        <f t="shared" si="29"/>
        <v>0</v>
      </c>
      <c r="BLB22" s="1902">
        <f t="shared" si="29"/>
        <v>0</v>
      </c>
      <c r="BLC22" s="1902">
        <f t="shared" si="29"/>
        <v>0</v>
      </c>
      <c r="BLD22" s="1902">
        <f t="shared" si="29"/>
        <v>0</v>
      </c>
      <c r="BLE22" s="1902">
        <f t="shared" si="29"/>
        <v>0</v>
      </c>
      <c r="BLF22" s="1902">
        <f t="shared" si="29"/>
        <v>0</v>
      </c>
      <c r="BLG22" s="1902">
        <f t="shared" si="29"/>
        <v>0</v>
      </c>
      <c r="BLH22" s="1902">
        <f t="shared" si="29"/>
        <v>0</v>
      </c>
      <c r="BLI22" s="1902">
        <f t="shared" si="29"/>
        <v>0</v>
      </c>
      <c r="BLJ22" s="1902">
        <f t="shared" si="29"/>
        <v>0</v>
      </c>
      <c r="BLK22" s="1902">
        <f t="shared" ref="BLK22:BNV22" si="30">IF(AND(BLK$26="End of period",BLK$25="Revenue"),BLK9,0)</f>
        <v>0</v>
      </c>
      <c r="BLL22" s="1902">
        <f t="shared" si="30"/>
        <v>0</v>
      </c>
      <c r="BLM22" s="1902">
        <f t="shared" si="30"/>
        <v>0</v>
      </c>
      <c r="BLN22" s="1902">
        <f t="shared" si="30"/>
        <v>0</v>
      </c>
      <c r="BLO22" s="1902">
        <f t="shared" si="30"/>
        <v>0</v>
      </c>
      <c r="BLP22" s="1902">
        <f t="shared" si="30"/>
        <v>0</v>
      </c>
      <c r="BLQ22" s="1902">
        <f t="shared" si="30"/>
        <v>0</v>
      </c>
      <c r="BLR22" s="1902">
        <f t="shared" si="30"/>
        <v>0</v>
      </c>
      <c r="BLS22" s="1902">
        <f t="shared" si="30"/>
        <v>0</v>
      </c>
      <c r="BLT22" s="1902">
        <f t="shared" si="30"/>
        <v>0</v>
      </c>
      <c r="BLU22" s="1902">
        <f t="shared" si="30"/>
        <v>0</v>
      </c>
      <c r="BLV22" s="1902">
        <f t="shared" si="30"/>
        <v>0</v>
      </c>
      <c r="BLW22" s="1902">
        <f t="shared" si="30"/>
        <v>0</v>
      </c>
      <c r="BLX22" s="1902">
        <f t="shared" si="30"/>
        <v>0</v>
      </c>
      <c r="BLY22" s="1902">
        <f t="shared" si="30"/>
        <v>0</v>
      </c>
      <c r="BLZ22" s="1902">
        <f t="shared" si="30"/>
        <v>0</v>
      </c>
      <c r="BMA22" s="1902">
        <f t="shared" si="30"/>
        <v>0</v>
      </c>
      <c r="BMB22" s="1902">
        <f t="shared" si="30"/>
        <v>0</v>
      </c>
      <c r="BMC22" s="1902">
        <f t="shared" si="30"/>
        <v>0</v>
      </c>
      <c r="BMD22" s="1902">
        <f t="shared" si="30"/>
        <v>0</v>
      </c>
      <c r="BME22" s="1902">
        <f t="shared" si="30"/>
        <v>0</v>
      </c>
      <c r="BMF22" s="1902">
        <f t="shared" si="30"/>
        <v>0</v>
      </c>
      <c r="BMG22" s="1902">
        <f t="shared" si="30"/>
        <v>0</v>
      </c>
      <c r="BMH22" s="1902">
        <f t="shared" si="30"/>
        <v>0</v>
      </c>
      <c r="BMI22" s="1902">
        <f t="shared" si="30"/>
        <v>0</v>
      </c>
      <c r="BMJ22" s="1902">
        <f t="shared" si="30"/>
        <v>0</v>
      </c>
      <c r="BMK22" s="1902">
        <f t="shared" si="30"/>
        <v>0</v>
      </c>
      <c r="BML22" s="1902">
        <f t="shared" si="30"/>
        <v>0</v>
      </c>
      <c r="BMM22" s="1902">
        <f t="shared" si="30"/>
        <v>0</v>
      </c>
      <c r="BMN22" s="1902">
        <f t="shared" si="30"/>
        <v>0</v>
      </c>
      <c r="BMO22" s="1902">
        <f t="shared" si="30"/>
        <v>0</v>
      </c>
      <c r="BMP22" s="1902">
        <f t="shared" si="30"/>
        <v>0</v>
      </c>
      <c r="BMQ22" s="1902">
        <f t="shared" si="30"/>
        <v>0</v>
      </c>
      <c r="BMR22" s="1902">
        <f t="shared" si="30"/>
        <v>0</v>
      </c>
      <c r="BMS22" s="1902">
        <f t="shared" si="30"/>
        <v>0</v>
      </c>
      <c r="BMT22" s="1902">
        <f t="shared" si="30"/>
        <v>0</v>
      </c>
      <c r="BMU22" s="1902">
        <f t="shared" si="30"/>
        <v>0</v>
      </c>
      <c r="BMV22" s="1902">
        <f t="shared" si="30"/>
        <v>0</v>
      </c>
      <c r="BMW22" s="1902">
        <f t="shared" si="30"/>
        <v>0</v>
      </c>
      <c r="BMX22" s="1902">
        <f t="shared" si="30"/>
        <v>0</v>
      </c>
      <c r="BMY22" s="1902">
        <f t="shared" si="30"/>
        <v>0</v>
      </c>
      <c r="BMZ22" s="1902">
        <f t="shared" si="30"/>
        <v>0</v>
      </c>
      <c r="BNA22" s="1902">
        <f t="shared" si="30"/>
        <v>0</v>
      </c>
      <c r="BNB22" s="1902">
        <f t="shared" si="30"/>
        <v>0</v>
      </c>
      <c r="BNC22" s="1902">
        <f t="shared" si="30"/>
        <v>0</v>
      </c>
      <c r="BND22" s="1902">
        <f t="shared" si="30"/>
        <v>0</v>
      </c>
      <c r="BNE22" s="1902">
        <f t="shared" si="30"/>
        <v>0</v>
      </c>
      <c r="BNF22" s="1902">
        <f t="shared" si="30"/>
        <v>0</v>
      </c>
      <c r="BNG22" s="1902">
        <f t="shared" si="30"/>
        <v>0</v>
      </c>
      <c r="BNH22" s="1902">
        <f t="shared" si="30"/>
        <v>0</v>
      </c>
      <c r="BNI22" s="1902">
        <f t="shared" si="30"/>
        <v>0</v>
      </c>
      <c r="BNJ22" s="1902">
        <f t="shared" si="30"/>
        <v>0</v>
      </c>
      <c r="BNK22" s="1902">
        <f t="shared" si="30"/>
        <v>0</v>
      </c>
      <c r="BNL22" s="1902">
        <f t="shared" si="30"/>
        <v>0</v>
      </c>
      <c r="BNM22" s="1902">
        <f t="shared" si="30"/>
        <v>0</v>
      </c>
      <c r="BNN22" s="1902">
        <f t="shared" si="30"/>
        <v>0</v>
      </c>
      <c r="BNO22" s="1902">
        <f t="shared" si="30"/>
        <v>0</v>
      </c>
      <c r="BNP22" s="1902">
        <f t="shared" si="30"/>
        <v>0</v>
      </c>
      <c r="BNQ22" s="1902">
        <f t="shared" si="30"/>
        <v>0</v>
      </c>
      <c r="BNR22" s="1902">
        <f t="shared" si="30"/>
        <v>0</v>
      </c>
      <c r="BNS22" s="1902">
        <f t="shared" si="30"/>
        <v>0</v>
      </c>
      <c r="BNT22" s="1902">
        <f t="shared" si="30"/>
        <v>0</v>
      </c>
      <c r="BNU22" s="1902">
        <f t="shared" si="30"/>
        <v>0</v>
      </c>
      <c r="BNV22" s="1902">
        <f t="shared" si="30"/>
        <v>0</v>
      </c>
      <c r="BNW22" s="1902">
        <f t="shared" ref="BNW22:BQH22" si="31">IF(AND(BNW$26="End of period",BNW$25="Revenue"),BNW9,0)</f>
        <v>0</v>
      </c>
      <c r="BNX22" s="1902">
        <f t="shared" si="31"/>
        <v>0</v>
      </c>
      <c r="BNY22" s="1902">
        <f t="shared" si="31"/>
        <v>0</v>
      </c>
      <c r="BNZ22" s="1902">
        <f t="shared" si="31"/>
        <v>0</v>
      </c>
      <c r="BOA22" s="1902">
        <f t="shared" si="31"/>
        <v>0</v>
      </c>
      <c r="BOB22" s="1902">
        <f t="shared" si="31"/>
        <v>0</v>
      </c>
      <c r="BOC22" s="1902">
        <f t="shared" si="31"/>
        <v>0</v>
      </c>
      <c r="BOD22" s="1902">
        <f t="shared" si="31"/>
        <v>0</v>
      </c>
      <c r="BOE22" s="1902">
        <f t="shared" si="31"/>
        <v>0</v>
      </c>
      <c r="BOF22" s="1902">
        <f t="shared" si="31"/>
        <v>0</v>
      </c>
      <c r="BOG22" s="1902">
        <f t="shared" si="31"/>
        <v>0</v>
      </c>
      <c r="BOH22" s="1902">
        <f t="shared" si="31"/>
        <v>0</v>
      </c>
      <c r="BOI22" s="1902">
        <f t="shared" si="31"/>
        <v>0</v>
      </c>
      <c r="BOJ22" s="1902">
        <f t="shared" si="31"/>
        <v>0</v>
      </c>
      <c r="BOK22" s="1902">
        <f t="shared" si="31"/>
        <v>0</v>
      </c>
      <c r="BOL22" s="1902">
        <f t="shared" si="31"/>
        <v>0</v>
      </c>
      <c r="BOM22" s="1902">
        <f t="shared" si="31"/>
        <v>0</v>
      </c>
      <c r="BON22" s="1902">
        <f t="shared" si="31"/>
        <v>0</v>
      </c>
      <c r="BOO22" s="1902">
        <f t="shared" si="31"/>
        <v>0</v>
      </c>
      <c r="BOP22" s="1902">
        <f t="shared" si="31"/>
        <v>0</v>
      </c>
      <c r="BOQ22" s="1902">
        <f t="shared" si="31"/>
        <v>0</v>
      </c>
      <c r="BOR22" s="1902">
        <f t="shared" si="31"/>
        <v>0</v>
      </c>
      <c r="BOS22" s="1902">
        <f t="shared" si="31"/>
        <v>0</v>
      </c>
      <c r="BOT22" s="1902">
        <f t="shared" si="31"/>
        <v>0</v>
      </c>
      <c r="BOU22" s="1902">
        <f t="shared" si="31"/>
        <v>0</v>
      </c>
      <c r="BOV22" s="1902">
        <f t="shared" si="31"/>
        <v>0</v>
      </c>
      <c r="BOW22" s="1902">
        <f t="shared" si="31"/>
        <v>0</v>
      </c>
      <c r="BOX22" s="1902">
        <f t="shared" si="31"/>
        <v>0</v>
      </c>
      <c r="BOY22" s="1902">
        <f t="shared" si="31"/>
        <v>0</v>
      </c>
      <c r="BOZ22" s="1902">
        <f t="shared" si="31"/>
        <v>0</v>
      </c>
      <c r="BPA22" s="1902">
        <f t="shared" si="31"/>
        <v>0</v>
      </c>
      <c r="BPB22" s="1902">
        <f t="shared" si="31"/>
        <v>0</v>
      </c>
      <c r="BPC22" s="1902">
        <f t="shared" si="31"/>
        <v>0</v>
      </c>
      <c r="BPD22" s="1902">
        <f t="shared" si="31"/>
        <v>0</v>
      </c>
      <c r="BPE22" s="1902">
        <f t="shared" si="31"/>
        <v>0</v>
      </c>
      <c r="BPF22" s="1902">
        <f t="shared" si="31"/>
        <v>0</v>
      </c>
      <c r="BPG22" s="1902">
        <f t="shared" si="31"/>
        <v>0</v>
      </c>
      <c r="BPH22" s="1902">
        <f t="shared" si="31"/>
        <v>0</v>
      </c>
      <c r="BPI22" s="1902">
        <f t="shared" si="31"/>
        <v>0</v>
      </c>
      <c r="BPJ22" s="1902">
        <f t="shared" si="31"/>
        <v>0</v>
      </c>
      <c r="BPK22" s="1902">
        <f t="shared" si="31"/>
        <v>0</v>
      </c>
      <c r="BPL22" s="1902">
        <f t="shared" si="31"/>
        <v>0</v>
      </c>
      <c r="BPM22" s="1902">
        <f t="shared" si="31"/>
        <v>0</v>
      </c>
      <c r="BPN22" s="1902">
        <f t="shared" si="31"/>
        <v>0</v>
      </c>
      <c r="BPO22" s="1902">
        <f t="shared" si="31"/>
        <v>0</v>
      </c>
      <c r="BPP22" s="1902">
        <f t="shared" si="31"/>
        <v>0</v>
      </c>
      <c r="BPQ22" s="1902">
        <f t="shared" si="31"/>
        <v>0</v>
      </c>
      <c r="BPR22" s="1902">
        <f t="shared" si="31"/>
        <v>0</v>
      </c>
      <c r="BPS22" s="1902">
        <f t="shared" si="31"/>
        <v>0</v>
      </c>
      <c r="BPT22" s="1902">
        <f t="shared" si="31"/>
        <v>0</v>
      </c>
      <c r="BPU22" s="1902">
        <f t="shared" si="31"/>
        <v>0</v>
      </c>
      <c r="BPV22" s="1902">
        <f t="shared" si="31"/>
        <v>0</v>
      </c>
      <c r="BPW22" s="1902">
        <f t="shared" si="31"/>
        <v>0</v>
      </c>
      <c r="BPX22" s="1902">
        <f t="shared" si="31"/>
        <v>0</v>
      </c>
      <c r="BPY22" s="1902">
        <f t="shared" si="31"/>
        <v>0</v>
      </c>
      <c r="BPZ22" s="1902">
        <f t="shared" si="31"/>
        <v>0</v>
      </c>
      <c r="BQA22" s="1902">
        <f t="shared" si="31"/>
        <v>0</v>
      </c>
      <c r="BQB22" s="1902">
        <f t="shared" si="31"/>
        <v>0</v>
      </c>
      <c r="BQC22" s="1902">
        <f t="shared" si="31"/>
        <v>0</v>
      </c>
      <c r="BQD22" s="1902">
        <f t="shared" si="31"/>
        <v>0</v>
      </c>
      <c r="BQE22" s="1902">
        <f t="shared" si="31"/>
        <v>0</v>
      </c>
      <c r="BQF22" s="1902">
        <f t="shared" si="31"/>
        <v>0</v>
      </c>
      <c r="BQG22" s="1902">
        <f t="shared" si="31"/>
        <v>0</v>
      </c>
      <c r="BQH22" s="1902">
        <f t="shared" si="31"/>
        <v>0</v>
      </c>
      <c r="BQI22" s="1902">
        <f t="shared" ref="BQI22:BST22" si="32">IF(AND(BQI$26="End of period",BQI$25="Revenue"),BQI9,0)</f>
        <v>0</v>
      </c>
      <c r="BQJ22" s="1902">
        <f t="shared" si="32"/>
        <v>0</v>
      </c>
      <c r="BQK22" s="1902">
        <f t="shared" si="32"/>
        <v>0</v>
      </c>
      <c r="BQL22" s="1902">
        <f t="shared" si="32"/>
        <v>0</v>
      </c>
      <c r="BQM22" s="1902">
        <f t="shared" si="32"/>
        <v>0</v>
      </c>
      <c r="BQN22" s="1902">
        <f t="shared" si="32"/>
        <v>0</v>
      </c>
      <c r="BQO22" s="1902">
        <f t="shared" si="32"/>
        <v>0</v>
      </c>
      <c r="BQP22" s="1902">
        <f t="shared" si="32"/>
        <v>0</v>
      </c>
      <c r="BQQ22" s="1902">
        <f t="shared" si="32"/>
        <v>0</v>
      </c>
      <c r="BQR22" s="1902">
        <f t="shared" si="32"/>
        <v>0</v>
      </c>
      <c r="BQS22" s="1902">
        <f t="shared" si="32"/>
        <v>0</v>
      </c>
      <c r="BQT22" s="1902">
        <f t="shared" si="32"/>
        <v>0</v>
      </c>
      <c r="BQU22" s="1902">
        <f t="shared" si="32"/>
        <v>0</v>
      </c>
      <c r="BQV22" s="1902">
        <f t="shared" si="32"/>
        <v>0</v>
      </c>
      <c r="BQW22" s="1902">
        <f t="shared" si="32"/>
        <v>0</v>
      </c>
      <c r="BQX22" s="1902">
        <f t="shared" si="32"/>
        <v>0</v>
      </c>
      <c r="BQY22" s="1902">
        <f t="shared" si="32"/>
        <v>0</v>
      </c>
      <c r="BQZ22" s="1902">
        <f t="shared" si="32"/>
        <v>0</v>
      </c>
      <c r="BRA22" s="1902">
        <f t="shared" si="32"/>
        <v>0</v>
      </c>
      <c r="BRB22" s="1902">
        <f t="shared" si="32"/>
        <v>0</v>
      </c>
      <c r="BRC22" s="1902">
        <f t="shared" si="32"/>
        <v>0</v>
      </c>
      <c r="BRD22" s="1902">
        <f t="shared" si="32"/>
        <v>0</v>
      </c>
      <c r="BRE22" s="1902">
        <f t="shared" si="32"/>
        <v>0</v>
      </c>
      <c r="BRF22" s="1902">
        <f t="shared" si="32"/>
        <v>0</v>
      </c>
      <c r="BRG22" s="1902">
        <f t="shared" si="32"/>
        <v>0</v>
      </c>
      <c r="BRH22" s="1902">
        <f t="shared" si="32"/>
        <v>0</v>
      </c>
      <c r="BRI22" s="1902">
        <f t="shared" si="32"/>
        <v>0</v>
      </c>
      <c r="BRJ22" s="1902">
        <f t="shared" si="32"/>
        <v>0</v>
      </c>
      <c r="BRK22" s="1902">
        <f t="shared" si="32"/>
        <v>0</v>
      </c>
      <c r="BRL22" s="1902">
        <f t="shared" si="32"/>
        <v>0</v>
      </c>
      <c r="BRM22" s="1902">
        <f t="shared" si="32"/>
        <v>0</v>
      </c>
      <c r="BRN22" s="1902">
        <f t="shared" si="32"/>
        <v>0</v>
      </c>
      <c r="BRO22" s="1902">
        <f t="shared" si="32"/>
        <v>0</v>
      </c>
      <c r="BRP22" s="1902">
        <f t="shared" si="32"/>
        <v>0</v>
      </c>
      <c r="BRQ22" s="1902">
        <f t="shared" si="32"/>
        <v>0</v>
      </c>
      <c r="BRR22" s="1902">
        <f t="shared" si="32"/>
        <v>0</v>
      </c>
      <c r="BRS22" s="1902">
        <f t="shared" si="32"/>
        <v>0</v>
      </c>
      <c r="BRT22" s="1902">
        <f t="shared" si="32"/>
        <v>0</v>
      </c>
      <c r="BRU22" s="1902">
        <f t="shared" si="32"/>
        <v>0</v>
      </c>
      <c r="BRV22" s="1902">
        <f t="shared" si="32"/>
        <v>0</v>
      </c>
      <c r="BRW22" s="1902">
        <f t="shared" si="32"/>
        <v>0</v>
      </c>
      <c r="BRX22" s="1902">
        <f t="shared" si="32"/>
        <v>0</v>
      </c>
      <c r="BRY22" s="1902">
        <f t="shared" si="32"/>
        <v>0</v>
      </c>
      <c r="BRZ22" s="1902">
        <f t="shared" si="32"/>
        <v>0</v>
      </c>
      <c r="BSA22" s="1902">
        <f t="shared" si="32"/>
        <v>0</v>
      </c>
      <c r="BSB22" s="1902">
        <f t="shared" si="32"/>
        <v>0</v>
      </c>
      <c r="BSC22" s="1902">
        <f t="shared" si="32"/>
        <v>0</v>
      </c>
      <c r="BSD22" s="1902">
        <f t="shared" si="32"/>
        <v>0</v>
      </c>
      <c r="BSE22" s="1902">
        <f t="shared" si="32"/>
        <v>0</v>
      </c>
      <c r="BSF22" s="1902">
        <f t="shared" si="32"/>
        <v>0</v>
      </c>
      <c r="BSG22" s="1902">
        <f t="shared" si="32"/>
        <v>0</v>
      </c>
      <c r="BSH22" s="1902">
        <f t="shared" si="32"/>
        <v>0</v>
      </c>
      <c r="BSI22" s="1902">
        <f t="shared" si="32"/>
        <v>0</v>
      </c>
      <c r="BSJ22" s="1902">
        <f t="shared" si="32"/>
        <v>0</v>
      </c>
      <c r="BSK22" s="1902">
        <f t="shared" si="32"/>
        <v>0</v>
      </c>
      <c r="BSL22" s="1902">
        <f t="shared" si="32"/>
        <v>0</v>
      </c>
      <c r="BSM22" s="1902">
        <f t="shared" si="32"/>
        <v>0</v>
      </c>
      <c r="BSN22" s="1902">
        <f t="shared" si="32"/>
        <v>0</v>
      </c>
      <c r="BSO22" s="1902">
        <f t="shared" si="32"/>
        <v>0</v>
      </c>
      <c r="BSP22" s="1902">
        <f t="shared" si="32"/>
        <v>0</v>
      </c>
      <c r="BSQ22" s="1902">
        <f t="shared" si="32"/>
        <v>0</v>
      </c>
      <c r="BSR22" s="1902">
        <f t="shared" si="32"/>
        <v>0</v>
      </c>
      <c r="BSS22" s="1902">
        <f t="shared" si="32"/>
        <v>0</v>
      </c>
      <c r="BST22" s="1902">
        <f t="shared" si="32"/>
        <v>0</v>
      </c>
      <c r="BSU22" s="1902">
        <f t="shared" ref="BSU22:BVF22" si="33">IF(AND(BSU$26="End of period",BSU$25="Revenue"),BSU9,0)</f>
        <v>0</v>
      </c>
      <c r="BSV22" s="1902">
        <f t="shared" si="33"/>
        <v>0</v>
      </c>
      <c r="BSW22" s="1902">
        <f t="shared" si="33"/>
        <v>0</v>
      </c>
      <c r="BSX22" s="1902">
        <f t="shared" si="33"/>
        <v>0</v>
      </c>
      <c r="BSY22" s="1902">
        <f t="shared" si="33"/>
        <v>0</v>
      </c>
      <c r="BSZ22" s="1902">
        <f t="shared" si="33"/>
        <v>0</v>
      </c>
      <c r="BTA22" s="1902">
        <f t="shared" si="33"/>
        <v>0</v>
      </c>
      <c r="BTB22" s="1902">
        <f t="shared" si="33"/>
        <v>0</v>
      </c>
      <c r="BTC22" s="1902">
        <f t="shared" si="33"/>
        <v>0</v>
      </c>
      <c r="BTD22" s="1902">
        <f t="shared" si="33"/>
        <v>0</v>
      </c>
      <c r="BTE22" s="1902">
        <f t="shared" si="33"/>
        <v>0</v>
      </c>
      <c r="BTF22" s="1902">
        <f t="shared" si="33"/>
        <v>0</v>
      </c>
      <c r="BTG22" s="1902">
        <f t="shared" si="33"/>
        <v>0</v>
      </c>
      <c r="BTH22" s="1902">
        <f t="shared" si="33"/>
        <v>0</v>
      </c>
      <c r="BTI22" s="1902">
        <f t="shared" si="33"/>
        <v>0</v>
      </c>
      <c r="BTJ22" s="1902">
        <f t="shared" si="33"/>
        <v>0</v>
      </c>
      <c r="BTK22" s="1902">
        <f t="shared" si="33"/>
        <v>0</v>
      </c>
      <c r="BTL22" s="1902">
        <f t="shared" si="33"/>
        <v>0</v>
      </c>
      <c r="BTM22" s="1902">
        <f t="shared" si="33"/>
        <v>0</v>
      </c>
      <c r="BTN22" s="1902">
        <f t="shared" si="33"/>
        <v>0</v>
      </c>
      <c r="BTO22" s="1902">
        <f t="shared" si="33"/>
        <v>0</v>
      </c>
      <c r="BTP22" s="1902">
        <f t="shared" si="33"/>
        <v>0</v>
      </c>
      <c r="BTQ22" s="1902">
        <f t="shared" si="33"/>
        <v>0</v>
      </c>
      <c r="BTR22" s="1902">
        <f t="shared" si="33"/>
        <v>0</v>
      </c>
      <c r="BTS22" s="1902">
        <f t="shared" si="33"/>
        <v>0</v>
      </c>
      <c r="BTT22" s="1902">
        <f t="shared" si="33"/>
        <v>0</v>
      </c>
      <c r="BTU22" s="1902">
        <f t="shared" si="33"/>
        <v>0</v>
      </c>
      <c r="BTV22" s="1902">
        <f t="shared" si="33"/>
        <v>0</v>
      </c>
      <c r="BTW22" s="1902">
        <f t="shared" si="33"/>
        <v>0</v>
      </c>
      <c r="BTX22" s="1902">
        <f t="shared" si="33"/>
        <v>0</v>
      </c>
      <c r="BTY22" s="1902">
        <f t="shared" si="33"/>
        <v>0</v>
      </c>
      <c r="BTZ22" s="1902">
        <f t="shared" si="33"/>
        <v>0</v>
      </c>
      <c r="BUA22" s="1902">
        <f t="shared" si="33"/>
        <v>0</v>
      </c>
      <c r="BUB22" s="1902">
        <f t="shared" si="33"/>
        <v>0</v>
      </c>
      <c r="BUC22" s="1902">
        <f t="shared" si="33"/>
        <v>0</v>
      </c>
      <c r="BUD22" s="1902">
        <f t="shared" si="33"/>
        <v>0</v>
      </c>
      <c r="BUE22" s="1902">
        <f t="shared" si="33"/>
        <v>0</v>
      </c>
      <c r="BUF22" s="1902">
        <f t="shared" si="33"/>
        <v>0</v>
      </c>
      <c r="BUG22" s="1902">
        <f t="shared" si="33"/>
        <v>0</v>
      </c>
      <c r="BUH22" s="1902">
        <f t="shared" si="33"/>
        <v>0</v>
      </c>
      <c r="BUI22" s="1902">
        <f t="shared" si="33"/>
        <v>0</v>
      </c>
      <c r="BUJ22" s="1902">
        <f t="shared" si="33"/>
        <v>0</v>
      </c>
      <c r="BUK22" s="1902">
        <f t="shared" si="33"/>
        <v>0</v>
      </c>
      <c r="BUL22" s="1902">
        <f t="shared" si="33"/>
        <v>0</v>
      </c>
      <c r="BUM22" s="1902">
        <f t="shared" si="33"/>
        <v>0</v>
      </c>
      <c r="BUN22" s="1902">
        <f t="shared" si="33"/>
        <v>0</v>
      </c>
      <c r="BUO22" s="1902">
        <f t="shared" si="33"/>
        <v>0</v>
      </c>
      <c r="BUP22" s="1902">
        <f t="shared" si="33"/>
        <v>0</v>
      </c>
      <c r="BUQ22" s="1902">
        <f t="shared" si="33"/>
        <v>0</v>
      </c>
      <c r="BUR22" s="1902">
        <f t="shared" si="33"/>
        <v>0</v>
      </c>
      <c r="BUS22" s="1902">
        <f t="shared" si="33"/>
        <v>0</v>
      </c>
      <c r="BUT22" s="1902">
        <f t="shared" si="33"/>
        <v>0</v>
      </c>
      <c r="BUU22" s="1902">
        <f t="shared" si="33"/>
        <v>0</v>
      </c>
      <c r="BUV22" s="1902">
        <f t="shared" si="33"/>
        <v>0</v>
      </c>
      <c r="BUW22" s="1902">
        <f t="shared" si="33"/>
        <v>0</v>
      </c>
      <c r="BUX22" s="1902">
        <f t="shared" si="33"/>
        <v>0</v>
      </c>
      <c r="BUY22" s="1902">
        <f t="shared" si="33"/>
        <v>0</v>
      </c>
      <c r="BUZ22" s="1902">
        <f t="shared" si="33"/>
        <v>0</v>
      </c>
      <c r="BVA22" s="1902">
        <f t="shared" si="33"/>
        <v>0</v>
      </c>
      <c r="BVB22" s="1902">
        <f t="shared" si="33"/>
        <v>0</v>
      </c>
      <c r="BVC22" s="1902">
        <f t="shared" si="33"/>
        <v>0</v>
      </c>
      <c r="BVD22" s="1902">
        <f t="shared" si="33"/>
        <v>0</v>
      </c>
      <c r="BVE22" s="1902">
        <f t="shared" si="33"/>
        <v>0</v>
      </c>
      <c r="BVF22" s="1902">
        <f t="shared" si="33"/>
        <v>0</v>
      </c>
      <c r="BVG22" s="1902">
        <f t="shared" ref="BVG22:BXR22" si="34">IF(AND(BVG$26="End of period",BVG$25="Revenue"),BVG9,0)</f>
        <v>0</v>
      </c>
      <c r="BVH22" s="1902">
        <f t="shared" si="34"/>
        <v>0</v>
      </c>
      <c r="BVI22" s="1902">
        <f t="shared" si="34"/>
        <v>0</v>
      </c>
      <c r="BVJ22" s="1902">
        <f t="shared" si="34"/>
        <v>0</v>
      </c>
      <c r="BVK22" s="1902">
        <f t="shared" si="34"/>
        <v>0</v>
      </c>
      <c r="BVL22" s="1902">
        <f t="shared" si="34"/>
        <v>0</v>
      </c>
      <c r="BVM22" s="1902">
        <f t="shared" si="34"/>
        <v>0</v>
      </c>
      <c r="BVN22" s="1902">
        <f t="shared" si="34"/>
        <v>0</v>
      </c>
      <c r="BVO22" s="1902">
        <f t="shared" si="34"/>
        <v>0</v>
      </c>
      <c r="BVP22" s="1902">
        <f t="shared" si="34"/>
        <v>0</v>
      </c>
      <c r="BVQ22" s="1902">
        <f t="shared" si="34"/>
        <v>0</v>
      </c>
      <c r="BVR22" s="1902">
        <f t="shared" si="34"/>
        <v>0</v>
      </c>
      <c r="BVS22" s="1902">
        <f t="shared" si="34"/>
        <v>0</v>
      </c>
      <c r="BVT22" s="1902">
        <f t="shared" si="34"/>
        <v>0</v>
      </c>
      <c r="BVU22" s="1902">
        <f t="shared" si="34"/>
        <v>0</v>
      </c>
      <c r="BVV22" s="1902">
        <f t="shared" si="34"/>
        <v>0</v>
      </c>
      <c r="BVW22" s="1902">
        <f t="shared" si="34"/>
        <v>0</v>
      </c>
      <c r="BVX22" s="1902">
        <f t="shared" si="34"/>
        <v>0</v>
      </c>
      <c r="BVY22" s="1902">
        <f t="shared" si="34"/>
        <v>0</v>
      </c>
      <c r="BVZ22" s="1902">
        <f t="shared" si="34"/>
        <v>0</v>
      </c>
      <c r="BWA22" s="1902">
        <f t="shared" si="34"/>
        <v>0</v>
      </c>
      <c r="BWB22" s="1902">
        <f t="shared" si="34"/>
        <v>0</v>
      </c>
      <c r="BWC22" s="1902">
        <f t="shared" si="34"/>
        <v>0</v>
      </c>
      <c r="BWD22" s="1902">
        <f t="shared" si="34"/>
        <v>0</v>
      </c>
      <c r="BWE22" s="1902">
        <f t="shared" si="34"/>
        <v>0</v>
      </c>
      <c r="BWF22" s="1902">
        <f t="shared" si="34"/>
        <v>0</v>
      </c>
      <c r="BWG22" s="1902">
        <f t="shared" si="34"/>
        <v>0</v>
      </c>
      <c r="BWH22" s="1902">
        <f t="shared" si="34"/>
        <v>0</v>
      </c>
      <c r="BWI22" s="1902">
        <f t="shared" si="34"/>
        <v>0</v>
      </c>
      <c r="BWJ22" s="1902">
        <f t="shared" si="34"/>
        <v>0</v>
      </c>
      <c r="BWK22" s="1902">
        <f t="shared" si="34"/>
        <v>0</v>
      </c>
      <c r="BWL22" s="1902">
        <f t="shared" si="34"/>
        <v>0</v>
      </c>
      <c r="BWM22" s="1902">
        <f t="shared" si="34"/>
        <v>0</v>
      </c>
      <c r="BWN22" s="1902">
        <f t="shared" si="34"/>
        <v>0</v>
      </c>
      <c r="BWO22" s="1902">
        <f t="shared" si="34"/>
        <v>0</v>
      </c>
      <c r="BWP22" s="1902">
        <f t="shared" si="34"/>
        <v>0</v>
      </c>
      <c r="BWQ22" s="1902">
        <f t="shared" si="34"/>
        <v>0</v>
      </c>
      <c r="BWR22" s="1902">
        <f t="shared" si="34"/>
        <v>0</v>
      </c>
      <c r="BWS22" s="1902">
        <f t="shared" si="34"/>
        <v>0</v>
      </c>
      <c r="BWT22" s="1902">
        <f t="shared" si="34"/>
        <v>0</v>
      </c>
      <c r="BWU22" s="1902">
        <f t="shared" si="34"/>
        <v>0</v>
      </c>
      <c r="BWV22" s="1902">
        <f t="shared" si="34"/>
        <v>0</v>
      </c>
      <c r="BWW22" s="1902">
        <f t="shared" si="34"/>
        <v>0</v>
      </c>
      <c r="BWX22" s="1902">
        <f t="shared" si="34"/>
        <v>0</v>
      </c>
      <c r="BWY22" s="1902">
        <f t="shared" si="34"/>
        <v>0</v>
      </c>
      <c r="BWZ22" s="1902">
        <f t="shared" si="34"/>
        <v>0</v>
      </c>
      <c r="BXA22" s="1902">
        <f t="shared" si="34"/>
        <v>0</v>
      </c>
      <c r="BXB22" s="1902">
        <f t="shared" si="34"/>
        <v>0</v>
      </c>
      <c r="BXC22" s="1902">
        <f t="shared" si="34"/>
        <v>0</v>
      </c>
      <c r="BXD22" s="1902">
        <f t="shared" si="34"/>
        <v>0</v>
      </c>
      <c r="BXE22" s="1902">
        <f t="shared" si="34"/>
        <v>0</v>
      </c>
      <c r="BXF22" s="1902">
        <f t="shared" si="34"/>
        <v>0</v>
      </c>
      <c r="BXG22" s="1902">
        <f t="shared" si="34"/>
        <v>0</v>
      </c>
      <c r="BXH22" s="1902">
        <f t="shared" si="34"/>
        <v>0</v>
      </c>
      <c r="BXI22" s="1902">
        <f t="shared" si="34"/>
        <v>0</v>
      </c>
      <c r="BXJ22" s="1902">
        <f t="shared" si="34"/>
        <v>0</v>
      </c>
      <c r="BXK22" s="1902">
        <f t="shared" si="34"/>
        <v>0</v>
      </c>
      <c r="BXL22" s="1902">
        <f t="shared" si="34"/>
        <v>0</v>
      </c>
      <c r="BXM22" s="1902">
        <f t="shared" si="34"/>
        <v>0</v>
      </c>
      <c r="BXN22" s="1902">
        <f t="shared" si="34"/>
        <v>0</v>
      </c>
      <c r="BXO22" s="1902">
        <f t="shared" si="34"/>
        <v>0</v>
      </c>
      <c r="BXP22" s="1902">
        <f t="shared" si="34"/>
        <v>0</v>
      </c>
      <c r="BXQ22" s="1902">
        <f t="shared" si="34"/>
        <v>0</v>
      </c>
      <c r="BXR22" s="1902">
        <f t="shared" si="34"/>
        <v>0</v>
      </c>
      <c r="BXS22" s="1902">
        <f t="shared" ref="BXS22:CAD22" si="35">IF(AND(BXS$26="End of period",BXS$25="Revenue"),BXS9,0)</f>
        <v>0</v>
      </c>
      <c r="BXT22" s="1902">
        <f t="shared" si="35"/>
        <v>0</v>
      </c>
      <c r="BXU22" s="1902">
        <f t="shared" si="35"/>
        <v>0</v>
      </c>
      <c r="BXV22" s="1902">
        <f t="shared" si="35"/>
        <v>0</v>
      </c>
      <c r="BXW22" s="1902">
        <f t="shared" si="35"/>
        <v>0</v>
      </c>
      <c r="BXX22" s="1902">
        <f t="shared" si="35"/>
        <v>0</v>
      </c>
      <c r="BXY22" s="1902">
        <f t="shared" si="35"/>
        <v>0</v>
      </c>
      <c r="BXZ22" s="1902">
        <f t="shared" si="35"/>
        <v>0</v>
      </c>
      <c r="BYA22" s="1902">
        <f t="shared" si="35"/>
        <v>0</v>
      </c>
      <c r="BYB22" s="1902">
        <f t="shared" si="35"/>
        <v>0</v>
      </c>
      <c r="BYC22" s="1902">
        <f t="shared" si="35"/>
        <v>0</v>
      </c>
      <c r="BYD22" s="1902">
        <f t="shared" si="35"/>
        <v>0</v>
      </c>
      <c r="BYE22" s="1902">
        <f t="shared" si="35"/>
        <v>0</v>
      </c>
      <c r="BYF22" s="1902">
        <f t="shared" si="35"/>
        <v>0</v>
      </c>
      <c r="BYG22" s="1902">
        <f t="shared" si="35"/>
        <v>0</v>
      </c>
      <c r="BYH22" s="1902">
        <f t="shared" si="35"/>
        <v>0</v>
      </c>
      <c r="BYI22" s="1902">
        <f t="shared" si="35"/>
        <v>0</v>
      </c>
      <c r="BYJ22" s="1902">
        <f t="shared" si="35"/>
        <v>0</v>
      </c>
      <c r="BYK22" s="1902">
        <f t="shared" si="35"/>
        <v>0</v>
      </c>
      <c r="BYL22" s="1902">
        <f t="shared" si="35"/>
        <v>0</v>
      </c>
      <c r="BYM22" s="1902">
        <f t="shared" si="35"/>
        <v>0</v>
      </c>
      <c r="BYN22" s="1902">
        <f t="shared" si="35"/>
        <v>0</v>
      </c>
      <c r="BYO22" s="1902">
        <f t="shared" si="35"/>
        <v>0</v>
      </c>
      <c r="BYP22" s="1902">
        <f t="shared" si="35"/>
        <v>0</v>
      </c>
      <c r="BYQ22" s="1902">
        <f t="shared" si="35"/>
        <v>0</v>
      </c>
      <c r="BYR22" s="1902">
        <f t="shared" si="35"/>
        <v>0</v>
      </c>
      <c r="BYS22" s="1902">
        <f t="shared" si="35"/>
        <v>0</v>
      </c>
      <c r="BYT22" s="1902">
        <f t="shared" si="35"/>
        <v>0</v>
      </c>
      <c r="BYU22" s="1902">
        <f t="shared" si="35"/>
        <v>0</v>
      </c>
      <c r="BYV22" s="1902">
        <f t="shared" si="35"/>
        <v>0</v>
      </c>
      <c r="BYW22" s="1902">
        <f t="shared" si="35"/>
        <v>0</v>
      </c>
      <c r="BYX22" s="1902">
        <f t="shared" si="35"/>
        <v>0</v>
      </c>
      <c r="BYY22" s="1902">
        <f t="shared" si="35"/>
        <v>0</v>
      </c>
      <c r="BYZ22" s="1902">
        <f t="shared" si="35"/>
        <v>0</v>
      </c>
      <c r="BZA22" s="1902">
        <f t="shared" si="35"/>
        <v>0</v>
      </c>
      <c r="BZB22" s="1902">
        <f t="shared" si="35"/>
        <v>0</v>
      </c>
      <c r="BZC22" s="1902">
        <f t="shared" si="35"/>
        <v>0</v>
      </c>
      <c r="BZD22" s="1902">
        <f t="shared" si="35"/>
        <v>0</v>
      </c>
      <c r="BZE22" s="1902">
        <f t="shared" si="35"/>
        <v>0</v>
      </c>
      <c r="BZF22" s="1902">
        <f t="shared" si="35"/>
        <v>0</v>
      </c>
      <c r="BZG22" s="1902">
        <f t="shared" si="35"/>
        <v>0</v>
      </c>
      <c r="BZH22" s="1902">
        <f t="shared" si="35"/>
        <v>0</v>
      </c>
      <c r="BZI22" s="1902">
        <f t="shared" si="35"/>
        <v>0</v>
      </c>
      <c r="BZJ22" s="1902">
        <f t="shared" si="35"/>
        <v>0</v>
      </c>
      <c r="BZK22" s="1902">
        <f t="shared" si="35"/>
        <v>0</v>
      </c>
      <c r="BZL22" s="1902">
        <f t="shared" si="35"/>
        <v>0</v>
      </c>
      <c r="BZM22" s="1902">
        <f t="shared" si="35"/>
        <v>0</v>
      </c>
      <c r="BZN22" s="1902">
        <f t="shared" si="35"/>
        <v>0</v>
      </c>
      <c r="BZO22" s="1902">
        <f t="shared" si="35"/>
        <v>0</v>
      </c>
      <c r="BZP22" s="1902">
        <f t="shared" si="35"/>
        <v>0</v>
      </c>
      <c r="BZQ22" s="1902">
        <f t="shared" si="35"/>
        <v>0</v>
      </c>
      <c r="BZR22" s="1902">
        <f t="shared" si="35"/>
        <v>0</v>
      </c>
      <c r="BZS22" s="1902">
        <f t="shared" si="35"/>
        <v>0</v>
      </c>
      <c r="BZT22" s="1902">
        <f t="shared" si="35"/>
        <v>0</v>
      </c>
      <c r="BZU22" s="1902">
        <f t="shared" si="35"/>
        <v>0</v>
      </c>
      <c r="BZV22" s="1902">
        <f t="shared" si="35"/>
        <v>0</v>
      </c>
      <c r="BZW22" s="1902">
        <f t="shared" si="35"/>
        <v>0</v>
      </c>
      <c r="BZX22" s="1902">
        <f t="shared" si="35"/>
        <v>0</v>
      </c>
      <c r="BZY22" s="1902">
        <f t="shared" si="35"/>
        <v>0</v>
      </c>
      <c r="BZZ22" s="1902">
        <f t="shared" si="35"/>
        <v>0</v>
      </c>
      <c r="CAA22" s="1902">
        <f t="shared" si="35"/>
        <v>0</v>
      </c>
      <c r="CAB22" s="1902">
        <f t="shared" si="35"/>
        <v>0</v>
      </c>
      <c r="CAC22" s="1902">
        <f t="shared" si="35"/>
        <v>0</v>
      </c>
      <c r="CAD22" s="1902">
        <f t="shared" si="35"/>
        <v>0</v>
      </c>
      <c r="CAE22" s="1902">
        <f t="shared" ref="CAE22:CCP22" si="36">IF(AND(CAE$26="End of period",CAE$25="Revenue"),CAE9,0)</f>
        <v>0</v>
      </c>
      <c r="CAF22" s="1902">
        <f t="shared" si="36"/>
        <v>0</v>
      </c>
      <c r="CAG22" s="1902">
        <f t="shared" si="36"/>
        <v>0</v>
      </c>
      <c r="CAH22" s="1902">
        <f t="shared" si="36"/>
        <v>0</v>
      </c>
      <c r="CAI22" s="1902">
        <f t="shared" si="36"/>
        <v>0</v>
      </c>
      <c r="CAJ22" s="1902">
        <f t="shared" si="36"/>
        <v>0</v>
      </c>
      <c r="CAK22" s="1902">
        <f t="shared" si="36"/>
        <v>0</v>
      </c>
      <c r="CAL22" s="1902">
        <f t="shared" si="36"/>
        <v>0</v>
      </c>
      <c r="CAM22" s="1902">
        <f t="shared" si="36"/>
        <v>0</v>
      </c>
      <c r="CAN22" s="1902">
        <f t="shared" si="36"/>
        <v>0</v>
      </c>
      <c r="CAO22" s="1902">
        <f t="shared" si="36"/>
        <v>0</v>
      </c>
      <c r="CAP22" s="1902">
        <f t="shared" si="36"/>
        <v>0</v>
      </c>
      <c r="CAQ22" s="1902">
        <f t="shared" si="36"/>
        <v>0</v>
      </c>
      <c r="CAR22" s="1902">
        <f t="shared" si="36"/>
        <v>0</v>
      </c>
      <c r="CAS22" s="1902">
        <f t="shared" si="36"/>
        <v>0</v>
      </c>
      <c r="CAT22" s="1902">
        <f t="shared" si="36"/>
        <v>0</v>
      </c>
      <c r="CAU22" s="1902">
        <f t="shared" si="36"/>
        <v>0</v>
      </c>
      <c r="CAV22" s="1902">
        <f t="shared" si="36"/>
        <v>0</v>
      </c>
      <c r="CAW22" s="1902">
        <f t="shared" si="36"/>
        <v>0</v>
      </c>
      <c r="CAX22" s="1902">
        <f t="shared" si="36"/>
        <v>0</v>
      </c>
      <c r="CAY22" s="1902">
        <f t="shared" si="36"/>
        <v>0</v>
      </c>
      <c r="CAZ22" s="1902">
        <f t="shared" si="36"/>
        <v>0</v>
      </c>
      <c r="CBA22" s="1902">
        <f t="shared" si="36"/>
        <v>0</v>
      </c>
      <c r="CBB22" s="1902">
        <f t="shared" si="36"/>
        <v>0</v>
      </c>
      <c r="CBC22" s="1902">
        <f t="shared" si="36"/>
        <v>0</v>
      </c>
      <c r="CBD22" s="1902">
        <f t="shared" si="36"/>
        <v>0</v>
      </c>
      <c r="CBE22" s="1902">
        <f t="shared" si="36"/>
        <v>0</v>
      </c>
      <c r="CBF22" s="1902">
        <f t="shared" si="36"/>
        <v>0</v>
      </c>
      <c r="CBG22" s="1902">
        <f t="shared" si="36"/>
        <v>0</v>
      </c>
      <c r="CBH22" s="1902">
        <f t="shared" si="36"/>
        <v>0</v>
      </c>
      <c r="CBI22" s="1902">
        <f t="shared" si="36"/>
        <v>0</v>
      </c>
      <c r="CBJ22" s="1902">
        <f t="shared" si="36"/>
        <v>0</v>
      </c>
      <c r="CBK22" s="1902">
        <f t="shared" si="36"/>
        <v>0</v>
      </c>
      <c r="CBL22" s="1902">
        <f t="shared" si="36"/>
        <v>0</v>
      </c>
      <c r="CBM22" s="1902">
        <f t="shared" si="36"/>
        <v>0</v>
      </c>
      <c r="CBN22" s="1902">
        <f t="shared" si="36"/>
        <v>0</v>
      </c>
      <c r="CBO22" s="1902">
        <f t="shared" si="36"/>
        <v>0</v>
      </c>
      <c r="CBP22" s="1902">
        <f t="shared" si="36"/>
        <v>0</v>
      </c>
      <c r="CBQ22" s="1902">
        <f t="shared" si="36"/>
        <v>0</v>
      </c>
      <c r="CBR22" s="1902">
        <f t="shared" si="36"/>
        <v>0</v>
      </c>
      <c r="CBS22" s="1902">
        <f t="shared" si="36"/>
        <v>0</v>
      </c>
      <c r="CBT22" s="1902">
        <f t="shared" si="36"/>
        <v>0</v>
      </c>
      <c r="CBU22" s="1902">
        <f t="shared" si="36"/>
        <v>0</v>
      </c>
      <c r="CBV22" s="1902">
        <f t="shared" si="36"/>
        <v>0</v>
      </c>
      <c r="CBW22" s="1902">
        <f t="shared" si="36"/>
        <v>0</v>
      </c>
      <c r="CBX22" s="1902">
        <f t="shared" si="36"/>
        <v>0</v>
      </c>
      <c r="CBY22" s="1902">
        <f t="shared" si="36"/>
        <v>0</v>
      </c>
      <c r="CBZ22" s="1902">
        <f t="shared" si="36"/>
        <v>0</v>
      </c>
      <c r="CCA22" s="1902">
        <f t="shared" si="36"/>
        <v>0</v>
      </c>
      <c r="CCB22" s="1902">
        <f t="shared" si="36"/>
        <v>0</v>
      </c>
      <c r="CCC22" s="1902">
        <f t="shared" si="36"/>
        <v>0</v>
      </c>
      <c r="CCD22" s="1902">
        <f t="shared" si="36"/>
        <v>0</v>
      </c>
      <c r="CCE22" s="1902">
        <f t="shared" si="36"/>
        <v>0</v>
      </c>
      <c r="CCF22" s="1902">
        <f t="shared" si="36"/>
        <v>0</v>
      </c>
      <c r="CCG22" s="1902">
        <f t="shared" si="36"/>
        <v>0</v>
      </c>
      <c r="CCH22" s="1902">
        <f t="shared" si="36"/>
        <v>0</v>
      </c>
      <c r="CCI22" s="1902">
        <f t="shared" si="36"/>
        <v>0</v>
      </c>
      <c r="CCJ22" s="1902">
        <f t="shared" si="36"/>
        <v>0</v>
      </c>
      <c r="CCK22" s="1902">
        <f t="shared" si="36"/>
        <v>0</v>
      </c>
      <c r="CCL22" s="1902">
        <f t="shared" si="36"/>
        <v>0</v>
      </c>
      <c r="CCM22" s="1902">
        <f t="shared" si="36"/>
        <v>0</v>
      </c>
      <c r="CCN22" s="1902">
        <f t="shared" si="36"/>
        <v>0</v>
      </c>
      <c r="CCO22" s="1902">
        <f t="shared" si="36"/>
        <v>0</v>
      </c>
      <c r="CCP22" s="1902">
        <f t="shared" si="36"/>
        <v>0</v>
      </c>
      <c r="CCQ22" s="1902">
        <f t="shared" ref="CCQ22:CFB22" si="37">IF(AND(CCQ$26="End of period",CCQ$25="Revenue"),CCQ9,0)</f>
        <v>0</v>
      </c>
      <c r="CCR22" s="1902">
        <f t="shared" si="37"/>
        <v>0</v>
      </c>
      <c r="CCS22" s="1902">
        <f t="shared" si="37"/>
        <v>0</v>
      </c>
      <c r="CCT22" s="1902">
        <f t="shared" si="37"/>
        <v>0</v>
      </c>
      <c r="CCU22" s="1902">
        <f t="shared" si="37"/>
        <v>0</v>
      </c>
      <c r="CCV22" s="1902">
        <f t="shared" si="37"/>
        <v>0</v>
      </c>
      <c r="CCW22" s="1902">
        <f t="shared" si="37"/>
        <v>0</v>
      </c>
      <c r="CCX22" s="1902">
        <f t="shared" si="37"/>
        <v>0</v>
      </c>
      <c r="CCY22" s="1902">
        <f t="shared" si="37"/>
        <v>0</v>
      </c>
      <c r="CCZ22" s="1902">
        <f t="shared" si="37"/>
        <v>0</v>
      </c>
      <c r="CDA22" s="1902">
        <f t="shared" si="37"/>
        <v>0</v>
      </c>
      <c r="CDB22" s="1902">
        <f t="shared" si="37"/>
        <v>0</v>
      </c>
      <c r="CDC22" s="1902">
        <f t="shared" si="37"/>
        <v>0</v>
      </c>
      <c r="CDD22" s="1902">
        <f t="shared" si="37"/>
        <v>0</v>
      </c>
      <c r="CDE22" s="1902">
        <f t="shared" si="37"/>
        <v>0</v>
      </c>
      <c r="CDF22" s="1902">
        <f t="shared" si="37"/>
        <v>0</v>
      </c>
      <c r="CDG22" s="1902">
        <f t="shared" si="37"/>
        <v>0</v>
      </c>
      <c r="CDH22" s="1902">
        <f t="shared" si="37"/>
        <v>0</v>
      </c>
      <c r="CDI22" s="1902">
        <f t="shared" si="37"/>
        <v>0</v>
      </c>
      <c r="CDJ22" s="1902">
        <f t="shared" si="37"/>
        <v>0</v>
      </c>
      <c r="CDK22" s="1902">
        <f t="shared" si="37"/>
        <v>0</v>
      </c>
      <c r="CDL22" s="1902">
        <f t="shared" si="37"/>
        <v>0</v>
      </c>
      <c r="CDM22" s="1902">
        <f t="shared" si="37"/>
        <v>0</v>
      </c>
      <c r="CDN22" s="1902">
        <f t="shared" si="37"/>
        <v>0</v>
      </c>
      <c r="CDO22" s="1902">
        <f t="shared" si="37"/>
        <v>0</v>
      </c>
      <c r="CDP22" s="1902">
        <f t="shared" si="37"/>
        <v>0</v>
      </c>
      <c r="CDQ22" s="1902">
        <f t="shared" si="37"/>
        <v>0</v>
      </c>
      <c r="CDR22" s="1902">
        <f t="shared" si="37"/>
        <v>0</v>
      </c>
      <c r="CDS22" s="1902">
        <f t="shared" si="37"/>
        <v>0</v>
      </c>
      <c r="CDT22" s="1902">
        <f t="shared" si="37"/>
        <v>0</v>
      </c>
      <c r="CDU22" s="1902">
        <f t="shared" si="37"/>
        <v>0</v>
      </c>
      <c r="CDV22" s="1902">
        <f t="shared" si="37"/>
        <v>0</v>
      </c>
      <c r="CDW22" s="1902">
        <f t="shared" si="37"/>
        <v>0</v>
      </c>
      <c r="CDX22" s="1902">
        <f t="shared" si="37"/>
        <v>0</v>
      </c>
      <c r="CDY22" s="1902">
        <f t="shared" si="37"/>
        <v>0</v>
      </c>
      <c r="CDZ22" s="1902">
        <f t="shared" si="37"/>
        <v>0</v>
      </c>
      <c r="CEA22" s="1902">
        <f t="shared" si="37"/>
        <v>0</v>
      </c>
      <c r="CEB22" s="1902">
        <f t="shared" si="37"/>
        <v>0</v>
      </c>
      <c r="CEC22" s="1902">
        <f t="shared" si="37"/>
        <v>0</v>
      </c>
      <c r="CED22" s="1902">
        <f t="shared" si="37"/>
        <v>0</v>
      </c>
      <c r="CEE22" s="1902">
        <f t="shared" si="37"/>
        <v>0</v>
      </c>
      <c r="CEF22" s="1902">
        <f t="shared" si="37"/>
        <v>0</v>
      </c>
      <c r="CEG22" s="1902">
        <f t="shared" si="37"/>
        <v>0</v>
      </c>
      <c r="CEH22" s="1902">
        <f t="shared" si="37"/>
        <v>0</v>
      </c>
      <c r="CEI22" s="1902">
        <f t="shared" si="37"/>
        <v>0</v>
      </c>
      <c r="CEJ22" s="1902">
        <f t="shared" si="37"/>
        <v>0</v>
      </c>
      <c r="CEK22" s="1902">
        <f t="shared" si="37"/>
        <v>0</v>
      </c>
      <c r="CEL22" s="1902">
        <f t="shared" si="37"/>
        <v>0</v>
      </c>
      <c r="CEM22" s="1902">
        <f t="shared" si="37"/>
        <v>0</v>
      </c>
      <c r="CEN22" s="1902">
        <f t="shared" si="37"/>
        <v>0</v>
      </c>
      <c r="CEO22" s="1902">
        <f t="shared" si="37"/>
        <v>0</v>
      </c>
      <c r="CEP22" s="1902">
        <f t="shared" si="37"/>
        <v>0</v>
      </c>
      <c r="CEQ22" s="1902">
        <f t="shared" si="37"/>
        <v>0</v>
      </c>
      <c r="CER22" s="1902">
        <f t="shared" si="37"/>
        <v>0</v>
      </c>
      <c r="CES22" s="1902">
        <f t="shared" si="37"/>
        <v>0</v>
      </c>
      <c r="CET22" s="1902">
        <f t="shared" si="37"/>
        <v>0</v>
      </c>
      <c r="CEU22" s="1902">
        <f t="shared" si="37"/>
        <v>0</v>
      </c>
      <c r="CEV22" s="1902">
        <f t="shared" si="37"/>
        <v>0</v>
      </c>
      <c r="CEW22" s="1902">
        <f t="shared" si="37"/>
        <v>0</v>
      </c>
      <c r="CEX22" s="1902">
        <f t="shared" si="37"/>
        <v>0</v>
      </c>
      <c r="CEY22" s="1902">
        <f t="shared" si="37"/>
        <v>0</v>
      </c>
      <c r="CEZ22" s="1902">
        <f t="shared" si="37"/>
        <v>0</v>
      </c>
      <c r="CFA22" s="1902">
        <f t="shared" si="37"/>
        <v>0</v>
      </c>
      <c r="CFB22" s="1902">
        <f t="shared" si="37"/>
        <v>0</v>
      </c>
      <c r="CFC22" s="1902">
        <f t="shared" ref="CFC22:CHN22" si="38">IF(AND(CFC$26="End of period",CFC$25="Revenue"),CFC9,0)</f>
        <v>0</v>
      </c>
      <c r="CFD22" s="1902">
        <f t="shared" si="38"/>
        <v>0</v>
      </c>
      <c r="CFE22" s="1902">
        <f t="shared" si="38"/>
        <v>0</v>
      </c>
      <c r="CFF22" s="1902">
        <f t="shared" si="38"/>
        <v>0</v>
      </c>
      <c r="CFG22" s="1902">
        <f t="shared" si="38"/>
        <v>0</v>
      </c>
      <c r="CFH22" s="1902">
        <f t="shared" si="38"/>
        <v>0</v>
      </c>
      <c r="CFI22" s="1902">
        <f t="shared" si="38"/>
        <v>0</v>
      </c>
      <c r="CFJ22" s="1902">
        <f t="shared" si="38"/>
        <v>0</v>
      </c>
      <c r="CFK22" s="1902">
        <f t="shared" si="38"/>
        <v>0</v>
      </c>
      <c r="CFL22" s="1902">
        <f t="shared" si="38"/>
        <v>0</v>
      </c>
      <c r="CFM22" s="1902">
        <f t="shared" si="38"/>
        <v>0</v>
      </c>
      <c r="CFN22" s="1902">
        <f t="shared" si="38"/>
        <v>0</v>
      </c>
      <c r="CFO22" s="1902">
        <f t="shared" si="38"/>
        <v>0</v>
      </c>
      <c r="CFP22" s="1902">
        <f t="shared" si="38"/>
        <v>0</v>
      </c>
      <c r="CFQ22" s="1902">
        <f t="shared" si="38"/>
        <v>0</v>
      </c>
      <c r="CFR22" s="1902">
        <f t="shared" si="38"/>
        <v>0</v>
      </c>
      <c r="CFS22" s="1902">
        <f t="shared" si="38"/>
        <v>0</v>
      </c>
      <c r="CFT22" s="1902">
        <f t="shared" si="38"/>
        <v>0</v>
      </c>
      <c r="CFU22" s="1902">
        <f t="shared" si="38"/>
        <v>0</v>
      </c>
      <c r="CFV22" s="1902">
        <f t="shared" si="38"/>
        <v>0</v>
      </c>
      <c r="CFW22" s="1902">
        <f t="shared" si="38"/>
        <v>0</v>
      </c>
      <c r="CFX22" s="1902">
        <f t="shared" si="38"/>
        <v>0</v>
      </c>
      <c r="CFY22" s="1902">
        <f t="shared" si="38"/>
        <v>0</v>
      </c>
      <c r="CFZ22" s="1902">
        <f t="shared" si="38"/>
        <v>0</v>
      </c>
      <c r="CGA22" s="1902">
        <f t="shared" si="38"/>
        <v>0</v>
      </c>
      <c r="CGB22" s="1902">
        <f t="shared" si="38"/>
        <v>0</v>
      </c>
      <c r="CGC22" s="1902">
        <f t="shared" si="38"/>
        <v>0</v>
      </c>
      <c r="CGD22" s="1902">
        <f t="shared" si="38"/>
        <v>0</v>
      </c>
      <c r="CGE22" s="1902">
        <f t="shared" si="38"/>
        <v>0</v>
      </c>
      <c r="CGF22" s="1902">
        <f t="shared" si="38"/>
        <v>0</v>
      </c>
      <c r="CGG22" s="1902">
        <f t="shared" si="38"/>
        <v>0</v>
      </c>
      <c r="CGH22" s="1902">
        <f t="shared" si="38"/>
        <v>0</v>
      </c>
      <c r="CGI22" s="1902">
        <f t="shared" si="38"/>
        <v>0</v>
      </c>
      <c r="CGJ22" s="1902">
        <f t="shared" si="38"/>
        <v>0</v>
      </c>
      <c r="CGK22" s="1902">
        <f t="shared" si="38"/>
        <v>0</v>
      </c>
      <c r="CGL22" s="1902">
        <f t="shared" si="38"/>
        <v>0</v>
      </c>
      <c r="CGM22" s="1902">
        <f t="shared" si="38"/>
        <v>0</v>
      </c>
      <c r="CGN22" s="1902">
        <f t="shared" si="38"/>
        <v>0</v>
      </c>
      <c r="CGO22" s="1902">
        <f t="shared" si="38"/>
        <v>0</v>
      </c>
      <c r="CGP22" s="1902">
        <f t="shared" si="38"/>
        <v>0</v>
      </c>
      <c r="CGQ22" s="1902">
        <f t="shared" si="38"/>
        <v>0</v>
      </c>
      <c r="CGR22" s="1902">
        <f t="shared" si="38"/>
        <v>0</v>
      </c>
      <c r="CGS22" s="1902">
        <f t="shared" si="38"/>
        <v>0</v>
      </c>
      <c r="CGT22" s="1902">
        <f t="shared" si="38"/>
        <v>0</v>
      </c>
      <c r="CGU22" s="1902">
        <f t="shared" si="38"/>
        <v>0</v>
      </c>
      <c r="CGV22" s="1902">
        <f t="shared" si="38"/>
        <v>0</v>
      </c>
      <c r="CGW22" s="1902">
        <f t="shared" si="38"/>
        <v>0</v>
      </c>
      <c r="CGX22" s="1902">
        <f t="shared" si="38"/>
        <v>0</v>
      </c>
      <c r="CGY22" s="1902">
        <f t="shared" si="38"/>
        <v>0</v>
      </c>
      <c r="CGZ22" s="1902">
        <f t="shared" si="38"/>
        <v>0</v>
      </c>
      <c r="CHA22" s="1902">
        <f t="shared" si="38"/>
        <v>0</v>
      </c>
      <c r="CHB22" s="1902">
        <f t="shared" si="38"/>
        <v>0</v>
      </c>
      <c r="CHC22" s="1902">
        <f t="shared" si="38"/>
        <v>0</v>
      </c>
      <c r="CHD22" s="1902">
        <f t="shared" si="38"/>
        <v>0</v>
      </c>
      <c r="CHE22" s="1902">
        <f t="shared" si="38"/>
        <v>0</v>
      </c>
      <c r="CHF22" s="1902">
        <f t="shared" si="38"/>
        <v>0</v>
      </c>
      <c r="CHG22" s="1902">
        <f t="shared" si="38"/>
        <v>0</v>
      </c>
      <c r="CHH22" s="1902">
        <f t="shared" si="38"/>
        <v>0</v>
      </c>
      <c r="CHI22" s="1902">
        <f t="shared" si="38"/>
        <v>0</v>
      </c>
      <c r="CHJ22" s="1902">
        <f t="shared" si="38"/>
        <v>0</v>
      </c>
      <c r="CHK22" s="1902">
        <f t="shared" si="38"/>
        <v>0</v>
      </c>
      <c r="CHL22" s="1902">
        <f t="shared" si="38"/>
        <v>0</v>
      </c>
      <c r="CHM22" s="1902">
        <f t="shared" si="38"/>
        <v>0</v>
      </c>
      <c r="CHN22" s="1902">
        <f t="shared" si="38"/>
        <v>0</v>
      </c>
      <c r="CHO22" s="1902">
        <f t="shared" ref="CHO22:CJZ22" si="39">IF(AND(CHO$26="End of period",CHO$25="Revenue"),CHO9,0)</f>
        <v>0</v>
      </c>
      <c r="CHP22" s="1902">
        <f t="shared" si="39"/>
        <v>0</v>
      </c>
      <c r="CHQ22" s="1902">
        <f t="shared" si="39"/>
        <v>0</v>
      </c>
      <c r="CHR22" s="1902">
        <f t="shared" si="39"/>
        <v>0</v>
      </c>
      <c r="CHS22" s="1902">
        <f t="shared" si="39"/>
        <v>0</v>
      </c>
      <c r="CHT22" s="1902">
        <f t="shared" si="39"/>
        <v>0</v>
      </c>
      <c r="CHU22" s="1902">
        <f t="shared" si="39"/>
        <v>0</v>
      </c>
      <c r="CHV22" s="1902">
        <f t="shared" si="39"/>
        <v>0</v>
      </c>
      <c r="CHW22" s="1902">
        <f t="shared" si="39"/>
        <v>0</v>
      </c>
      <c r="CHX22" s="1902">
        <f t="shared" si="39"/>
        <v>0</v>
      </c>
      <c r="CHY22" s="1902">
        <f t="shared" si="39"/>
        <v>0</v>
      </c>
      <c r="CHZ22" s="1902">
        <f t="shared" si="39"/>
        <v>0</v>
      </c>
      <c r="CIA22" s="1902">
        <f t="shared" si="39"/>
        <v>0</v>
      </c>
      <c r="CIB22" s="1902">
        <f t="shared" si="39"/>
        <v>0</v>
      </c>
      <c r="CIC22" s="1902">
        <f t="shared" si="39"/>
        <v>0</v>
      </c>
      <c r="CID22" s="1902">
        <f t="shared" si="39"/>
        <v>0</v>
      </c>
      <c r="CIE22" s="1902">
        <f t="shared" si="39"/>
        <v>0</v>
      </c>
      <c r="CIF22" s="1902">
        <f t="shared" si="39"/>
        <v>0</v>
      </c>
      <c r="CIG22" s="1902">
        <f t="shared" si="39"/>
        <v>0</v>
      </c>
      <c r="CIH22" s="1902">
        <f t="shared" si="39"/>
        <v>0</v>
      </c>
      <c r="CII22" s="1902">
        <f t="shared" si="39"/>
        <v>0</v>
      </c>
      <c r="CIJ22" s="1902">
        <f t="shared" si="39"/>
        <v>0</v>
      </c>
      <c r="CIK22" s="1902">
        <f t="shared" si="39"/>
        <v>0</v>
      </c>
      <c r="CIL22" s="1902">
        <f t="shared" si="39"/>
        <v>0</v>
      </c>
      <c r="CIM22" s="1902">
        <f t="shared" si="39"/>
        <v>0</v>
      </c>
      <c r="CIN22" s="1902">
        <f t="shared" si="39"/>
        <v>0</v>
      </c>
      <c r="CIO22" s="1902">
        <f t="shared" si="39"/>
        <v>0</v>
      </c>
      <c r="CIP22" s="1902">
        <f t="shared" si="39"/>
        <v>0</v>
      </c>
      <c r="CIQ22" s="1902">
        <f t="shared" si="39"/>
        <v>0</v>
      </c>
      <c r="CIR22" s="1902">
        <f t="shared" si="39"/>
        <v>0</v>
      </c>
      <c r="CIS22" s="1902">
        <f t="shared" si="39"/>
        <v>0</v>
      </c>
      <c r="CIT22" s="1902">
        <f t="shared" si="39"/>
        <v>0</v>
      </c>
      <c r="CIU22" s="1902">
        <f t="shared" si="39"/>
        <v>0</v>
      </c>
      <c r="CIV22" s="1902">
        <f t="shared" si="39"/>
        <v>0</v>
      </c>
      <c r="CIW22" s="1902">
        <f t="shared" si="39"/>
        <v>0</v>
      </c>
      <c r="CIX22" s="1902">
        <f t="shared" si="39"/>
        <v>0</v>
      </c>
      <c r="CIY22" s="1902">
        <f t="shared" si="39"/>
        <v>0</v>
      </c>
      <c r="CIZ22" s="1902">
        <f t="shared" si="39"/>
        <v>0</v>
      </c>
      <c r="CJA22" s="1902">
        <f t="shared" si="39"/>
        <v>0</v>
      </c>
      <c r="CJB22" s="1902">
        <f t="shared" si="39"/>
        <v>0</v>
      </c>
      <c r="CJC22" s="1902">
        <f t="shared" si="39"/>
        <v>0</v>
      </c>
      <c r="CJD22" s="1902">
        <f t="shared" si="39"/>
        <v>0</v>
      </c>
      <c r="CJE22" s="1902">
        <f t="shared" si="39"/>
        <v>0</v>
      </c>
      <c r="CJF22" s="1902">
        <f t="shared" si="39"/>
        <v>0</v>
      </c>
      <c r="CJG22" s="1902">
        <f t="shared" si="39"/>
        <v>0</v>
      </c>
      <c r="CJH22" s="1902">
        <f t="shared" si="39"/>
        <v>0</v>
      </c>
      <c r="CJI22" s="1902">
        <f t="shared" si="39"/>
        <v>0</v>
      </c>
      <c r="CJJ22" s="1902">
        <f t="shared" si="39"/>
        <v>0</v>
      </c>
      <c r="CJK22" s="1902">
        <f t="shared" si="39"/>
        <v>0</v>
      </c>
      <c r="CJL22" s="1902">
        <f t="shared" si="39"/>
        <v>0</v>
      </c>
      <c r="CJM22" s="1902">
        <f t="shared" si="39"/>
        <v>0</v>
      </c>
      <c r="CJN22" s="1902">
        <f t="shared" si="39"/>
        <v>0</v>
      </c>
      <c r="CJO22" s="1902">
        <f t="shared" si="39"/>
        <v>0</v>
      </c>
      <c r="CJP22" s="1902">
        <f t="shared" si="39"/>
        <v>0</v>
      </c>
      <c r="CJQ22" s="1902">
        <f t="shared" si="39"/>
        <v>0</v>
      </c>
      <c r="CJR22" s="1902">
        <f t="shared" si="39"/>
        <v>0</v>
      </c>
      <c r="CJS22" s="1902">
        <f t="shared" si="39"/>
        <v>0</v>
      </c>
      <c r="CJT22" s="1902">
        <f t="shared" si="39"/>
        <v>0</v>
      </c>
      <c r="CJU22" s="1902">
        <f t="shared" si="39"/>
        <v>0</v>
      </c>
      <c r="CJV22" s="1902">
        <f t="shared" si="39"/>
        <v>0</v>
      </c>
      <c r="CJW22" s="1902">
        <f t="shared" si="39"/>
        <v>0</v>
      </c>
      <c r="CJX22" s="1902">
        <f t="shared" si="39"/>
        <v>0</v>
      </c>
      <c r="CJY22" s="1902">
        <f t="shared" si="39"/>
        <v>0</v>
      </c>
      <c r="CJZ22" s="1902">
        <f t="shared" si="39"/>
        <v>0</v>
      </c>
      <c r="CKA22" s="1902">
        <f t="shared" ref="CKA22:CML22" si="40">IF(AND(CKA$26="End of period",CKA$25="Revenue"),CKA9,0)</f>
        <v>0</v>
      </c>
      <c r="CKB22" s="1902">
        <f t="shared" si="40"/>
        <v>0</v>
      </c>
      <c r="CKC22" s="1902">
        <f t="shared" si="40"/>
        <v>0</v>
      </c>
      <c r="CKD22" s="1902">
        <f t="shared" si="40"/>
        <v>0</v>
      </c>
      <c r="CKE22" s="1902">
        <f t="shared" si="40"/>
        <v>0</v>
      </c>
      <c r="CKF22" s="1902">
        <f t="shared" si="40"/>
        <v>0</v>
      </c>
      <c r="CKG22" s="1902">
        <f t="shared" si="40"/>
        <v>0</v>
      </c>
      <c r="CKH22" s="1902">
        <f t="shared" si="40"/>
        <v>0</v>
      </c>
      <c r="CKI22" s="1902">
        <f t="shared" si="40"/>
        <v>0</v>
      </c>
      <c r="CKJ22" s="1902">
        <f t="shared" si="40"/>
        <v>0</v>
      </c>
      <c r="CKK22" s="1902">
        <f t="shared" si="40"/>
        <v>0</v>
      </c>
      <c r="CKL22" s="1902">
        <f t="shared" si="40"/>
        <v>0</v>
      </c>
      <c r="CKM22" s="1902">
        <f t="shared" si="40"/>
        <v>0</v>
      </c>
      <c r="CKN22" s="1902">
        <f t="shared" si="40"/>
        <v>0</v>
      </c>
      <c r="CKO22" s="1902">
        <f t="shared" si="40"/>
        <v>0</v>
      </c>
      <c r="CKP22" s="1902">
        <f t="shared" si="40"/>
        <v>0</v>
      </c>
      <c r="CKQ22" s="1902">
        <f t="shared" si="40"/>
        <v>0</v>
      </c>
      <c r="CKR22" s="1902">
        <f t="shared" si="40"/>
        <v>0</v>
      </c>
      <c r="CKS22" s="1902">
        <f t="shared" si="40"/>
        <v>0</v>
      </c>
      <c r="CKT22" s="1902">
        <f t="shared" si="40"/>
        <v>0</v>
      </c>
      <c r="CKU22" s="1902">
        <f t="shared" si="40"/>
        <v>0</v>
      </c>
      <c r="CKV22" s="1902">
        <f t="shared" si="40"/>
        <v>0</v>
      </c>
      <c r="CKW22" s="1902">
        <f t="shared" si="40"/>
        <v>0</v>
      </c>
      <c r="CKX22" s="1902">
        <f t="shared" si="40"/>
        <v>0</v>
      </c>
      <c r="CKY22" s="1902">
        <f t="shared" si="40"/>
        <v>0</v>
      </c>
      <c r="CKZ22" s="1902">
        <f t="shared" si="40"/>
        <v>0</v>
      </c>
      <c r="CLA22" s="1902">
        <f t="shared" si="40"/>
        <v>0</v>
      </c>
      <c r="CLB22" s="1902">
        <f t="shared" si="40"/>
        <v>0</v>
      </c>
      <c r="CLC22" s="1902">
        <f t="shared" si="40"/>
        <v>0</v>
      </c>
      <c r="CLD22" s="1902">
        <f t="shared" si="40"/>
        <v>0</v>
      </c>
      <c r="CLE22" s="1902">
        <f t="shared" si="40"/>
        <v>0</v>
      </c>
      <c r="CLF22" s="1902">
        <f t="shared" si="40"/>
        <v>0</v>
      </c>
      <c r="CLG22" s="1902">
        <f t="shared" si="40"/>
        <v>0</v>
      </c>
      <c r="CLH22" s="1902">
        <f t="shared" si="40"/>
        <v>0</v>
      </c>
      <c r="CLI22" s="1902">
        <f t="shared" si="40"/>
        <v>0</v>
      </c>
      <c r="CLJ22" s="1902">
        <f t="shared" si="40"/>
        <v>0</v>
      </c>
      <c r="CLK22" s="1902">
        <f t="shared" si="40"/>
        <v>0</v>
      </c>
      <c r="CLL22" s="1902">
        <f t="shared" si="40"/>
        <v>0</v>
      </c>
      <c r="CLM22" s="1902">
        <f t="shared" si="40"/>
        <v>0</v>
      </c>
      <c r="CLN22" s="1902">
        <f t="shared" si="40"/>
        <v>0</v>
      </c>
      <c r="CLO22" s="1902">
        <f t="shared" si="40"/>
        <v>0</v>
      </c>
      <c r="CLP22" s="1902">
        <f t="shared" si="40"/>
        <v>0</v>
      </c>
      <c r="CLQ22" s="1902">
        <f t="shared" si="40"/>
        <v>0</v>
      </c>
      <c r="CLR22" s="1902">
        <f t="shared" si="40"/>
        <v>0</v>
      </c>
      <c r="CLS22" s="1902">
        <f t="shared" si="40"/>
        <v>0</v>
      </c>
      <c r="CLT22" s="1902">
        <f t="shared" si="40"/>
        <v>0</v>
      </c>
      <c r="CLU22" s="1902">
        <f t="shared" si="40"/>
        <v>0</v>
      </c>
      <c r="CLV22" s="1902">
        <f t="shared" si="40"/>
        <v>0</v>
      </c>
      <c r="CLW22" s="1902">
        <f t="shared" si="40"/>
        <v>0</v>
      </c>
      <c r="CLX22" s="1902">
        <f t="shared" si="40"/>
        <v>0</v>
      </c>
      <c r="CLY22" s="1902">
        <f t="shared" si="40"/>
        <v>0</v>
      </c>
      <c r="CLZ22" s="1902">
        <f t="shared" si="40"/>
        <v>0</v>
      </c>
      <c r="CMA22" s="1902">
        <f t="shared" si="40"/>
        <v>0</v>
      </c>
      <c r="CMB22" s="1902">
        <f t="shared" si="40"/>
        <v>0</v>
      </c>
      <c r="CMC22" s="1902">
        <f t="shared" si="40"/>
        <v>0</v>
      </c>
      <c r="CMD22" s="1902">
        <f t="shared" si="40"/>
        <v>0</v>
      </c>
      <c r="CME22" s="1902">
        <f t="shared" si="40"/>
        <v>0</v>
      </c>
      <c r="CMF22" s="1902">
        <f t="shared" si="40"/>
        <v>0</v>
      </c>
      <c r="CMG22" s="1902">
        <f t="shared" si="40"/>
        <v>0</v>
      </c>
      <c r="CMH22" s="1902">
        <f t="shared" si="40"/>
        <v>0</v>
      </c>
      <c r="CMI22" s="1902">
        <f t="shared" si="40"/>
        <v>0</v>
      </c>
      <c r="CMJ22" s="1902">
        <f t="shared" si="40"/>
        <v>0</v>
      </c>
      <c r="CMK22" s="1902">
        <f t="shared" si="40"/>
        <v>0</v>
      </c>
      <c r="CML22" s="1902">
        <f t="shared" si="40"/>
        <v>0</v>
      </c>
      <c r="CMM22" s="1902">
        <f t="shared" ref="CMM22:COX22" si="41">IF(AND(CMM$26="End of period",CMM$25="Revenue"),CMM9,0)</f>
        <v>0</v>
      </c>
      <c r="CMN22" s="1902">
        <f t="shared" si="41"/>
        <v>0</v>
      </c>
      <c r="CMO22" s="1902">
        <f t="shared" si="41"/>
        <v>0</v>
      </c>
      <c r="CMP22" s="1902">
        <f t="shared" si="41"/>
        <v>0</v>
      </c>
      <c r="CMQ22" s="1902">
        <f t="shared" si="41"/>
        <v>0</v>
      </c>
      <c r="CMR22" s="1902">
        <f t="shared" si="41"/>
        <v>0</v>
      </c>
      <c r="CMS22" s="1902">
        <f t="shared" si="41"/>
        <v>0</v>
      </c>
      <c r="CMT22" s="1902">
        <f t="shared" si="41"/>
        <v>0</v>
      </c>
      <c r="CMU22" s="1902">
        <f t="shared" si="41"/>
        <v>0</v>
      </c>
      <c r="CMV22" s="1902">
        <f t="shared" si="41"/>
        <v>0</v>
      </c>
      <c r="CMW22" s="1902">
        <f t="shared" si="41"/>
        <v>0</v>
      </c>
      <c r="CMX22" s="1902">
        <f t="shared" si="41"/>
        <v>0</v>
      </c>
      <c r="CMY22" s="1902">
        <f t="shared" si="41"/>
        <v>0</v>
      </c>
      <c r="CMZ22" s="1902">
        <f t="shared" si="41"/>
        <v>0</v>
      </c>
      <c r="CNA22" s="1902">
        <f t="shared" si="41"/>
        <v>0</v>
      </c>
      <c r="CNB22" s="1902">
        <f t="shared" si="41"/>
        <v>0</v>
      </c>
      <c r="CNC22" s="1902">
        <f t="shared" si="41"/>
        <v>0</v>
      </c>
      <c r="CND22" s="1902">
        <f t="shared" si="41"/>
        <v>0</v>
      </c>
      <c r="CNE22" s="1902">
        <f t="shared" si="41"/>
        <v>0</v>
      </c>
      <c r="CNF22" s="1902">
        <f t="shared" si="41"/>
        <v>0</v>
      </c>
      <c r="CNG22" s="1902">
        <f t="shared" si="41"/>
        <v>0</v>
      </c>
      <c r="CNH22" s="1902">
        <f t="shared" si="41"/>
        <v>0</v>
      </c>
      <c r="CNI22" s="1902">
        <f t="shared" si="41"/>
        <v>0</v>
      </c>
      <c r="CNJ22" s="1902">
        <f t="shared" si="41"/>
        <v>0</v>
      </c>
      <c r="CNK22" s="1902">
        <f t="shared" si="41"/>
        <v>0</v>
      </c>
      <c r="CNL22" s="1902">
        <f t="shared" si="41"/>
        <v>0</v>
      </c>
      <c r="CNM22" s="1902">
        <f t="shared" si="41"/>
        <v>0</v>
      </c>
      <c r="CNN22" s="1902">
        <f t="shared" si="41"/>
        <v>0</v>
      </c>
      <c r="CNO22" s="1902">
        <f t="shared" si="41"/>
        <v>0</v>
      </c>
      <c r="CNP22" s="1902">
        <f t="shared" si="41"/>
        <v>0</v>
      </c>
      <c r="CNQ22" s="1902">
        <f t="shared" si="41"/>
        <v>0</v>
      </c>
      <c r="CNR22" s="1902">
        <f t="shared" si="41"/>
        <v>0</v>
      </c>
      <c r="CNS22" s="1902">
        <f t="shared" si="41"/>
        <v>0</v>
      </c>
      <c r="CNT22" s="1902">
        <f t="shared" si="41"/>
        <v>0</v>
      </c>
      <c r="CNU22" s="1902">
        <f t="shared" si="41"/>
        <v>0</v>
      </c>
      <c r="CNV22" s="1902">
        <f t="shared" si="41"/>
        <v>0</v>
      </c>
      <c r="CNW22" s="1902">
        <f t="shared" si="41"/>
        <v>0</v>
      </c>
      <c r="CNX22" s="1902">
        <f t="shared" si="41"/>
        <v>0</v>
      </c>
      <c r="CNY22" s="1902">
        <f t="shared" si="41"/>
        <v>0</v>
      </c>
      <c r="CNZ22" s="1902">
        <f t="shared" si="41"/>
        <v>0</v>
      </c>
      <c r="COA22" s="1902">
        <f t="shared" si="41"/>
        <v>0</v>
      </c>
      <c r="COB22" s="1902">
        <f t="shared" si="41"/>
        <v>0</v>
      </c>
      <c r="COC22" s="1902">
        <f t="shared" si="41"/>
        <v>0</v>
      </c>
      <c r="COD22" s="1902">
        <f t="shared" si="41"/>
        <v>0</v>
      </c>
      <c r="COE22" s="1902">
        <f t="shared" si="41"/>
        <v>0</v>
      </c>
      <c r="COF22" s="1902">
        <f t="shared" si="41"/>
        <v>0</v>
      </c>
      <c r="COG22" s="1902">
        <f t="shared" si="41"/>
        <v>0</v>
      </c>
      <c r="COH22" s="1902">
        <f t="shared" si="41"/>
        <v>0</v>
      </c>
      <c r="COI22" s="1902">
        <f t="shared" si="41"/>
        <v>0</v>
      </c>
      <c r="COJ22" s="1902">
        <f t="shared" si="41"/>
        <v>0</v>
      </c>
      <c r="COK22" s="1902">
        <f t="shared" si="41"/>
        <v>0</v>
      </c>
      <c r="COL22" s="1902">
        <f t="shared" si="41"/>
        <v>0</v>
      </c>
      <c r="COM22" s="1902">
        <f t="shared" si="41"/>
        <v>0</v>
      </c>
      <c r="CON22" s="1902">
        <f t="shared" si="41"/>
        <v>0</v>
      </c>
      <c r="COO22" s="1902">
        <f t="shared" si="41"/>
        <v>0</v>
      </c>
      <c r="COP22" s="1902">
        <f t="shared" si="41"/>
        <v>0</v>
      </c>
      <c r="COQ22" s="1902">
        <f t="shared" si="41"/>
        <v>0</v>
      </c>
      <c r="COR22" s="1902">
        <f t="shared" si="41"/>
        <v>0</v>
      </c>
      <c r="COS22" s="1902">
        <f t="shared" si="41"/>
        <v>0</v>
      </c>
      <c r="COT22" s="1902">
        <f t="shared" si="41"/>
        <v>0</v>
      </c>
      <c r="COU22" s="1902">
        <f t="shared" si="41"/>
        <v>0</v>
      </c>
      <c r="COV22" s="1902">
        <f t="shared" si="41"/>
        <v>0</v>
      </c>
      <c r="COW22" s="1902">
        <f t="shared" si="41"/>
        <v>0</v>
      </c>
      <c r="COX22" s="1902">
        <f t="shared" si="41"/>
        <v>0</v>
      </c>
      <c r="COY22" s="1902">
        <f t="shared" ref="COY22:CRJ22" si="42">IF(AND(COY$26="End of period",COY$25="Revenue"),COY9,0)</f>
        <v>0</v>
      </c>
      <c r="COZ22" s="1902">
        <f t="shared" si="42"/>
        <v>0</v>
      </c>
      <c r="CPA22" s="1902">
        <f t="shared" si="42"/>
        <v>0</v>
      </c>
      <c r="CPB22" s="1902">
        <f t="shared" si="42"/>
        <v>0</v>
      </c>
      <c r="CPC22" s="1902">
        <f t="shared" si="42"/>
        <v>0</v>
      </c>
      <c r="CPD22" s="1902">
        <f t="shared" si="42"/>
        <v>0</v>
      </c>
      <c r="CPE22" s="1902">
        <f t="shared" si="42"/>
        <v>0</v>
      </c>
      <c r="CPF22" s="1902">
        <f t="shared" si="42"/>
        <v>0</v>
      </c>
      <c r="CPG22" s="1902">
        <f t="shared" si="42"/>
        <v>0</v>
      </c>
      <c r="CPH22" s="1902">
        <f t="shared" si="42"/>
        <v>0</v>
      </c>
      <c r="CPI22" s="1902">
        <f t="shared" si="42"/>
        <v>0</v>
      </c>
      <c r="CPJ22" s="1902">
        <f t="shared" si="42"/>
        <v>0</v>
      </c>
      <c r="CPK22" s="1902">
        <f t="shared" si="42"/>
        <v>0</v>
      </c>
      <c r="CPL22" s="1902">
        <f t="shared" si="42"/>
        <v>0</v>
      </c>
      <c r="CPM22" s="1902">
        <f t="shared" si="42"/>
        <v>0</v>
      </c>
      <c r="CPN22" s="1902">
        <f t="shared" si="42"/>
        <v>0</v>
      </c>
      <c r="CPO22" s="1902">
        <f t="shared" si="42"/>
        <v>0</v>
      </c>
      <c r="CPP22" s="1902">
        <f t="shared" si="42"/>
        <v>0</v>
      </c>
      <c r="CPQ22" s="1902">
        <f t="shared" si="42"/>
        <v>0</v>
      </c>
      <c r="CPR22" s="1902">
        <f t="shared" si="42"/>
        <v>0</v>
      </c>
      <c r="CPS22" s="1902">
        <f t="shared" si="42"/>
        <v>0</v>
      </c>
      <c r="CPT22" s="1902">
        <f t="shared" si="42"/>
        <v>0</v>
      </c>
      <c r="CPU22" s="1902">
        <f t="shared" si="42"/>
        <v>0</v>
      </c>
      <c r="CPV22" s="1902">
        <f t="shared" si="42"/>
        <v>0</v>
      </c>
      <c r="CPW22" s="1902">
        <f t="shared" si="42"/>
        <v>0</v>
      </c>
      <c r="CPX22" s="1902">
        <f t="shared" si="42"/>
        <v>0</v>
      </c>
      <c r="CPY22" s="1902">
        <f t="shared" si="42"/>
        <v>0</v>
      </c>
      <c r="CPZ22" s="1902">
        <f t="shared" si="42"/>
        <v>0</v>
      </c>
      <c r="CQA22" s="1902">
        <f t="shared" si="42"/>
        <v>0</v>
      </c>
      <c r="CQB22" s="1902">
        <f t="shared" si="42"/>
        <v>0</v>
      </c>
      <c r="CQC22" s="1902">
        <f t="shared" si="42"/>
        <v>0</v>
      </c>
      <c r="CQD22" s="1902">
        <f t="shared" si="42"/>
        <v>0</v>
      </c>
      <c r="CQE22" s="1902">
        <f t="shared" si="42"/>
        <v>0</v>
      </c>
      <c r="CQF22" s="1902">
        <f t="shared" si="42"/>
        <v>0</v>
      </c>
      <c r="CQG22" s="1902">
        <f t="shared" si="42"/>
        <v>0</v>
      </c>
      <c r="CQH22" s="1902">
        <f t="shared" si="42"/>
        <v>0</v>
      </c>
      <c r="CQI22" s="1902">
        <f t="shared" si="42"/>
        <v>0</v>
      </c>
      <c r="CQJ22" s="1902">
        <f t="shared" si="42"/>
        <v>0</v>
      </c>
      <c r="CQK22" s="1902">
        <f t="shared" si="42"/>
        <v>0</v>
      </c>
      <c r="CQL22" s="1902">
        <f t="shared" si="42"/>
        <v>0</v>
      </c>
      <c r="CQM22" s="1902">
        <f t="shared" si="42"/>
        <v>0</v>
      </c>
      <c r="CQN22" s="1902">
        <f t="shared" si="42"/>
        <v>0</v>
      </c>
      <c r="CQO22" s="1902">
        <f t="shared" si="42"/>
        <v>0</v>
      </c>
      <c r="CQP22" s="1902">
        <f t="shared" si="42"/>
        <v>0</v>
      </c>
      <c r="CQQ22" s="1902">
        <f t="shared" si="42"/>
        <v>0</v>
      </c>
      <c r="CQR22" s="1902">
        <f t="shared" si="42"/>
        <v>0</v>
      </c>
      <c r="CQS22" s="1902">
        <f t="shared" si="42"/>
        <v>0</v>
      </c>
      <c r="CQT22" s="1902">
        <f t="shared" si="42"/>
        <v>0</v>
      </c>
      <c r="CQU22" s="1902">
        <f t="shared" si="42"/>
        <v>0</v>
      </c>
      <c r="CQV22" s="1902">
        <f t="shared" si="42"/>
        <v>0</v>
      </c>
      <c r="CQW22" s="1902">
        <f t="shared" si="42"/>
        <v>0</v>
      </c>
      <c r="CQX22" s="1902">
        <f t="shared" si="42"/>
        <v>0</v>
      </c>
      <c r="CQY22" s="1902">
        <f t="shared" si="42"/>
        <v>0</v>
      </c>
      <c r="CQZ22" s="1902">
        <f t="shared" si="42"/>
        <v>0</v>
      </c>
      <c r="CRA22" s="1902">
        <f t="shared" si="42"/>
        <v>0</v>
      </c>
      <c r="CRB22" s="1902">
        <f t="shared" si="42"/>
        <v>0</v>
      </c>
      <c r="CRC22" s="1902">
        <f t="shared" si="42"/>
        <v>0</v>
      </c>
      <c r="CRD22" s="1902">
        <f t="shared" si="42"/>
        <v>0</v>
      </c>
      <c r="CRE22" s="1902">
        <f t="shared" si="42"/>
        <v>0</v>
      </c>
      <c r="CRF22" s="1902">
        <f t="shared" si="42"/>
        <v>0</v>
      </c>
      <c r="CRG22" s="1902">
        <f t="shared" si="42"/>
        <v>0</v>
      </c>
      <c r="CRH22" s="1902">
        <f t="shared" si="42"/>
        <v>0</v>
      </c>
      <c r="CRI22" s="1902">
        <f t="shared" si="42"/>
        <v>0</v>
      </c>
      <c r="CRJ22" s="1902">
        <f t="shared" si="42"/>
        <v>0</v>
      </c>
      <c r="CRK22" s="1902">
        <f t="shared" ref="CRK22:CTV22" si="43">IF(AND(CRK$26="End of period",CRK$25="Revenue"),CRK9,0)</f>
        <v>0</v>
      </c>
      <c r="CRL22" s="1902">
        <f t="shared" si="43"/>
        <v>0</v>
      </c>
      <c r="CRM22" s="1902">
        <f t="shared" si="43"/>
        <v>0</v>
      </c>
      <c r="CRN22" s="1902">
        <f t="shared" si="43"/>
        <v>0</v>
      </c>
      <c r="CRO22" s="1902">
        <f t="shared" si="43"/>
        <v>0</v>
      </c>
      <c r="CRP22" s="1902">
        <f t="shared" si="43"/>
        <v>0</v>
      </c>
      <c r="CRQ22" s="1902">
        <f t="shared" si="43"/>
        <v>0</v>
      </c>
      <c r="CRR22" s="1902">
        <f t="shared" si="43"/>
        <v>0</v>
      </c>
      <c r="CRS22" s="1902">
        <f t="shared" si="43"/>
        <v>0</v>
      </c>
      <c r="CRT22" s="1902">
        <f t="shared" si="43"/>
        <v>0</v>
      </c>
      <c r="CRU22" s="1902">
        <f t="shared" si="43"/>
        <v>0</v>
      </c>
      <c r="CRV22" s="1902">
        <f t="shared" si="43"/>
        <v>0</v>
      </c>
      <c r="CRW22" s="1902">
        <f t="shared" si="43"/>
        <v>0</v>
      </c>
      <c r="CRX22" s="1902">
        <f t="shared" si="43"/>
        <v>0</v>
      </c>
      <c r="CRY22" s="1902">
        <f t="shared" si="43"/>
        <v>0</v>
      </c>
      <c r="CRZ22" s="1902">
        <f t="shared" si="43"/>
        <v>0</v>
      </c>
      <c r="CSA22" s="1902">
        <f t="shared" si="43"/>
        <v>0</v>
      </c>
      <c r="CSB22" s="1902">
        <f t="shared" si="43"/>
        <v>0</v>
      </c>
      <c r="CSC22" s="1902">
        <f t="shared" si="43"/>
        <v>0</v>
      </c>
      <c r="CSD22" s="1902">
        <f t="shared" si="43"/>
        <v>0</v>
      </c>
      <c r="CSE22" s="1902">
        <f t="shared" si="43"/>
        <v>0</v>
      </c>
      <c r="CSF22" s="1902">
        <f t="shared" si="43"/>
        <v>0</v>
      </c>
      <c r="CSG22" s="1902">
        <f t="shared" si="43"/>
        <v>0</v>
      </c>
      <c r="CSH22" s="1902">
        <f t="shared" si="43"/>
        <v>0</v>
      </c>
      <c r="CSI22" s="1902">
        <f t="shared" si="43"/>
        <v>0</v>
      </c>
      <c r="CSJ22" s="1902">
        <f t="shared" si="43"/>
        <v>0</v>
      </c>
      <c r="CSK22" s="1902">
        <f t="shared" si="43"/>
        <v>0</v>
      </c>
      <c r="CSL22" s="1902">
        <f t="shared" si="43"/>
        <v>0</v>
      </c>
      <c r="CSM22" s="1902">
        <f t="shared" si="43"/>
        <v>0</v>
      </c>
      <c r="CSN22" s="1902">
        <f t="shared" si="43"/>
        <v>0</v>
      </c>
      <c r="CSO22" s="1902">
        <f t="shared" si="43"/>
        <v>0</v>
      </c>
      <c r="CSP22" s="1902">
        <f t="shared" si="43"/>
        <v>0</v>
      </c>
      <c r="CSQ22" s="1902">
        <f t="shared" si="43"/>
        <v>0</v>
      </c>
      <c r="CSR22" s="1902">
        <f t="shared" si="43"/>
        <v>0</v>
      </c>
      <c r="CSS22" s="1902">
        <f t="shared" si="43"/>
        <v>0</v>
      </c>
      <c r="CST22" s="1902">
        <f t="shared" si="43"/>
        <v>0</v>
      </c>
      <c r="CSU22" s="1902">
        <f t="shared" si="43"/>
        <v>0</v>
      </c>
      <c r="CSV22" s="1902">
        <f t="shared" si="43"/>
        <v>0</v>
      </c>
      <c r="CSW22" s="1902">
        <f t="shared" si="43"/>
        <v>0</v>
      </c>
      <c r="CSX22" s="1902">
        <f t="shared" si="43"/>
        <v>0</v>
      </c>
      <c r="CSY22" s="1902">
        <f t="shared" si="43"/>
        <v>0</v>
      </c>
      <c r="CSZ22" s="1902">
        <f t="shared" si="43"/>
        <v>0</v>
      </c>
      <c r="CTA22" s="1902">
        <f t="shared" si="43"/>
        <v>0</v>
      </c>
      <c r="CTB22" s="1902">
        <f t="shared" si="43"/>
        <v>0</v>
      </c>
      <c r="CTC22" s="1902">
        <f t="shared" si="43"/>
        <v>0</v>
      </c>
      <c r="CTD22" s="1902">
        <f t="shared" si="43"/>
        <v>0</v>
      </c>
      <c r="CTE22" s="1902">
        <f t="shared" si="43"/>
        <v>0</v>
      </c>
      <c r="CTF22" s="1902">
        <f t="shared" si="43"/>
        <v>0</v>
      </c>
      <c r="CTG22" s="1902">
        <f t="shared" si="43"/>
        <v>0</v>
      </c>
      <c r="CTH22" s="1902">
        <f t="shared" si="43"/>
        <v>0</v>
      </c>
      <c r="CTI22" s="1902">
        <f t="shared" si="43"/>
        <v>0</v>
      </c>
      <c r="CTJ22" s="1902">
        <f t="shared" si="43"/>
        <v>0</v>
      </c>
      <c r="CTK22" s="1902">
        <f t="shared" si="43"/>
        <v>0</v>
      </c>
      <c r="CTL22" s="1902">
        <f t="shared" si="43"/>
        <v>0</v>
      </c>
      <c r="CTM22" s="1902">
        <f t="shared" si="43"/>
        <v>0</v>
      </c>
      <c r="CTN22" s="1902">
        <f t="shared" si="43"/>
        <v>0</v>
      </c>
      <c r="CTO22" s="1902">
        <f t="shared" si="43"/>
        <v>0</v>
      </c>
      <c r="CTP22" s="1902">
        <f t="shared" si="43"/>
        <v>0</v>
      </c>
      <c r="CTQ22" s="1902">
        <f t="shared" si="43"/>
        <v>0</v>
      </c>
      <c r="CTR22" s="1902">
        <f t="shared" si="43"/>
        <v>0</v>
      </c>
      <c r="CTS22" s="1902">
        <f t="shared" si="43"/>
        <v>0</v>
      </c>
      <c r="CTT22" s="1902">
        <f t="shared" si="43"/>
        <v>0</v>
      </c>
      <c r="CTU22" s="1902">
        <f t="shared" si="43"/>
        <v>0</v>
      </c>
      <c r="CTV22" s="1902">
        <f t="shared" si="43"/>
        <v>0</v>
      </c>
      <c r="CTW22" s="1902">
        <f t="shared" ref="CTW22:CWH22" si="44">IF(AND(CTW$26="End of period",CTW$25="Revenue"),CTW9,0)</f>
        <v>0</v>
      </c>
      <c r="CTX22" s="1902">
        <f t="shared" si="44"/>
        <v>0</v>
      </c>
      <c r="CTY22" s="1902">
        <f t="shared" si="44"/>
        <v>0</v>
      </c>
      <c r="CTZ22" s="1902">
        <f t="shared" si="44"/>
        <v>0</v>
      </c>
      <c r="CUA22" s="1902">
        <f t="shared" si="44"/>
        <v>0</v>
      </c>
      <c r="CUB22" s="1902">
        <f t="shared" si="44"/>
        <v>0</v>
      </c>
      <c r="CUC22" s="1902">
        <f t="shared" si="44"/>
        <v>0</v>
      </c>
      <c r="CUD22" s="1902">
        <f t="shared" si="44"/>
        <v>0</v>
      </c>
      <c r="CUE22" s="1902">
        <f t="shared" si="44"/>
        <v>0</v>
      </c>
      <c r="CUF22" s="1902">
        <f t="shared" si="44"/>
        <v>0</v>
      </c>
      <c r="CUG22" s="1902">
        <f t="shared" si="44"/>
        <v>0</v>
      </c>
      <c r="CUH22" s="1902">
        <f t="shared" si="44"/>
        <v>0</v>
      </c>
      <c r="CUI22" s="1902">
        <f t="shared" si="44"/>
        <v>0</v>
      </c>
      <c r="CUJ22" s="1902">
        <f t="shared" si="44"/>
        <v>0</v>
      </c>
      <c r="CUK22" s="1902">
        <f t="shared" si="44"/>
        <v>0</v>
      </c>
      <c r="CUL22" s="1902">
        <f t="shared" si="44"/>
        <v>0</v>
      </c>
      <c r="CUM22" s="1902">
        <f t="shared" si="44"/>
        <v>0</v>
      </c>
      <c r="CUN22" s="1902">
        <f t="shared" si="44"/>
        <v>0</v>
      </c>
      <c r="CUO22" s="1902">
        <f t="shared" si="44"/>
        <v>0</v>
      </c>
      <c r="CUP22" s="1902">
        <f t="shared" si="44"/>
        <v>0</v>
      </c>
      <c r="CUQ22" s="1902">
        <f t="shared" si="44"/>
        <v>0</v>
      </c>
      <c r="CUR22" s="1902">
        <f t="shared" si="44"/>
        <v>0</v>
      </c>
      <c r="CUS22" s="1902">
        <f t="shared" si="44"/>
        <v>0</v>
      </c>
      <c r="CUT22" s="1902">
        <f t="shared" si="44"/>
        <v>0</v>
      </c>
      <c r="CUU22" s="1902">
        <f t="shared" si="44"/>
        <v>0</v>
      </c>
      <c r="CUV22" s="1902">
        <f t="shared" si="44"/>
        <v>0</v>
      </c>
      <c r="CUW22" s="1902">
        <f t="shared" si="44"/>
        <v>0</v>
      </c>
      <c r="CUX22" s="1902">
        <f t="shared" si="44"/>
        <v>0</v>
      </c>
      <c r="CUY22" s="1902">
        <f t="shared" si="44"/>
        <v>0</v>
      </c>
      <c r="CUZ22" s="1902">
        <f t="shared" si="44"/>
        <v>0</v>
      </c>
      <c r="CVA22" s="1902">
        <f t="shared" si="44"/>
        <v>0</v>
      </c>
      <c r="CVB22" s="1902">
        <f t="shared" si="44"/>
        <v>0</v>
      </c>
      <c r="CVC22" s="1902">
        <f t="shared" si="44"/>
        <v>0</v>
      </c>
      <c r="CVD22" s="1902">
        <f t="shared" si="44"/>
        <v>0</v>
      </c>
      <c r="CVE22" s="1902">
        <f t="shared" si="44"/>
        <v>0</v>
      </c>
      <c r="CVF22" s="1902">
        <f t="shared" si="44"/>
        <v>0</v>
      </c>
      <c r="CVG22" s="1902">
        <f t="shared" si="44"/>
        <v>0</v>
      </c>
      <c r="CVH22" s="1902">
        <f t="shared" si="44"/>
        <v>0</v>
      </c>
      <c r="CVI22" s="1902">
        <f t="shared" si="44"/>
        <v>0</v>
      </c>
      <c r="CVJ22" s="1902">
        <f t="shared" si="44"/>
        <v>0</v>
      </c>
      <c r="CVK22" s="1902">
        <f t="shared" si="44"/>
        <v>0</v>
      </c>
      <c r="CVL22" s="1902">
        <f t="shared" si="44"/>
        <v>0</v>
      </c>
      <c r="CVM22" s="1902">
        <f t="shared" si="44"/>
        <v>0</v>
      </c>
      <c r="CVN22" s="1902">
        <f t="shared" si="44"/>
        <v>0</v>
      </c>
      <c r="CVO22" s="1902">
        <f t="shared" si="44"/>
        <v>0</v>
      </c>
      <c r="CVP22" s="1902">
        <f t="shared" si="44"/>
        <v>0</v>
      </c>
      <c r="CVQ22" s="1902">
        <f t="shared" si="44"/>
        <v>0</v>
      </c>
      <c r="CVR22" s="1902">
        <f t="shared" si="44"/>
        <v>0</v>
      </c>
      <c r="CVS22" s="1902">
        <f t="shared" si="44"/>
        <v>0</v>
      </c>
      <c r="CVT22" s="1902">
        <f t="shared" si="44"/>
        <v>0</v>
      </c>
      <c r="CVU22" s="1902">
        <f t="shared" si="44"/>
        <v>0</v>
      </c>
      <c r="CVV22" s="1902">
        <f t="shared" si="44"/>
        <v>0</v>
      </c>
      <c r="CVW22" s="1902">
        <f t="shared" si="44"/>
        <v>0</v>
      </c>
      <c r="CVX22" s="1902">
        <f t="shared" si="44"/>
        <v>0</v>
      </c>
      <c r="CVY22" s="1902">
        <f t="shared" si="44"/>
        <v>0</v>
      </c>
      <c r="CVZ22" s="1902">
        <f t="shared" si="44"/>
        <v>0</v>
      </c>
      <c r="CWA22" s="1902">
        <f t="shared" si="44"/>
        <v>0</v>
      </c>
      <c r="CWB22" s="1902">
        <f t="shared" si="44"/>
        <v>0</v>
      </c>
      <c r="CWC22" s="1902">
        <f t="shared" si="44"/>
        <v>0</v>
      </c>
      <c r="CWD22" s="1902">
        <f t="shared" si="44"/>
        <v>0</v>
      </c>
      <c r="CWE22" s="1902">
        <f t="shared" si="44"/>
        <v>0</v>
      </c>
      <c r="CWF22" s="1902">
        <f t="shared" si="44"/>
        <v>0</v>
      </c>
      <c r="CWG22" s="1902">
        <f t="shared" si="44"/>
        <v>0</v>
      </c>
      <c r="CWH22" s="1902">
        <f t="shared" si="44"/>
        <v>0</v>
      </c>
      <c r="CWI22" s="1902">
        <f t="shared" ref="CWI22:CYT22" si="45">IF(AND(CWI$26="End of period",CWI$25="Revenue"),CWI9,0)</f>
        <v>0</v>
      </c>
      <c r="CWJ22" s="1902">
        <f t="shared" si="45"/>
        <v>0</v>
      </c>
      <c r="CWK22" s="1902">
        <f t="shared" si="45"/>
        <v>0</v>
      </c>
      <c r="CWL22" s="1902">
        <f t="shared" si="45"/>
        <v>0</v>
      </c>
      <c r="CWM22" s="1902">
        <f t="shared" si="45"/>
        <v>0</v>
      </c>
      <c r="CWN22" s="1902">
        <f t="shared" si="45"/>
        <v>0</v>
      </c>
      <c r="CWO22" s="1902">
        <f t="shared" si="45"/>
        <v>0</v>
      </c>
      <c r="CWP22" s="1902">
        <f t="shared" si="45"/>
        <v>0</v>
      </c>
      <c r="CWQ22" s="1902">
        <f t="shared" si="45"/>
        <v>0</v>
      </c>
      <c r="CWR22" s="1902">
        <f t="shared" si="45"/>
        <v>0</v>
      </c>
      <c r="CWS22" s="1902">
        <f t="shared" si="45"/>
        <v>0</v>
      </c>
      <c r="CWT22" s="1902">
        <f t="shared" si="45"/>
        <v>0</v>
      </c>
      <c r="CWU22" s="1902">
        <f t="shared" si="45"/>
        <v>0</v>
      </c>
      <c r="CWV22" s="1902">
        <f t="shared" si="45"/>
        <v>0</v>
      </c>
      <c r="CWW22" s="1902">
        <f t="shared" si="45"/>
        <v>0</v>
      </c>
      <c r="CWX22" s="1902">
        <f t="shared" si="45"/>
        <v>0</v>
      </c>
      <c r="CWY22" s="1902">
        <f t="shared" si="45"/>
        <v>0</v>
      </c>
      <c r="CWZ22" s="1902">
        <f t="shared" si="45"/>
        <v>0</v>
      </c>
      <c r="CXA22" s="1902">
        <f t="shared" si="45"/>
        <v>0</v>
      </c>
      <c r="CXB22" s="1902">
        <f t="shared" si="45"/>
        <v>0</v>
      </c>
      <c r="CXC22" s="1902">
        <f t="shared" si="45"/>
        <v>0</v>
      </c>
      <c r="CXD22" s="1902">
        <f t="shared" si="45"/>
        <v>0</v>
      </c>
      <c r="CXE22" s="1902">
        <f t="shared" si="45"/>
        <v>0</v>
      </c>
      <c r="CXF22" s="1902">
        <f t="shared" si="45"/>
        <v>0</v>
      </c>
      <c r="CXG22" s="1902">
        <f t="shared" si="45"/>
        <v>0</v>
      </c>
      <c r="CXH22" s="1902">
        <f t="shared" si="45"/>
        <v>0</v>
      </c>
      <c r="CXI22" s="1902">
        <f t="shared" si="45"/>
        <v>0</v>
      </c>
      <c r="CXJ22" s="1902">
        <f t="shared" si="45"/>
        <v>0</v>
      </c>
      <c r="CXK22" s="1902">
        <f t="shared" si="45"/>
        <v>0</v>
      </c>
      <c r="CXL22" s="1902">
        <f t="shared" si="45"/>
        <v>0</v>
      </c>
      <c r="CXM22" s="1902">
        <f t="shared" si="45"/>
        <v>0</v>
      </c>
      <c r="CXN22" s="1902">
        <f t="shared" si="45"/>
        <v>0</v>
      </c>
      <c r="CXO22" s="1902">
        <f t="shared" si="45"/>
        <v>0</v>
      </c>
      <c r="CXP22" s="1902">
        <f t="shared" si="45"/>
        <v>0</v>
      </c>
      <c r="CXQ22" s="1902">
        <f t="shared" si="45"/>
        <v>0</v>
      </c>
      <c r="CXR22" s="1902">
        <f t="shared" si="45"/>
        <v>0</v>
      </c>
      <c r="CXS22" s="1902">
        <f t="shared" si="45"/>
        <v>0</v>
      </c>
      <c r="CXT22" s="1902">
        <f t="shared" si="45"/>
        <v>0</v>
      </c>
      <c r="CXU22" s="1902">
        <f t="shared" si="45"/>
        <v>0</v>
      </c>
      <c r="CXV22" s="1902">
        <f t="shared" si="45"/>
        <v>0</v>
      </c>
      <c r="CXW22" s="1902">
        <f t="shared" si="45"/>
        <v>0</v>
      </c>
      <c r="CXX22" s="1902">
        <f t="shared" si="45"/>
        <v>0</v>
      </c>
      <c r="CXY22" s="1902">
        <f t="shared" si="45"/>
        <v>0</v>
      </c>
      <c r="CXZ22" s="1902">
        <f t="shared" si="45"/>
        <v>0</v>
      </c>
      <c r="CYA22" s="1902">
        <f t="shared" si="45"/>
        <v>0</v>
      </c>
      <c r="CYB22" s="1902">
        <f t="shared" si="45"/>
        <v>0</v>
      </c>
      <c r="CYC22" s="1902">
        <f t="shared" si="45"/>
        <v>0</v>
      </c>
      <c r="CYD22" s="1902">
        <f t="shared" si="45"/>
        <v>0</v>
      </c>
      <c r="CYE22" s="1902">
        <f t="shared" si="45"/>
        <v>0</v>
      </c>
      <c r="CYF22" s="1902">
        <f t="shared" si="45"/>
        <v>0</v>
      </c>
      <c r="CYG22" s="1902">
        <f t="shared" si="45"/>
        <v>0</v>
      </c>
      <c r="CYH22" s="1902">
        <f t="shared" si="45"/>
        <v>0</v>
      </c>
      <c r="CYI22" s="1902">
        <f t="shared" si="45"/>
        <v>0</v>
      </c>
      <c r="CYJ22" s="1902">
        <f t="shared" si="45"/>
        <v>0</v>
      </c>
      <c r="CYK22" s="1902">
        <f t="shared" si="45"/>
        <v>0</v>
      </c>
      <c r="CYL22" s="1902">
        <f t="shared" si="45"/>
        <v>0</v>
      </c>
      <c r="CYM22" s="1902">
        <f t="shared" si="45"/>
        <v>0</v>
      </c>
      <c r="CYN22" s="1902">
        <f t="shared" si="45"/>
        <v>0</v>
      </c>
      <c r="CYO22" s="1902">
        <f t="shared" si="45"/>
        <v>0</v>
      </c>
      <c r="CYP22" s="1902">
        <f t="shared" si="45"/>
        <v>0</v>
      </c>
      <c r="CYQ22" s="1902">
        <f t="shared" si="45"/>
        <v>0</v>
      </c>
      <c r="CYR22" s="1902">
        <f t="shared" si="45"/>
        <v>0</v>
      </c>
      <c r="CYS22" s="1902">
        <f t="shared" si="45"/>
        <v>0</v>
      </c>
      <c r="CYT22" s="1902">
        <f t="shared" si="45"/>
        <v>0</v>
      </c>
      <c r="CYU22" s="1902">
        <f t="shared" ref="CYU22:DBF22" si="46">IF(AND(CYU$26="End of period",CYU$25="Revenue"),CYU9,0)</f>
        <v>0</v>
      </c>
      <c r="CYV22" s="1902">
        <f t="shared" si="46"/>
        <v>0</v>
      </c>
      <c r="CYW22" s="1902">
        <f t="shared" si="46"/>
        <v>0</v>
      </c>
      <c r="CYX22" s="1902">
        <f t="shared" si="46"/>
        <v>0</v>
      </c>
      <c r="CYY22" s="1902">
        <f t="shared" si="46"/>
        <v>0</v>
      </c>
      <c r="CYZ22" s="1902">
        <f t="shared" si="46"/>
        <v>0</v>
      </c>
      <c r="CZA22" s="1902">
        <f t="shared" si="46"/>
        <v>0</v>
      </c>
      <c r="CZB22" s="1902">
        <f t="shared" si="46"/>
        <v>0</v>
      </c>
      <c r="CZC22" s="1902">
        <f t="shared" si="46"/>
        <v>0</v>
      </c>
      <c r="CZD22" s="1902">
        <f t="shared" si="46"/>
        <v>0</v>
      </c>
      <c r="CZE22" s="1902">
        <f t="shared" si="46"/>
        <v>0</v>
      </c>
      <c r="CZF22" s="1902">
        <f t="shared" si="46"/>
        <v>0</v>
      </c>
      <c r="CZG22" s="1902">
        <f t="shared" si="46"/>
        <v>0</v>
      </c>
      <c r="CZH22" s="1902">
        <f t="shared" si="46"/>
        <v>0</v>
      </c>
      <c r="CZI22" s="1902">
        <f t="shared" si="46"/>
        <v>0</v>
      </c>
      <c r="CZJ22" s="1902">
        <f t="shared" si="46"/>
        <v>0</v>
      </c>
      <c r="CZK22" s="1902">
        <f t="shared" si="46"/>
        <v>0</v>
      </c>
      <c r="CZL22" s="1902">
        <f t="shared" si="46"/>
        <v>0</v>
      </c>
      <c r="CZM22" s="1902">
        <f t="shared" si="46"/>
        <v>0</v>
      </c>
      <c r="CZN22" s="1902">
        <f t="shared" si="46"/>
        <v>0</v>
      </c>
      <c r="CZO22" s="1902">
        <f t="shared" si="46"/>
        <v>0</v>
      </c>
      <c r="CZP22" s="1902">
        <f t="shared" si="46"/>
        <v>0</v>
      </c>
      <c r="CZQ22" s="1902">
        <f t="shared" si="46"/>
        <v>0</v>
      </c>
      <c r="CZR22" s="1902">
        <f t="shared" si="46"/>
        <v>0</v>
      </c>
      <c r="CZS22" s="1902">
        <f t="shared" si="46"/>
        <v>0</v>
      </c>
      <c r="CZT22" s="1902">
        <f t="shared" si="46"/>
        <v>0</v>
      </c>
      <c r="CZU22" s="1902">
        <f t="shared" si="46"/>
        <v>0</v>
      </c>
      <c r="CZV22" s="1902">
        <f t="shared" si="46"/>
        <v>0</v>
      </c>
      <c r="CZW22" s="1902">
        <f t="shared" si="46"/>
        <v>0</v>
      </c>
      <c r="CZX22" s="1902">
        <f t="shared" si="46"/>
        <v>0</v>
      </c>
      <c r="CZY22" s="1902">
        <f t="shared" si="46"/>
        <v>0</v>
      </c>
      <c r="CZZ22" s="1902">
        <f t="shared" si="46"/>
        <v>0</v>
      </c>
      <c r="DAA22" s="1902">
        <f t="shared" si="46"/>
        <v>0</v>
      </c>
      <c r="DAB22" s="1902">
        <f t="shared" si="46"/>
        <v>0</v>
      </c>
      <c r="DAC22" s="1902">
        <f t="shared" si="46"/>
        <v>0</v>
      </c>
      <c r="DAD22" s="1902">
        <f t="shared" si="46"/>
        <v>0</v>
      </c>
      <c r="DAE22" s="1902">
        <f t="shared" si="46"/>
        <v>0</v>
      </c>
      <c r="DAF22" s="1902">
        <f t="shared" si="46"/>
        <v>0</v>
      </c>
      <c r="DAG22" s="1902">
        <f t="shared" si="46"/>
        <v>0</v>
      </c>
      <c r="DAH22" s="1902">
        <f t="shared" si="46"/>
        <v>0</v>
      </c>
      <c r="DAI22" s="1902">
        <f t="shared" si="46"/>
        <v>0</v>
      </c>
      <c r="DAJ22" s="1902">
        <f t="shared" si="46"/>
        <v>0</v>
      </c>
      <c r="DAK22" s="1902">
        <f t="shared" si="46"/>
        <v>0</v>
      </c>
      <c r="DAL22" s="1902">
        <f t="shared" si="46"/>
        <v>0</v>
      </c>
      <c r="DAM22" s="1902">
        <f t="shared" si="46"/>
        <v>0</v>
      </c>
      <c r="DAN22" s="1902">
        <f t="shared" si="46"/>
        <v>0</v>
      </c>
      <c r="DAO22" s="1902">
        <f t="shared" si="46"/>
        <v>0</v>
      </c>
      <c r="DAP22" s="1902">
        <f t="shared" si="46"/>
        <v>0</v>
      </c>
      <c r="DAQ22" s="1902">
        <f t="shared" si="46"/>
        <v>0</v>
      </c>
      <c r="DAR22" s="1902">
        <f t="shared" si="46"/>
        <v>0</v>
      </c>
      <c r="DAS22" s="1902">
        <f t="shared" si="46"/>
        <v>0</v>
      </c>
      <c r="DAT22" s="1902">
        <f t="shared" si="46"/>
        <v>0</v>
      </c>
      <c r="DAU22" s="1902">
        <f t="shared" si="46"/>
        <v>0</v>
      </c>
      <c r="DAV22" s="1902">
        <f t="shared" si="46"/>
        <v>0</v>
      </c>
      <c r="DAW22" s="1902">
        <f t="shared" si="46"/>
        <v>0</v>
      </c>
      <c r="DAX22" s="1902">
        <f t="shared" si="46"/>
        <v>0</v>
      </c>
      <c r="DAY22" s="1902">
        <f t="shared" si="46"/>
        <v>0</v>
      </c>
      <c r="DAZ22" s="1902">
        <f t="shared" si="46"/>
        <v>0</v>
      </c>
      <c r="DBA22" s="1902">
        <f t="shared" si="46"/>
        <v>0</v>
      </c>
      <c r="DBB22" s="1902">
        <f t="shared" si="46"/>
        <v>0</v>
      </c>
      <c r="DBC22" s="1902">
        <f t="shared" si="46"/>
        <v>0</v>
      </c>
      <c r="DBD22" s="1902">
        <f t="shared" si="46"/>
        <v>0</v>
      </c>
      <c r="DBE22" s="1902">
        <f t="shared" si="46"/>
        <v>0</v>
      </c>
      <c r="DBF22" s="1902">
        <f t="shared" si="46"/>
        <v>0</v>
      </c>
      <c r="DBG22" s="1902">
        <f t="shared" ref="DBG22:DDR22" si="47">IF(AND(DBG$26="End of period",DBG$25="Revenue"),DBG9,0)</f>
        <v>0</v>
      </c>
      <c r="DBH22" s="1902">
        <f t="shared" si="47"/>
        <v>0</v>
      </c>
      <c r="DBI22" s="1902">
        <f t="shared" si="47"/>
        <v>0</v>
      </c>
      <c r="DBJ22" s="1902">
        <f t="shared" si="47"/>
        <v>0</v>
      </c>
      <c r="DBK22" s="1902">
        <f t="shared" si="47"/>
        <v>0</v>
      </c>
      <c r="DBL22" s="1902">
        <f t="shared" si="47"/>
        <v>0</v>
      </c>
      <c r="DBM22" s="1902">
        <f t="shared" si="47"/>
        <v>0</v>
      </c>
      <c r="DBN22" s="1902">
        <f t="shared" si="47"/>
        <v>0</v>
      </c>
      <c r="DBO22" s="1902">
        <f t="shared" si="47"/>
        <v>0</v>
      </c>
      <c r="DBP22" s="1902">
        <f t="shared" si="47"/>
        <v>0</v>
      </c>
      <c r="DBQ22" s="1902">
        <f t="shared" si="47"/>
        <v>0</v>
      </c>
      <c r="DBR22" s="1902">
        <f t="shared" si="47"/>
        <v>0</v>
      </c>
      <c r="DBS22" s="1902">
        <f t="shared" si="47"/>
        <v>0</v>
      </c>
      <c r="DBT22" s="1902">
        <f t="shared" si="47"/>
        <v>0</v>
      </c>
      <c r="DBU22" s="1902">
        <f t="shared" si="47"/>
        <v>0</v>
      </c>
      <c r="DBV22" s="1902">
        <f t="shared" si="47"/>
        <v>0</v>
      </c>
      <c r="DBW22" s="1902">
        <f t="shared" si="47"/>
        <v>0</v>
      </c>
      <c r="DBX22" s="1902">
        <f t="shared" si="47"/>
        <v>0</v>
      </c>
      <c r="DBY22" s="1902">
        <f t="shared" si="47"/>
        <v>0</v>
      </c>
      <c r="DBZ22" s="1902">
        <f t="shared" si="47"/>
        <v>0</v>
      </c>
      <c r="DCA22" s="1902">
        <f t="shared" si="47"/>
        <v>0</v>
      </c>
      <c r="DCB22" s="1902">
        <f t="shared" si="47"/>
        <v>0</v>
      </c>
      <c r="DCC22" s="1902">
        <f t="shared" si="47"/>
        <v>0</v>
      </c>
      <c r="DCD22" s="1902">
        <f t="shared" si="47"/>
        <v>0</v>
      </c>
      <c r="DCE22" s="1902">
        <f t="shared" si="47"/>
        <v>0</v>
      </c>
      <c r="DCF22" s="1902">
        <f t="shared" si="47"/>
        <v>0</v>
      </c>
      <c r="DCG22" s="1902">
        <f t="shared" si="47"/>
        <v>0</v>
      </c>
      <c r="DCH22" s="1902">
        <f t="shared" si="47"/>
        <v>0</v>
      </c>
      <c r="DCI22" s="1902">
        <f t="shared" si="47"/>
        <v>0</v>
      </c>
      <c r="DCJ22" s="1902">
        <f t="shared" si="47"/>
        <v>0</v>
      </c>
      <c r="DCK22" s="1902">
        <f t="shared" si="47"/>
        <v>0</v>
      </c>
      <c r="DCL22" s="1902">
        <f t="shared" si="47"/>
        <v>0</v>
      </c>
      <c r="DCM22" s="1902">
        <f t="shared" si="47"/>
        <v>0</v>
      </c>
      <c r="DCN22" s="1902">
        <f t="shared" si="47"/>
        <v>0</v>
      </c>
      <c r="DCO22" s="1902">
        <f t="shared" si="47"/>
        <v>0</v>
      </c>
      <c r="DCP22" s="1902">
        <f t="shared" si="47"/>
        <v>0</v>
      </c>
      <c r="DCQ22" s="1902">
        <f t="shared" si="47"/>
        <v>0</v>
      </c>
      <c r="DCR22" s="1902">
        <f t="shared" si="47"/>
        <v>0</v>
      </c>
      <c r="DCS22" s="1902">
        <f t="shared" si="47"/>
        <v>0</v>
      </c>
      <c r="DCT22" s="1902">
        <f t="shared" si="47"/>
        <v>0</v>
      </c>
      <c r="DCU22" s="1902">
        <f t="shared" si="47"/>
        <v>0</v>
      </c>
      <c r="DCV22" s="1902">
        <f t="shared" si="47"/>
        <v>0</v>
      </c>
      <c r="DCW22" s="1902">
        <f t="shared" si="47"/>
        <v>0</v>
      </c>
      <c r="DCX22" s="1902">
        <f t="shared" si="47"/>
        <v>0</v>
      </c>
      <c r="DCY22" s="1902">
        <f t="shared" si="47"/>
        <v>0</v>
      </c>
      <c r="DCZ22" s="1902">
        <f t="shared" si="47"/>
        <v>0</v>
      </c>
      <c r="DDA22" s="1902">
        <f t="shared" si="47"/>
        <v>0</v>
      </c>
      <c r="DDB22" s="1902">
        <f t="shared" si="47"/>
        <v>0</v>
      </c>
      <c r="DDC22" s="1902">
        <f t="shared" si="47"/>
        <v>0</v>
      </c>
      <c r="DDD22" s="1902">
        <f t="shared" si="47"/>
        <v>0</v>
      </c>
      <c r="DDE22" s="1902">
        <f t="shared" si="47"/>
        <v>0</v>
      </c>
      <c r="DDF22" s="1902">
        <f t="shared" si="47"/>
        <v>0</v>
      </c>
      <c r="DDG22" s="1902">
        <f t="shared" si="47"/>
        <v>0</v>
      </c>
      <c r="DDH22" s="1902">
        <f t="shared" si="47"/>
        <v>0</v>
      </c>
      <c r="DDI22" s="1902">
        <f t="shared" si="47"/>
        <v>0</v>
      </c>
      <c r="DDJ22" s="1902">
        <f t="shared" si="47"/>
        <v>0</v>
      </c>
      <c r="DDK22" s="1902">
        <f t="shared" si="47"/>
        <v>0</v>
      </c>
      <c r="DDL22" s="1902">
        <f t="shared" si="47"/>
        <v>0</v>
      </c>
      <c r="DDM22" s="1902">
        <f t="shared" si="47"/>
        <v>0</v>
      </c>
      <c r="DDN22" s="1902">
        <f t="shared" si="47"/>
        <v>0</v>
      </c>
      <c r="DDO22" s="1902">
        <f t="shared" si="47"/>
        <v>0</v>
      </c>
      <c r="DDP22" s="1902">
        <f t="shared" si="47"/>
        <v>0</v>
      </c>
      <c r="DDQ22" s="1902">
        <f t="shared" si="47"/>
        <v>0</v>
      </c>
      <c r="DDR22" s="1902">
        <f t="shared" si="47"/>
        <v>0</v>
      </c>
      <c r="DDS22" s="1902">
        <f t="shared" ref="DDS22:DGD22" si="48">IF(AND(DDS$26="End of period",DDS$25="Revenue"),DDS9,0)</f>
        <v>0</v>
      </c>
      <c r="DDT22" s="1902">
        <f t="shared" si="48"/>
        <v>0</v>
      </c>
      <c r="DDU22" s="1902">
        <f t="shared" si="48"/>
        <v>0</v>
      </c>
      <c r="DDV22" s="1902">
        <f t="shared" si="48"/>
        <v>0</v>
      </c>
      <c r="DDW22" s="1902">
        <f t="shared" si="48"/>
        <v>0</v>
      </c>
      <c r="DDX22" s="1902">
        <f t="shared" si="48"/>
        <v>0</v>
      </c>
      <c r="DDY22" s="1902">
        <f t="shared" si="48"/>
        <v>0</v>
      </c>
      <c r="DDZ22" s="1902">
        <f t="shared" si="48"/>
        <v>0</v>
      </c>
      <c r="DEA22" s="1902">
        <f t="shared" si="48"/>
        <v>0</v>
      </c>
      <c r="DEB22" s="1902">
        <f t="shared" si="48"/>
        <v>0</v>
      </c>
      <c r="DEC22" s="1902">
        <f t="shared" si="48"/>
        <v>0</v>
      </c>
      <c r="DED22" s="1902">
        <f t="shared" si="48"/>
        <v>0</v>
      </c>
      <c r="DEE22" s="1902">
        <f t="shared" si="48"/>
        <v>0</v>
      </c>
      <c r="DEF22" s="1902">
        <f t="shared" si="48"/>
        <v>0</v>
      </c>
      <c r="DEG22" s="1902">
        <f t="shared" si="48"/>
        <v>0</v>
      </c>
      <c r="DEH22" s="1902">
        <f t="shared" si="48"/>
        <v>0</v>
      </c>
      <c r="DEI22" s="1902">
        <f t="shared" si="48"/>
        <v>0</v>
      </c>
      <c r="DEJ22" s="1902">
        <f t="shared" si="48"/>
        <v>0</v>
      </c>
      <c r="DEK22" s="1902">
        <f t="shared" si="48"/>
        <v>0</v>
      </c>
      <c r="DEL22" s="1902">
        <f t="shared" si="48"/>
        <v>0</v>
      </c>
      <c r="DEM22" s="1902">
        <f t="shared" si="48"/>
        <v>0</v>
      </c>
      <c r="DEN22" s="1902">
        <f t="shared" si="48"/>
        <v>0</v>
      </c>
      <c r="DEO22" s="1902">
        <f t="shared" si="48"/>
        <v>0</v>
      </c>
      <c r="DEP22" s="1902">
        <f t="shared" si="48"/>
        <v>0</v>
      </c>
      <c r="DEQ22" s="1902">
        <f t="shared" si="48"/>
        <v>0</v>
      </c>
      <c r="DER22" s="1902">
        <f t="shared" si="48"/>
        <v>0</v>
      </c>
      <c r="DES22" s="1902">
        <f t="shared" si="48"/>
        <v>0</v>
      </c>
      <c r="DET22" s="1902">
        <f t="shared" si="48"/>
        <v>0</v>
      </c>
      <c r="DEU22" s="1902">
        <f t="shared" si="48"/>
        <v>0</v>
      </c>
      <c r="DEV22" s="1902">
        <f t="shared" si="48"/>
        <v>0</v>
      </c>
      <c r="DEW22" s="1902">
        <f t="shared" si="48"/>
        <v>0</v>
      </c>
      <c r="DEX22" s="1902">
        <f t="shared" si="48"/>
        <v>0</v>
      </c>
      <c r="DEY22" s="1902">
        <f t="shared" si="48"/>
        <v>0</v>
      </c>
      <c r="DEZ22" s="1902">
        <f t="shared" si="48"/>
        <v>0</v>
      </c>
      <c r="DFA22" s="1902">
        <f t="shared" si="48"/>
        <v>0</v>
      </c>
      <c r="DFB22" s="1902">
        <f t="shared" si="48"/>
        <v>0</v>
      </c>
      <c r="DFC22" s="1902">
        <f t="shared" si="48"/>
        <v>0</v>
      </c>
      <c r="DFD22" s="1902">
        <f t="shared" si="48"/>
        <v>0</v>
      </c>
      <c r="DFE22" s="1902">
        <f t="shared" si="48"/>
        <v>0</v>
      </c>
      <c r="DFF22" s="1902">
        <f t="shared" si="48"/>
        <v>0</v>
      </c>
      <c r="DFG22" s="1902">
        <f t="shared" si="48"/>
        <v>0</v>
      </c>
      <c r="DFH22" s="1902">
        <f t="shared" si="48"/>
        <v>0</v>
      </c>
      <c r="DFI22" s="1902">
        <f t="shared" si="48"/>
        <v>0</v>
      </c>
      <c r="DFJ22" s="1902">
        <f t="shared" si="48"/>
        <v>0</v>
      </c>
      <c r="DFK22" s="1902">
        <f t="shared" si="48"/>
        <v>0</v>
      </c>
      <c r="DFL22" s="1902">
        <f t="shared" si="48"/>
        <v>0</v>
      </c>
      <c r="DFM22" s="1902">
        <f t="shared" si="48"/>
        <v>0</v>
      </c>
      <c r="DFN22" s="1902">
        <f t="shared" si="48"/>
        <v>0</v>
      </c>
      <c r="DFO22" s="1902">
        <f t="shared" si="48"/>
        <v>0</v>
      </c>
      <c r="DFP22" s="1902">
        <f t="shared" si="48"/>
        <v>0</v>
      </c>
      <c r="DFQ22" s="1902">
        <f t="shared" si="48"/>
        <v>0</v>
      </c>
      <c r="DFR22" s="1902">
        <f t="shared" si="48"/>
        <v>0</v>
      </c>
      <c r="DFS22" s="1902">
        <f t="shared" si="48"/>
        <v>0</v>
      </c>
      <c r="DFT22" s="1902">
        <f t="shared" si="48"/>
        <v>0</v>
      </c>
      <c r="DFU22" s="1902">
        <f t="shared" si="48"/>
        <v>0</v>
      </c>
      <c r="DFV22" s="1902">
        <f t="shared" si="48"/>
        <v>0</v>
      </c>
      <c r="DFW22" s="1902">
        <f t="shared" si="48"/>
        <v>0</v>
      </c>
      <c r="DFX22" s="1902">
        <f t="shared" si="48"/>
        <v>0</v>
      </c>
      <c r="DFY22" s="1902">
        <f t="shared" si="48"/>
        <v>0</v>
      </c>
      <c r="DFZ22" s="1902">
        <f t="shared" si="48"/>
        <v>0</v>
      </c>
      <c r="DGA22" s="1902">
        <f t="shared" si="48"/>
        <v>0</v>
      </c>
      <c r="DGB22" s="1902">
        <f t="shared" si="48"/>
        <v>0</v>
      </c>
      <c r="DGC22" s="1902">
        <f t="shared" si="48"/>
        <v>0</v>
      </c>
      <c r="DGD22" s="1902">
        <f t="shared" si="48"/>
        <v>0</v>
      </c>
      <c r="DGE22" s="1902">
        <f t="shared" ref="DGE22:DIP22" si="49">IF(AND(DGE$26="End of period",DGE$25="Revenue"),DGE9,0)</f>
        <v>0</v>
      </c>
      <c r="DGF22" s="1902">
        <f t="shared" si="49"/>
        <v>0</v>
      </c>
      <c r="DGG22" s="1902">
        <f t="shared" si="49"/>
        <v>0</v>
      </c>
      <c r="DGH22" s="1902">
        <f t="shared" si="49"/>
        <v>0</v>
      </c>
      <c r="DGI22" s="1902">
        <f t="shared" si="49"/>
        <v>0</v>
      </c>
      <c r="DGJ22" s="1902">
        <f t="shared" si="49"/>
        <v>0</v>
      </c>
      <c r="DGK22" s="1902">
        <f t="shared" si="49"/>
        <v>0</v>
      </c>
      <c r="DGL22" s="1902">
        <f t="shared" si="49"/>
        <v>0</v>
      </c>
      <c r="DGM22" s="1902">
        <f t="shared" si="49"/>
        <v>0</v>
      </c>
      <c r="DGN22" s="1902">
        <f t="shared" si="49"/>
        <v>0</v>
      </c>
      <c r="DGO22" s="1902">
        <f t="shared" si="49"/>
        <v>0</v>
      </c>
      <c r="DGP22" s="1902">
        <f t="shared" si="49"/>
        <v>0</v>
      </c>
      <c r="DGQ22" s="1902">
        <f t="shared" si="49"/>
        <v>0</v>
      </c>
      <c r="DGR22" s="1902">
        <f t="shared" si="49"/>
        <v>0</v>
      </c>
      <c r="DGS22" s="1902">
        <f t="shared" si="49"/>
        <v>0</v>
      </c>
      <c r="DGT22" s="1902">
        <f t="shared" si="49"/>
        <v>0</v>
      </c>
      <c r="DGU22" s="1902">
        <f t="shared" si="49"/>
        <v>0</v>
      </c>
      <c r="DGV22" s="1902">
        <f t="shared" si="49"/>
        <v>0</v>
      </c>
      <c r="DGW22" s="1902">
        <f t="shared" si="49"/>
        <v>0</v>
      </c>
      <c r="DGX22" s="1902">
        <f t="shared" si="49"/>
        <v>0</v>
      </c>
      <c r="DGY22" s="1902">
        <f t="shared" si="49"/>
        <v>0</v>
      </c>
      <c r="DGZ22" s="1902">
        <f t="shared" si="49"/>
        <v>0</v>
      </c>
      <c r="DHA22" s="1902">
        <f t="shared" si="49"/>
        <v>0</v>
      </c>
      <c r="DHB22" s="1902">
        <f t="shared" si="49"/>
        <v>0</v>
      </c>
      <c r="DHC22" s="1902">
        <f t="shared" si="49"/>
        <v>0</v>
      </c>
      <c r="DHD22" s="1902">
        <f t="shared" si="49"/>
        <v>0</v>
      </c>
      <c r="DHE22" s="1902">
        <f t="shared" si="49"/>
        <v>0</v>
      </c>
      <c r="DHF22" s="1902">
        <f t="shared" si="49"/>
        <v>0</v>
      </c>
      <c r="DHG22" s="1902">
        <f t="shared" si="49"/>
        <v>0</v>
      </c>
      <c r="DHH22" s="1902">
        <f t="shared" si="49"/>
        <v>0</v>
      </c>
      <c r="DHI22" s="1902">
        <f t="shared" si="49"/>
        <v>0</v>
      </c>
      <c r="DHJ22" s="1902">
        <f t="shared" si="49"/>
        <v>0</v>
      </c>
      <c r="DHK22" s="1902">
        <f t="shared" si="49"/>
        <v>0</v>
      </c>
      <c r="DHL22" s="1902">
        <f t="shared" si="49"/>
        <v>0</v>
      </c>
      <c r="DHM22" s="1902">
        <f t="shared" si="49"/>
        <v>0</v>
      </c>
      <c r="DHN22" s="1902">
        <f t="shared" si="49"/>
        <v>0</v>
      </c>
      <c r="DHO22" s="1902">
        <f t="shared" si="49"/>
        <v>0</v>
      </c>
      <c r="DHP22" s="1902">
        <f t="shared" si="49"/>
        <v>0</v>
      </c>
      <c r="DHQ22" s="1902">
        <f t="shared" si="49"/>
        <v>0</v>
      </c>
      <c r="DHR22" s="1902">
        <f t="shared" si="49"/>
        <v>0</v>
      </c>
      <c r="DHS22" s="1902">
        <f t="shared" si="49"/>
        <v>0</v>
      </c>
      <c r="DHT22" s="1902">
        <f t="shared" si="49"/>
        <v>0</v>
      </c>
      <c r="DHU22" s="1902">
        <f t="shared" si="49"/>
        <v>0</v>
      </c>
      <c r="DHV22" s="1902">
        <f t="shared" si="49"/>
        <v>0</v>
      </c>
      <c r="DHW22" s="1902">
        <f t="shared" si="49"/>
        <v>0</v>
      </c>
      <c r="DHX22" s="1902">
        <f t="shared" si="49"/>
        <v>0</v>
      </c>
      <c r="DHY22" s="1902">
        <f t="shared" si="49"/>
        <v>0</v>
      </c>
      <c r="DHZ22" s="1902">
        <f t="shared" si="49"/>
        <v>0</v>
      </c>
      <c r="DIA22" s="1902">
        <f t="shared" si="49"/>
        <v>0</v>
      </c>
      <c r="DIB22" s="1902">
        <f t="shared" si="49"/>
        <v>0</v>
      </c>
      <c r="DIC22" s="1902">
        <f t="shared" si="49"/>
        <v>0</v>
      </c>
      <c r="DID22" s="1902">
        <f t="shared" si="49"/>
        <v>0</v>
      </c>
      <c r="DIE22" s="1902">
        <f t="shared" si="49"/>
        <v>0</v>
      </c>
      <c r="DIF22" s="1902">
        <f t="shared" si="49"/>
        <v>0</v>
      </c>
      <c r="DIG22" s="1902">
        <f t="shared" si="49"/>
        <v>0</v>
      </c>
      <c r="DIH22" s="1902">
        <f t="shared" si="49"/>
        <v>0</v>
      </c>
      <c r="DII22" s="1902">
        <f t="shared" si="49"/>
        <v>0</v>
      </c>
      <c r="DIJ22" s="1902">
        <f t="shared" si="49"/>
        <v>0</v>
      </c>
      <c r="DIK22" s="1902">
        <f t="shared" si="49"/>
        <v>0</v>
      </c>
      <c r="DIL22" s="1902">
        <f t="shared" si="49"/>
        <v>0</v>
      </c>
      <c r="DIM22" s="1902">
        <f t="shared" si="49"/>
        <v>0</v>
      </c>
      <c r="DIN22" s="1902">
        <f t="shared" si="49"/>
        <v>0</v>
      </c>
      <c r="DIO22" s="1902">
        <f t="shared" si="49"/>
        <v>0</v>
      </c>
      <c r="DIP22" s="1902">
        <f t="shared" si="49"/>
        <v>0</v>
      </c>
      <c r="DIQ22" s="1902">
        <f t="shared" ref="DIQ22:DLB22" si="50">IF(AND(DIQ$26="End of period",DIQ$25="Revenue"),DIQ9,0)</f>
        <v>0</v>
      </c>
      <c r="DIR22" s="1902">
        <f t="shared" si="50"/>
        <v>0</v>
      </c>
      <c r="DIS22" s="1902">
        <f t="shared" si="50"/>
        <v>0</v>
      </c>
      <c r="DIT22" s="1902">
        <f t="shared" si="50"/>
        <v>0</v>
      </c>
      <c r="DIU22" s="1902">
        <f t="shared" si="50"/>
        <v>0</v>
      </c>
      <c r="DIV22" s="1902">
        <f t="shared" si="50"/>
        <v>0</v>
      </c>
      <c r="DIW22" s="1902">
        <f t="shared" si="50"/>
        <v>0</v>
      </c>
      <c r="DIX22" s="1902">
        <f t="shared" si="50"/>
        <v>0</v>
      </c>
      <c r="DIY22" s="1902">
        <f t="shared" si="50"/>
        <v>0</v>
      </c>
      <c r="DIZ22" s="1902">
        <f t="shared" si="50"/>
        <v>0</v>
      </c>
      <c r="DJA22" s="1902">
        <f t="shared" si="50"/>
        <v>0</v>
      </c>
      <c r="DJB22" s="1902">
        <f t="shared" si="50"/>
        <v>0</v>
      </c>
      <c r="DJC22" s="1902">
        <f t="shared" si="50"/>
        <v>0</v>
      </c>
      <c r="DJD22" s="1902">
        <f t="shared" si="50"/>
        <v>0</v>
      </c>
      <c r="DJE22" s="1902">
        <f t="shared" si="50"/>
        <v>0</v>
      </c>
      <c r="DJF22" s="1902">
        <f t="shared" si="50"/>
        <v>0</v>
      </c>
      <c r="DJG22" s="1902">
        <f t="shared" si="50"/>
        <v>0</v>
      </c>
      <c r="DJH22" s="1902">
        <f t="shared" si="50"/>
        <v>0</v>
      </c>
      <c r="DJI22" s="1902">
        <f t="shared" si="50"/>
        <v>0</v>
      </c>
      <c r="DJJ22" s="1902">
        <f t="shared" si="50"/>
        <v>0</v>
      </c>
      <c r="DJK22" s="1902">
        <f t="shared" si="50"/>
        <v>0</v>
      </c>
      <c r="DJL22" s="1902">
        <f t="shared" si="50"/>
        <v>0</v>
      </c>
      <c r="DJM22" s="1902">
        <f t="shared" si="50"/>
        <v>0</v>
      </c>
      <c r="DJN22" s="1902">
        <f t="shared" si="50"/>
        <v>0</v>
      </c>
      <c r="DJO22" s="1902">
        <f t="shared" si="50"/>
        <v>0</v>
      </c>
      <c r="DJP22" s="1902">
        <f t="shared" si="50"/>
        <v>0</v>
      </c>
      <c r="DJQ22" s="1902">
        <f t="shared" si="50"/>
        <v>0</v>
      </c>
      <c r="DJR22" s="1902">
        <f t="shared" si="50"/>
        <v>0</v>
      </c>
      <c r="DJS22" s="1902">
        <f t="shared" si="50"/>
        <v>0</v>
      </c>
      <c r="DJT22" s="1902">
        <f t="shared" si="50"/>
        <v>0</v>
      </c>
      <c r="DJU22" s="1902">
        <f t="shared" si="50"/>
        <v>0</v>
      </c>
      <c r="DJV22" s="1902">
        <f t="shared" si="50"/>
        <v>0</v>
      </c>
      <c r="DJW22" s="1902">
        <f t="shared" si="50"/>
        <v>0</v>
      </c>
      <c r="DJX22" s="1902">
        <f t="shared" si="50"/>
        <v>0</v>
      </c>
      <c r="DJY22" s="1902">
        <f t="shared" si="50"/>
        <v>0</v>
      </c>
      <c r="DJZ22" s="1902">
        <f t="shared" si="50"/>
        <v>0</v>
      </c>
      <c r="DKA22" s="1902">
        <f t="shared" si="50"/>
        <v>0</v>
      </c>
      <c r="DKB22" s="1902">
        <f t="shared" si="50"/>
        <v>0</v>
      </c>
      <c r="DKC22" s="1902">
        <f t="shared" si="50"/>
        <v>0</v>
      </c>
      <c r="DKD22" s="1902">
        <f t="shared" si="50"/>
        <v>0</v>
      </c>
      <c r="DKE22" s="1902">
        <f t="shared" si="50"/>
        <v>0</v>
      </c>
      <c r="DKF22" s="1902">
        <f t="shared" si="50"/>
        <v>0</v>
      </c>
      <c r="DKG22" s="1902">
        <f t="shared" si="50"/>
        <v>0</v>
      </c>
      <c r="DKH22" s="1902">
        <f t="shared" si="50"/>
        <v>0</v>
      </c>
      <c r="DKI22" s="1902">
        <f t="shared" si="50"/>
        <v>0</v>
      </c>
      <c r="DKJ22" s="1902">
        <f t="shared" si="50"/>
        <v>0</v>
      </c>
      <c r="DKK22" s="1902">
        <f t="shared" si="50"/>
        <v>0</v>
      </c>
      <c r="DKL22" s="1902">
        <f t="shared" si="50"/>
        <v>0</v>
      </c>
      <c r="DKM22" s="1902">
        <f t="shared" si="50"/>
        <v>0</v>
      </c>
      <c r="DKN22" s="1902">
        <f t="shared" si="50"/>
        <v>0</v>
      </c>
      <c r="DKO22" s="1902">
        <f t="shared" si="50"/>
        <v>0</v>
      </c>
      <c r="DKP22" s="1902">
        <f t="shared" si="50"/>
        <v>0</v>
      </c>
      <c r="DKQ22" s="1902">
        <f t="shared" si="50"/>
        <v>0</v>
      </c>
      <c r="DKR22" s="1902">
        <f t="shared" si="50"/>
        <v>0</v>
      </c>
      <c r="DKS22" s="1902">
        <f t="shared" si="50"/>
        <v>0</v>
      </c>
      <c r="DKT22" s="1902">
        <f t="shared" si="50"/>
        <v>0</v>
      </c>
      <c r="DKU22" s="1902">
        <f t="shared" si="50"/>
        <v>0</v>
      </c>
      <c r="DKV22" s="1902">
        <f t="shared" si="50"/>
        <v>0</v>
      </c>
      <c r="DKW22" s="1902">
        <f t="shared" si="50"/>
        <v>0</v>
      </c>
      <c r="DKX22" s="1902">
        <f t="shared" si="50"/>
        <v>0</v>
      </c>
      <c r="DKY22" s="1902">
        <f t="shared" si="50"/>
        <v>0</v>
      </c>
      <c r="DKZ22" s="1902">
        <f t="shared" si="50"/>
        <v>0</v>
      </c>
      <c r="DLA22" s="1902">
        <f t="shared" si="50"/>
        <v>0</v>
      </c>
      <c r="DLB22" s="1902">
        <f t="shared" si="50"/>
        <v>0</v>
      </c>
      <c r="DLC22" s="1902">
        <f t="shared" ref="DLC22:DNN22" si="51">IF(AND(DLC$26="End of period",DLC$25="Revenue"),DLC9,0)</f>
        <v>0</v>
      </c>
      <c r="DLD22" s="1902">
        <f t="shared" si="51"/>
        <v>0</v>
      </c>
      <c r="DLE22" s="1902">
        <f t="shared" si="51"/>
        <v>0</v>
      </c>
      <c r="DLF22" s="1902">
        <f t="shared" si="51"/>
        <v>0</v>
      </c>
      <c r="DLG22" s="1902">
        <f t="shared" si="51"/>
        <v>0</v>
      </c>
      <c r="DLH22" s="1902">
        <f t="shared" si="51"/>
        <v>0</v>
      </c>
      <c r="DLI22" s="1902">
        <f t="shared" si="51"/>
        <v>0</v>
      </c>
      <c r="DLJ22" s="1902">
        <f t="shared" si="51"/>
        <v>0</v>
      </c>
      <c r="DLK22" s="1902">
        <f t="shared" si="51"/>
        <v>0</v>
      </c>
      <c r="DLL22" s="1902">
        <f t="shared" si="51"/>
        <v>0</v>
      </c>
      <c r="DLM22" s="1902">
        <f t="shared" si="51"/>
        <v>0</v>
      </c>
      <c r="DLN22" s="1902">
        <f t="shared" si="51"/>
        <v>0</v>
      </c>
      <c r="DLO22" s="1902">
        <f t="shared" si="51"/>
        <v>0</v>
      </c>
      <c r="DLP22" s="1902">
        <f t="shared" si="51"/>
        <v>0</v>
      </c>
      <c r="DLQ22" s="1902">
        <f t="shared" si="51"/>
        <v>0</v>
      </c>
      <c r="DLR22" s="1902">
        <f t="shared" si="51"/>
        <v>0</v>
      </c>
      <c r="DLS22" s="1902">
        <f t="shared" si="51"/>
        <v>0</v>
      </c>
      <c r="DLT22" s="1902">
        <f t="shared" si="51"/>
        <v>0</v>
      </c>
      <c r="DLU22" s="1902">
        <f t="shared" si="51"/>
        <v>0</v>
      </c>
      <c r="DLV22" s="1902">
        <f t="shared" si="51"/>
        <v>0</v>
      </c>
      <c r="DLW22" s="1902">
        <f t="shared" si="51"/>
        <v>0</v>
      </c>
      <c r="DLX22" s="1902">
        <f t="shared" si="51"/>
        <v>0</v>
      </c>
      <c r="DLY22" s="1902">
        <f t="shared" si="51"/>
        <v>0</v>
      </c>
      <c r="DLZ22" s="1902">
        <f t="shared" si="51"/>
        <v>0</v>
      </c>
      <c r="DMA22" s="1902">
        <f t="shared" si="51"/>
        <v>0</v>
      </c>
      <c r="DMB22" s="1902">
        <f t="shared" si="51"/>
        <v>0</v>
      </c>
      <c r="DMC22" s="1902">
        <f t="shared" si="51"/>
        <v>0</v>
      </c>
      <c r="DMD22" s="1902">
        <f t="shared" si="51"/>
        <v>0</v>
      </c>
      <c r="DME22" s="1902">
        <f t="shared" si="51"/>
        <v>0</v>
      </c>
      <c r="DMF22" s="1902">
        <f t="shared" si="51"/>
        <v>0</v>
      </c>
      <c r="DMG22" s="1902">
        <f t="shared" si="51"/>
        <v>0</v>
      </c>
      <c r="DMH22" s="1902">
        <f t="shared" si="51"/>
        <v>0</v>
      </c>
      <c r="DMI22" s="1902">
        <f t="shared" si="51"/>
        <v>0</v>
      </c>
      <c r="DMJ22" s="1902">
        <f t="shared" si="51"/>
        <v>0</v>
      </c>
      <c r="DMK22" s="1902">
        <f t="shared" si="51"/>
        <v>0</v>
      </c>
      <c r="DML22" s="1902">
        <f t="shared" si="51"/>
        <v>0</v>
      </c>
      <c r="DMM22" s="1902">
        <f t="shared" si="51"/>
        <v>0</v>
      </c>
      <c r="DMN22" s="1902">
        <f t="shared" si="51"/>
        <v>0</v>
      </c>
      <c r="DMO22" s="1902">
        <f t="shared" si="51"/>
        <v>0</v>
      </c>
      <c r="DMP22" s="1902">
        <f t="shared" si="51"/>
        <v>0</v>
      </c>
      <c r="DMQ22" s="1902">
        <f t="shared" si="51"/>
        <v>0</v>
      </c>
      <c r="DMR22" s="1902">
        <f t="shared" si="51"/>
        <v>0</v>
      </c>
      <c r="DMS22" s="1902">
        <f t="shared" si="51"/>
        <v>0</v>
      </c>
      <c r="DMT22" s="1902">
        <f t="shared" si="51"/>
        <v>0</v>
      </c>
      <c r="DMU22" s="1902">
        <f t="shared" si="51"/>
        <v>0</v>
      </c>
      <c r="DMV22" s="1902">
        <f t="shared" si="51"/>
        <v>0</v>
      </c>
      <c r="DMW22" s="1902">
        <f t="shared" si="51"/>
        <v>0</v>
      </c>
      <c r="DMX22" s="1902">
        <f t="shared" si="51"/>
        <v>0</v>
      </c>
      <c r="DMY22" s="1902">
        <f t="shared" si="51"/>
        <v>0</v>
      </c>
      <c r="DMZ22" s="1902">
        <f t="shared" si="51"/>
        <v>0</v>
      </c>
      <c r="DNA22" s="1902">
        <f t="shared" si="51"/>
        <v>0</v>
      </c>
      <c r="DNB22" s="1902">
        <f t="shared" si="51"/>
        <v>0</v>
      </c>
      <c r="DNC22" s="1902">
        <f t="shared" si="51"/>
        <v>0</v>
      </c>
      <c r="DND22" s="1902">
        <f t="shared" si="51"/>
        <v>0</v>
      </c>
      <c r="DNE22" s="1902">
        <f t="shared" si="51"/>
        <v>0</v>
      </c>
      <c r="DNF22" s="1902">
        <f t="shared" si="51"/>
        <v>0</v>
      </c>
      <c r="DNG22" s="1902">
        <f t="shared" si="51"/>
        <v>0</v>
      </c>
      <c r="DNH22" s="1902">
        <f t="shared" si="51"/>
        <v>0</v>
      </c>
      <c r="DNI22" s="1902">
        <f t="shared" si="51"/>
        <v>0</v>
      </c>
      <c r="DNJ22" s="1902">
        <f t="shared" si="51"/>
        <v>0</v>
      </c>
      <c r="DNK22" s="1902">
        <f t="shared" si="51"/>
        <v>0</v>
      </c>
      <c r="DNL22" s="1902">
        <f t="shared" si="51"/>
        <v>0</v>
      </c>
      <c r="DNM22" s="1902">
        <f t="shared" si="51"/>
        <v>0</v>
      </c>
      <c r="DNN22" s="1902">
        <f t="shared" si="51"/>
        <v>0</v>
      </c>
      <c r="DNO22" s="1902">
        <f t="shared" ref="DNO22:DPZ22" si="52">IF(AND(DNO$26="End of period",DNO$25="Revenue"),DNO9,0)</f>
        <v>0</v>
      </c>
      <c r="DNP22" s="1902">
        <f t="shared" si="52"/>
        <v>0</v>
      </c>
      <c r="DNQ22" s="1902">
        <f t="shared" si="52"/>
        <v>0</v>
      </c>
      <c r="DNR22" s="1902">
        <f t="shared" si="52"/>
        <v>0</v>
      </c>
      <c r="DNS22" s="1902">
        <f t="shared" si="52"/>
        <v>0</v>
      </c>
      <c r="DNT22" s="1902">
        <f t="shared" si="52"/>
        <v>0</v>
      </c>
      <c r="DNU22" s="1902">
        <f t="shared" si="52"/>
        <v>0</v>
      </c>
      <c r="DNV22" s="1902">
        <f t="shared" si="52"/>
        <v>0</v>
      </c>
      <c r="DNW22" s="1902">
        <f t="shared" si="52"/>
        <v>0</v>
      </c>
      <c r="DNX22" s="1902">
        <f t="shared" si="52"/>
        <v>0</v>
      </c>
      <c r="DNY22" s="1902">
        <f t="shared" si="52"/>
        <v>0</v>
      </c>
      <c r="DNZ22" s="1902">
        <f t="shared" si="52"/>
        <v>0</v>
      </c>
      <c r="DOA22" s="1902">
        <f t="shared" si="52"/>
        <v>0</v>
      </c>
      <c r="DOB22" s="1902">
        <f t="shared" si="52"/>
        <v>0</v>
      </c>
      <c r="DOC22" s="1902">
        <f t="shared" si="52"/>
        <v>0</v>
      </c>
      <c r="DOD22" s="1902">
        <f t="shared" si="52"/>
        <v>0</v>
      </c>
      <c r="DOE22" s="1902">
        <f t="shared" si="52"/>
        <v>0</v>
      </c>
      <c r="DOF22" s="1902">
        <f t="shared" si="52"/>
        <v>0</v>
      </c>
      <c r="DOG22" s="1902">
        <f t="shared" si="52"/>
        <v>0</v>
      </c>
      <c r="DOH22" s="1902">
        <f t="shared" si="52"/>
        <v>0</v>
      </c>
      <c r="DOI22" s="1902">
        <f t="shared" si="52"/>
        <v>0</v>
      </c>
      <c r="DOJ22" s="1902">
        <f t="shared" si="52"/>
        <v>0</v>
      </c>
      <c r="DOK22" s="1902">
        <f t="shared" si="52"/>
        <v>0</v>
      </c>
      <c r="DOL22" s="1902">
        <f t="shared" si="52"/>
        <v>0</v>
      </c>
      <c r="DOM22" s="1902">
        <f t="shared" si="52"/>
        <v>0</v>
      </c>
      <c r="DON22" s="1902">
        <f t="shared" si="52"/>
        <v>0</v>
      </c>
      <c r="DOO22" s="1902">
        <f t="shared" si="52"/>
        <v>0</v>
      </c>
      <c r="DOP22" s="1902">
        <f t="shared" si="52"/>
        <v>0</v>
      </c>
      <c r="DOQ22" s="1902">
        <f t="shared" si="52"/>
        <v>0</v>
      </c>
      <c r="DOR22" s="1902">
        <f t="shared" si="52"/>
        <v>0</v>
      </c>
      <c r="DOS22" s="1902">
        <f t="shared" si="52"/>
        <v>0</v>
      </c>
      <c r="DOT22" s="1902">
        <f t="shared" si="52"/>
        <v>0</v>
      </c>
      <c r="DOU22" s="1902">
        <f t="shared" si="52"/>
        <v>0</v>
      </c>
      <c r="DOV22" s="1902">
        <f t="shared" si="52"/>
        <v>0</v>
      </c>
      <c r="DOW22" s="1902">
        <f t="shared" si="52"/>
        <v>0</v>
      </c>
      <c r="DOX22" s="1902">
        <f t="shared" si="52"/>
        <v>0</v>
      </c>
      <c r="DOY22" s="1902">
        <f t="shared" si="52"/>
        <v>0</v>
      </c>
      <c r="DOZ22" s="1902">
        <f t="shared" si="52"/>
        <v>0</v>
      </c>
      <c r="DPA22" s="1902">
        <f t="shared" si="52"/>
        <v>0</v>
      </c>
      <c r="DPB22" s="1902">
        <f t="shared" si="52"/>
        <v>0</v>
      </c>
      <c r="DPC22" s="1902">
        <f t="shared" si="52"/>
        <v>0</v>
      </c>
      <c r="DPD22" s="1902">
        <f t="shared" si="52"/>
        <v>0</v>
      </c>
      <c r="DPE22" s="1902">
        <f t="shared" si="52"/>
        <v>0</v>
      </c>
      <c r="DPF22" s="1902">
        <f t="shared" si="52"/>
        <v>0</v>
      </c>
      <c r="DPG22" s="1902">
        <f t="shared" si="52"/>
        <v>0</v>
      </c>
      <c r="DPH22" s="1902">
        <f t="shared" si="52"/>
        <v>0</v>
      </c>
      <c r="DPI22" s="1902">
        <f t="shared" si="52"/>
        <v>0</v>
      </c>
      <c r="DPJ22" s="1902">
        <f t="shared" si="52"/>
        <v>0</v>
      </c>
      <c r="DPK22" s="1902">
        <f t="shared" si="52"/>
        <v>0</v>
      </c>
      <c r="DPL22" s="1902">
        <f t="shared" si="52"/>
        <v>0</v>
      </c>
      <c r="DPM22" s="1902">
        <f t="shared" si="52"/>
        <v>0</v>
      </c>
      <c r="DPN22" s="1902">
        <f t="shared" si="52"/>
        <v>0</v>
      </c>
      <c r="DPO22" s="1902">
        <f t="shared" si="52"/>
        <v>0</v>
      </c>
      <c r="DPP22" s="1902">
        <f t="shared" si="52"/>
        <v>0</v>
      </c>
      <c r="DPQ22" s="1902">
        <f t="shared" si="52"/>
        <v>0</v>
      </c>
      <c r="DPR22" s="1902">
        <f t="shared" si="52"/>
        <v>0</v>
      </c>
      <c r="DPS22" s="1902">
        <f t="shared" si="52"/>
        <v>0</v>
      </c>
      <c r="DPT22" s="1902">
        <f t="shared" si="52"/>
        <v>0</v>
      </c>
      <c r="DPU22" s="1902">
        <f t="shared" si="52"/>
        <v>0</v>
      </c>
      <c r="DPV22" s="1902">
        <f t="shared" si="52"/>
        <v>0</v>
      </c>
      <c r="DPW22" s="1902">
        <f t="shared" si="52"/>
        <v>0</v>
      </c>
      <c r="DPX22" s="1902">
        <f t="shared" si="52"/>
        <v>0</v>
      </c>
      <c r="DPY22" s="1902">
        <f t="shared" si="52"/>
        <v>0</v>
      </c>
      <c r="DPZ22" s="1902">
        <f t="shared" si="52"/>
        <v>0</v>
      </c>
      <c r="DQA22" s="1902">
        <f t="shared" ref="DQA22:DSL22" si="53">IF(AND(DQA$26="End of period",DQA$25="Revenue"),DQA9,0)</f>
        <v>0</v>
      </c>
      <c r="DQB22" s="1902">
        <f t="shared" si="53"/>
        <v>0</v>
      </c>
      <c r="DQC22" s="1902">
        <f t="shared" si="53"/>
        <v>0</v>
      </c>
      <c r="DQD22" s="1902">
        <f t="shared" si="53"/>
        <v>0</v>
      </c>
      <c r="DQE22" s="1902">
        <f t="shared" si="53"/>
        <v>0</v>
      </c>
      <c r="DQF22" s="1902">
        <f t="shared" si="53"/>
        <v>0</v>
      </c>
      <c r="DQG22" s="1902">
        <f t="shared" si="53"/>
        <v>0</v>
      </c>
      <c r="DQH22" s="1902">
        <f t="shared" si="53"/>
        <v>0</v>
      </c>
      <c r="DQI22" s="1902">
        <f t="shared" si="53"/>
        <v>0</v>
      </c>
      <c r="DQJ22" s="1902">
        <f t="shared" si="53"/>
        <v>0</v>
      </c>
      <c r="DQK22" s="1902">
        <f t="shared" si="53"/>
        <v>0</v>
      </c>
      <c r="DQL22" s="1902">
        <f t="shared" si="53"/>
        <v>0</v>
      </c>
      <c r="DQM22" s="1902">
        <f t="shared" si="53"/>
        <v>0</v>
      </c>
      <c r="DQN22" s="1902">
        <f t="shared" si="53"/>
        <v>0</v>
      </c>
      <c r="DQO22" s="1902">
        <f t="shared" si="53"/>
        <v>0</v>
      </c>
      <c r="DQP22" s="1902">
        <f t="shared" si="53"/>
        <v>0</v>
      </c>
      <c r="DQQ22" s="1902">
        <f t="shared" si="53"/>
        <v>0</v>
      </c>
      <c r="DQR22" s="1902">
        <f t="shared" si="53"/>
        <v>0</v>
      </c>
      <c r="DQS22" s="1902">
        <f t="shared" si="53"/>
        <v>0</v>
      </c>
      <c r="DQT22" s="1902">
        <f t="shared" si="53"/>
        <v>0</v>
      </c>
      <c r="DQU22" s="1902">
        <f t="shared" si="53"/>
        <v>0</v>
      </c>
      <c r="DQV22" s="1902">
        <f t="shared" si="53"/>
        <v>0</v>
      </c>
      <c r="DQW22" s="1902">
        <f t="shared" si="53"/>
        <v>0</v>
      </c>
      <c r="DQX22" s="1902">
        <f t="shared" si="53"/>
        <v>0</v>
      </c>
      <c r="DQY22" s="1902">
        <f t="shared" si="53"/>
        <v>0</v>
      </c>
      <c r="DQZ22" s="1902">
        <f t="shared" si="53"/>
        <v>0</v>
      </c>
      <c r="DRA22" s="1902">
        <f t="shared" si="53"/>
        <v>0</v>
      </c>
      <c r="DRB22" s="1902">
        <f t="shared" si="53"/>
        <v>0</v>
      </c>
      <c r="DRC22" s="1902">
        <f t="shared" si="53"/>
        <v>0</v>
      </c>
      <c r="DRD22" s="1902">
        <f t="shared" si="53"/>
        <v>0</v>
      </c>
      <c r="DRE22" s="1902">
        <f t="shared" si="53"/>
        <v>0</v>
      </c>
      <c r="DRF22" s="1902">
        <f t="shared" si="53"/>
        <v>0</v>
      </c>
      <c r="DRG22" s="1902">
        <f t="shared" si="53"/>
        <v>0</v>
      </c>
      <c r="DRH22" s="1902">
        <f t="shared" si="53"/>
        <v>0</v>
      </c>
      <c r="DRI22" s="1902">
        <f t="shared" si="53"/>
        <v>0</v>
      </c>
      <c r="DRJ22" s="1902">
        <f t="shared" si="53"/>
        <v>0</v>
      </c>
      <c r="DRK22" s="1902">
        <f t="shared" si="53"/>
        <v>0</v>
      </c>
      <c r="DRL22" s="1902">
        <f t="shared" si="53"/>
        <v>0</v>
      </c>
      <c r="DRM22" s="1902">
        <f t="shared" si="53"/>
        <v>0</v>
      </c>
      <c r="DRN22" s="1902">
        <f t="shared" si="53"/>
        <v>0</v>
      </c>
      <c r="DRO22" s="1902">
        <f t="shared" si="53"/>
        <v>0</v>
      </c>
      <c r="DRP22" s="1902">
        <f t="shared" si="53"/>
        <v>0</v>
      </c>
      <c r="DRQ22" s="1902">
        <f t="shared" si="53"/>
        <v>0</v>
      </c>
      <c r="DRR22" s="1902">
        <f t="shared" si="53"/>
        <v>0</v>
      </c>
      <c r="DRS22" s="1902">
        <f t="shared" si="53"/>
        <v>0</v>
      </c>
      <c r="DRT22" s="1902">
        <f t="shared" si="53"/>
        <v>0</v>
      </c>
      <c r="DRU22" s="1902">
        <f t="shared" si="53"/>
        <v>0</v>
      </c>
      <c r="DRV22" s="1902">
        <f t="shared" si="53"/>
        <v>0</v>
      </c>
      <c r="DRW22" s="1902">
        <f t="shared" si="53"/>
        <v>0</v>
      </c>
      <c r="DRX22" s="1902">
        <f t="shared" si="53"/>
        <v>0</v>
      </c>
      <c r="DRY22" s="1902">
        <f t="shared" si="53"/>
        <v>0</v>
      </c>
      <c r="DRZ22" s="1902">
        <f t="shared" si="53"/>
        <v>0</v>
      </c>
      <c r="DSA22" s="1902">
        <f t="shared" si="53"/>
        <v>0</v>
      </c>
      <c r="DSB22" s="1902">
        <f t="shared" si="53"/>
        <v>0</v>
      </c>
      <c r="DSC22" s="1902">
        <f t="shared" si="53"/>
        <v>0</v>
      </c>
      <c r="DSD22" s="1902">
        <f t="shared" si="53"/>
        <v>0</v>
      </c>
      <c r="DSE22" s="1902">
        <f t="shared" si="53"/>
        <v>0</v>
      </c>
      <c r="DSF22" s="1902">
        <f t="shared" si="53"/>
        <v>0</v>
      </c>
      <c r="DSG22" s="1902">
        <f t="shared" si="53"/>
        <v>0</v>
      </c>
      <c r="DSH22" s="1902">
        <f t="shared" si="53"/>
        <v>0</v>
      </c>
      <c r="DSI22" s="1902">
        <f t="shared" si="53"/>
        <v>0</v>
      </c>
      <c r="DSJ22" s="1902">
        <f t="shared" si="53"/>
        <v>0</v>
      </c>
      <c r="DSK22" s="1902">
        <f t="shared" si="53"/>
        <v>0</v>
      </c>
      <c r="DSL22" s="1902">
        <f t="shared" si="53"/>
        <v>0</v>
      </c>
      <c r="DSM22" s="1902">
        <f t="shared" ref="DSM22:DUX22" si="54">IF(AND(DSM$26="End of period",DSM$25="Revenue"),DSM9,0)</f>
        <v>0</v>
      </c>
      <c r="DSN22" s="1902">
        <f t="shared" si="54"/>
        <v>0</v>
      </c>
      <c r="DSO22" s="1902">
        <f t="shared" si="54"/>
        <v>0</v>
      </c>
      <c r="DSP22" s="1902">
        <f t="shared" si="54"/>
        <v>0</v>
      </c>
      <c r="DSQ22" s="1902">
        <f t="shared" si="54"/>
        <v>0</v>
      </c>
      <c r="DSR22" s="1902">
        <f t="shared" si="54"/>
        <v>0</v>
      </c>
      <c r="DSS22" s="1902">
        <f t="shared" si="54"/>
        <v>0</v>
      </c>
      <c r="DST22" s="1902">
        <f t="shared" si="54"/>
        <v>0</v>
      </c>
      <c r="DSU22" s="1902">
        <f t="shared" si="54"/>
        <v>0</v>
      </c>
      <c r="DSV22" s="1902">
        <f t="shared" si="54"/>
        <v>0</v>
      </c>
      <c r="DSW22" s="1902">
        <f t="shared" si="54"/>
        <v>0</v>
      </c>
      <c r="DSX22" s="1902">
        <f t="shared" si="54"/>
        <v>0</v>
      </c>
      <c r="DSY22" s="1902">
        <f t="shared" si="54"/>
        <v>0</v>
      </c>
      <c r="DSZ22" s="1902">
        <f t="shared" si="54"/>
        <v>0</v>
      </c>
      <c r="DTA22" s="1902">
        <f t="shared" si="54"/>
        <v>0</v>
      </c>
      <c r="DTB22" s="1902">
        <f t="shared" si="54"/>
        <v>0</v>
      </c>
      <c r="DTC22" s="1902">
        <f t="shared" si="54"/>
        <v>0</v>
      </c>
      <c r="DTD22" s="1902">
        <f t="shared" si="54"/>
        <v>0</v>
      </c>
      <c r="DTE22" s="1902">
        <f t="shared" si="54"/>
        <v>0</v>
      </c>
      <c r="DTF22" s="1902">
        <f t="shared" si="54"/>
        <v>0</v>
      </c>
      <c r="DTG22" s="1902">
        <f t="shared" si="54"/>
        <v>0</v>
      </c>
      <c r="DTH22" s="1902">
        <f t="shared" si="54"/>
        <v>0</v>
      </c>
      <c r="DTI22" s="1902">
        <f t="shared" si="54"/>
        <v>0</v>
      </c>
      <c r="DTJ22" s="1902">
        <f t="shared" si="54"/>
        <v>0</v>
      </c>
      <c r="DTK22" s="1902">
        <f t="shared" si="54"/>
        <v>0</v>
      </c>
      <c r="DTL22" s="1902">
        <f t="shared" si="54"/>
        <v>0</v>
      </c>
      <c r="DTM22" s="1902">
        <f t="shared" si="54"/>
        <v>0</v>
      </c>
      <c r="DTN22" s="1902">
        <f t="shared" si="54"/>
        <v>0</v>
      </c>
      <c r="DTO22" s="1902">
        <f t="shared" si="54"/>
        <v>0</v>
      </c>
      <c r="DTP22" s="1902">
        <f t="shared" si="54"/>
        <v>0</v>
      </c>
      <c r="DTQ22" s="1902">
        <f t="shared" si="54"/>
        <v>0</v>
      </c>
      <c r="DTR22" s="1902">
        <f t="shared" si="54"/>
        <v>0</v>
      </c>
      <c r="DTS22" s="1902">
        <f t="shared" si="54"/>
        <v>0</v>
      </c>
      <c r="DTT22" s="1902">
        <f t="shared" si="54"/>
        <v>0</v>
      </c>
      <c r="DTU22" s="1902">
        <f t="shared" si="54"/>
        <v>0</v>
      </c>
      <c r="DTV22" s="1902">
        <f t="shared" si="54"/>
        <v>0</v>
      </c>
      <c r="DTW22" s="1902">
        <f t="shared" si="54"/>
        <v>0</v>
      </c>
      <c r="DTX22" s="1902">
        <f t="shared" si="54"/>
        <v>0</v>
      </c>
      <c r="DTY22" s="1902">
        <f t="shared" si="54"/>
        <v>0</v>
      </c>
      <c r="DTZ22" s="1902">
        <f t="shared" si="54"/>
        <v>0</v>
      </c>
      <c r="DUA22" s="1902">
        <f t="shared" si="54"/>
        <v>0</v>
      </c>
      <c r="DUB22" s="1902">
        <f t="shared" si="54"/>
        <v>0</v>
      </c>
      <c r="DUC22" s="1902">
        <f t="shared" si="54"/>
        <v>0</v>
      </c>
      <c r="DUD22" s="1902">
        <f t="shared" si="54"/>
        <v>0</v>
      </c>
      <c r="DUE22" s="1902">
        <f t="shared" si="54"/>
        <v>0</v>
      </c>
      <c r="DUF22" s="1902">
        <f t="shared" si="54"/>
        <v>0</v>
      </c>
      <c r="DUG22" s="1902">
        <f t="shared" si="54"/>
        <v>0</v>
      </c>
      <c r="DUH22" s="1902">
        <f t="shared" si="54"/>
        <v>0</v>
      </c>
      <c r="DUI22" s="1902">
        <f t="shared" si="54"/>
        <v>0</v>
      </c>
      <c r="DUJ22" s="1902">
        <f t="shared" si="54"/>
        <v>0</v>
      </c>
      <c r="DUK22" s="1902">
        <f t="shared" si="54"/>
        <v>0</v>
      </c>
      <c r="DUL22" s="1902">
        <f t="shared" si="54"/>
        <v>0</v>
      </c>
      <c r="DUM22" s="1902">
        <f t="shared" si="54"/>
        <v>0</v>
      </c>
      <c r="DUN22" s="1902">
        <f t="shared" si="54"/>
        <v>0</v>
      </c>
      <c r="DUO22" s="1902">
        <f t="shared" si="54"/>
        <v>0</v>
      </c>
      <c r="DUP22" s="1902">
        <f t="shared" si="54"/>
        <v>0</v>
      </c>
      <c r="DUQ22" s="1902">
        <f t="shared" si="54"/>
        <v>0</v>
      </c>
      <c r="DUR22" s="1902">
        <f t="shared" si="54"/>
        <v>0</v>
      </c>
      <c r="DUS22" s="1902">
        <f t="shared" si="54"/>
        <v>0</v>
      </c>
      <c r="DUT22" s="1902">
        <f t="shared" si="54"/>
        <v>0</v>
      </c>
      <c r="DUU22" s="1902">
        <f t="shared" si="54"/>
        <v>0</v>
      </c>
      <c r="DUV22" s="1902">
        <f t="shared" si="54"/>
        <v>0</v>
      </c>
      <c r="DUW22" s="1902">
        <f t="shared" si="54"/>
        <v>0</v>
      </c>
      <c r="DUX22" s="1902">
        <f t="shared" si="54"/>
        <v>0</v>
      </c>
      <c r="DUY22" s="1902">
        <f t="shared" ref="DUY22:DXJ22" si="55">IF(AND(DUY$26="End of period",DUY$25="Revenue"),DUY9,0)</f>
        <v>0</v>
      </c>
      <c r="DUZ22" s="1902">
        <f t="shared" si="55"/>
        <v>0</v>
      </c>
      <c r="DVA22" s="1902">
        <f t="shared" si="55"/>
        <v>0</v>
      </c>
      <c r="DVB22" s="1902">
        <f t="shared" si="55"/>
        <v>0</v>
      </c>
      <c r="DVC22" s="1902">
        <f t="shared" si="55"/>
        <v>0</v>
      </c>
      <c r="DVD22" s="1902">
        <f t="shared" si="55"/>
        <v>0</v>
      </c>
      <c r="DVE22" s="1902">
        <f t="shared" si="55"/>
        <v>0</v>
      </c>
      <c r="DVF22" s="1902">
        <f t="shared" si="55"/>
        <v>0</v>
      </c>
      <c r="DVG22" s="1902">
        <f t="shared" si="55"/>
        <v>0</v>
      </c>
      <c r="DVH22" s="1902">
        <f t="shared" si="55"/>
        <v>0</v>
      </c>
      <c r="DVI22" s="1902">
        <f t="shared" si="55"/>
        <v>0</v>
      </c>
      <c r="DVJ22" s="1902">
        <f t="shared" si="55"/>
        <v>0</v>
      </c>
      <c r="DVK22" s="1902">
        <f t="shared" si="55"/>
        <v>0</v>
      </c>
      <c r="DVL22" s="1902">
        <f t="shared" si="55"/>
        <v>0</v>
      </c>
      <c r="DVM22" s="1902">
        <f t="shared" si="55"/>
        <v>0</v>
      </c>
      <c r="DVN22" s="1902">
        <f t="shared" si="55"/>
        <v>0</v>
      </c>
      <c r="DVO22" s="1902">
        <f t="shared" si="55"/>
        <v>0</v>
      </c>
      <c r="DVP22" s="1902">
        <f t="shared" si="55"/>
        <v>0</v>
      </c>
      <c r="DVQ22" s="1902">
        <f t="shared" si="55"/>
        <v>0</v>
      </c>
      <c r="DVR22" s="1902">
        <f t="shared" si="55"/>
        <v>0</v>
      </c>
      <c r="DVS22" s="1902">
        <f t="shared" si="55"/>
        <v>0</v>
      </c>
      <c r="DVT22" s="1902">
        <f t="shared" si="55"/>
        <v>0</v>
      </c>
      <c r="DVU22" s="1902">
        <f t="shared" si="55"/>
        <v>0</v>
      </c>
      <c r="DVV22" s="1902">
        <f t="shared" si="55"/>
        <v>0</v>
      </c>
      <c r="DVW22" s="1902">
        <f t="shared" si="55"/>
        <v>0</v>
      </c>
      <c r="DVX22" s="1902">
        <f t="shared" si="55"/>
        <v>0</v>
      </c>
      <c r="DVY22" s="1902">
        <f t="shared" si="55"/>
        <v>0</v>
      </c>
      <c r="DVZ22" s="1902">
        <f t="shared" si="55"/>
        <v>0</v>
      </c>
      <c r="DWA22" s="1902">
        <f t="shared" si="55"/>
        <v>0</v>
      </c>
      <c r="DWB22" s="1902">
        <f t="shared" si="55"/>
        <v>0</v>
      </c>
      <c r="DWC22" s="1902">
        <f t="shared" si="55"/>
        <v>0</v>
      </c>
      <c r="DWD22" s="1902">
        <f t="shared" si="55"/>
        <v>0</v>
      </c>
      <c r="DWE22" s="1902">
        <f t="shared" si="55"/>
        <v>0</v>
      </c>
      <c r="DWF22" s="1902">
        <f t="shared" si="55"/>
        <v>0</v>
      </c>
      <c r="DWG22" s="1902">
        <f t="shared" si="55"/>
        <v>0</v>
      </c>
      <c r="DWH22" s="1902">
        <f t="shared" si="55"/>
        <v>0</v>
      </c>
      <c r="DWI22" s="1902">
        <f t="shared" si="55"/>
        <v>0</v>
      </c>
      <c r="DWJ22" s="1902">
        <f t="shared" si="55"/>
        <v>0</v>
      </c>
      <c r="DWK22" s="1902">
        <f t="shared" si="55"/>
        <v>0</v>
      </c>
      <c r="DWL22" s="1902">
        <f t="shared" si="55"/>
        <v>0</v>
      </c>
      <c r="DWM22" s="1902">
        <f t="shared" si="55"/>
        <v>0</v>
      </c>
      <c r="DWN22" s="1902">
        <f t="shared" si="55"/>
        <v>0</v>
      </c>
      <c r="DWO22" s="1902">
        <f t="shared" si="55"/>
        <v>0</v>
      </c>
      <c r="DWP22" s="1902">
        <f t="shared" si="55"/>
        <v>0</v>
      </c>
      <c r="DWQ22" s="1902">
        <f t="shared" si="55"/>
        <v>0</v>
      </c>
      <c r="DWR22" s="1902">
        <f t="shared" si="55"/>
        <v>0</v>
      </c>
      <c r="DWS22" s="1902">
        <f t="shared" si="55"/>
        <v>0</v>
      </c>
      <c r="DWT22" s="1902">
        <f t="shared" si="55"/>
        <v>0</v>
      </c>
      <c r="DWU22" s="1902">
        <f t="shared" si="55"/>
        <v>0</v>
      </c>
      <c r="DWV22" s="1902">
        <f t="shared" si="55"/>
        <v>0</v>
      </c>
      <c r="DWW22" s="1902">
        <f t="shared" si="55"/>
        <v>0</v>
      </c>
      <c r="DWX22" s="1902">
        <f t="shared" si="55"/>
        <v>0</v>
      </c>
      <c r="DWY22" s="1902">
        <f t="shared" si="55"/>
        <v>0</v>
      </c>
      <c r="DWZ22" s="1902">
        <f t="shared" si="55"/>
        <v>0</v>
      </c>
      <c r="DXA22" s="1902">
        <f t="shared" si="55"/>
        <v>0</v>
      </c>
      <c r="DXB22" s="1902">
        <f t="shared" si="55"/>
        <v>0</v>
      </c>
      <c r="DXC22" s="1902">
        <f t="shared" si="55"/>
        <v>0</v>
      </c>
      <c r="DXD22" s="1902">
        <f t="shared" si="55"/>
        <v>0</v>
      </c>
      <c r="DXE22" s="1902">
        <f t="shared" si="55"/>
        <v>0</v>
      </c>
      <c r="DXF22" s="1902">
        <f t="shared" si="55"/>
        <v>0</v>
      </c>
      <c r="DXG22" s="1902">
        <f t="shared" si="55"/>
        <v>0</v>
      </c>
      <c r="DXH22" s="1902">
        <f t="shared" si="55"/>
        <v>0</v>
      </c>
      <c r="DXI22" s="1902">
        <f t="shared" si="55"/>
        <v>0</v>
      </c>
      <c r="DXJ22" s="1902">
        <f t="shared" si="55"/>
        <v>0</v>
      </c>
      <c r="DXK22" s="1902">
        <f t="shared" ref="DXK22:DZV22" si="56">IF(AND(DXK$26="End of period",DXK$25="Revenue"),DXK9,0)</f>
        <v>0</v>
      </c>
      <c r="DXL22" s="1902">
        <f t="shared" si="56"/>
        <v>0</v>
      </c>
      <c r="DXM22" s="1902">
        <f t="shared" si="56"/>
        <v>0</v>
      </c>
      <c r="DXN22" s="1902">
        <f t="shared" si="56"/>
        <v>0</v>
      </c>
      <c r="DXO22" s="1902">
        <f t="shared" si="56"/>
        <v>0</v>
      </c>
      <c r="DXP22" s="1902">
        <f t="shared" si="56"/>
        <v>0</v>
      </c>
      <c r="DXQ22" s="1902">
        <f t="shared" si="56"/>
        <v>0</v>
      </c>
      <c r="DXR22" s="1902">
        <f t="shared" si="56"/>
        <v>0</v>
      </c>
      <c r="DXS22" s="1902">
        <f t="shared" si="56"/>
        <v>0</v>
      </c>
      <c r="DXT22" s="1902">
        <f t="shared" si="56"/>
        <v>0</v>
      </c>
      <c r="DXU22" s="1902">
        <f t="shared" si="56"/>
        <v>0</v>
      </c>
      <c r="DXV22" s="1902">
        <f t="shared" si="56"/>
        <v>0</v>
      </c>
      <c r="DXW22" s="1902">
        <f t="shared" si="56"/>
        <v>0</v>
      </c>
      <c r="DXX22" s="1902">
        <f t="shared" si="56"/>
        <v>0</v>
      </c>
      <c r="DXY22" s="1902">
        <f t="shared" si="56"/>
        <v>0</v>
      </c>
      <c r="DXZ22" s="1902">
        <f t="shared" si="56"/>
        <v>0</v>
      </c>
      <c r="DYA22" s="1902">
        <f t="shared" si="56"/>
        <v>0</v>
      </c>
      <c r="DYB22" s="1902">
        <f t="shared" si="56"/>
        <v>0</v>
      </c>
      <c r="DYC22" s="1902">
        <f t="shared" si="56"/>
        <v>0</v>
      </c>
      <c r="DYD22" s="1902">
        <f t="shared" si="56"/>
        <v>0</v>
      </c>
      <c r="DYE22" s="1902">
        <f t="shared" si="56"/>
        <v>0</v>
      </c>
      <c r="DYF22" s="1902">
        <f t="shared" si="56"/>
        <v>0</v>
      </c>
      <c r="DYG22" s="1902">
        <f t="shared" si="56"/>
        <v>0</v>
      </c>
      <c r="DYH22" s="1902">
        <f t="shared" si="56"/>
        <v>0</v>
      </c>
      <c r="DYI22" s="1902">
        <f t="shared" si="56"/>
        <v>0</v>
      </c>
      <c r="DYJ22" s="1902">
        <f t="shared" si="56"/>
        <v>0</v>
      </c>
      <c r="DYK22" s="1902">
        <f t="shared" si="56"/>
        <v>0</v>
      </c>
      <c r="DYL22" s="1902">
        <f t="shared" si="56"/>
        <v>0</v>
      </c>
      <c r="DYM22" s="1902">
        <f t="shared" si="56"/>
        <v>0</v>
      </c>
      <c r="DYN22" s="1902">
        <f t="shared" si="56"/>
        <v>0</v>
      </c>
      <c r="DYO22" s="1902">
        <f t="shared" si="56"/>
        <v>0</v>
      </c>
      <c r="DYP22" s="1902">
        <f t="shared" si="56"/>
        <v>0</v>
      </c>
      <c r="DYQ22" s="1902">
        <f t="shared" si="56"/>
        <v>0</v>
      </c>
      <c r="DYR22" s="1902">
        <f t="shared" si="56"/>
        <v>0</v>
      </c>
      <c r="DYS22" s="1902">
        <f t="shared" si="56"/>
        <v>0</v>
      </c>
      <c r="DYT22" s="1902">
        <f t="shared" si="56"/>
        <v>0</v>
      </c>
      <c r="DYU22" s="1902">
        <f t="shared" si="56"/>
        <v>0</v>
      </c>
      <c r="DYV22" s="1902">
        <f t="shared" si="56"/>
        <v>0</v>
      </c>
      <c r="DYW22" s="1902">
        <f t="shared" si="56"/>
        <v>0</v>
      </c>
      <c r="DYX22" s="1902">
        <f t="shared" si="56"/>
        <v>0</v>
      </c>
      <c r="DYY22" s="1902">
        <f t="shared" si="56"/>
        <v>0</v>
      </c>
      <c r="DYZ22" s="1902">
        <f t="shared" si="56"/>
        <v>0</v>
      </c>
      <c r="DZA22" s="1902">
        <f t="shared" si="56"/>
        <v>0</v>
      </c>
      <c r="DZB22" s="1902">
        <f t="shared" si="56"/>
        <v>0</v>
      </c>
      <c r="DZC22" s="1902">
        <f t="shared" si="56"/>
        <v>0</v>
      </c>
      <c r="DZD22" s="1902">
        <f t="shared" si="56"/>
        <v>0</v>
      </c>
      <c r="DZE22" s="1902">
        <f t="shared" si="56"/>
        <v>0</v>
      </c>
      <c r="DZF22" s="1902">
        <f t="shared" si="56"/>
        <v>0</v>
      </c>
      <c r="DZG22" s="1902">
        <f t="shared" si="56"/>
        <v>0</v>
      </c>
      <c r="DZH22" s="1902">
        <f t="shared" si="56"/>
        <v>0</v>
      </c>
      <c r="DZI22" s="1902">
        <f t="shared" si="56"/>
        <v>0</v>
      </c>
      <c r="DZJ22" s="1902">
        <f t="shared" si="56"/>
        <v>0</v>
      </c>
      <c r="DZK22" s="1902">
        <f t="shared" si="56"/>
        <v>0</v>
      </c>
      <c r="DZL22" s="1902">
        <f t="shared" si="56"/>
        <v>0</v>
      </c>
      <c r="DZM22" s="1902">
        <f t="shared" si="56"/>
        <v>0</v>
      </c>
      <c r="DZN22" s="1902">
        <f t="shared" si="56"/>
        <v>0</v>
      </c>
      <c r="DZO22" s="1902">
        <f t="shared" si="56"/>
        <v>0</v>
      </c>
      <c r="DZP22" s="1902">
        <f t="shared" si="56"/>
        <v>0</v>
      </c>
      <c r="DZQ22" s="1902">
        <f t="shared" si="56"/>
        <v>0</v>
      </c>
      <c r="DZR22" s="1902">
        <f t="shared" si="56"/>
        <v>0</v>
      </c>
      <c r="DZS22" s="1902">
        <f t="shared" si="56"/>
        <v>0</v>
      </c>
      <c r="DZT22" s="1902">
        <f t="shared" si="56"/>
        <v>0</v>
      </c>
      <c r="DZU22" s="1902">
        <f t="shared" si="56"/>
        <v>0</v>
      </c>
      <c r="DZV22" s="1902">
        <f t="shared" si="56"/>
        <v>0</v>
      </c>
      <c r="DZW22" s="1902">
        <f t="shared" ref="DZW22:ECH22" si="57">IF(AND(DZW$26="End of period",DZW$25="Revenue"),DZW9,0)</f>
        <v>0</v>
      </c>
      <c r="DZX22" s="1902">
        <f t="shared" si="57"/>
        <v>0</v>
      </c>
      <c r="DZY22" s="1902">
        <f t="shared" si="57"/>
        <v>0</v>
      </c>
      <c r="DZZ22" s="1902">
        <f t="shared" si="57"/>
        <v>0</v>
      </c>
      <c r="EAA22" s="1902">
        <f t="shared" si="57"/>
        <v>0</v>
      </c>
      <c r="EAB22" s="1902">
        <f t="shared" si="57"/>
        <v>0</v>
      </c>
      <c r="EAC22" s="1902">
        <f t="shared" si="57"/>
        <v>0</v>
      </c>
      <c r="EAD22" s="1902">
        <f t="shared" si="57"/>
        <v>0</v>
      </c>
      <c r="EAE22" s="1902">
        <f t="shared" si="57"/>
        <v>0</v>
      </c>
      <c r="EAF22" s="1902">
        <f t="shared" si="57"/>
        <v>0</v>
      </c>
      <c r="EAG22" s="1902">
        <f t="shared" si="57"/>
        <v>0</v>
      </c>
      <c r="EAH22" s="1902">
        <f t="shared" si="57"/>
        <v>0</v>
      </c>
      <c r="EAI22" s="1902">
        <f t="shared" si="57"/>
        <v>0</v>
      </c>
      <c r="EAJ22" s="1902">
        <f t="shared" si="57"/>
        <v>0</v>
      </c>
      <c r="EAK22" s="1902">
        <f t="shared" si="57"/>
        <v>0</v>
      </c>
      <c r="EAL22" s="1902">
        <f t="shared" si="57"/>
        <v>0</v>
      </c>
      <c r="EAM22" s="1902">
        <f t="shared" si="57"/>
        <v>0</v>
      </c>
      <c r="EAN22" s="1902">
        <f t="shared" si="57"/>
        <v>0</v>
      </c>
      <c r="EAO22" s="1902">
        <f t="shared" si="57"/>
        <v>0</v>
      </c>
      <c r="EAP22" s="1902">
        <f t="shared" si="57"/>
        <v>0</v>
      </c>
      <c r="EAQ22" s="1902">
        <f t="shared" si="57"/>
        <v>0</v>
      </c>
      <c r="EAR22" s="1902">
        <f t="shared" si="57"/>
        <v>0</v>
      </c>
      <c r="EAS22" s="1902">
        <f t="shared" si="57"/>
        <v>0</v>
      </c>
      <c r="EAT22" s="1902">
        <f t="shared" si="57"/>
        <v>0</v>
      </c>
      <c r="EAU22" s="1902">
        <f t="shared" si="57"/>
        <v>0</v>
      </c>
      <c r="EAV22" s="1902">
        <f t="shared" si="57"/>
        <v>0</v>
      </c>
      <c r="EAW22" s="1902">
        <f t="shared" si="57"/>
        <v>0</v>
      </c>
      <c r="EAX22" s="1902">
        <f t="shared" si="57"/>
        <v>0</v>
      </c>
      <c r="EAY22" s="1902">
        <f t="shared" si="57"/>
        <v>0</v>
      </c>
      <c r="EAZ22" s="1902">
        <f t="shared" si="57"/>
        <v>0</v>
      </c>
      <c r="EBA22" s="1902">
        <f t="shared" si="57"/>
        <v>0</v>
      </c>
      <c r="EBB22" s="1902">
        <f t="shared" si="57"/>
        <v>0</v>
      </c>
      <c r="EBC22" s="1902">
        <f t="shared" si="57"/>
        <v>0</v>
      </c>
      <c r="EBD22" s="1902">
        <f t="shared" si="57"/>
        <v>0</v>
      </c>
      <c r="EBE22" s="1902">
        <f t="shared" si="57"/>
        <v>0</v>
      </c>
      <c r="EBF22" s="1902">
        <f t="shared" si="57"/>
        <v>0</v>
      </c>
      <c r="EBG22" s="1902">
        <f t="shared" si="57"/>
        <v>0</v>
      </c>
      <c r="EBH22" s="1902">
        <f t="shared" si="57"/>
        <v>0</v>
      </c>
      <c r="EBI22" s="1902">
        <f t="shared" si="57"/>
        <v>0</v>
      </c>
      <c r="EBJ22" s="1902">
        <f t="shared" si="57"/>
        <v>0</v>
      </c>
      <c r="EBK22" s="1902">
        <f t="shared" si="57"/>
        <v>0</v>
      </c>
      <c r="EBL22" s="1902">
        <f t="shared" si="57"/>
        <v>0</v>
      </c>
      <c r="EBM22" s="1902">
        <f t="shared" si="57"/>
        <v>0</v>
      </c>
      <c r="EBN22" s="1902">
        <f t="shared" si="57"/>
        <v>0</v>
      </c>
      <c r="EBO22" s="1902">
        <f t="shared" si="57"/>
        <v>0</v>
      </c>
      <c r="EBP22" s="1902">
        <f t="shared" si="57"/>
        <v>0</v>
      </c>
      <c r="EBQ22" s="1902">
        <f t="shared" si="57"/>
        <v>0</v>
      </c>
      <c r="EBR22" s="1902">
        <f t="shared" si="57"/>
        <v>0</v>
      </c>
      <c r="EBS22" s="1902">
        <f t="shared" si="57"/>
        <v>0</v>
      </c>
      <c r="EBT22" s="1902">
        <f t="shared" si="57"/>
        <v>0</v>
      </c>
      <c r="EBU22" s="1902">
        <f t="shared" si="57"/>
        <v>0</v>
      </c>
      <c r="EBV22" s="1902">
        <f t="shared" si="57"/>
        <v>0</v>
      </c>
      <c r="EBW22" s="1902">
        <f t="shared" si="57"/>
        <v>0</v>
      </c>
      <c r="EBX22" s="1902">
        <f t="shared" si="57"/>
        <v>0</v>
      </c>
      <c r="EBY22" s="1902">
        <f t="shared" si="57"/>
        <v>0</v>
      </c>
      <c r="EBZ22" s="1902">
        <f t="shared" si="57"/>
        <v>0</v>
      </c>
      <c r="ECA22" s="1902">
        <f t="shared" si="57"/>
        <v>0</v>
      </c>
      <c r="ECB22" s="1902">
        <f t="shared" si="57"/>
        <v>0</v>
      </c>
      <c r="ECC22" s="1902">
        <f t="shared" si="57"/>
        <v>0</v>
      </c>
      <c r="ECD22" s="1902">
        <f t="shared" si="57"/>
        <v>0</v>
      </c>
      <c r="ECE22" s="1902">
        <f t="shared" si="57"/>
        <v>0</v>
      </c>
      <c r="ECF22" s="1902">
        <f t="shared" si="57"/>
        <v>0</v>
      </c>
      <c r="ECG22" s="1902">
        <f t="shared" si="57"/>
        <v>0</v>
      </c>
      <c r="ECH22" s="1902">
        <f t="shared" si="57"/>
        <v>0</v>
      </c>
      <c r="ECI22" s="1902">
        <f t="shared" ref="ECI22:EET22" si="58">IF(AND(ECI$26="End of period",ECI$25="Revenue"),ECI9,0)</f>
        <v>0</v>
      </c>
      <c r="ECJ22" s="1902">
        <f t="shared" si="58"/>
        <v>0</v>
      </c>
      <c r="ECK22" s="1902">
        <f t="shared" si="58"/>
        <v>0</v>
      </c>
      <c r="ECL22" s="1902">
        <f t="shared" si="58"/>
        <v>0</v>
      </c>
      <c r="ECM22" s="1902">
        <f t="shared" si="58"/>
        <v>0</v>
      </c>
      <c r="ECN22" s="1902">
        <f t="shared" si="58"/>
        <v>0</v>
      </c>
      <c r="ECO22" s="1902">
        <f t="shared" si="58"/>
        <v>0</v>
      </c>
      <c r="ECP22" s="1902">
        <f t="shared" si="58"/>
        <v>0</v>
      </c>
      <c r="ECQ22" s="1902">
        <f t="shared" si="58"/>
        <v>0</v>
      </c>
      <c r="ECR22" s="1902">
        <f t="shared" si="58"/>
        <v>0</v>
      </c>
      <c r="ECS22" s="1902">
        <f t="shared" si="58"/>
        <v>0</v>
      </c>
      <c r="ECT22" s="1902">
        <f t="shared" si="58"/>
        <v>0</v>
      </c>
      <c r="ECU22" s="1902">
        <f t="shared" si="58"/>
        <v>0</v>
      </c>
      <c r="ECV22" s="1902">
        <f t="shared" si="58"/>
        <v>0</v>
      </c>
      <c r="ECW22" s="1902">
        <f t="shared" si="58"/>
        <v>0</v>
      </c>
      <c r="ECX22" s="1902">
        <f t="shared" si="58"/>
        <v>0</v>
      </c>
      <c r="ECY22" s="1902">
        <f t="shared" si="58"/>
        <v>0</v>
      </c>
      <c r="ECZ22" s="1902">
        <f t="shared" si="58"/>
        <v>0</v>
      </c>
      <c r="EDA22" s="1902">
        <f t="shared" si="58"/>
        <v>0</v>
      </c>
      <c r="EDB22" s="1902">
        <f t="shared" si="58"/>
        <v>0</v>
      </c>
      <c r="EDC22" s="1902">
        <f t="shared" si="58"/>
        <v>0</v>
      </c>
      <c r="EDD22" s="1902">
        <f t="shared" si="58"/>
        <v>0</v>
      </c>
      <c r="EDE22" s="1902">
        <f t="shared" si="58"/>
        <v>0</v>
      </c>
      <c r="EDF22" s="1902">
        <f t="shared" si="58"/>
        <v>0</v>
      </c>
      <c r="EDG22" s="1902">
        <f t="shared" si="58"/>
        <v>0</v>
      </c>
      <c r="EDH22" s="1902">
        <f t="shared" si="58"/>
        <v>0</v>
      </c>
      <c r="EDI22" s="1902">
        <f t="shared" si="58"/>
        <v>0</v>
      </c>
      <c r="EDJ22" s="1902">
        <f t="shared" si="58"/>
        <v>0</v>
      </c>
      <c r="EDK22" s="1902">
        <f t="shared" si="58"/>
        <v>0</v>
      </c>
      <c r="EDL22" s="1902">
        <f t="shared" si="58"/>
        <v>0</v>
      </c>
      <c r="EDM22" s="1902">
        <f t="shared" si="58"/>
        <v>0</v>
      </c>
      <c r="EDN22" s="1902">
        <f t="shared" si="58"/>
        <v>0</v>
      </c>
      <c r="EDO22" s="1902">
        <f t="shared" si="58"/>
        <v>0</v>
      </c>
      <c r="EDP22" s="1902">
        <f t="shared" si="58"/>
        <v>0</v>
      </c>
      <c r="EDQ22" s="1902">
        <f t="shared" si="58"/>
        <v>0</v>
      </c>
      <c r="EDR22" s="1902">
        <f t="shared" si="58"/>
        <v>0</v>
      </c>
      <c r="EDS22" s="1902">
        <f t="shared" si="58"/>
        <v>0</v>
      </c>
      <c r="EDT22" s="1902">
        <f t="shared" si="58"/>
        <v>0</v>
      </c>
      <c r="EDU22" s="1902">
        <f t="shared" si="58"/>
        <v>0</v>
      </c>
      <c r="EDV22" s="1902">
        <f t="shared" si="58"/>
        <v>0</v>
      </c>
      <c r="EDW22" s="1902">
        <f t="shared" si="58"/>
        <v>0</v>
      </c>
      <c r="EDX22" s="1902">
        <f t="shared" si="58"/>
        <v>0</v>
      </c>
      <c r="EDY22" s="1902">
        <f t="shared" si="58"/>
        <v>0</v>
      </c>
      <c r="EDZ22" s="1902">
        <f t="shared" si="58"/>
        <v>0</v>
      </c>
      <c r="EEA22" s="1902">
        <f t="shared" si="58"/>
        <v>0</v>
      </c>
      <c r="EEB22" s="1902">
        <f t="shared" si="58"/>
        <v>0</v>
      </c>
      <c r="EEC22" s="1902">
        <f t="shared" si="58"/>
        <v>0</v>
      </c>
      <c r="EED22" s="1902">
        <f t="shared" si="58"/>
        <v>0</v>
      </c>
      <c r="EEE22" s="1902">
        <f t="shared" si="58"/>
        <v>0</v>
      </c>
      <c r="EEF22" s="1902">
        <f t="shared" si="58"/>
        <v>0</v>
      </c>
      <c r="EEG22" s="1902">
        <f t="shared" si="58"/>
        <v>0</v>
      </c>
      <c r="EEH22" s="1902">
        <f t="shared" si="58"/>
        <v>0</v>
      </c>
      <c r="EEI22" s="1902">
        <f t="shared" si="58"/>
        <v>0</v>
      </c>
      <c r="EEJ22" s="1902">
        <f t="shared" si="58"/>
        <v>0</v>
      </c>
      <c r="EEK22" s="1902">
        <f t="shared" si="58"/>
        <v>0</v>
      </c>
      <c r="EEL22" s="1902">
        <f t="shared" si="58"/>
        <v>0</v>
      </c>
      <c r="EEM22" s="1902">
        <f t="shared" si="58"/>
        <v>0</v>
      </c>
      <c r="EEN22" s="1902">
        <f t="shared" si="58"/>
        <v>0</v>
      </c>
      <c r="EEO22" s="1902">
        <f t="shared" si="58"/>
        <v>0</v>
      </c>
      <c r="EEP22" s="1902">
        <f t="shared" si="58"/>
        <v>0</v>
      </c>
      <c r="EEQ22" s="1902">
        <f t="shared" si="58"/>
        <v>0</v>
      </c>
      <c r="EER22" s="1902">
        <f t="shared" si="58"/>
        <v>0</v>
      </c>
      <c r="EES22" s="1902">
        <f t="shared" si="58"/>
        <v>0</v>
      </c>
      <c r="EET22" s="1902">
        <f t="shared" si="58"/>
        <v>0</v>
      </c>
      <c r="EEU22" s="1902">
        <f t="shared" ref="EEU22:EHF22" si="59">IF(AND(EEU$26="End of period",EEU$25="Revenue"),EEU9,0)</f>
        <v>0</v>
      </c>
      <c r="EEV22" s="1902">
        <f t="shared" si="59"/>
        <v>0</v>
      </c>
      <c r="EEW22" s="1902">
        <f t="shared" si="59"/>
        <v>0</v>
      </c>
      <c r="EEX22" s="1902">
        <f t="shared" si="59"/>
        <v>0</v>
      </c>
      <c r="EEY22" s="1902">
        <f t="shared" si="59"/>
        <v>0</v>
      </c>
      <c r="EEZ22" s="1902">
        <f t="shared" si="59"/>
        <v>0</v>
      </c>
      <c r="EFA22" s="1902">
        <f t="shared" si="59"/>
        <v>0</v>
      </c>
      <c r="EFB22" s="1902">
        <f t="shared" si="59"/>
        <v>0</v>
      </c>
      <c r="EFC22" s="1902">
        <f t="shared" si="59"/>
        <v>0</v>
      </c>
      <c r="EFD22" s="1902">
        <f t="shared" si="59"/>
        <v>0</v>
      </c>
      <c r="EFE22" s="1902">
        <f t="shared" si="59"/>
        <v>0</v>
      </c>
      <c r="EFF22" s="1902">
        <f t="shared" si="59"/>
        <v>0</v>
      </c>
      <c r="EFG22" s="1902">
        <f t="shared" si="59"/>
        <v>0</v>
      </c>
      <c r="EFH22" s="1902">
        <f t="shared" si="59"/>
        <v>0</v>
      </c>
      <c r="EFI22" s="1902">
        <f t="shared" si="59"/>
        <v>0</v>
      </c>
      <c r="EFJ22" s="1902">
        <f t="shared" si="59"/>
        <v>0</v>
      </c>
      <c r="EFK22" s="1902">
        <f t="shared" si="59"/>
        <v>0</v>
      </c>
      <c r="EFL22" s="1902">
        <f t="shared" si="59"/>
        <v>0</v>
      </c>
      <c r="EFM22" s="1902">
        <f t="shared" si="59"/>
        <v>0</v>
      </c>
      <c r="EFN22" s="1902">
        <f t="shared" si="59"/>
        <v>0</v>
      </c>
      <c r="EFO22" s="1902">
        <f t="shared" si="59"/>
        <v>0</v>
      </c>
      <c r="EFP22" s="1902">
        <f t="shared" si="59"/>
        <v>0</v>
      </c>
      <c r="EFQ22" s="1902">
        <f t="shared" si="59"/>
        <v>0</v>
      </c>
      <c r="EFR22" s="1902">
        <f t="shared" si="59"/>
        <v>0</v>
      </c>
      <c r="EFS22" s="1902">
        <f t="shared" si="59"/>
        <v>0</v>
      </c>
      <c r="EFT22" s="1902">
        <f t="shared" si="59"/>
        <v>0</v>
      </c>
      <c r="EFU22" s="1902">
        <f t="shared" si="59"/>
        <v>0</v>
      </c>
      <c r="EFV22" s="1902">
        <f t="shared" si="59"/>
        <v>0</v>
      </c>
      <c r="EFW22" s="1902">
        <f t="shared" si="59"/>
        <v>0</v>
      </c>
      <c r="EFX22" s="1902">
        <f t="shared" si="59"/>
        <v>0</v>
      </c>
      <c r="EFY22" s="1902">
        <f t="shared" si="59"/>
        <v>0</v>
      </c>
      <c r="EFZ22" s="1902">
        <f t="shared" si="59"/>
        <v>0</v>
      </c>
      <c r="EGA22" s="1902">
        <f t="shared" si="59"/>
        <v>0</v>
      </c>
      <c r="EGB22" s="1902">
        <f t="shared" si="59"/>
        <v>0</v>
      </c>
      <c r="EGC22" s="1902">
        <f t="shared" si="59"/>
        <v>0</v>
      </c>
      <c r="EGD22" s="1902">
        <f t="shared" si="59"/>
        <v>0</v>
      </c>
      <c r="EGE22" s="1902">
        <f t="shared" si="59"/>
        <v>0</v>
      </c>
      <c r="EGF22" s="1902">
        <f t="shared" si="59"/>
        <v>0</v>
      </c>
      <c r="EGG22" s="1902">
        <f t="shared" si="59"/>
        <v>0</v>
      </c>
      <c r="EGH22" s="1902">
        <f t="shared" si="59"/>
        <v>0</v>
      </c>
      <c r="EGI22" s="1902">
        <f t="shared" si="59"/>
        <v>0</v>
      </c>
      <c r="EGJ22" s="1902">
        <f t="shared" si="59"/>
        <v>0</v>
      </c>
      <c r="EGK22" s="1902">
        <f t="shared" si="59"/>
        <v>0</v>
      </c>
      <c r="EGL22" s="1902">
        <f t="shared" si="59"/>
        <v>0</v>
      </c>
      <c r="EGM22" s="1902">
        <f t="shared" si="59"/>
        <v>0</v>
      </c>
      <c r="EGN22" s="1902">
        <f t="shared" si="59"/>
        <v>0</v>
      </c>
      <c r="EGO22" s="1902">
        <f t="shared" si="59"/>
        <v>0</v>
      </c>
      <c r="EGP22" s="1902">
        <f t="shared" si="59"/>
        <v>0</v>
      </c>
      <c r="EGQ22" s="1902">
        <f t="shared" si="59"/>
        <v>0</v>
      </c>
      <c r="EGR22" s="1902">
        <f t="shared" si="59"/>
        <v>0</v>
      </c>
      <c r="EGS22" s="1902">
        <f t="shared" si="59"/>
        <v>0</v>
      </c>
      <c r="EGT22" s="1902">
        <f t="shared" si="59"/>
        <v>0</v>
      </c>
      <c r="EGU22" s="1902">
        <f t="shared" si="59"/>
        <v>0</v>
      </c>
      <c r="EGV22" s="1902">
        <f t="shared" si="59"/>
        <v>0</v>
      </c>
      <c r="EGW22" s="1902">
        <f t="shared" si="59"/>
        <v>0</v>
      </c>
      <c r="EGX22" s="1902">
        <f t="shared" si="59"/>
        <v>0</v>
      </c>
      <c r="EGY22" s="1902">
        <f t="shared" si="59"/>
        <v>0</v>
      </c>
      <c r="EGZ22" s="1902">
        <f t="shared" si="59"/>
        <v>0</v>
      </c>
      <c r="EHA22" s="1902">
        <f t="shared" si="59"/>
        <v>0</v>
      </c>
      <c r="EHB22" s="1902">
        <f t="shared" si="59"/>
        <v>0</v>
      </c>
      <c r="EHC22" s="1902">
        <f t="shared" si="59"/>
        <v>0</v>
      </c>
      <c r="EHD22" s="1902">
        <f t="shared" si="59"/>
        <v>0</v>
      </c>
      <c r="EHE22" s="1902">
        <f t="shared" si="59"/>
        <v>0</v>
      </c>
      <c r="EHF22" s="1902">
        <f t="shared" si="59"/>
        <v>0</v>
      </c>
      <c r="EHG22" s="1902">
        <f t="shared" ref="EHG22:EJR22" si="60">IF(AND(EHG$26="End of period",EHG$25="Revenue"),EHG9,0)</f>
        <v>0</v>
      </c>
      <c r="EHH22" s="1902">
        <f t="shared" si="60"/>
        <v>0</v>
      </c>
      <c r="EHI22" s="1902">
        <f t="shared" si="60"/>
        <v>0</v>
      </c>
      <c r="EHJ22" s="1902">
        <f t="shared" si="60"/>
        <v>0</v>
      </c>
      <c r="EHK22" s="1902">
        <f t="shared" si="60"/>
        <v>0</v>
      </c>
      <c r="EHL22" s="1902">
        <f t="shared" si="60"/>
        <v>0</v>
      </c>
      <c r="EHM22" s="1902">
        <f t="shared" si="60"/>
        <v>0</v>
      </c>
      <c r="EHN22" s="1902">
        <f t="shared" si="60"/>
        <v>0</v>
      </c>
      <c r="EHO22" s="1902">
        <f t="shared" si="60"/>
        <v>0</v>
      </c>
      <c r="EHP22" s="1902">
        <f t="shared" si="60"/>
        <v>0</v>
      </c>
      <c r="EHQ22" s="1902">
        <f t="shared" si="60"/>
        <v>0</v>
      </c>
      <c r="EHR22" s="1902">
        <f t="shared" si="60"/>
        <v>0</v>
      </c>
      <c r="EHS22" s="1902">
        <f t="shared" si="60"/>
        <v>0</v>
      </c>
      <c r="EHT22" s="1902">
        <f t="shared" si="60"/>
        <v>0</v>
      </c>
      <c r="EHU22" s="1902">
        <f t="shared" si="60"/>
        <v>0</v>
      </c>
      <c r="EHV22" s="1902">
        <f t="shared" si="60"/>
        <v>0</v>
      </c>
      <c r="EHW22" s="1902">
        <f t="shared" si="60"/>
        <v>0</v>
      </c>
      <c r="EHX22" s="1902">
        <f t="shared" si="60"/>
        <v>0</v>
      </c>
      <c r="EHY22" s="1902">
        <f t="shared" si="60"/>
        <v>0</v>
      </c>
      <c r="EHZ22" s="1902">
        <f t="shared" si="60"/>
        <v>0</v>
      </c>
      <c r="EIA22" s="1902">
        <f t="shared" si="60"/>
        <v>0</v>
      </c>
      <c r="EIB22" s="1902">
        <f t="shared" si="60"/>
        <v>0</v>
      </c>
      <c r="EIC22" s="1902">
        <f t="shared" si="60"/>
        <v>0</v>
      </c>
      <c r="EID22" s="1902">
        <f t="shared" si="60"/>
        <v>0</v>
      </c>
      <c r="EIE22" s="1902">
        <f t="shared" si="60"/>
        <v>0</v>
      </c>
      <c r="EIF22" s="1902">
        <f t="shared" si="60"/>
        <v>0</v>
      </c>
      <c r="EIG22" s="1902">
        <f t="shared" si="60"/>
        <v>0</v>
      </c>
      <c r="EIH22" s="1902">
        <f t="shared" si="60"/>
        <v>0</v>
      </c>
      <c r="EII22" s="1902">
        <f t="shared" si="60"/>
        <v>0</v>
      </c>
      <c r="EIJ22" s="1902">
        <f t="shared" si="60"/>
        <v>0</v>
      </c>
      <c r="EIK22" s="1902">
        <f t="shared" si="60"/>
        <v>0</v>
      </c>
      <c r="EIL22" s="1902">
        <f t="shared" si="60"/>
        <v>0</v>
      </c>
      <c r="EIM22" s="1902">
        <f t="shared" si="60"/>
        <v>0</v>
      </c>
      <c r="EIN22" s="1902">
        <f t="shared" si="60"/>
        <v>0</v>
      </c>
      <c r="EIO22" s="1902">
        <f t="shared" si="60"/>
        <v>0</v>
      </c>
      <c r="EIP22" s="1902">
        <f t="shared" si="60"/>
        <v>0</v>
      </c>
      <c r="EIQ22" s="1902">
        <f t="shared" si="60"/>
        <v>0</v>
      </c>
      <c r="EIR22" s="1902">
        <f t="shared" si="60"/>
        <v>0</v>
      </c>
      <c r="EIS22" s="1902">
        <f t="shared" si="60"/>
        <v>0</v>
      </c>
      <c r="EIT22" s="1902">
        <f t="shared" si="60"/>
        <v>0</v>
      </c>
      <c r="EIU22" s="1902">
        <f t="shared" si="60"/>
        <v>0</v>
      </c>
      <c r="EIV22" s="1902">
        <f t="shared" si="60"/>
        <v>0</v>
      </c>
      <c r="EIW22" s="1902">
        <f t="shared" si="60"/>
        <v>0</v>
      </c>
      <c r="EIX22" s="1902">
        <f t="shared" si="60"/>
        <v>0</v>
      </c>
      <c r="EIY22" s="1902">
        <f t="shared" si="60"/>
        <v>0</v>
      </c>
      <c r="EIZ22" s="1902">
        <f t="shared" si="60"/>
        <v>0</v>
      </c>
      <c r="EJA22" s="1902">
        <f t="shared" si="60"/>
        <v>0</v>
      </c>
      <c r="EJB22" s="1902">
        <f t="shared" si="60"/>
        <v>0</v>
      </c>
      <c r="EJC22" s="1902">
        <f t="shared" si="60"/>
        <v>0</v>
      </c>
      <c r="EJD22" s="1902">
        <f t="shared" si="60"/>
        <v>0</v>
      </c>
      <c r="EJE22" s="1902">
        <f t="shared" si="60"/>
        <v>0</v>
      </c>
      <c r="EJF22" s="1902">
        <f t="shared" si="60"/>
        <v>0</v>
      </c>
      <c r="EJG22" s="1902">
        <f t="shared" si="60"/>
        <v>0</v>
      </c>
      <c r="EJH22" s="1902">
        <f t="shared" si="60"/>
        <v>0</v>
      </c>
      <c r="EJI22" s="1902">
        <f t="shared" si="60"/>
        <v>0</v>
      </c>
      <c r="EJJ22" s="1902">
        <f t="shared" si="60"/>
        <v>0</v>
      </c>
      <c r="EJK22" s="1902">
        <f t="shared" si="60"/>
        <v>0</v>
      </c>
      <c r="EJL22" s="1902">
        <f t="shared" si="60"/>
        <v>0</v>
      </c>
      <c r="EJM22" s="1902">
        <f t="shared" si="60"/>
        <v>0</v>
      </c>
      <c r="EJN22" s="1902">
        <f t="shared" si="60"/>
        <v>0</v>
      </c>
      <c r="EJO22" s="1902">
        <f t="shared" si="60"/>
        <v>0</v>
      </c>
      <c r="EJP22" s="1902">
        <f t="shared" si="60"/>
        <v>0</v>
      </c>
      <c r="EJQ22" s="1902">
        <f t="shared" si="60"/>
        <v>0</v>
      </c>
      <c r="EJR22" s="1902">
        <f t="shared" si="60"/>
        <v>0</v>
      </c>
      <c r="EJS22" s="1902">
        <f t="shared" ref="EJS22:EMD22" si="61">IF(AND(EJS$26="End of period",EJS$25="Revenue"),EJS9,0)</f>
        <v>0</v>
      </c>
      <c r="EJT22" s="1902">
        <f t="shared" si="61"/>
        <v>0</v>
      </c>
      <c r="EJU22" s="1902">
        <f t="shared" si="61"/>
        <v>0</v>
      </c>
      <c r="EJV22" s="1902">
        <f t="shared" si="61"/>
        <v>0</v>
      </c>
      <c r="EJW22" s="1902">
        <f t="shared" si="61"/>
        <v>0</v>
      </c>
      <c r="EJX22" s="1902">
        <f t="shared" si="61"/>
        <v>0</v>
      </c>
      <c r="EJY22" s="1902">
        <f t="shared" si="61"/>
        <v>0</v>
      </c>
      <c r="EJZ22" s="1902">
        <f t="shared" si="61"/>
        <v>0</v>
      </c>
      <c r="EKA22" s="1902">
        <f t="shared" si="61"/>
        <v>0</v>
      </c>
      <c r="EKB22" s="1902">
        <f t="shared" si="61"/>
        <v>0</v>
      </c>
      <c r="EKC22" s="1902">
        <f t="shared" si="61"/>
        <v>0</v>
      </c>
      <c r="EKD22" s="1902">
        <f t="shared" si="61"/>
        <v>0</v>
      </c>
      <c r="EKE22" s="1902">
        <f t="shared" si="61"/>
        <v>0</v>
      </c>
      <c r="EKF22" s="1902">
        <f t="shared" si="61"/>
        <v>0</v>
      </c>
      <c r="EKG22" s="1902">
        <f t="shared" si="61"/>
        <v>0</v>
      </c>
      <c r="EKH22" s="1902">
        <f t="shared" si="61"/>
        <v>0</v>
      </c>
      <c r="EKI22" s="1902">
        <f t="shared" si="61"/>
        <v>0</v>
      </c>
      <c r="EKJ22" s="1902">
        <f t="shared" si="61"/>
        <v>0</v>
      </c>
      <c r="EKK22" s="1902">
        <f t="shared" si="61"/>
        <v>0</v>
      </c>
      <c r="EKL22" s="1902">
        <f t="shared" si="61"/>
        <v>0</v>
      </c>
      <c r="EKM22" s="1902">
        <f t="shared" si="61"/>
        <v>0</v>
      </c>
      <c r="EKN22" s="1902">
        <f t="shared" si="61"/>
        <v>0</v>
      </c>
      <c r="EKO22" s="1902">
        <f t="shared" si="61"/>
        <v>0</v>
      </c>
      <c r="EKP22" s="1902">
        <f t="shared" si="61"/>
        <v>0</v>
      </c>
      <c r="EKQ22" s="1902">
        <f t="shared" si="61"/>
        <v>0</v>
      </c>
      <c r="EKR22" s="1902">
        <f t="shared" si="61"/>
        <v>0</v>
      </c>
      <c r="EKS22" s="1902">
        <f t="shared" si="61"/>
        <v>0</v>
      </c>
      <c r="EKT22" s="1902">
        <f t="shared" si="61"/>
        <v>0</v>
      </c>
      <c r="EKU22" s="1902">
        <f t="shared" si="61"/>
        <v>0</v>
      </c>
      <c r="EKV22" s="1902">
        <f t="shared" si="61"/>
        <v>0</v>
      </c>
      <c r="EKW22" s="1902">
        <f t="shared" si="61"/>
        <v>0</v>
      </c>
      <c r="EKX22" s="1902">
        <f t="shared" si="61"/>
        <v>0</v>
      </c>
      <c r="EKY22" s="1902">
        <f t="shared" si="61"/>
        <v>0</v>
      </c>
      <c r="EKZ22" s="1902">
        <f t="shared" si="61"/>
        <v>0</v>
      </c>
      <c r="ELA22" s="1902">
        <f t="shared" si="61"/>
        <v>0</v>
      </c>
      <c r="ELB22" s="1902">
        <f t="shared" si="61"/>
        <v>0</v>
      </c>
      <c r="ELC22" s="1902">
        <f t="shared" si="61"/>
        <v>0</v>
      </c>
      <c r="ELD22" s="1902">
        <f t="shared" si="61"/>
        <v>0</v>
      </c>
      <c r="ELE22" s="1902">
        <f t="shared" si="61"/>
        <v>0</v>
      </c>
      <c r="ELF22" s="1902">
        <f t="shared" si="61"/>
        <v>0</v>
      </c>
      <c r="ELG22" s="1902">
        <f t="shared" si="61"/>
        <v>0</v>
      </c>
      <c r="ELH22" s="1902">
        <f t="shared" si="61"/>
        <v>0</v>
      </c>
      <c r="ELI22" s="1902">
        <f t="shared" si="61"/>
        <v>0</v>
      </c>
      <c r="ELJ22" s="1902">
        <f t="shared" si="61"/>
        <v>0</v>
      </c>
      <c r="ELK22" s="1902">
        <f t="shared" si="61"/>
        <v>0</v>
      </c>
      <c r="ELL22" s="1902">
        <f t="shared" si="61"/>
        <v>0</v>
      </c>
      <c r="ELM22" s="1902">
        <f t="shared" si="61"/>
        <v>0</v>
      </c>
      <c r="ELN22" s="1902">
        <f t="shared" si="61"/>
        <v>0</v>
      </c>
      <c r="ELO22" s="1902">
        <f t="shared" si="61"/>
        <v>0</v>
      </c>
      <c r="ELP22" s="1902">
        <f t="shared" si="61"/>
        <v>0</v>
      </c>
      <c r="ELQ22" s="1902">
        <f t="shared" si="61"/>
        <v>0</v>
      </c>
      <c r="ELR22" s="1902">
        <f t="shared" si="61"/>
        <v>0</v>
      </c>
      <c r="ELS22" s="1902">
        <f t="shared" si="61"/>
        <v>0</v>
      </c>
      <c r="ELT22" s="1902">
        <f t="shared" si="61"/>
        <v>0</v>
      </c>
      <c r="ELU22" s="1902">
        <f t="shared" si="61"/>
        <v>0</v>
      </c>
      <c r="ELV22" s="1902">
        <f t="shared" si="61"/>
        <v>0</v>
      </c>
      <c r="ELW22" s="1902">
        <f t="shared" si="61"/>
        <v>0</v>
      </c>
      <c r="ELX22" s="1902">
        <f t="shared" si="61"/>
        <v>0</v>
      </c>
      <c r="ELY22" s="1902">
        <f t="shared" si="61"/>
        <v>0</v>
      </c>
      <c r="ELZ22" s="1902">
        <f t="shared" si="61"/>
        <v>0</v>
      </c>
      <c r="EMA22" s="1902">
        <f t="shared" si="61"/>
        <v>0</v>
      </c>
      <c r="EMB22" s="1902">
        <f t="shared" si="61"/>
        <v>0</v>
      </c>
      <c r="EMC22" s="1902">
        <f t="shared" si="61"/>
        <v>0</v>
      </c>
      <c r="EMD22" s="1902">
        <f t="shared" si="61"/>
        <v>0</v>
      </c>
      <c r="EME22" s="1902">
        <f t="shared" ref="EME22:EOP22" si="62">IF(AND(EME$26="End of period",EME$25="Revenue"),EME9,0)</f>
        <v>0</v>
      </c>
      <c r="EMF22" s="1902">
        <f t="shared" si="62"/>
        <v>0</v>
      </c>
      <c r="EMG22" s="1902">
        <f t="shared" si="62"/>
        <v>0</v>
      </c>
      <c r="EMH22" s="1902">
        <f t="shared" si="62"/>
        <v>0</v>
      </c>
      <c r="EMI22" s="1902">
        <f t="shared" si="62"/>
        <v>0</v>
      </c>
      <c r="EMJ22" s="1902">
        <f t="shared" si="62"/>
        <v>0</v>
      </c>
      <c r="EMK22" s="1902">
        <f t="shared" si="62"/>
        <v>0</v>
      </c>
      <c r="EML22" s="1902">
        <f t="shared" si="62"/>
        <v>0</v>
      </c>
      <c r="EMM22" s="1902">
        <f t="shared" si="62"/>
        <v>0</v>
      </c>
      <c r="EMN22" s="1902">
        <f t="shared" si="62"/>
        <v>0</v>
      </c>
      <c r="EMO22" s="1902">
        <f t="shared" si="62"/>
        <v>0</v>
      </c>
      <c r="EMP22" s="1902">
        <f t="shared" si="62"/>
        <v>0</v>
      </c>
      <c r="EMQ22" s="1902">
        <f t="shared" si="62"/>
        <v>0</v>
      </c>
      <c r="EMR22" s="1902">
        <f t="shared" si="62"/>
        <v>0</v>
      </c>
      <c r="EMS22" s="1902">
        <f t="shared" si="62"/>
        <v>0</v>
      </c>
      <c r="EMT22" s="1902">
        <f t="shared" si="62"/>
        <v>0</v>
      </c>
      <c r="EMU22" s="1902">
        <f t="shared" si="62"/>
        <v>0</v>
      </c>
      <c r="EMV22" s="1902">
        <f t="shared" si="62"/>
        <v>0</v>
      </c>
      <c r="EMW22" s="1902">
        <f t="shared" si="62"/>
        <v>0</v>
      </c>
      <c r="EMX22" s="1902">
        <f t="shared" si="62"/>
        <v>0</v>
      </c>
      <c r="EMY22" s="1902">
        <f t="shared" si="62"/>
        <v>0</v>
      </c>
      <c r="EMZ22" s="1902">
        <f t="shared" si="62"/>
        <v>0</v>
      </c>
      <c r="ENA22" s="1902">
        <f t="shared" si="62"/>
        <v>0</v>
      </c>
      <c r="ENB22" s="1902">
        <f t="shared" si="62"/>
        <v>0</v>
      </c>
      <c r="ENC22" s="1902">
        <f t="shared" si="62"/>
        <v>0</v>
      </c>
      <c r="END22" s="1902">
        <f t="shared" si="62"/>
        <v>0</v>
      </c>
      <c r="ENE22" s="1902">
        <f t="shared" si="62"/>
        <v>0</v>
      </c>
      <c r="ENF22" s="1902">
        <f t="shared" si="62"/>
        <v>0</v>
      </c>
      <c r="ENG22" s="1902">
        <f t="shared" si="62"/>
        <v>0</v>
      </c>
      <c r="ENH22" s="1902">
        <f t="shared" si="62"/>
        <v>0</v>
      </c>
      <c r="ENI22" s="1902">
        <f t="shared" si="62"/>
        <v>0</v>
      </c>
      <c r="ENJ22" s="1902">
        <f t="shared" si="62"/>
        <v>0</v>
      </c>
      <c r="ENK22" s="1902">
        <f t="shared" si="62"/>
        <v>0</v>
      </c>
      <c r="ENL22" s="1902">
        <f t="shared" si="62"/>
        <v>0</v>
      </c>
      <c r="ENM22" s="1902">
        <f t="shared" si="62"/>
        <v>0</v>
      </c>
      <c r="ENN22" s="1902">
        <f t="shared" si="62"/>
        <v>0</v>
      </c>
      <c r="ENO22" s="1902">
        <f t="shared" si="62"/>
        <v>0</v>
      </c>
      <c r="ENP22" s="1902">
        <f t="shared" si="62"/>
        <v>0</v>
      </c>
      <c r="ENQ22" s="1902">
        <f t="shared" si="62"/>
        <v>0</v>
      </c>
      <c r="ENR22" s="1902">
        <f t="shared" si="62"/>
        <v>0</v>
      </c>
      <c r="ENS22" s="1902">
        <f t="shared" si="62"/>
        <v>0</v>
      </c>
      <c r="ENT22" s="1902">
        <f t="shared" si="62"/>
        <v>0</v>
      </c>
      <c r="ENU22" s="1902">
        <f t="shared" si="62"/>
        <v>0</v>
      </c>
      <c r="ENV22" s="1902">
        <f t="shared" si="62"/>
        <v>0</v>
      </c>
      <c r="ENW22" s="1902">
        <f t="shared" si="62"/>
        <v>0</v>
      </c>
      <c r="ENX22" s="1902">
        <f t="shared" si="62"/>
        <v>0</v>
      </c>
      <c r="ENY22" s="1902">
        <f t="shared" si="62"/>
        <v>0</v>
      </c>
      <c r="ENZ22" s="1902">
        <f t="shared" si="62"/>
        <v>0</v>
      </c>
      <c r="EOA22" s="1902">
        <f t="shared" si="62"/>
        <v>0</v>
      </c>
      <c r="EOB22" s="1902">
        <f t="shared" si="62"/>
        <v>0</v>
      </c>
      <c r="EOC22" s="1902">
        <f t="shared" si="62"/>
        <v>0</v>
      </c>
      <c r="EOD22" s="1902">
        <f t="shared" si="62"/>
        <v>0</v>
      </c>
      <c r="EOE22" s="1902">
        <f t="shared" si="62"/>
        <v>0</v>
      </c>
      <c r="EOF22" s="1902">
        <f t="shared" si="62"/>
        <v>0</v>
      </c>
      <c r="EOG22" s="1902">
        <f t="shared" si="62"/>
        <v>0</v>
      </c>
      <c r="EOH22" s="1902">
        <f t="shared" si="62"/>
        <v>0</v>
      </c>
      <c r="EOI22" s="1902">
        <f t="shared" si="62"/>
        <v>0</v>
      </c>
      <c r="EOJ22" s="1902">
        <f t="shared" si="62"/>
        <v>0</v>
      </c>
      <c r="EOK22" s="1902">
        <f t="shared" si="62"/>
        <v>0</v>
      </c>
      <c r="EOL22" s="1902">
        <f t="shared" si="62"/>
        <v>0</v>
      </c>
      <c r="EOM22" s="1902">
        <f t="shared" si="62"/>
        <v>0</v>
      </c>
      <c r="EON22" s="1902">
        <f t="shared" si="62"/>
        <v>0</v>
      </c>
      <c r="EOO22" s="1902">
        <f t="shared" si="62"/>
        <v>0</v>
      </c>
      <c r="EOP22" s="1902">
        <f t="shared" si="62"/>
        <v>0</v>
      </c>
      <c r="EOQ22" s="1902">
        <f t="shared" ref="EOQ22:ERB22" si="63">IF(AND(EOQ$26="End of period",EOQ$25="Revenue"),EOQ9,0)</f>
        <v>0</v>
      </c>
      <c r="EOR22" s="1902">
        <f t="shared" si="63"/>
        <v>0</v>
      </c>
      <c r="EOS22" s="1902">
        <f t="shared" si="63"/>
        <v>0</v>
      </c>
      <c r="EOT22" s="1902">
        <f t="shared" si="63"/>
        <v>0</v>
      </c>
      <c r="EOU22" s="1902">
        <f t="shared" si="63"/>
        <v>0</v>
      </c>
      <c r="EOV22" s="1902">
        <f t="shared" si="63"/>
        <v>0</v>
      </c>
      <c r="EOW22" s="1902">
        <f t="shared" si="63"/>
        <v>0</v>
      </c>
      <c r="EOX22" s="1902">
        <f t="shared" si="63"/>
        <v>0</v>
      </c>
      <c r="EOY22" s="1902">
        <f t="shared" si="63"/>
        <v>0</v>
      </c>
      <c r="EOZ22" s="1902">
        <f t="shared" si="63"/>
        <v>0</v>
      </c>
      <c r="EPA22" s="1902">
        <f t="shared" si="63"/>
        <v>0</v>
      </c>
      <c r="EPB22" s="1902">
        <f t="shared" si="63"/>
        <v>0</v>
      </c>
      <c r="EPC22" s="1902">
        <f t="shared" si="63"/>
        <v>0</v>
      </c>
      <c r="EPD22" s="1902">
        <f t="shared" si="63"/>
        <v>0</v>
      </c>
      <c r="EPE22" s="1902">
        <f t="shared" si="63"/>
        <v>0</v>
      </c>
      <c r="EPF22" s="1902">
        <f t="shared" si="63"/>
        <v>0</v>
      </c>
      <c r="EPG22" s="1902">
        <f t="shared" si="63"/>
        <v>0</v>
      </c>
      <c r="EPH22" s="1902">
        <f t="shared" si="63"/>
        <v>0</v>
      </c>
      <c r="EPI22" s="1902">
        <f t="shared" si="63"/>
        <v>0</v>
      </c>
      <c r="EPJ22" s="1902">
        <f t="shared" si="63"/>
        <v>0</v>
      </c>
      <c r="EPK22" s="1902">
        <f t="shared" si="63"/>
        <v>0</v>
      </c>
      <c r="EPL22" s="1902">
        <f t="shared" si="63"/>
        <v>0</v>
      </c>
      <c r="EPM22" s="1902">
        <f t="shared" si="63"/>
        <v>0</v>
      </c>
      <c r="EPN22" s="1902">
        <f t="shared" si="63"/>
        <v>0</v>
      </c>
      <c r="EPO22" s="1902">
        <f t="shared" si="63"/>
        <v>0</v>
      </c>
      <c r="EPP22" s="1902">
        <f t="shared" si="63"/>
        <v>0</v>
      </c>
      <c r="EPQ22" s="1902">
        <f t="shared" si="63"/>
        <v>0</v>
      </c>
      <c r="EPR22" s="1902">
        <f t="shared" si="63"/>
        <v>0</v>
      </c>
      <c r="EPS22" s="1902">
        <f t="shared" si="63"/>
        <v>0</v>
      </c>
      <c r="EPT22" s="1902">
        <f t="shared" si="63"/>
        <v>0</v>
      </c>
      <c r="EPU22" s="1902">
        <f t="shared" si="63"/>
        <v>0</v>
      </c>
      <c r="EPV22" s="1902">
        <f t="shared" si="63"/>
        <v>0</v>
      </c>
      <c r="EPW22" s="1902">
        <f t="shared" si="63"/>
        <v>0</v>
      </c>
      <c r="EPX22" s="1902">
        <f t="shared" si="63"/>
        <v>0</v>
      </c>
      <c r="EPY22" s="1902">
        <f t="shared" si="63"/>
        <v>0</v>
      </c>
      <c r="EPZ22" s="1902">
        <f t="shared" si="63"/>
        <v>0</v>
      </c>
      <c r="EQA22" s="1902">
        <f t="shared" si="63"/>
        <v>0</v>
      </c>
      <c r="EQB22" s="1902">
        <f t="shared" si="63"/>
        <v>0</v>
      </c>
      <c r="EQC22" s="1902">
        <f t="shared" si="63"/>
        <v>0</v>
      </c>
      <c r="EQD22" s="1902">
        <f t="shared" si="63"/>
        <v>0</v>
      </c>
      <c r="EQE22" s="1902">
        <f t="shared" si="63"/>
        <v>0</v>
      </c>
      <c r="EQF22" s="1902">
        <f t="shared" si="63"/>
        <v>0</v>
      </c>
      <c r="EQG22" s="1902">
        <f t="shared" si="63"/>
        <v>0</v>
      </c>
      <c r="EQH22" s="1902">
        <f t="shared" si="63"/>
        <v>0</v>
      </c>
      <c r="EQI22" s="1902">
        <f t="shared" si="63"/>
        <v>0</v>
      </c>
      <c r="EQJ22" s="1902">
        <f t="shared" si="63"/>
        <v>0</v>
      </c>
      <c r="EQK22" s="1902">
        <f t="shared" si="63"/>
        <v>0</v>
      </c>
      <c r="EQL22" s="1902">
        <f t="shared" si="63"/>
        <v>0</v>
      </c>
      <c r="EQM22" s="1902">
        <f t="shared" si="63"/>
        <v>0</v>
      </c>
      <c r="EQN22" s="1902">
        <f t="shared" si="63"/>
        <v>0</v>
      </c>
      <c r="EQO22" s="1902">
        <f t="shared" si="63"/>
        <v>0</v>
      </c>
      <c r="EQP22" s="1902">
        <f t="shared" si="63"/>
        <v>0</v>
      </c>
      <c r="EQQ22" s="1902">
        <f t="shared" si="63"/>
        <v>0</v>
      </c>
      <c r="EQR22" s="1902">
        <f t="shared" si="63"/>
        <v>0</v>
      </c>
      <c r="EQS22" s="1902">
        <f t="shared" si="63"/>
        <v>0</v>
      </c>
      <c r="EQT22" s="1902">
        <f t="shared" si="63"/>
        <v>0</v>
      </c>
      <c r="EQU22" s="1902">
        <f t="shared" si="63"/>
        <v>0</v>
      </c>
      <c r="EQV22" s="1902">
        <f t="shared" si="63"/>
        <v>0</v>
      </c>
      <c r="EQW22" s="1902">
        <f t="shared" si="63"/>
        <v>0</v>
      </c>
      <c r="EQX22" s="1902">
        <f t="shared" si="63"/>
        <v>0</v>
      </c>
      <c r="EQY22" s="1902">
        <f t="shared" si="63"/>
        <v>0</v>
      </c>
      <c r="EQZ22" s="1902">
        <f t="shared" si="63"/>
        <v>0</v>
      </c>
      <c r="ERA22" s="1902">
        <f t="shared" si="63"/>
        <v>0</v>
      </c>
      <c r="ERB22" s="1902">
        <f t="shared" si="63"/>
        <v>0</v>
      </c>
      <c r="ERC22" s="1902">
        <f t="shared" ref="ERC22:ETN22" si="64">IF(AND(ERC$26="End of period",ERC$25="Revenue"),ERC9,0)</f>
        <v>0</v>
      </c>
      <c r="ERD22" s="1902">
        <f t="shared" si="64"/>
        <v>0</v>
      </c>
      <c r="ERE22" s="1902">
        <f t="shared" si="64"/>
        <v>0</v>
      </c>
      <c r="ERF22" s="1902">
        <f t="shared" si="64"/>
        <v>0</v>
      </c>
      <c r="ERG22" s="1902">
        <f t="shared" si="64"/>
        <v>0</v>
      </c>
      <c r="ERH22" s="1902">
        <f t="shared" si="64"/>
        <v>0</v>
      </c>
      <c r="ERI22" s="1902">
        <f t="shared" si="64"/>
        <v>0</v>
      </c>
      <c r="ERJ22" s="1902">
        <f t="shared" si="64"/>
        <v>0</v>
      </c>
      <c r="ERK22" s="1902">
        <f t="shared" si="64"/>
        <v>0</v>
      </c>
      <c r="ERL22" s="1902">
        <f t="shared" si="64"/>
        <v>0</v>
      </c>
      <c r="ERM22" s="1902">
        <f t="shared" si="64"/>
        <v>0</v>
      </c>
      <c r="ERN22" s="1902">
        <f t="shared" si="64"/>
        <v>0</v>
      </c>
      <c r="ERO22" s="1902">
        <f t="shared" si="64"/>
        <v>0</v>
      </c>
      <c r="ERP22" s="1902">
        <f t="shared" si="64"/>
        <v>0</v>
      </c>
      <c r="ERQ22" s="1902">
        <f t="shared" si="64"/>
        <v>0</v>
      </c>
      <c r="ERR22" s="1902">
        <f t="shared" si="64"/>
        <v>0</v>
      </c>
      <c r="ERS22" s="1902">
        <f t="shared" si="64"/>
        <v>0</v>
      </c>
      <c r="ERT22" s="1902">
        <f t="shared" si="64"/>
        <v>0</v>
      </c>
      <c r="ERU22" s="1902">
        <f t="shared" si="64"/>
        <v>0</v>
      </c>
      <c r="ERV22" s="1902">
        <f t="shared" si="64"/>
        <v>0</v>
      </c>
      <c r="ERW22" s="1902">
        <f t="shared" si="64"/>
        <v>0</v>
      </c>
      <c r="ERX22" s="1902">
        <f t="shared" si="64"/>
        <v>0</v>
      </c>
      <c r="ERY22" s="1902">
        <f t="shared" si="64"/>
        <v>0</v>
      </c>
      <c r="ERZ22" s="1902">
        <f t="shared" si="64"/>
        <v>0</v>
      </c>
      <c r="ESA22" s="1902">
        <f t="shared" si="64"/>
        <v>0</v>
      </c>
      <c r="ESB22" s="1902">
        <f t="shared" si="64"/>
        <v>0</v>
      </c>
      <c r="ESC22" s="1902">
        <f t="shared" si="64"/>
        <v>0</v>
      </c>
      <c r="ESD22" s="1902">
        <f t="shared" si="64"/>
        <v>0</v>
      </c>
      <c r="ESE22" s="1902">
        <f t="shared" si="64"/>
        <v>0</v>
      </c>
      <c r="ESF22" s="1902">
        <f t="shared" si="64"/>
        <v>0</v>
      </c>
      <c r="ESG22" s="1902">
        <f t="shared" si="64"/>
        <v>0</v>
      </c>
      <c r="ESH22" s="1902">
        <f t="shared" si="64"/>
        <v>0</v>
      </c>
      <c r="ESI22" s="1902">
        <f t="shared" si="64"/>
        <v>0</v>
      </c>
      <c r="ESJ22" s="1902">
        <f t="shared" si="64"/>
        <v>0</v>
      </c>
      <c r="ESK22" s="1902">
        <f t="shared" si="64"/>
        <v>0</v>
      </c>
      <c r="ESL22" s="1902">
        <f t="shared" si="64"/>
        <v>0</v>
      </c>
      <c r="ESM22" s="1902">
        <f t="shared" si="64"/>
        <v>0</v>
      </c>
      <c r="ESN22" s="1902">
        <f t="shared" si="64"/>
        <v>0</v>
      </c>
      <c r="ESO22" s="1902">
        <f t="shared" si="64"/>
        <v>0</v>
      </c>
      <c r="ESP22" s="1902">
        <f t="shared" si="64"/>
        <v>0</v>
      </c>
      <c r="ESQ22" s="1902">
        <f t="shared" si="64"/>
        <v>0</v>
      </c>
      <c r="ESR22" s="1902">
        <f t="shared" si="64"/>
        <v>0</v>
      </c>
      <c r="ESS22" s="1902">
        <f t="shared" si="64"/>
        <v>0</v>
      </c>
      <c r="EST22" s="1902">
        <f t="shared" si="64"/>
        <v>0</v>
      </c>
      <c r="ESU22" s="1902">
        <f t="shared" si="64"/>
        <v>0</v>
      </c>
      <c r="ESV22" s="1902">
        <f t="shared" si="64"/>
        <v>0</v>
      </c>
      <c r="ESW22" s="1902">
        <f t="shared" si="64"/>
        <v>0</v>
      </c>
      <c r="ESX22" s="1902">
        <f t="shared" si="64"/>
        <v>0</v>
      </c>
      <c r="ESY22" s="1902">
        <f t="shared" si="64"/>
        <v>0</v>
      </c>
      <c r="ESZ22" s="1902">
        <f t="shared" si="64"/>
        <v>0</v>
      </c>
      <c r="ETA22" s="1902">
        <f t="shared" si="64"/>
        <v>0</v>
      </c>
      <c r="ETB22" s="1902">
        <f t="shared" si="64"/>
        <v>0</v>
      </c>
      <c r="ETC22" s="1902">
        <f t="shared" si="64"/>
        <v>0</v>
      </c>
      <c r="ETD22" s="1902">
        <f t="shared" si="64"/>
        <v>0</v>
      </c>
      <c r="ETE22" s="1902">
        <f t="shared" si="64"/>
        <v>0</v>
      </c>
      <c r="ETF22" s="1902">
        <f t="shared" si="64"/>
        <v>0</v>
      </c>
      <c r="ETG22" s="1902">
        <f t="shared" si="64"/>
        <v>0</v>
      </c>
      <c r="ETH22" s="1902">
        <f t="shared" si="64"/>
        <v>0</v>
      </c>
      <c r="ETI22" s="1902">
        <f t="shared" si="64"/>
        <v>0</v>
      </c>
      <c r="ETJ22" s="1902">
        <f t="shared" si="64"/>
        <v>0</v>
      </c>
      <c r="ETK22" s="1902">
        <f t="shared" si="64"/>
        <v>0</v>
      </c>
      <c r="ETL22" s="1902">
        <f t="shared" si="64"/>
        <v>0</v>
      </c>
      <c r="ETM22" s="1902">
        <f t="shared" si="64"/>
        <v>0</v>
      </c>
      <c r="ETN22" s="1902">
        <f t="shared" si="64"/>
        <v>0</v>
      </c>
      <c r="ETO22" s="1902">
        <f t="shared" ref="ETO22:EVZ22" si="65">IF(AND(ETO$26="End of period",ETO$25="Revenue"),ETO9,0)</f>
        <v>0</v>
      </c>
      <c r="ETP22" s="1902">
        <f t="shared" si="65"/>
        <v>0</v>
      </c>
      <c r="ETQ22" s="1902">
        <f t="shared" si="65"/>
        <v>0</v>
      </c>
      <c r="ETR22" s="1902">
        <f t="shared" si="65"/>
        <v>0</v>
      </c>
      <c r="ETS22" s="1902">
        <f t="shared" si="65"/>
        <v>0</v>
      </c>
      <c r="ETT22" s="1902">
        <f t="shared" si="65"/>
        <v>0</v>
      </c>
      <c r="ETU22" s="1902">
        <f t="shared" si="65"/>
        <v>0</v>
      </c>
      <c r="ETV22" s="1902">
        <f t="shared" si="65"/>
        <v>0</v>
      </c>
      <c r="ETW22" s="1902">
        <f t="shared" si="65"/>
        <v>0</v>
      </c>
      <c r="ETX22" s="1902">
        <f t="shared" si="65"/>
        <v>0</v>
      </c>
      <c r="ETY22" s="1902">
        <f t="shared" si="65"/>
        <v>0</v>
      </c>
      <c r="ETZ22" s="1902">
        <f t="shared" si="65"/>
        <v>0</v>
      </c>
      <c r="EUA22" s="1902">
        <f t="shared" si="65"/>
        <v>0</v>
      </c>
      <c r="EUB22" s="1902">
        <f t="shared" si="65"/>
        <v>0</v>
      </c>
      <c r="EUC22" s="1902">
        <f t="shared" si="65"/>
        <v>0</v>
      </c>
      <c r="EUD22" s="1902">
        <f t="shared" si="65"/>
        <v>0</v>
      </c>
      <c r="EUE22" s="1902">
        <f t="shared" si="65"/>
        <v>0</v>
      </c>
      <c r="EUF22" s="1902">
        <f t="shared" si="65"/>
        <v>0</v>
      </c>
      <c r="EUG22" s="1902">
        <f t="shared" si="65"/>
        <v>0</v>
      </c>
      <c r="EUH22" s="1902">
        <f t="shared" si="65"/>
        <v>0</v>
      </c>
      <c r="EUI22" s="1902">
        <f t="shared" si="65"/>
        <v>0</v>
      </c>
      <c r="EUJ22" s="1902">
        <f t="shared" si="65"/>
        <v>0</v>
      </c>
      <c r="EUK22" s="1902">
        <f t="shared" si="65"/>
        <v>0</v>
      </c>
      <c r="EUL22" s="1902">
        <f t="shared" si="65"/>
        <v>0</v>
      </c>
      <c r="EUM22" s="1902">
        <f t="shared" si="65"/>
        <v>0</v>
      </c>
      <c r="EUN22" s="1902">
        <f t="shared" si="65"/>
        <v>0</v>
      </c>
      <c r="EUO22" s="1902">
        <f t="shared" si="65"/>
        <v>0</v>
      </c>
      <c r="EUP22" s="1902">
        <f t="shared" si="65"/>
        <v>0</v>
      </c>
      <c r="EUQ22" s="1902">
        <f t="shared" si="65"/>
        <v>0</v>
      </c>
      <c r="EUR22" s="1902">
        <f t="shared" si="65"/>
        <v>0</v>
      </c>
      <c r="EUS22" s="1902">
        <f t="shared" si="65"/>
        <v>0</v>
      </c>
      <c r="EUT22" s="1902">
        <f t="shared" si="65"/>
        <v>0</v>
      </c>
      <c r="EUU22" s="1902">
        <f t="shared" si="65"/>
        <v>0</v>
      </c>
      <c r="EUV22" s="1902">
        <f t="shared" si="65"/>
        <v>0</v>
      </c>
      <c r="EUW22" s="1902">
        <f t="shared" si="65"/>
        <v>0</v>
      </c>
      <c r="EUX22" s="1902">
        <f t="shared" si="65"/>
        <v>0</v>
      </c>
      <c r="EUY22" s="1902">
        <f t="shared" si="65"/>
        <v>0</v>
      </c>
      <c r="EUZ22" s="1902">
        <f t="shared" si="65"/>
        <v>0</v>
      </c>
      <c r="EVA22" s="1902">
        <f t="shared" si="65"/>
        <v>0</v>
      </c>
      <c r="EVB22" s="1902">
        <f t="shared" si="65"/>
        <v>0</v>
      </c>
      <c r="EVC22" s="1902">
        <f t="shared" si="65"/>
        <v>0</v>
      </c>
      <c r="EVD22" s="1902">
        <f t="shared" si="65"/>
        <v>0</v>
      </c>
      <c r="EVE22" s="1902">
        <f t="shared" si="65"/>
        <v>0</v>
      </c>
      <c r="EVF22" s="1902">
        <f t="shared" si="65"/>
        <v>0</v>
      </c>
      <c r="EVG22" s="1902">
        <f t="shared" si="65"/>
        <v>0</v>
      </c>
      <c r="EVH22" s="1902">
        <f t="shared" si="65"/>
        <v>0</v>
      </c>
      <c r="EVI22" s="1902">
        <f t="shared" si="65"/>
        <v>0</v>
      </c>
      <c r="EVJ22" s="1902">
        <f t="shared" si="65"/>
        <v>0</v>
      </c>
      <c r="EVK22" s="1902">
        <f t="shared" si="65"/>
        <v>0</v>
      </c>
      <c r="EVL22" s="1902">
        <f t="shared" si="65"/>
        <v>0</v>
      </c>
      <c r="EVM22" s="1902">
        <f t="shared" si="65"/>
        <v>0</v>
      </c>
      <c r="EVN22" s="1902">
        <f t="shared" si="65"/>
        <v>0</v>
      </c>
      <c r="EVO22" s="1902">
        <f t="shared" si="65"/>
        <v>0</v>
      </c>
      <c r="EVP22" s="1902">
        <f t="shared" si="65"/>
        <v>0</v>
      </c>
      <c r="EVQ22" s="1902">
        <f t="shared" si="65"/>
        <v>0</v>
      </c>
      <c r="EVR22" s="1902">
        <f t="shared" si="65"/>
        <v>0</v>
      </c>
      <c r="EVS22" s="1902">
        <f t="shared" si="65"/>
        <v>0</v>
      </c>
      <c r="EVT22" s="1902">
        <f t="shared" si="65"/>
        <v>0</v>
      </c>
      <c r="EVU22" s="1902">
        <f t="shared" si="65"/>
        <v>0</v>
      </c>
      <c r="EVV22" s="1902">
        <f t="shared" si="65"/>
        <v>0</v>
      </c>
      <c r="EVW22" s="1902">
        <f t="shared" si="65"/>
        <v>0</v>
      </c>
      <c r="EVX22" s="1902">
        <f t="shared" si="65"/>
        <v>0</v>
      </c>
      <c r="EVY22" s="1902">
        <f t="shared" si="65"/>
        <v>0</v>
      </c>
      <c r="EVZ22" s="1902">
        <f t="shared" si="65"/>
        <v>0</v>
      </c>
      <c r="EWA22" s="1902">
        <f t="shared" ref="EWA22:EYL22" si="66">IF(AND(EWA$26="End of period",EWA$25="Revenue"),EWA9,0)</f>
        <v>0</v>
      </c>
      <c r="EWB22" s="1902">
        <f t="shared" si="66"/>
        <v>0</v>
      </c>
      <c r="EWC22" s="1902">
        <f t="shared" si="66"/>
        <v>0</v>
      </c>
      <c r="EWD22" s="1902">
        <f t="shared" si="66"/>
        <v>0</v>
      </c>
      <c r="EWE22" s="1902">
        <f t="shared" si="66"/>
        <v>0</v>
      </c>
      <c r="EWF22" s="1902">
        <f t="shared" si="66"/>
        <v>0</v>
      </c>
      <c r="EWG22" s="1902">
        <f t="shared" si="66"/>
        <v>0</v>
      </c>
      <c r="EWH22" s="1902">
        <f t="shared" si="66"/>
        <v>0</v>
      </c>
      <c r="EWI22" s="1902">
        <f t="shared" si="66"/>
        <v>0</v>
      </c>
      <c r="EWJ22" s="1902">
        <f t="shared" si="66"/>
        <v>0</v>
      </c>
      <c r="EWK22" s="1902">
        <f t="shared" si="66"/>
        <v>0</v>
      </c>
      <c r="EWL22" s="1902">
        <f t="shared" si="66"/>
        <v>0</v>
      </c>
      <c r="EWM22" s="1902">
        <f t="shared" si="66"/>
        <v>0</v>
      </c>
      <c r="EWN22" s="1902">
        <f t="shared" si="66"/>
        <v>0</v>
      </c>
      <c r="EWO22" s="1902">
        <f t="shared" si="66"/>
        <v>0</v>
      </c>
      <c r="EWP22" s="1902">
        <f t="shared" si="66"/>
        <v>0</v>
      </c>
      <c r="EWQ22" s="1902">
        <f t="shared" si="66"/>
        <v>0</v>
      </c>
      <c r="EWR22" s="1902">
        <f t="shared" si="66"/>
        <v>0</v>
      </c>
      <c r="EWS22" s="1902">
        <f t="shared" si="66"/>
        <v>0</v>
      </c>
      <c r="EWT22" s="1902">
        <f t="shared" si="66"/>
        <v>0</v>
      </c>
      <c r="EWU22" s="1902">
        <f t="shared" si="66"/>
        <v>0</v>
      </c>
      <c r="EWV22" s="1902">
        <f t="shared" si="66"/>
        <v>0</v>
      </c>
      <c r="EWW22" s="1902">
        <f t="shared" si="66"/>
        <v>0</v>
      </c>
      <c r="EWX22" s="1902">
        <f t="shared" si="66"/>
        <v>0</v>
      </c>
      <c r="EWY22" s="1902">
        <f t="shared" si="66"/>
        <v>0</v>
      </c>
      <c r="EWZ22" s="1902">
        <f t="shared" si="66"/>
        <v>0</v>
      </c>
      <c r="EXA22" s="1902">
        <f t="shared" si="66"/>
        <v>0</v>
      </c>
      <c r="EXB22" s="1902">
        <f t="shared" si="66"/>
        <v>0</v>
      </c>
      <c r="EXC22" s="1902">
        <f t="shared" si="66"/>
        <v>0</v>
      </c>
      <c r="EXD22" s="1902">
        <f t="shared" si="66"/>
        <v>0</v>
      </c>
      <c r="EXE22" s="1902">
        <f t="shared" si="66"/>
        <v>0</v>
      </c>
      <c r="EXF22" s="1902">
        <f t="shared" si="66"/>
        <v>0</v>
      </c>
      <c r="EXG22" s="1902">
        <f t="shared" si="66"/>
        <v>0</v>
      </c>
      <c r="EXH22" s="1902">
        <f t="shared" si="66"/>
        <v>0</v>
      </c>
      <c r="EXI22" s="1902">
        <f t="shared" si="66"/>
        <v>0</v>
      </c>
      <c r="EXJ22" s="1902">
        <f t="shared" si="66"/>
        <v>0</v>
      </c>
      <c r="EXK22" s="1902">
        <f t="shared" si="66"/>
        <v>0</v>
      </c>
      <c r="EXL22" s="1902">
        <f t="shared" si="66"/>
        <v>0</v>
      </c>
      <c r="EXM22" s="1902">
        <f t="shared" si="66"/>
        <v>0</v>
      </c>
      <c r="EXN22" s="1902">
        <f t="shared" si="66"/>
        <v>0</v>
      </c>
      <c r="EXO22" s="1902">
        <f t="shared" si="66"/>
        <v>0</v>
      </c>
      <c r="EXP22" s="1902">
        <f t="shared" si="66"/>
        <v>0</v>
      </c>
      <c r="EXQ22" s="1902">
        <f t="shared" si="66"/>
        <v>0</v>
      </c>
      <c r="EXR22" s="1902">
        <f t="shared" si="66"/>
        <v>0</v>
      </c>
      <c r="EXS22" s="1902">
        <f t="shared" si="66"/>
        <v>0</v>
      </c>
      <c r="EXT22" s="1902">
        <f t="shared" si="66"/>
        <v>0</v>
      </c>
      <c r="EXU22" s="1902">
        <f t="shared" si="66"/>
        <v>0</v>
      </c>
      <c r="EXV22" s="1902">
        <f t="shared" si="66"/>
        <v>0</v>
      </c>
      <c r="EXW22" s="1902">
        <f t="shared" si="66"/>
        <v>0</v>
      </c>
      <c r="EXX22" s="1902">
        <f t="shared" si="66"/>
        <v>0</v>
      </c>
      <c r="EXY22" s="1902">
        <f t="shared" si="66"/>
        <v>0</v>
      </c>
      <c r="EXZ22" s="1902">
        <f t="shared" si="66"/>
        <v>0</v>
      </c>
      <c r="EYA22" s="1902">
        <f t="shared" si="66"/>
        <v>0</v>
      </c>
      <c r="EYB22" s="1902">
        <f t="shared" si="66"/>
        <v>0</v>
      </c>
      <c r="EYC22" s="1902">
        <f t="shared" si="66"/>
        <v>0</v>
      </c>
      <c r="EYD22" s="1902">
        <f t="shared" si="66"/>
        <v>0</v>
      </c>
      <c r="EYE22" s="1902">
        <f t="shared" si="66"/>
        <v>0</v>
      </c>
      <c r="EYF22" s="1902">
        <f t="shared" si="66"/>
        <v>0</v>
      </c>
      <c r="EYG22" s="1902">
        <f t="shared" si="66"/>
        <v>0</v>
      </c>
      <c r="EYH22" s="1902">
        <f t="shared" si="66"/>
        <v>0</v>
      </c>
      <c r="EYI22" s="1902">
        <f t="shared" si="66"/>
        <v>0</v>
      </c>
      <c r="EYJ22" s="1902">
        <f t="shared" si="66"/>
        <v>0</v>
      </c>
      <c r="EYK22" s="1902">
        <f t="shared" si="66"/>
        <v>0</v>
      </c>
      <c r="EYL22" s="1902">
        <f t="shared" si="66"/>
        <v>0</v>
      </c>
      <c r="EYM22" s="1902">
        <f t="shared" ref="EYM22:FAX22" si="67">IF(AND(EYM$26="End of period",EYM$25="Revenue"),EYM9,0)</f>
        <v>0</v>
      </c>
      <c r="EYN22" s="1902">
        <f t="shared" si="67"/>
        <v>0</v>
      </c>
      <c r="EYO22" s="1902">
        <f t="shared" si="67"/>
        <v>0</v>
      </c>
      <c r="EYP22" s="1902">
        <f t="shared" si="67"/>
        <v>0</v>
      </c>
      <c r="EYQ22" s="1902">
        <f t="shared" si="67"/>
        <v>0</v>
      </c>
      <c r="EYR22" s="1902">
        <f t="shared" si="67"/>
        <v>0</v>
      </c>
      <c r="EYS22" s="1902">
        <f t="shared" si="67"/>
        <v>0</v>
      </c>
      <c r="EYT22" s="1902">
        <f t="shared" si="67"/>
        <v>0</v>
      </c>
      <c r="EYU22" s="1902">
        <f t="shared" si="67"/>
        <v>0</v>
      </c>
      <c r="EYV22" s="1902">
        <f t="shared" si="67"/>
        <v>0</v>
      </c>
      <c r="EYW22" s="1902">
        <f t="shared" si="67"/>
        <v>0</v>
      </c>
      <c r="EYX22" s="1902">
        <f t="shared" si="67"/>
        <v>0</v>
      </c>
      <c r="EYY22" s="1902">
        <f t="shared" si="67"/>
        <v>0</v>
      </c>
      <c r="EYZ22" s="1902">
        <f t="shared" si="67"/>
        <v>0</v>
      </c>
      <c r="EZA22" s="1902">
        <f t="shared" si="67"/>
        <v>0</v>
      </c>
      <c r="EZB22" s="1902">
        <f t="shared" si="67"/>
        <v>0</v>
      </c>
      <c r="EZC22" s="1902">
        <f t="shared" si="67"/>
        <v>0</v>
      </c>
      <c r="EZD22" s="1902">
        <f t="shared" si="67"/>
        <v>0</v>
      </c>
      <c r="EZE22" s="1902">
        <f t="shared" si="67"/>
        <v>0</v>
      </c>
      <c r="EZF22" s="1902">
        <f t="shared" si="67"/>
        <v>0</v>
      </c>
      <c r="EZG22" s="1902">
        <f t="shared" si="67"/>
        <v>0</v>
      </c>
      <c r="EZH22" s="1902">
        <f t="shared" si="67"/>
        <v>0</v>
      </c>
      <c r="EZI22" s="1902">
        <f t="shared" si="67"/>
        <v>0</v>
      </c>
      <c r="EZJ22" s="1902">
        <f t="shared" si="67"/>
        <v>0</v>
      </c>
      <c r="EZK22" s="1902">
        <f t="shared" si="67"/>
        <v>0</v>
      </c>
      <c r="EZL22" s="1902">
        <f t="shared" si="67"/>
        <v>0</v>
      </c>
      <c r="EZM22" s="1902">
        <f t="shared" si="67"/>
        <v>0</v>
      </c>
      <c r="EZN22" s="1902">
        <f t="shared" si="67"/>
        <v>0</v>
      </c>
      <c r="EZO22" s="1902">
        <f t="shared" si="67"/>
        <v>0</v>
      </c>
      <c r="EZP22" s="1902">
        <f t="shared" si="67"/>
        <v>0</v>
      </c>
      <c r="EZQ22" s="1902">
        <f t="shared" si="67"/>
        <v>0</v>
      </c>
      <c r="EZR22" s="1902">
        <f t="shared" si="67"/>
        <v>0</v>
      </c>
      <c r="EZS22" s="1902">
        <f t="shared" si="67"/>
        <v>0</v>
      </c>
      <c r="EZT22" s="1902">
        <f t="shared" si="67"/>
        <v>0</v>
      </c>
      <c r="EZU22" s="1902">
        <f t="shared" si="67"/>
        <v>0</v>
      </c>
      <c r="EZV22" s="1902">
        <f t="shared" si="67"/>
        <v>0</v>
      </c>
      <c r="EZW22" s="1902">
        <f t="shared" si="67"/>
        <v>0</v>
      </c>
      <c r="EZX22" s="1902">
        <f t="shared" si="67"/>
        <v>0</v>
      </c>
      <c r="EZY22" s="1902">
        <f t="shared" si="67"/>
        <v>0</v>
      </c>
      <c r="EZZ22" s="1902">
        <f t="shared" si="67"/>
        <v>0</v>
      </c>
      <c r="FAA22" s="1902">
        <f t="shared" si="67"/>
        <v>0</v>
      </c>
      <c r="FAB22" s="1902">
        <f t="shared" si="67"/>
        <v>0</v>
      </c>
      <c r="FAC22" s="1902">
        <f t="shared" si="67"/>
        <v>0</v>
      </c>
      <c r="FAD22" s="1902">
        <f t="shared" si="67"/>
        <v>0</v>
      </c>
      <c r="FAE22" s="1902">
        <f t="shared" si="67"/>
        <v>0</v>
      </c>
      <c r="FAF22" s="1902">
        <f t="shared" si="67"/>
        <v>0</v>
      </c>
      <c r="FAG22" s="1902">
        <f t="shared" si="67"/>
        <v>0</v>
      </c>
      <c r="FAH22" s="1902">
        <f t="shared" si="67"/>
        <v>0</v>
      </c>
      <c r="FAI22" s="1902">
        <f t="shared" si="67"/>
        <v>0</v>
      </c>
      <c r="FAJ22" s="1902">
        <f t="shared" si="67"/>
        <v>0</v>
      </c>
      <c r="FAK22" s="1902">
        <f t="shared" si="67"/>
        <v>0</v>
      </c>
      <c r="FAL22" s="1902">
        <f t="shared" si="67"/>
        <v>0</v>
      </c>
      <c r="FAM22" s="1902">
        <f t="shared" si="67"/>
        <v>0</v>
      </c>
      <c r="FAN22" s="1902">
        <f t="shared" si="67"/>
        <v>0</v>
      </c>
      <c r="FAO22" s="1902">
        <f t="shared" si="67"/>
        <v>0</v>
      </c>
      <c r="FAP22" s="1902">
        <f t="shared" si="67"/>
        <v>0</v>
      </c>
      <c r="FAQ22" s="1902">
        <f t="shared" si="67"/>
        <v>0</v>
      </c>
      <c r="FAR22" s="1902">
        <f t="shared" si="67"/>
        <v>0</v>
      </c>
      <c r="FAS22" s="1902">
        <f t="shared" si="67"/>
        <v>0</v>
      </c>
      <c r="FAT22" s="1902">
        <f t="shared" si="67"/>
        <v>0</v>
      </c>
      <c r="FAU22" s="1902">
        <f t="shared" si="67"/>
        <v>0</v>
      </c>
      <c r="FAV22" s="1902">
        <f t="shared" si="67"/>
        <v>0</v>
      </c>
      <c r="FAW22" s="1902">
        <f t="shared" si="67"/>
        <v>0</v>
      </c>
      <c r="FAX22" s="1902">
        <f t="shared" si="67"/>
        <v>0</v>
      </c>
      <c r="FAY22" s="1902">
        <f t="shared" ref="FAY22:FDJ22" si="68">IF(AND(FAY$26="End of period",FAY$25="Revenue"),FAY9,0)</f>
        <v>0</v>
      </c>
      <c r="FAZ22" s="1902">
        <f t="shared" si="68"/>
        <v>0</v>
      </c>
      <c r="FBA22" s="1902">
        <f t="shared" si="68"/>
        <v>0</v>
      </c>
      <c r="FBB22" s="1902">
        <f t="shared" si="68"/>
        <v>0</v>
      </c>
      <c r="FBC22" s="1902">
        <f t="shared" si="68"/>
        <v>0</v>
      </c>
      <c r="FBD22" s="1902">
        <f t="shared" si="68"/>
        <v>0</v>
      </c>
      <c r="FBE22" s="1902">
        <f t="shared" si="68"/>
        <v>0</v>
      </c>
      <c r="FBF22" s="1902">
        <f t="shared" si="68"/>
        <v>0</v>
      </c>
      <c r="FBG22" s="1902">
        <f t="shared" si="68"/>
        <v>0</v>
      </c>
      <c r="FBH22" s="1902">
        <f t="shared" si="68"/>
        <v>0</v>
      </c>
      <c r="FBI22" s="1902">
        <f t="shared" si="68"/>
        <v>0</v>
      </c>
      <c r="FBJ22" s="1902">
        <f t="shared" si="68"/>
        <v>0</v>
      </c>
      <c r="FBK22" s="1902">
        <f t="shared" si="68"/>
        <v>0</v>
      </c>
      <c r="FBL22" s="1902">
        <f t="shared" si="68"/>
        <v>0</v>
      </c>
      <c r="FBM22" s="1902">
        <f t="shared" si="68"/>
        <v>0</v>
      </c>
      <c r="FBN22" s="1902">
        <f t="shared" si="68"/>
        <v>0</v>
      </c>
      <c r="FBO22" s="1902">
        <f t="shared" si="68"/>
        <v>0</v>
      </c>
      <c r="FBP22" s="1902">
        <f t="shared" si="68"/>
        <v>0</v>
      </c>
      <c r="FBQ22" s="1902">
        <f t="shared" si="68"/>
        <v>0</v>
      </c>
      <c r="FBR22" s="1902">
        <f t="shared" si="68"/>
        <v>0</v>
      </c>
      <c r="FBS22" s="1902">
        <f t="shared" si="68"/>
        <v>0</v>
      </c>
      <c r="FBT22" s="1902">
        <f t="shared" si="68"/>
        <v>0</v>
      </c>
      <c r="FBU22" s="1902">
        <f t="shared" si="68"/>
        <v>0</v>
      </c>
      <c r="FBV22" s="1902">
        <f t="shared" si="68"/>
        <v>0</v>
      </c>
      <c r="FBW22" s="1902">
        <f t="shared" si="68"/>
        <v>0</v>
      </c>
      <c r="FBX22" s="1902">
        <f t="shared" si="68"/>
        <v>0</v>
      </c>
      <c r="FBY22" s="1902">
        <f t="shared" si="68"/>
        <v>0</v>
      </c>
      <c r="FBZ22" s="1902">
        <f t="shared" si="68"/>
        <v>0</v>
      </c>
      <c r="FCA22" s="1902">
        <f t="shared" si="68"/>
        <v>0</v>
      </c>
      <c r="FCB22" s="1902">
        <f t="shared" si="68"/>
        <v>0</v>
      </c>
      <c r="FCC22" s="1902">
        <f t="shared" si="68"/>
        <v>0</v>
      </c>
      <c r="FCD22" s="1902">
        <f t="shared" si="68"/>
        <v>0</v>
      </c>
      <c r="FCE22" s="1902">
        <f t="shared" si="68"/>
        <v>0</v>
      </c>
      <c r="FCF22" s="1902">
        <f t="shared" si="68"/>
        <v>0</v>
      </c>
      <c r="FCG22" s="1902">
        <f t="shared" si="68"/>
        <v>0</v>
      </c>
      <c r="FCH22" s="1902">
        <f t="shared" si="68"/>
        <v>0</v>
      </c>
      <c r="FCI22" s="1902">
        <f t="shared" si="68"/>
        <v>0</v>
      </c>
      <c r="FCJ22" s="1902">
        <f t="shared" si="68"/>
        <v>0</v>
      </c>
      <c r="FCK22" s="1902">
        <f t="shared" si="68"/>
        <v>0</v>
      </c>
      <c r="FCL22" s="1902">
        <f t="shared" si="68"/>
        <v>0</v>
      </c>
      <c r="FCM22" s="1902">
        <f t="shared" si="68"/>
        <v>0</v>
      </c>
      <c r="FCN22" s="1902">
        <f t="shared" si="68"/>
        <v>0</v>
      </c>
      <c r="FCO22" s="1902">
        <f t="shared" si="68"/>
        <v>0</v>
      </c>
      <c r="FCP22" s="1902">
        <f t="shared" si="68"/>
        <v>0</v>
      </c>
      <c r="FCQ22" s="1902">
        <f t="shared" si="68"/>
        <v>0</v>
      </c>
      <c r="FCR22" s="1902">
        <f t="shared" si="68"/>
        <v>0</v>
      </c>
      <c r="FCS22" s="1902">
        <f t="shared" si="68"/>
        <v>0</v>
      </c>
      <c r="FCT22" s="1902">
        <f t="shared" si="68"/>
        <v>0</v>
      </c>
      <c r="FCU22" s="1902">
        <f t="shared" si="68"/>
        <v>0</v>
      </c>
      <c r="FCV22" s="1902">
        <f t="shared" si="68"/>
        <v>0</v>
      </c>
      <c r="FCW22" s="1902">
        <f t="shared" si="68"/>
        <v>0</v>
      </c>
      <c r="FCX22" s="1902">
        <f t="shared" si="68"/>
        <v>0</v>
      </c>
      <c r="FCY22" s="1902">
        <f t="shared" si="68"/>
        <v>0</v>
      </c>
      <c r="FCZ22" s="1902">
        <f t="shared" si="68"/>
        <v>0</v>
      </c>
      <c r="FDA22" s="1902">
        <f t="shared" si="68"/>
        <v>0</v>
      </c>
      <c r="FDB22" s="1902">
        <f t="shared" si="68"/>
        <v>0</v>
      </c>
      <c r="FDC22" s="1902">
        <f t="shared" si="68"/>
        <v>0</v>
      </c>
      <c r="FDD22" s="1902">
        <f t="shared" si="68"/>
        <v>0</v>
      </c>
      <c r="FDE22" s="1902">
        <f t="shared" si="68"/>
        <v>0</v>
      </c>
      <c r="FDF22" s="1902">
        <f t="shared" si="68"/>
        <v>0</v>
      </c>
      <c r="FDG22" s="1902">
        <f t="shared" si="68"/>
        <v>0</v>
      </c>
      <c r="FDH22" s="1902">
        <f t="shared" si="68"/>
        <v>0</v>
      </c>
      <c r="FDI22" s="1902">
        <f t="shared" si="68"/>
        <v>0</v>
      </c>
      <c r="FDJ22" s="1902">
        <f t="shared" si="68"/>
        <v>0</v>
      </c>
      <c r="FDK22" s="1902">
        <f t="shared" ref="FDK22:FFV22" si="69">IF(AND(FDK$26="End of period",FDK$25="Revenue"),FDK9,0)</f>
        <v>0</v>
      </c>
      <c r="FDL22" s="1902">
        <f t="shared" si="69"/>
        <v>0</v>
      </c>
      <c r="FDM22" s="1902">
        <f t="shared" si="69"/>
        <v>0</v>
      </c>
      <c r="FDN22" s="1902">
        <f t="shared" si="69"/>
        <v>0</v>
      </c>
      <c r="FDO22" s="1902">
        <f t="shared" si="69"/>
        <v>0</v>
      </c>
      <c r="FDP22" s="1902">
        <f t="shared" si="69"/>
        <v>0</v>
      </c>
      <c r="FDQ22" s="1902">
        <f t="shared" si="69"/>
        <v>0</v>
      </c>
      <c r="FDR22" s="1902">
        <f t="shared" si="69"/>
        <v>0</v>
      </c>
      <c r="FDS22" s="1902">
        <f t="shared" si="69"/>
        <v>0</v>
      </c>
      <c r="FDT22" s="1902">
        <f t="shared" si="69"/>
        <v>0</v>
      </c>
      <c r="FDU22" s="1902">
        <f t="shared" si="69"/>
        <v>0</v>
      </c>
      <c r="FDV22" s="1902">
        <f t="shared" si="69"/>
        <v>0</v>
      </c>
      <c r="FDW22" s="1902">
        <f t="shared" si="69"/>
        <v>0</v>
      </c>
      <c r="FDX22" s="1902">
        <f t="shared" si="69"/>
        <v>0</v>
      </c>
      <c r="FDY22" s="1902">
        <f t="shared" si="69"/>
        <v>0</v>
      </c>
      <c r="FDZ22" s="1902">
        <f t="shared" si="69"/>
        <v>0</v>
      </c>
      <c r="FEA22" s="1902">
        <f t="shared" si="69"/>
        <v>0</v>
      </c>
      <c r="FEB22" s="1902">
        <f t="shared" si="69"/>
        <v>0</v>
      </c>
      <c r="FEC22" s="1902">
        <f t="shared" si="69"/>
        <v>0</v>
      </c>
      <c r="FED22" s="1902">
        <f t="shared" si="69"/>
        <v>0</v>
      </c>
      <c r="FEE22" s="1902">
        <f t="shared" si="69"/>
        <v>0</v>
      </c>
      <c r="FEF22" s="1902">
        <f t="shared" si="69"/>
        <v>0</v>
      </c>
      <c r="FEG22" s="1902">
        <f t="shared" si="69"/>
        <v>0</v>
      </c>
      <c r="FEH22" s="1902">
        <f t="shared" si="69"/>
        <v>0</v>
      </c>
      <c r="FEI22" s="1902">
        <f t="shared" si="69"/>
        <v>0</v>
      </c>
      <c r="FEJ22" s="1902">
        <f t="shared" si="69"/>
        <v>0</v>
      </c>
      <c r="FEK22" s="1902">
        <f t="shared" si="69"/>
        <v>0</v>
      </c>
      <c r="FEL22" s="1902">
        <f t="shared" si="69"/>
        <v>0</v>
      </c>
      <c r="FEM22" s="1902">
        <f t="shared" si="69"/>
        <v>0</v>
      </c>
      <c r="FEN22" s="1902">
        <f t="shared" si="69"/>
        <v>0</v>
      </c>
      <c r="FEO22" s="1902">
        <f t="shared" si="69"/>
        <v>0</v>
      </c>
      <c r="FEP22" s="1902">
        <f t="shared" si="69"/>
        <v>0</v>
      </c>
      <c r="FEQ22" s="1902">
        <f t="shared" si="69"/>
        <v>0</v>
      </c>
      <c r="FER22" s="1902">
        <f t="shared" si="69"/>
        <v>0</v>
      </c>
      <c r="FES22" s="1902">
        <f t="shared" si="69"/>
        <v>0</v>
      </c>
      <c r="FET22" s="1902">
        <f t="shared" si="69"/>
        <v>0</v>
      </c>
      <c r="FEU22" s="1902">
        <f t="shared" si="69"/>
        <v>0</v>
      </c>
      <c r="FEV22" s="1902">
        <f t="shared" si="69"/>
        <v>0</v>
      </c>
      <c r="FEW22" s="1902">
        <f t="shared" si="69"/>
        <v>0</v>
      </c>
      <c r="FEX22" s="1902">
        <f t="shared" si="69"/>
        <v>0</v>
      </c>
      <c r="FEY22" s="1902">
        <f t="shared" si="69"/>
        <v>0</v>
      </c>
      <c r="FEZ22" s="1902">
        <f t="shared" si="69"/>
        <v>0</v>
      </c>
      <c r="FFA22" s="1902">
        <f t="shared" si="69"/>
        <v>0</v>
      </c>
      <c r="FFB22" s="1902">
        <f t="shared" si="69"/>
        <v>0</v>
      </c>
      <c r="FFC22" s="1902">
        <f t="shared" si="69"/>
        <v>0</v>
      </c>
      <c r="FFD22" s="1902">
        <f t="shared" si="69"/>
        <v>0</v>
      </c>
      <c r="FFE22" s="1902">
        <f t="shared" si="69"/>
        <v>0</v>
      </c>
      <c r="FFF22" s="1902">
        <f t="shared" si="69"/>
        <v>0</v>
      </c>
      <c r="FFG22" s="1902">
        <f t="shared" si="69"/>
        <v>0</v>
      </c>
      <c r="FFH22" s="1902">
        <f t="shared" si="69"/>
        <v>0</v>
      </c>
      <c r="FFI22" s="1902">
        <f t="shared" si="69"/>
        <v>0</v>
      </c>
      <c r="FFJ22" s="1902">
        <f t="shared" si="69"/>
        <v>0</v>
      </c>
      <c r="FFK22" s="1902">
        <f t="shared" si="69"/>
        <v>0</v>
      </c>
      <c r="FFL22" s="1902">
        <f t="shared" si="69"/>
        <v>0</v>
      </c>
      <c r="FFM22" s="1902">
        <f t="shared" si="69"/>
        <v>0</v>
      </c>
      <c r="FFN22" s="1902">
        <f t="shared" si="69"/>
        <v>0</v>
      </c>
      <c r="FFO22" s="1902">
        <f t="shared" si="69"/>
        <v>0</v>
      </c>
      <c r="FFP22" s="1902">
        <f t="shared" si="69"/>
        <v>0</v>
      </c>
      <c r="FFQ22" s="1902">
        <f t="shared" si="69"/>
        <v>0</v>
      </c>
      <c r="FFR22" s="1902">
        <f t="shared" si="69"/>
        <v>0</v>
      </c>
      <c r="FFS22" s="1902">
        <f t="shared" si="69"/>
        <v>0</v>
      </c>
      <c r="FFT22" s="1902">
        <f t="shared" si="69"/>
        <v>0</v>
      </c>
      <c r="FFU22" s="1902">
        <f t="shared" si="69"/>
        <v>0</v>
      </c>
      <c r="FFV22" s="1902">
        <f t="shared" si="69"/>
        <v>0</v>
      </c>
      <c r="FFW22" s="1902">
        <f t="shared" ref="FFW22:FIH22" si="70">IF(AND(FFW$26="End of period",FFW$25="Revenue"),FFW9,0)</f>
        <v>0</v>
      </c>
      <c r="FFX22" s="1902">
        <f t="shared" si="70"/>
        <v>0</v>
      </c>
      <c r="FFY22" s="1902">
        <f t="shared" si="70"/>
        <v>0</v>
      </c>
      <c r="FFZ22" s="1902">
        <f t="shared" si="70"/>
        <v>0</v>
      </c>
      <c r="FGA22" s="1902">
        <f t="shared" si="70"/>
        <v>0</v>
      </c>
      <c r="FGB22" s="1902">
        <f t="shared" si="70"/>
        <v>0</v>
      </c>
      <c r="FGC22" s="1902">
        <f t="shared" si="70"/>
        <v>0</v>
      </c>
      <c r="FGD22" s="1902">
        <f t="shared" si="70"/>
        <v>0</v>
      </c>
      <c r="FGE22" s="1902">
        <f t="shared" si="70"/>
        <v>0</v>
      </c>
      <c r="FGF22" s="1902">
        <f t="shared" si="70"/>
        <v>0</v>
      </c>
      <c r="FGG22" s="1902">
        <f t="shared" si="70"/>
        <v>0</v>
      </c>
      <c r="FGH22" s="1902">
        <f t="shared" si="70"/>
        <v>0</v>
      </c>
      <c r="FGI22" s="1902">
        <f t="shared" si="70"/>
        <v>0</v>
      </c>
      <c r="FGJ22" s="1902">
        <f t="shared" si="70"/>
        <v>0</v>
      </c>
      <c r="FGK22" s="1902">
        <f t="shared" si="70"/>
        <v>0</v>
      </c>
      <c r="FGL22" s="1902">
        <f t="shared" si="70"/>
        <v>0</v>
      </c>
      <c r="FGM22" s="1902">
        <f t="shared" si="70"/>
        <v>0</v>
      </c>
      <c r="FGN22" s="1902">
        <f t="shared" si="70"/>
        <v>0</v>
      </c>
      <c r="FGO22" s="1902">
        <f t="shared" si="70"/>
        <v>0</v>
      </c>
      <c r="FGP22" s="1902">
        <f t="shared" si="70"/>
        <v>0</v>
      </c>
      <c r="FGQ22" s="1902">
        <f t="shared" si="70"/>
        <v>0</v>
      </c>
      <c r="FGR22" s="1902">
        <f t="shared" si="70"/>
        <v>0</v>
      </c>
      <c r="FGS22" s="1902">
        <f t="shared" si="70"/>
        <v>0</v>
      </c>
      <c r="FGT22" s="1902">
        <f t="shared" si="70"/>
        <v>0</v>
      </c>
      <c r="FGU22" s="1902">
        <f t="shared" si="70"/>
        <v>0</v>
      </c>
      <c r="FGV22" s="1902">
        <f t="shared" si="70"/>
        <v>0</v>
      </c>
      <c r="FGW22" s="1902">
        <f t="shared" si="70"/>
        <v>0</v>
      </c>
      <c r="FGX22" s="1902">
        <f t="shared" si="70"/>
        <v>0</v>
      </c>
      <c r="FGY22" s="1902">
        <f t="shared" si="70"/>
        <v>0</v>
      </c>
      <c r="FGZ22" s="1902">
        <f t="shared" si="70"/>
        <v>0</v>
      </c>
      <c r="FHA22" s="1902">
        <f t="shared" si="70"/>
        <v>0</v>
      </c>
      <c r="FHB22" s="1902">
        <f t="shared" si="70"/>
        <v>0</v>
      </c>
      <c r="FHC22" s="1902">
        <f t="shared" si="70"/>
        <v>0</v>
      </c>
      <c r="FHD22" s="1902">
        <f t="shared" si="70"/>
        <v>0</v>
      </c>
      <c r="FHE22" s="1902">
        <f t="shared" si="70"/>
        <v>0</v>
      </c>
      <c r="FHF22" s="1902">
        <f t="shared" si="70"/>
        <v>0</v>
      </c>
      <c r="FHG22" s="1902">
        <f t="shared" si="70"/>
        <v>0</v>
      </c>
      <c r="FHH22" s="1902">
        <f t="shared" si="70"/>
        <v>0</v>
      </c>
      <c r="FHI22" s="1902">
        <f t="shared" si="70"/>
        <v>0</v>
      </c>
      <c r="FHJ22" s="1902">
        <f t="shared" si="70"/>
        <v>0</v>
      </c>
      <c r="FHK22" s="1902">
        <f t="shared" si="70"/>
        <v>0</v>
      </c>
      <c r="FHL22" s="1902">
        <f t="shared" si="70"/>
        <v>0</v>
      </c>
      <c r="FHM22" s="1902">
        <f t="shared" si="70"/>
        <v>0</v>
      </c>
      <c r="FHN22" s="1902">
        <f t="shared" si="70"/>
        <v>0</v>
      </c>
      <c r="FHO22" s="1902">
        <f t="shared" si="70"/>
        <v>0</v>
      </c>
      <c r="FHP22" s="1902">
        <f t="shared" si="70"/>
        <v>0</v>
      </c>
      <c r="FHQ22" s="1902">
        <f t="shared" si="70"/>
        <v>0</v>
      </c>
      <c r="FHR22" s="1902">
        <f t="shared" si="70"/>
        <v>0</v>
      </c>
      <c r="FHS22" s="1902">
        <f t="shared" si="70"/>
        <v>0</v>
      </c>
      <c r="FHT22" s="1902">
        <f t="shared" si="70"/>
        <v>0</v>
      </c>
      <c r="FHU22" s="1902">
        <f t="shared" si="70"/>
        <v>0</v>
      </c>
      <c r="FHV22" s="1902">
        <f t="shared" si="70"/>
        <v>0</v>
      </c>
      <c r="FHW22" s="1902">
        <f t="shared" si="70"/>
        <v>0</v>
      </c>
      <c r="FHX22" s="1902">
        <f t="shared" si="70"/>
        <v>0</v>
      </c>
      <c r="FHY22" s="1902">
        <f t="shared" si="70"/>
        <v>0</v>
      </c>
      <c r="FHZ22" s="1902">
        <f t="shared" si="70"/>
        <v>0</v>
      </c>
      <c r="FIA22" s="1902">
        <f t="shared" si="70"/>
        <v>0</v>
      </c>
      <c r="FIB22" s="1902">
        <f t="shared" si="70"/>
        <v>0</v>
      </c>
      <c r="FIC22" s="1902">
        <f t="shared" si="70"/>
        <v>0</v>
      </c>
      <c r="FID22" s="1902">
        <f t="shared" si="70"/>
        <v>0</v>
      </c>
      <c r="FIE22" s="1902">
        <f t="shared" si="70"/>
        <v>0</v>
      </c>
      <c r="FIF22" s="1902">
        <f t="shared" si="70"/>
        <v>0</v>
      </c>
      <c r="FIG22" s="1902">
        <f t="shared" si="70"/>
        <v>0</v>
      </c>
      <c r="FIH22" s="1902">
        <f t="shared" si="70"/>
        <v>0</v>
      </c>
      <c r="FII22" s="1902">
        <f t="shared" ref="FII22:FKT22" si="71">IF(AND(FII$26="End of period",FII$25="Revenue"),FII9,0)</f>
        <v>0</v>
      </c>
      <c r="FIJ22" s="1902">
        <f t="shared" si="71"/>
        <v>0</v>
      </c>
      <c r="FIK22" s="1902">
        <f t="shared" si="71"/>
        <v>0</v>
      </c>
      <c r="FIL22" s="1902">
        <f t="shared" si="71"/>
        <v>0</v>
      </c>
      <c r="FIM22" s="1902">
        <f t="shared" si="71"/>
        <v>0</v>
      </c>
      <c r="FIN22" s="1902">
        <f t="shared" si="71"/>
        <v>0</v>
      </c>
      <c r="FIO22" s="1902">
        <f t="shared" si="71"/>
        <v>0</v>
      </c>
      <c r="FIP22" s="1902">
        <f t="shared" si="71"/>
        <v>0</v>
      </c>
      <c r="FIQ22" s="1902">
        <f t="shared" si="71"/>
        <v>0</v>
      </c>
      <c r="FIR22" s="1902">
        <f t="shared" si="71"/>
        <v>0</v>
      </c>
      <c r="FIS22" s="1902">
        <f t="shared" si="71"/>
        <v>0</v>
      </c>
      <c r="FIT22" s="1902">
        <f t="shared" si="71"/>
        <v>0</v>
      </c>
      <c r="FIU22" s="1902">
        <f t="shared" si="71"/>
        <v>0</v>
      </c>
      <c r="FIV22" s="1902">
        <f t="shared" si="71"/>
        <v>0</v>
      </c>
      <c r="FIW22" s="1902">
        <f t="shared" si="71"/>
        <v>0</v>
      </c>
      <c r="FIX22" s="1902">
        <f t="shared" si="71"/>
        <v>0</v>
      </c>
      <c r="FIY22" s="1902">
        <f t="shared" si="71"/>
        <v>0</v>
      </c>
      <c r="FIZ22" s="1902">
        <f t="shared" si="71"/>
        <v>0</v>
      </c>
      <c r="FJA22" s="1902">
        <f t="shared" si="71"/>
        <v>0</v>
      </c>
      <c r="FJB22" s="1902">
        <f t="shared" si="71"/>
        <v>0</v>
      </c>
      <c r="FJC22" s="1902">
        <f t="shared" si="71"/>
        <v>0</v>
      </c>
      <c r="FJD22" s="1902">
        <f t="shared" si="71"/>
        <v>0</v>
      </c>
      <c r="FJE22" s="1902">
        <f t="shared" si="71"/>
        <v>0</v>
      </c>
      <c r="FJF22" s="1902">
        <f t="shared" si="71"/>
        <v>0</v>
      </c>
      <c r="FJG22" s="1902">
        <f t="shared" si="71"/>
        <v>0</v>
      </c>
      <c r="FJH22" s="1902">
        <f t="shared" si="71"/>
        <v>0</v>
      </c>
      <c r="FJI22" s="1902">
        <f t="shared" si="71"/>
        <v>0</v>
      </c>
      <c r="FJJ22" s="1902">
        <f t="shared" si="71"/>
        <v>0</v>
      </c>
      <c r="FJK22" s="1902">
        <f t="shared" si="71"/>
        <v>0</v>
      </c>
      <c r="FJL22" s="1902">
        <f t="shared" si="71"/>
        <v>0</v>
      </c>
      <c r="FJM22" s="1902">
        <f t="shared" si="71"/>
        <v>0</v>
      </c>
      <c r="FJN22" s="1902">
        <f t="shared" si="71"/>
        <v>0</v>
      </c>
      <c r="FJO22" s="1902">
        <f t="shared" si="71"/>
        <v>0</v>
      </c>
      <c r="FJP22" s="1902">
        <f t="shared" si="71"/>
        <v>0</v>
      </c>
      <c r="FJQ22" s="1902">
        <f t="shared" si="71"/>
        <v>0</v>
      </c>
      <c r="FJR22" s="1902">
        <f t="shared" si="71"/>
        <v>0</v>
      </c>
      <c r="FJS22" s="1902">
        <f t="shared" si="71"/>
        <v>0</v>
      </c>
      <c r="FJT22" s="1902">
        <f t="shared" si="71"/>
        <v>0</v>
      </c>
      <c r="FJU22" s="1902">
        <f t="shared" si="71"/>
        <v>0</v>
      </c>
      <c r="FJV22" s="1902">
        <f t="shared" si="71"/>
        <v>0</v>
      </c>
      <c r="FJW22" s="1902">
        <f t="shared" si="71"/>
        <v>0</v>
      </c>
      <c r="FJX22" s="1902">
        <f t="shared" si="71"/>
        <v>0</v>
      </c>
      <c r="FJY22" s="1902">
        <f t="shared" si="71"/>
        <v>0</v>
      </c>
      <c r="FJZ22" s="1902">
        <f t="shared" si="71"/>
        <v>0</v>
      </c>
      <c r="FKA22" s="1902">
        <f t="shared" si="71"/>
        <v>0</v>
      </c>
      <c r="FKB22" s="1902">
        <f t="shared" si="71"/>
        <v>0</v>
      </c>
      <c r="FKC22" s="1902">
        <f t="shared" si="71"/>
        <v>0</v>
      </c>
      <c r="FKD22" s="1902">
        <f t="shared" si="71"/>
        <v>0</v>
      </c>
      <c r="FKE22" s="1902">
        <f t="shared" si="71"/>
        <v>0</v>
      </c>
      <c r="FKF22" s="1902">
        <f t="shared" si="71"/>
        <v>0</v>
      </c>
      <c r="FKG22" s="1902">
        <f t="shared" si="71"/>
        <v>0</v>
      </c>
      <c r="FKH22" s="1902">
        <f t="shared" si="71"/>
        <v>0</v>
      </c>
      <c r="FKI22" s="1902">
        <f t="shared" si="71"/>
        <v>0</v>
      </c>
      <c r="FKJ22" s="1902">
        <f t="shared" si="71"/>
        <v>0</v>
      </c>
      <c r="FKK22" s="1902">
        <f t="shared" si="71"/>
        <v>0</v>
      </c>
      <c r="FKL22" s="1902">
        <f t="shared" si="71"/>
        <v>0</v>
      </c>
      <c r="FKM22" s="1902">
        <f t="shared" si="71"/>
        <v>0</v>
      </c>
      <c r="FKN22" s="1902">
        <f t="shared" si="71"/>
        <v>0</v>
      </c>
      <c r="FKO22" s="1902">
        <f t="shared" si="71"/>
        <v>0</v>
      </c>
      <c r="FKP22" s="1902">
        <f t="shared" si="71"/>
        <v>0</v>
      </c>
      <c r="FKQ22" s="1902">
        <f t="shared" si="71"/>
        <v>0</v>
      </c>
      <c r="FKR22" s="1902">
        <f t="shared" si="71"/>
        <v>0</v>
      </c>
      <c r="FKS22" s="1902">
        <f t="shared" si="71"/>
        <v>0</v>
      </c>
      <c r="FKT22" s="1902">
        <f t="shared" si="71"/>
        <v>0</v>
      </c>
      <c r="FKU22" s="1902">
        <f t="shared" ref="FKU22:FNF22" si="72">IF(AND(FKU$26="End of period",FKU$25="Revenue"),FKU9,0)</f>
        <v>0</v>
      </c>
      <c r="FKV22" s="1902">
        <f t="shared" si="72"/>
        <v>0</v>
      </c>
      <c r="FKW22" s="1902">
        <f t="shared" si="72"/>
        <v>0</v>
      </c>
      <c r="FKX22" s="1902">
        <f t="shared" si="72"/>
        <v>0</v>
      </c>
      <c r="FKY22" s="1902">
        <f t="shared" si="72"/>
        <v>0</v>
      </c>
      <c r="FKZ22" s="1902">
        <f t="shared" si="72"/>
        <v>0</v>
      </c>
      <c r="FLA22" s="1902">
        <f t="shared" si="72"/>
        <v>0</v>
      </c>
      <c r="FLB22" s="1902">
        <f t="shared" si="72"/>
        <v>0</v>
      </c>
      <c r="FLC22" s="1902">
        <f t="shared" si="72"/>
        <v>0</v>
      </c>
      <c r="FLD22" s="1902">
        <f t="shared" si="72"/>
        <v>0</v>
      </c>
      <c r="FLE22" s="1902">
        <f t="shared" si="72"/>
        <v>0</v>
      </c>
      <c r="FLF22" s="1902">
        <f t="shared" si="72"/>
        <v>0</v>
      </c>
      <c r="FLG22" s="1902">
        <f t="shared" si="72"/>
        <v>0</v>
      </c>
      <c r="FLH22" s="1902">
        <f t="shared" si="72"/>
        <v>0</v>
      </c>
      <c r="FLI22" s="1902">
        <f t="shared" si="72"/>
        <v>0</v>
      </c>
      <c r="FLJ22" s="1902">
        <f t="shared" si="72"/>
        <v>0</v>
      </c>
      <c r="FLK22" s="1902">
        <f t="shared" si="72"/>
        <v>0</v>
      </c>
      <c r="FLL22" s="1902">
        <f t="shared" si="72"/>
        <v>0</v>
      </c>
      <c r="FLM22" s="1902">
        <f t="shared" si="72"/>
        <v>0</v>
      </c>
      <c r="FLN22" s="1902">
        <f t="shared" si="72"/>
        <v>0</v>
      </c>
      <c r="FLO22" s="1902">
        <f t="shared" si="72"/>
        <v>0</v>
      </c>
      <c r="FLP22" s="1902">
        <f t="shared" si="72"/>
        <v>0</v>
      </c>
      <c r="FLQ22" s="1902">
        <f t="shared" si="72"/>
        <v>0</v>
      </c>
      <c r="FLR22" s="1902">
        <f t="shared" si="72"/>
        <v>0</v>
      </c>
      <c r="FLS22" s="1902">
        <f t="shared" si="72"/>
        <v>0</v>
      </c>
      <c r="FLT22" s="1902">
        <f t="shared" si="72"/>
        <v>0</v>
      </c>
      <c r="FLU22" s="1902">
        <f t="shared" si="72"/>
        <v>0</v>
      </c>
      <c r="FLV22" s="1902">
        <f t="shared" si="72"/>
        <v>0</v>
      </c>
      <c r="FLW22" s="1902">
        <f t="shared" si="72"/>
        <v>0</v>
      </c>
      <c r="FLX22" s="1902">
        <f t="shared" si="72"/>
        <v>0</v>
      </c>
      <c r="FLY22" s="1902">
        <f t="shared" si="72"/>
        <v>0</v>
      </c>
      <c r="FLZ22" s="1902">
        <f t="shared" si="72"/>
        <v>0</v>
      </c>
      <c r="FMA22" s="1902">
        <f t="shared" si="72"/>
        <v>0</v>
      </c>
      <c r="FMB22" s="1902">
        <f t="shared" si="72"/>
        <v>0</v>
      </c>
      <c r="FMC22" s="1902">
        <f t="shared" si="72"/>
        <v>0</v>
      </c>
      <c r="FMD22" s="1902">
        <f t="shared" si="72"/>
        <v>0</v>
      </c>
      <c r="FME22" s="1902">
        <f t="shared" si="72"/>
        <v>0</v>
      </c>
      <c r="FMF22" s="1902">
        <f t="shared" si="72"/>
        <v>0</v>
      </c>
      <c r="FMG22" s="1902">
        <f t="shared" si="72"/>
        <v>0</v>
      </c>
      <c r="FMH22" s="1902">
        <f t="shared" si="72"/>
        <v>0</v>
      </c>
      <c r="FMI22" s="1902">
        <f t="shared" si="72"/>
        <v>0</v>
      </c>
      <c r="FMJ22" s="1902">
        <f t="shared" si="72"/>
        <v>0</v>
      </c>
      <c r="FMK22" s="1902">
        <f t="shared" si="72"/>
        <v>0</v>
      </c>
      <c r="FML22" s="1902">
        <f t="shared" si="72"/>
        <v>0</v>
      </c>
      <c r="FMM22" s="1902">
        <f t="shared" si="72"/>
        <v>0</v>
      </c>
      <c r="FMN22" s="1902">
        <f t="shared" si="72"/>
        <v>0</v>
      </c>
      <c r="FMO22" s="1902">
        <f t="shared" si="72"/>
        <v>0</v>
      </c>
      <c r="FMP22" s="1902">
        <f t="shared" si="72"/>
        <v>0</v>
      </c>
      <c r="FMQ22" s="1902">
        <f t="shared" si="72"/>
        <v>0</v>
      </c>
      <c r="FMR22" s="1902">
        <f t="shared" si="72"/>
        <v>0</v>
      </c>
      <c r="FMS22" s="1902">
        <f t="shared" si="72"/>
        <v>0</v>
      </c>
      <c r="FMT22" s="1902">
        <f t="shared" si="72"/>
        <v>0</v>
      </c>
      <c r="FMU22" s="1902">
        <f t="shared" si="72"/>
        <v>0</v>
      </c>
      <c r="FMV22" s="1902">
        <f t="shared" si="72"/>
        <v>0</v>
      </c>
      <c r="FMW22" s="1902">
        <f t="shared" si="72"/>
        <v>0</v>
      </c>
      <c r="FMX22" s="1902">
        <f t="shared" si="72"/>
        <v>0</v>
      </c>
      <c r="FMY22" s="1902">
        <f t="shared" si="72"/>
        <v>0</v>
      </c>
      <c r="FMZ22" s="1902">
        <f t="shared" si="72"/>
        <v>0</v>
      </c>
      <c r="FNA22" s="1902">
        <f t="shared" si="72"/>
        <v>0</v>
      </c>
      <c r="FNB22" s="1902">
        <f t="shared" si="72"/>
        <v>0</v>
      </c>
      <c r="FNC22" s="1902">
        <f t="shared" si="72"/>
        <v>0</v>
      </c>
      <c r="FND22" s="1902">
        <f t="shared" si="72"/>
        <v>0</v>
      </c>
      <c r="FNE22" s="1902">
        <f t="shared" si="72"/>
        <v>0</v>
      </c>
      <c r="FNF22" s="1902">
        <f t="shared" si="72"/>
        <v>0</v>
      </c>
      <c r="FNG22" s="1902">
        <f t="shared" ref="FNG22:FPR22" si="73">IF(AND(FNG$26="End of period",FNG$25="Revenue"),FNG9,0)</f>
        <v>0</v>
      </c>
      <c r="FNH22" s="1902">
        <f t="shared" si="73"/>
        <v>0</v>
      </c>
      <c r="FNI22" s="1902">
        <f t="shared" si="73"/>
        <v>0</v>
      </c>
      <c r="FNJ22" s="1902">
        <f t="shared" si="73"/>
        <v>0</v>
      </c>
      <c r="FNK22" s="1902">
        <f t="shared" si="73"/>
        <v>0</v>
      </c>
      <c r="FNL22" s="1902">
        <f t="shared" si="73"/>
        <v>0</v>
      </c>
      <c r="FNM22" s="1902">
        <f t="shared" si="73"/>
        <v>0</v>
      </c>
      <c r="FNN22" s="1902">
        <f t="shared" si="73"/>
        <v>0</v>
      </c>
      <c r="FNO22" s="1902">
        <f t="shared" si="73"/>
        <v>0</v>
      </c>
      <c r="FNP22" s="1902">
        <f t="shared" si="73"/>
        <v>0</v>
      </c>
      <c r="FNQ22" s="1902">
        <f t="shared" si="73"/>
        <v>0</v>
      </c>
      <c r="FNR22" s="1902">
        <f t="shared" si="73"/>
        <v>0</v>
      </c>
      <c r="FNS22" s="1902">
        <f t="shared" si="73"/>
        <v>0</v>
      </c>
      <c r="FNT22" s="1902">
        <f t="shared" si="73"/>
        <v>0</v>
      </c>
      <c r="FNU22" s="1902">
        <f t="shared" si="73"/>
        <v>0</v>
      </c>
      <c r="FNV22" s="1902">
        <f t="shared" si="73"/>
        <v>0</v>
      </c>
      <c r="FNW22" s="1902">
        <f t="shared" si="73"/>
        <v>0</v>
      </c>
      <c r="FNX22" s="1902">
        <f t="shared" si="73"/>
        <v>0</v>
      </c>
      <c r="FNY22" s="1902">
        <f t="shared" si="73"/>
        <v>0</v>
      </c>
      <c r="FNZ22" s="1902">
        <f t="shared" si="73"/>
        <v>0</v>
      </c>
      <c r="FOA22" s="1902">
        <f t="shared" si="73"/>
        <v>0</v>
      </c>
      <c r="FOB22" s="1902">
        <f t="shared" si="73"/>
        <v>0</v>
      </c>
      <c r="FOC22" s="1902">
        <f t="shared" si="73"/>
        <v>0</v>
      </c>
      <c r="FOD22" s="1902">
        <f t="shared" si="73"/>
        <v>0</v>
      </c>
      <c r="FOE22" s="1902">
        <f t="shared" si="73"/>
        <v>0</v>
      </c>
      <c r="FOF22" s="1902">
        <f t="shared" si="73"/>
        <v>0</v>
      </c>
      <c r="FOG22" s="1902">
        <f t="shared" si="73"/>
        <v>0</v>
      </c>
      <c r="FOH22" s="1902">
        <f t="shared" si="73"/>
        <v>0</v>
      </c>
      <c r="FOI22" s="1902">
        <f t="shared" si="73"/>
        <v>0</v>
      </c>
      <c r="FOJ22" s="1902">
        <f t="shared" si="73"/>
        <v>0</v>
      </c>
      <c r="FOK22" s="1902">
        <f t="shared" si="73"/>
        <v>0</v>
      </c>
      <c r="FOL22" s="1902">
        <f t="shared" si="73"/>
        <v>0</v>
      </c>
      <c r="FOM22" s="1902">
        <f t="shared" si="73"/>
        <v>0</v>
      </c>
      <c r="FON22" s="1902">
        <f t="shared" si="73"/>
        <v>0</v>
      </c>
      <c r="FOO22" s="1902">
        <f t="shared" si="73"/>
        <v>0</v>
      </c>
      <c r="FOP22" s="1902">
        <f t="shared" si="73"/>
        <v>0</v>
      </c>
      <c r="FOQ22" s="1902">
        <f t="shared" si="73"/>
        <v>0</v>
      </c>
      <c r="FOR22" s="1902">
        <f t="shared" si="73"/>
        <v>0</v>
      </c>
      <c r="FOS22" s="1902">
        <f t="shared" si="73"/>
        <v>0</v>
      </c>
      <c r="FOT22" s="1902">
        <f t="shared" si="73"/>
        <v>0</v>
      </c>
      <c r="FOU22" s="1902">
        <f t="shared" si="73"/>
        <v>0</v>
      </c>
      <c r="FOV22" s="1902">
        <f t="shared" si="73"/>
        <v>0</v>
      </c>
      <c r="FOW22" s="1902">
        <f t="shared" si="73"/>
        <v>0</v>
      </c>
      <c r="FOX22" s="1902">
        <f t="shared" si="73"/>
        <v>0</v>
      </c>
      <c r="FOY22" s="1902">
        <f t="shared" si="73"/>
        <v>0</v>
      </c>
      <c r="FOZ22" s="1902">
        <f t="shared" si="73"/>
        <v>0</v>
      </c>
      <c r="FPA22" s="1902">
        <f t="shared" si="73"/>
        <v>0</v>
      </c>
      <c r="FPB22" s="1902">
        <f t="shared" si="73"/>
        <v>0</v>
      </c>
      <c r="FPC22" s="1902">
        <f t="shared" si="73"/>
        <v>0</v>
      </c>
      <c r="FPD22" s="1902">
        <f t="shared" si="73"/>
        <v>0</v>
      </c>
      <c r="FPE22" s="1902">
        <f t="shared" si="73"/>
        <v>0</v>
      </c>
      <c r="FPF22" s="1902">
        <f t="shared" si="73"/>
        <v>0</v>
      </c>
      <c r="FPG22" s="1902">
        <f t="shared" si="73"/>
        <v>0</v>
      </c>
      <c r="FPH22" s="1902">
        <f t="shared" si="73"/>
        <v>0</v>
      </c>
      <c r="FPI22" s="1902">
        <f t="shared" si="73"/>
        <v>0</v>
      </c>
      <c r="FPJ22" s="1902">
        <f t="shared" si="73"/>
        <v>0</v>
      </c>
      <c r="FPK22" s="1902">
        <f t="shared" si="73"/>
        <v>0</v>
      </c>
      <c r="FPL22" s="1902">
        <f t="shared" si="73"/>
        <v>0</v>
      </c>
      <c r="FPM22" s="1902">
        <f t="shared" si="73"/>
        <v>0</v>
      </c>
      <c r="FPN22" s="1902">
        <f t="shared" si="73"/>
        <v>0</v>
      </c>
      <c r="FPO22" s="1902">
        <f t="shared" si="73"/>
        <v>0</v>
      </c>
      <c r="FPP22" s="1902">
        <f t="shared" si="73"/>
        <v>0</v>
      </c>
      <c r="FPQ22" s="1902">
        <f t="shared" si="73"/>
        <v>0</v>
      </c>
      <c r="FPR22" s="1902">
        <f t="shared" si="73"/>
        <v>0</v>
      </c>
      <c r="FPS22" s="1902">
        <f t="shared" ref="FPS22:FSD22" si="74">IF(AND(FPS$26="End of period",FPS$25="Revenue"),FPS9,0)</f>
        <v>0</v>
      </c>
      <c r="FPT22" s="1902">
        <f t="shared" si="74"/>
        <v>0</v>
      </c>
      <c r="FPU22" s="1902">
        <f t="shared" si="74"/>
        <v>0</v>
      </c>
      <c r="FPV22" s="1902">
        <f t="shared" si="74"/>
        <v>0</v>
      </c>
      <c r="FPW22" s="1902">
        <f t="shared" si="74"/>
        <v>0</v>
      </c>
      <c r="FPX22" s="1902">
        <f t="shared" si="74"/>
        <v>0</v>
      </c>
      <c r="FPY22" s="1902">
        <f t="shared" si="74"/>
        <v>0</v>
      </c>
      <c r="FPZ22" s="1902">
        <f t="shared" si="74"/>
        <v>0</v>
      </c>
      <c r="FQA22" s="1902">
        <f t="shared" si="74"/>
        <v>0</v>
      </c>
      <c r="FQB22" s="1902">
        <f t="shared" si="74"/>
        <v>0</v>
      </c>
      <c r="FQC22" s="1902">
        <f t="shared" si="74"/>
        <v>0</v>
      </c>
      <c r="FQD22" s="1902">
        <f t="shared" si="74"/>
        <v>0</v>
      </c>
      <c r="FQE22" s="1902">
        <f t="shared" si="74"/>
        <v>0</v>
      </c>
      <c r="FQF22" s="1902">
        <f t="shared" si="74"/>
        <v>0</v>
      </c>
      <c r="FQG22" s="1902">
        <f t="shared" si="74"/>
        <v>0</v>
      </c>
      <c r="FQH22" s="1902">
        <f t="shared" si="74"/>
        <v>0</v>
      </c>
      <c r="FQI22" s="1902">
        <f t="shared" si="74"/>
        <v>0</v>
      </c>
      <c r="FQJ22" s="1902">
        <f t="shared" si="74"/>
        <v>0</v>
      </c>
      <c r="FQK22" s="1902">
        <f t="shared" si="74"/>
        <v>0</v>
      </c>
      <c r="FQL22" s="1902">
        <f t="shared" si="74"/>
        <v>0</v>
      </c>
      <c r="FQM22" s="1902">
        <f t="shared" si="74"/>
        <v>0</v>
      </c>
      <c r="FQN22" s="1902">
        <f t="shared" si="74"/>
        <v>0</v>
      </c>
      <c r="FQO22" s="1902">
        <f t="shared" si="74"/>
        <v>0</v>
      </c>
      <c r="FQP22" s="1902">
        <f t="shared" si="74"/>
        <v>0</v>
      </c>
      <c r="FQQ22" s="1902">
        <f t="shared" si="74"/>
        <v>0</v>
      </c>
      <c r="FQR22" s="1902">
        <f t="shared" si="74"/>
        <v>0</v>
      </c>
      <c r="FQS22" s="1902">
        <f t="shared" si="74"/>
        <v>0</v>
      </c>
      <c r="FQT22" s="1902">
        <f t="shared" si="74"/>
        <v>0</v>
      </c>
      <c r="FQU22" s="1902">
        <f t="shared" si="74"/>
        <v>0</v>
      </c>
      <c r="FQV22" s="1902">
        <f t="shared" si="74"/>
        <v>0</v>
      </c>
      <c r="FQW22" s="1902">
        <f t="shared" si="74"/>
        <v>0</v>
      </c>
      <c r="FQX22" s="1902">
        <f t="shared" si="74"/>
        <v>0</v>
      </c>
      <c r="FQY22" s="1902">
        <f t="shared" si="74"/>
        <v>0</v>
      </c>
      <c r="FQZ22" s="1902">
        <f t="shared" si="74"/>
        <v>0</v>
      </c>
      <c r="FRA22" s="1902">
        <f t="shared" si="74"/>
        <v>0</v>
      </c>
      <c r="FRB22" s="1902">
        <f t="shared" si="74"/>
        <v>0</v>
      </c>
      <c r="FRC22" s="1902">
        <f t="shared" si="74"/>
        <v>0</v>
      </c>
      <c r="FRD22" s="1902">
        <f t="shared" si="74"/>
        <v>0</v>
      </c>
      <c r="FRE22" s="1902">
        <f t="shared" si="74"/>
        <v>0</v>
      </c>
      <c r="FRF22" s="1902">
        <f t="shared" si="74"/>
        <v>0</v>
      </c>
      <c r="FRG22" s="1902">
        <f t="shared" si="74"/>
        <v>0</v>
      </c>
      <c r="FRH22" s="1902">
        <f t="shared" si="74"/>
        <v>0</v>
      </c>
      <c r="FRI22" s="1902">
        <f t="shared" si="74"/>
        <v>0</v>
      </c>
      <c r="FRJ22" s="1902">
        <f t="shared" si="74"/>
        <v>0</v>
      </c>
      <c r="FRK22" s="1902">
        <f t="shared" si="74"/>
        <v>0</v>
      </c>
      <c r="FRL22" s="1902">
        <f t="shared" si="74"/>
        <v>0</v>
      </c>
      <c r="FRM22" s="1902">
        <f t="shared" si="74"/>
        <v>0</v>
      </c>
      <c r="FRN22" s="1902">
        <f t="shared" si="74"/>
        <v>0</v>
      </c>
      <c r="FRO22" s="1902">
        <f t="shared" si="74"/>
        <v>0</v>
      </c>
      <c r="FRP22" s="1902">
        <f t="shared" si="74"/>
        <v>0</v>
      </c>
      <c r="FRQ22" s="1902">
        <f t="shared" si="74"/>
        <v>0</v>
      </c>
      <c r="FRR22" s="1902">
        <f t="shared" si="74"/>
        <v>0</v>
      </c>
      <c r="FRS22" s="1902">
        <f t="shared" si="74"/>
        <v>0</v>
      </c>
      <c r="FRT22" s="1902">
        <f t="shared" si="74"/>
        <v>0</v>
      </c>
      <c r="FRU22" s="1902">
        <f t="shared" si="74"/>
        <v>0</v>
      </c>
      <c r="FRV22" s="1902">
        <f t="shared" si="74"/>
        <v>0</v>
      </c>
      <c r="FRW22" s="1902">
        <f t="shared" si="74"/>
        <v>0</v>
      </c>
      <c r="FRX22" s="1902">
        <f t="shared" si="74"/>
        <v>0</v>
      </c>
      <c r="FRY22" s="1902">
        <f t="shared" si="74"/>
        <v>0</v>
      </c>
      <c r="FRZ22" s="1902">
        <f t="shared" si="74"/>
        <v>0</v>
      </c>
      <c r="FSA22" s="1902">
        <f t="shared" si="74"/>
        <v>0</v>
      </c>
      <c r="FSB22" s="1902">
        <f t="shared" si="74"/>
        <v>0</v>
      </c>
      <c r="FSC22" s="1902">
        <f t="shared" si="74"/>
        <v>0</v>
      </c>
      <c r="FSD22" s="1902">
        <f t="shared" si="74"/>
        <v>0</v>
      </c>
      <c r="FSE22" s="1902">
        <f t="shared" ref="FSE22:FUP22" si="75">IF(AND(FSE$26="End of period",FSE$25="Revenue"),FSE9,0)</f>
        <v>0</v>
      </c>
      <c r="FSF22" s="1902">
        <f t="shared" si="75"/>
        <v>0</v>
      </c>
      <c r="FSG22" s="1902">
        <f t="shared" si="75"/>
        <v>0</v>
      </c>
      <c r="FSH22" s="1902">
        <f t="shared" si="75"/>
        <v>0</v>
      </c>
      <c r="FSI22" s="1902">
        <f t="shared" si="75"/>
        <v>0</v>
      </c>
      <c r="FSJ22" s="1902">
        <f t="shared" si="75"/>
        <v>0</v>
      </c>
      <c r="FSK22" s="1902">
        <f t="shared" si="75"/>
        <v>0</v>
      </c>
      <c r="FSL22" s="1902">
        <f t="shared" si="75"/>
        <v>0</v>
      </c>
      <c r="FSM22" s="1902">
        <f t="shared" si="75"/>
        <v>0</v>
      </c>
      <c r="FSN22" s="1902">
        <f t="shared" si="75"/>
        <v>0</v>
      </c>
      <c r="FSO22" s="1902">
        <f t="shared" si="75"/>
        <v>0</v>
      </c>
      <c r="FSP22" s="1902">
        <f t="shared" si="75"/>
        <v>0</v>
      </c>
      <c r="FSQ22" s="1902">
        <f t="shared" si="75"/>
        <v>0</v>
      </c>
      <c r="FSR22" s="1902">
        <f t="shared" si="75"/>
        <v>0</v>
      </c>
      <c r="FSS22" s="1902">
        <f t="shared" si="75"/>
        <v>0</v>
      </c>
      <c r="FST22" s="1902">
        <f t="shared" si="75"/>
        <v>0</v>
      </c>
      <c r="FSU22" s="1902">
        <f t="shared" si="75"/>
        <v>0</v>
      </c>
      <c r="FSV22" s="1902">
        <f t="shared" si="75"/>
        <v>0</v>
      </c>
      <c r="FSW22" s="1902">
        <f t="shared" si="75"/>
        <v>0</v>
      </c>
      <c r="FSX22" s="1902">
        <f t="shared" si="75"/>
        <v>0</v>
      </c>
      <c r="FSY22" s="1902">
        <f t="shared" si="75"/>
        <v>0</v>
      </c>
      <c r="FSZ22" s="1902">
        <f t="shared" si="75"/>
        <v>0</v>
      </c>
      <c r="FTA22" s="1902">
        <f t="shared" si="75"/>
        <v>0</v>
      </c>
      <c r="FTB22" s="1902">
        <f t="shared" si="75"/>
        <v>0</v>
      </c>
      <c r="FTC22" s="1902">
        <f t="shared" si="75"/>
        <v>0</v>
      </c>
      <c r="FTD22" s="1902">
        <f t="shared" si="75"/>
        <v>0</v>
      </c>
      <c r="FTE22" s="1902">
        <f t="shared" si="75"/>
        <v>0</v>
      </c>
      <c r="FTF22" s="1902">
        <f t="shared" si="75"/>
        <v>0</v>
      </c>
      <c r="FTG22" s="1902">
        <f t="shared" si="75"/>
        <v>0</v>
      </c>
      <c r="FTH22" s="1902">
        <f t="shared" si="75"/>
        <v>0</v>
      </c>
      <c r="FTI22" s="1902">
        <f t="shared" si="75"/>
        <v>0</v>
      </c>
      <c r="FTJ22" s="1902">
        <f t="shared" si="75"/>
        <v>0</v>
      </c>
      <c r="FTK22" s="1902">
        <f t="shared" si="75"/>
        <v>0</v>
      </c>
      <c r="FTL22" s="1902">
        <f t="shared" si="75"/>
        <v>0</v>
      </c>
      <c r="FTM22" s="1902">
        <f t="shared" si="75"/>
        <v>0</v>
      </c>
      <c r="FTN22" s="1902">
        <f t="shared" si="75"/>
        <v>0</v>
      </c>
      <c r="FTO22" s="1902">
        <f t="shared" si="75"/>
        <v>0</v>
      </c>
      <c r="FTP22" s="1902">
        <f t="shared" si="75"/>
        <v>0</v>
      </c>
      <c r="FTQ22" s="1902">
        <f t="shared" si="75"/>
        <v>0</v>
      </c>
      <c r="FTR22" s="1902">
        <f t="shared" si="75"/>
        <v>0</v>
      </c>
      <c r="FTS22" s="1902">
        <f t="shared" si="75"/>
        <v>0</v>
      </c>
      <c r="FTT22" s="1902">
        <f t="shared" si="75"/>
        <v>0</v>
      </c>
      <c r="FTU22" s="1902">
        <f t="shared" si="75"/>
        <v>0</v>
      </c>
      <c r="FTV22" s="1902">
        <f t="shared" si="75"/>
        <v>0</v>
      </c>
      <c r="FTW22" s="1902">
        <f t="shared" si="75"/>
        <v>0</v>
      </c>
      <c r="FTX22" s="1902">
        <f t="shared" si="75"/>
        <v>0</v>
      </c>
      <c r="FTY22" s="1902">
        <f t="shared" si="75"/>
        <v>0</v>
      </c>
      <c r="FTZ22" s="1902">
        <f t="shared" si="75"/>
        <v>0</v>
      </c>
      <c r="FUA22" s="1902">
        <f t="shared" si="75"/>
        <v>0</v>
      </c>
      <c r="FUB22" s="1902">
        <f t="shared" si="75"/>
        <v>0</v>
      </c>
      <c r="FUC22" s="1902">
        <f t="shared" si="75"/>
        <v>0</v>
      </c>
      <c r="FUD22" s="1902">
        <f t="shared" si="75"/>
        <v>0</v>
      </c>
      <c r="FUE22" s="1902">
        <f t="shared" si="75"/>
        <v>0</v>
      </c>
      <c r="FUF22" s="1902">
        <f t="shared" si="75"/>
        <v>0</v>
      </c>
      <c r="FUG22" s="1902">
        <f t="shared" si="75"/>
        <v>0</v>
      </c>
      <c r="FUH22" s="1902">
        <f t="shared" si="75"/>
        <v>0</v>
      </c>
      <c r="FUI22" s="1902">
        <f t="shared" si="75"/>
        <v>0</v>
      </c>
      <c r="FUJ22" s="1902">
        <f t="shared" si="75"/>
        <v>0</v>
      </c>
      <c r="FUK22" s="1902">
        <f t="shared" si="75"/>
        <v>0</v>
      </c>
      <c r="FUL22" s="1902">
        <f t="shared" si="75"/>
        <v>0</v>
      </c>
      <c r="FUM22" s="1902">
        <f t="shared" si="75"/>
        <v>0</v>
      </c>
      <c r="FUN22" s="1902">
        <f t="shared" si="75"/>
        <v>0</v>
      </c>
      <c r="FUO22" s="1902">
        <f t="shared" si="75"/>
        <v>0</v>
      </c>
      <c r="FUP22" s="1902">
        <f t="shared" si="75"/>
        <v>0</v>
      </c>
      <c r="FUQ22" s="1902">
        <f t="shared" ref="FUQ22:FXB22" si="76">IF(AND(FUQ$26="End of period",FUQ$25="Revenue"),FUQ9,0)</f>
        <v>0</v>
      </c>
      <c r="FUR22" s="1902">
        <f t="shared" si="76"/>
        <v>0</v>
      </c>
      <c r="FUS22" s="1902">
        <f t="shared" si="76"/>
        <v>0</v>
      </c>
      <c r="FUT22" s="1902">
        <f t="shared" si="76"/>
        <v>0</v>
      </c>
      <c r="FUU22" s="1902">
        <f t="shared" si="76"/>
        <v>0</v>
      </c>
      <c r="FUV22" s="1902">
        <f t="shared" si="76"/>
        <v>0</v>
      </c>
      <c r="FUW22" s="1902">
        <f t="shared" si="76"/>
        <v>0</v>
      </c>
      <c r="FUX22" s="1902">
        <f t="shared" si="76"/>
        <v>0</v>
      </c>
      <c r="FUY22" s="1902">
        <f t="shared" si="76"/>
        <v>0</v>
      </c>
      <c r="FUZ22" s="1902">
        <f t="shared" si="76"/>
        <v>0</v>
      </c>
      <c r="FVA22" s="1902">
        <f t="shared" si="76"/>
        <v>0</v>
      </c>
      <c r="FVB22" s="1902">
        <f t="shared" si="76"/>
        <v>0</v>
      </c>
      <c r="FVC22" s="1902">
        <f t="shared" si="76"/>
        <v>0</v>
      </c>
      <c r="FVD22" s="1902">
        <f t="shared" si="76"/>
        <v>0</v>
      </c>
      <c r="FVE22" s="1902">
        <f t="shared" si="76"/>
        <v>0</v>
      </c>
      <c r="FVF22" s="1902">
        <f t="shared" si="76"/>
        <v>0</v>
      </c>
      <c r="FVG22" s="1902">
        <f t="shared" si="76"/>
        <v>0</v>
      </c>
      <c r="FVH22" s="1902">
        <f t="shared" si="76"/>
        <v>0</v>
      </c>
      <c r="FVI22" s="1902">
        <f t="shared" si="76"/>
        <v>0</v>
      </c>
      <c r="FVJ22" s="1902">
        <f t="shared" si="76"/>
        <v>0</v>
      </c>
      <c r="FVK22" s="1902">
        <f t="shared" si="76"/>
        <v>0</v>
      </c>
      <c r="FVL22" s="1902">
        <f t="shared" si="76"/>
        <v>0</v>
      </c>
      <c r="FVM22" s="1902">
        <f t="shared" si="76"/>
        <v>0</v>
      </c>
      <c r="FVN22" s="1902">
        <f t="shared" si="76"/>
        <v>0</v>
      </c>
      <c r="FVO22" s="1902">
        <f t="shared" si="76"/>
        <v>0</v>
      </c>
      <c r="FVP22" s="1902">
        <f t="shared" si="76"/>
        <v>0</v>
      </c>
      <c r="FVQ22" s="1902">
        <f t="shared" si="76"/>
        <v>0</v>
      </c>
      <c r="FVR22" s="1902">
        <f t="shared" si="76"/>
        <v>0</v>
      </c>
      <c r="FVS22" s="1902">
        <f t="shared" si="76"/>
        <v>0</v>
      </c>
      <c r="FVT22" s="1902">
        <f t="shared" si="76"/>
        <v>0</v>
      </c>
      <c r="FVU22" s="1902">
        <f t="shared" si="76"/>
        <v>0</v>
      </c>
      <c r="FVV22" s="1902">
        <f t="shared" si="76"/>
        <v>0</v>
      </c>
      <c r="FVW22" s="1902">
        <f t="shared" si="76"/>
        <v>0</v>
      </c>
      <c r="FVX22" s="1902">
        <f t="shared" si="76"/>
        <v>0</v>
      </c>
      <c r="FVY22" s="1902">
        <f t="shared" si="76"/>
        <v>0</v>
      </c>
      <c r="FVZ22" s="1902">
        <f t="shared" si="76"/>
        <v>0</v>
      </c>
      <c r="FWA22" s="1902">
        <f t="shared" si="76"/>
        <v>0</v>
      </c>
      <c r="FWB22" s="1902">
        <f t="shared" si="76"/>
        <v>0</v>
      </c>
      <c r="FWC22" s="1902">
        <f t="shared" si="76"/>
        <v>0</v>
      </c>
      <c r="FWD22" s="1902">
        <f t="shared" si="76"/>
        <v>0</v>
      </c>
      <c r="FWE22" s="1902">
        <f t="shared" si="76"/>
        <v>0</v>
      </c>
      <c r="FWF22" s="1902">
        <f t="shared" si="76"/>
        <v>0</v>
      </c>
      <c r="FWG22" s="1902">
        <f t="shared" si="76"/>
        <v>0</v>
      </c>
      <c r="FWH22" s="1902">
        <f t="shared" si="76"/>
        <v>0</v>
      </c>
      <c r="FWI22" s="1902">
        <f t="shared" si="76"/>
        <v>0</v>
      </c>
      <c r="FWJ22" s="1902">
        <f t="shared" si="76"/>
        <v>0</v>
      </c>
      <c r="FWK22" s="1902">
        <f t="shared" si="76"/>
        <v>0</v>
      </c>
      <c r="FWL22" s="1902">
        <f t="shared" si="76"/>
        <v>0</v>
      </c>
      <c r="FWM22" s="1902">
        <f t="shared" si="76"/>
        <v>0</v>
      </c>
      <c r="FWN22" s="1902">
        <f t="shared" si="76"/>
        <v>0</v>
      </c>
      <c r="FWO22" s="1902">
        <f t="shared" si="76"/>
        <v>0</v>
      </c>
      <c r="FWP22" s="1902">
        <f t="shared" si="76"/>
        <v>0</v>
      </c>
      <c r="FWQ22" s="1902">
        <f t="shared" si="76"/>
        <v>0</v>
      </c>
      <c r="FWR22" s="1902">
        <f t="shared" si="76"/>
        <v>0</v>
      </c>
      <c r="FWS22" s="1902">
        <f t="shared" si="76"/>
        <v>0</v>
      </c>
      <c r="FWT22" s="1902">
        <f t="shared" si="76"/>
        <v>0</v>
      </c>
      <c r="FWU22" s="1902">
        <f t="shared" si="76"/>
        <v>0</v>
      </c>
      <c r="FWV22" s="1902">
        <f t="shared" si="76"/>
        <v>0</v>
      </c>
      <c r="FWW22" s="1902">
        <f t="shared" si="76"/>
        <v>0</v>
      </c>
      <c r="FWX22" s="1902">
        <f t="shared" si="76"/>
        <v>0</v>
      </c>
      <c r="FWY22" s="1902">
        <f t="shared" si="76"/>
        <v>0</v>
      </c>
      <c r="FWZ22" s="1902">
        <f t="shared" si="76"/>
        <v>0</v>
      </c>
      <c r="FXA22" s="1902">
        <f t="shared" si="76"/>
        <v>0</v>
      </c>
      <c r="FXB22" s="1902">
        <f t="shared" si="76"/>
        <v>0</v>
      </c>
      <c r="FXC22" s="1902">
        <f t="shared" ref="FXC22:FZN22" si="77">IF(AND(FXC$26="End of period",FXC$25="Revenue"),FXC9,0)</f>
        <v>0</v>
      </c>
      <c r="FXD22" s="1902">
        <f t="shared" si="77"/>
        <v>0</v>
      </c>
      <c r="FXE22" s="1902">
        <f t="shared" si="77"/>
        <v>0</v>
      </c>
      <c r="FXF22" s="1902">
        <f t="shared" si="77"/>
        <v>0</v>
      </c>
      <c r="FXG22" s="1902">
        <f t="shared" si="77"/>
        <v>0</v>
      </c>
      <c r="FXH22" s="1902">
        <f t="shared" si="77"/>
        <v>0</v>
      </c>
      <c r="FXI22" s="1902">
        <f t="shared" si="77"/>
        <v>0</v>
      </c>
      <c r="FXJ22" s="1902">
        <f t="shared" si="77"/>
        <v>0</v>
      </c>
      <c r="FXK22" s="1902">
        <f t="shared" si="77"/>
        <v>0</v>
      </c>
      <c r="FXL22" s="1902">
        <f t="shared" si="77"/>
        <v>0</v>
      </c>
      <c r="FXM22" s="1902">
        <f t="shared" si="77"/>
        <v>0</v>
      </c>
      <c r="FXN22" s="1902">
        <f t="shared" si="77"/>
        <v>0</v>
      </c>
      <c r="FXO22" s="1902">
        <f t="shared" si="77"/>
        <v>0</v>
      </c>
      <c r="FXP22" s="1902">
        <f t="shared" si="77"/>
        <v>0</v>
      </c>
      <c r="FXQ22" s="1902">
        <f t="shared" si="77"/>
        <v>0</v>
      </c>
      <c r="FXR22" s="1902">
        <f t="shared" si="77"/>
        <v>0</v>
      </c>
      <c r="FXS22" s="1902">
        <f t="shared" si="77"/>
        <v>0</v>
      </c>
      <c r="FXT22" s="1902">
        <f t="shared" si="77"/>
        <v>0</v>
      </c>
      <c r="FXU22" s="1902">
        <f t="shared" si="77"/>
        <v>0</v>
      </c>
      <c r="FXV22" s="1902">
        <f t="shared" si="77"/>
        <v>0</v>
      </c>
      <c r="FXW22" s="1902">
        <f t="shared" si="77"/>
        <v>0</v>
      </c>
      <c r="FXX22" s="1902">
        <f t="shared" si="77"/>
        <v>0</v>
      </c>
      <c r="FXY22" s="1902">
        <f t="shared" si="77"/>
        <v>0</v>
      </c>
      <c r="FXZ22" s="1902">
        <f t="shared" si="77"/>
        <v>0</v>
      </c>
      <c r="FYA22" s="1902">
        <f t="shared" si="77"/>
        <v>0</v>
      </c>
      <c r="FYB22" s="1902">
        <f t="shared" si="77"/>
        <v>0</v>
      </c>
      <c r="FYC22" s="1902">
        <f t="shared" si="77"/>
        <v>0</v>
      </c>
      <c r="FYD22" s="1902">
        <f t="shared" si="77"/>
        <v>0</v>
      </c>
      <c r="FYE22" s="1902">
        <f t="shared" si="77"/>
        <v>0</v>
      </c>
      <c r="FYF22" s="1902">
        <f t="shared" si="77"/>
        <v>0</v>
      </c>
      <c r="FYG22" s="1902">
        <f t="shared" si="77"/>
        <v>0</v>
      </c>
      <c r="FYH22" s="1902">
        <f t="shared" si="77"/>
        <v>0</v>
      </c>
      <c r="FYI22" s="1902">
        <f t="shared" si="77"/>
        <v>0</v>
      </c>
      <c r="FYJ22" s="1902">
        <f t="shared" si="77"/>
        <v>0</v>
      </c>
      <c r="FYK22" s="1902">
        <f t="shared" si="77"/>
        <v>0</v>
      </c>
      <c r="FYL22" s="1902">
        <f t="shared" si="77"/>
        <v>0</v>
      </c>
      <c r="FYM22" s="1902">
        <f t="shared" si="77"/>
        <v>0</v>
      </c>
      <c r="FYN22" s="1902">
        <f t="shared" si="77"/>
        <v>0</v>
      </c>
      <c r="FYO22" s="1902">
        <f t="shared" si="77"/>
        <v>0</v>
      </c>
      <c r="FYP22" s="1902">
        <f t="shared" si="77"/>
        <v>0</v>
      </c>
      <c r="FYQ22" s="1902">
        <f t="shared" si="77"/>
        <v>0</v>
      </c>
      <c r="FYR22" s="1902">
        <f t="shared" si="77"/>
        <v>0</v>
      </c>
      <c r="FYS22" s="1902">
        <f t="shared" si="77"/>
        <v>0</v>
      </c>
      <c r="FYT22" s="1902">
        <f t="shared" si="77"/>
        <v>0</v>
      </c>
      <c r="FYU22" s="1902">
        <f t="shared" si="77"/>
        <v>0</v>
      </c>
      <c r="FYV22" s="1902">
        <f t="shared" si="77"/>
        <v>0</v>
      </c>
      <c r="FYW22" s="1902">
        <f t="shared" si="77"/>
        <v>0</v>
      </c>
      <c r="FYX22" s="1902">
        <f t="shared" si="77"/>
        <v>0</v>
      </c>
      <c r="FYY22" s="1902">
        <f t="shared" si="77"/>
        <v>0</v>
      </c>
      <c r="FYZ22" s="1902">
        <f t="shared" si="77"/>
        <v>0</v>
      </c>
      <c r="FZA22" s="1902">
        <f t="shared" si="77"/>
        <v>0</v>
      </c>
      <c r="FZB22" s="1902">
        <f t="shared" si="77"/>
        <v>0</v>
      </c>
      <c r="FZC22" s="1902">
        <f t="shared" si="77"/>
        <v>0</v>
      </c>
      <c r="FZD22" s="1902">
        <f t="shared" si="77"/>
        <v>0</v>
      </c>
      <c r="FZE22" s="1902">
        <f t="shared" si="77"/>
        <v>0</v>
      </c>
      <c r="FZF22" s="1902">
        <f t="shared" si="77"/>
        <v>0</v>
      </c>
      <c r="FZG22" s="1902">
        <f t="shared" si="77"/>
        <v>0</v>
      </c>
      <c r="FZH22" s="1902">
        <f t="shared" si="77"/>
        <v>0</v>
      </c>
      <c r="FZI22" s="1902">
        <f t="shared" si="77"/>
        <v>0</v>
      </c>
      <c r="FZJ22" s="1902">
        <f t="shared" si="77"/>
        <v>0</v>
      </c>
      <c r="FZK22" s="1902">
        <f t="shared" si="77"/>
        <v>0</v>
      </c>
      <c r="FZL22" s="1902">
        <f t="shared" si="77"/>
        <v>0</v>
      </c>
      <c r="FZM22" s="1902">
        <f t="shared" si="77"/>
        <v>0</v>
      </c>
      <c r="FZN22" s="1902">
        <f t="shared" si="77"/>
        <v>0</v>
      </c>
      <c r="FZO22" s="1902">
        <f t="shared" ref="FZO22:GBZ22" si="78">IF(AND(FZO$26="End of period",FZO$25="Revenue"),FZO9,0)</f>
        <v>0</v>
      </c>
      <c r="FZP22" s="1902">
        <f t="shared" si="78"/>
        <v>0</v>
      </c>
      <c r="FZQ22" s="1902">
        <f t="shared" si="78"/>
        <v>0</v>
      </c>
      <c r="FZR22" s="1902">
        <f t="shared" si="78"/>
        <v>0</v>
      </c>
      <c r="FZS22" s="1902">
        <f t="shared" si="78"/>
        <v>0</v>
      </c>
      <c r="FZT22" s="1902">
        <f t="shared" si="78"/>
        <v>0</v>
      </c>
      <c r="FZU22" s="1902">
        <f t="shared" si="78"/>
        <v>0</v>
      </c>
      <c r="FZV22" s="1902">
        <f t="shared" si="78"/>
        <v>0</v>
      </c>
      <c r="FZW22" s="1902">
        <f t="shared" si="78"/>
        <v>0</v>
      </c>
      <c r="FZX22" s="1902">
        <f t="shared" si="78"/>
        <v>0</v>
      </c>
      <c r="FZY22" s="1902">
        <f t="shared" si="78"/>
        <v>0</v>
      </c>
      <c r="FZZ22" s="1902">
        <f t="shared" si="78"/>
        <v>0</v>
      </c>
      <c r="GAA22" s="1902">
        <f t="shared" si="78"/>
        <v>0</v>
      </c>
      <c r="GAB22" s="1902">
        <f t="shared" si="78"/>
        <v>0</v>
      </c>
      <c r="GAC22" s="1902">
        <f t="shared" si="78"/>
        <v>0</v>
      </c>
      <c r="GAD22" s="1902">
        <f t="shared" si="78"/>
        <v>0</v>
      </c>
      <c r="GAE22" s="1902">
        <f t="shared" si="78"/>
        <v>0</v>
      </c>
      <c r="GAF22" s="1902">
        <f t="shared" si="78"/>
        <v>0</v>
      </c>
      <c r="GAG22" s="1902">
        <f t="shared" si="78"/>
        <v>0</v>
      </c>
      <c r="GAH22" s="1902">
        <f t="shared" si="78"/>
        <v>0</v>
      </c>
      <c r="GAI22" s="1902">
        <f t="shared" si="78"/>
        <v>0</v>
      </c>
      <c r="GAJ22" s="1902">
        <f t="shared" si="78"/>
        <v>0</v>
      </c>
      <c r="GAK22" s="1902">
        <f t="shared" si="78"/>
        <v>0</v>
      </c>
      <c r="GAL22" s="1902">
        <f t="shared" si="78"/>
        <v>0</v>
      </c>
      <c r="GAM22" s="1902">
        <f t="shared" si="78"/>
        <v>0</v>
      </c>
      <c r="GAN22" s="1902">
        <f t="shared" si="78"/>
        <v>0</v>
      </c>
      <c r="GAO22" s="1902">
        <f t="shared" si="78"/>
        <v>0</v>
      </c>
      <c r="GAP22" s="1902">
        <f t="shared" si="78"/>
        <v>0</v>
      </c>
      <c r="GAQ22" s="1902">
        <f t="shared" si="78"/>
        <v>0</v>
      </c>
      <c r="GAR22" s="1902">
        <f t="shared" si="78"/>
        <v>0</v>
      </c>
      <c r="GAS22" s="1902">
        <f t="shared" si="78"/>
        <v>0</v>
      </c>
      <c r="GAT22" s="1902">
        <f t="shared" si="78"/>
        <v>0</v>
      </c>
      <c r="GAU22" s="1902">
        <f t="shared" si="78"/>
        <v>0</v>
      </c>
      <c r="GAV22" s="1902">
        <f t="shared" si="78"/>
        <v>0</v>
      </c>
      <c r="GAW22" s="1902">
        <f t="shared" si="78"/>
        <v>0</v>
      </c>
      <c r="GAX22" s="1902">
        <f t="shared" si="78"/>
        <v>0</v>
      </c>
      <c r="GAY22" s="1902">
        <f t="shared" si="78"/>
        <v>0</v>
      </c>
      <c r="GAZ22" s="1902">
        <f t="shared" si="78"/>
        <v>0</v>
      </c>
      <c r="GBA22" s="1902">
        <f t="shared" si="78"/>
        <v>0</v>
      </c>
      <c r="GBB22" s="1902">
        <f t="shared" si="78"/>
        <v>0</v>
      </c>
      <c r="GBC22" s="1902">
        <f t="shared" si="78"/>
        <v>0</v>
      </c>
      <c r="GBD22" s="1902">
        <f t="shared" si="78"/>
        <v>0</v>
      </c>
      <c r="GBE22" s="1902">
        <f t="shared" si="78"/>
        <v>0</v>
      </c>
      <c r="GBF22" s="1902">
        <f t="shared" si="78"/>
        <v>0</v>
      </c>
      <c r="GBG22" s="1902">
        <f t="shared" si="78"/>
        <v>0</v>
      </c>
      <c r="GBH22" s="1902">
        <f t="shared" si="78"/>
        <v>0</v>
      </c>
      <c r="GBI22" s="1902">
        <f t="shared" si="78"/>
        <v>0</v>
      </c>
      <c r="GBJ22" s="1902">
        <f t="shared" si="78"/>
        <v>0</v>
      </c>
      <c r="GBK22" s="1902">
        <f t="shared" si="78"/>
        <v>0</v>
      </c>
      <c r="GBL22" s="1902">
        <f t="shared" si="78"/>
        <v>0</v>
      </c>
      <c r="GBM22" s="1902">
        <f t="shared" si="78"/>
        <v>0</v>
      </c>
      <c r="GBN22" s="1902">
        <f t="shared" si="78"/>
        <v>0</v>
      </c>
      <c r="GBO22" s="1902">
        <f t="shared" si="78"/>
        <v>0</v>
      </c>
      <c r="GBP22" s="1902">
        <f t="shared" si="78"/>
        <v>0</v>
      </c>
      <c r="GBQ22" s="1902">
        <f t="shared" si="78"/>
        <v>0</v>
      </c>
      <c r="GBR22" s="1902">
        <f t="shared" si="78"/>
        <v>0</v>
      </c>
      <c r="GBS22" s="1902">
        <f t="shared" si="78"/>
        <v>0</v>
      </c>
      <c r="GBT22" s="1902">
        <f t="shared" si="78"/>
        <v>0</v>
      </c>
      <c r="GBU22" s="1902">
        <f t="shared" si="78"/>
        <v>0</v>
      </c>
      <c r="GBV22" s="1902">
        <f t="shared" si="78"/>
        <v>0</v>
      </c>
      <c r="GBW22" s="1902">
        <f t="shared" si="78"/>
        <v>0</v>
      </c>
      <c r="GBX22" s="1902">
        <f t="shared" si="78"/>
        <v>0</v>
      </c>
      <c r="GBY22" s="1902">
        <f t="shared" si="78"/>
        <v>0</v>
      </c>
      <c r="GBZ22" s="1902">
        <f t="shared" si="78"/>
        <v>0</v>
      </c>
      <c r="GCA22" s="1902">
        <f t="shared" ref="GCA22:GEL22" si="79">IF(AND(GCA$26="End of period",GCA$25="Revenue"),GCA9,0)</f>
        <v>0</v>
      </c>
      <c r="GCB22" s="1902">
        <f t="shared" si="79"/>
        <v>0</v>
      </c>
      <c r="GCC22" s="1902">
        <f t="shared" si="79"/>
        <v>0</v>
      </c>
      <c r="GCD22" s="1902">
        <f t="shared" si="79"/>
        <v>0</v>
      </c>
      <c r="GCE22" s="1902">
        <f t="shared" si="79"/>
        <v>0</v>
      </c>
      <c r="GCF22" s="1902">
        <f t="shared" si="79"/>
        <v>0</v>
      </c>
      <c r="GCG22" s="1902">
        <f t="shared" si="79"/>
        <v>0</v>
      </c>
      <c r="GCH22" s="1902">
        <f t="shared" si="79"/>
        <v>0</v>
      </c>
      <c r="GCI22" s="1902">
        <f t="shared" si="79"/>
        <v>0</v>
      </c>
      <c r="GCJ22" s="1902">
        <f t="shared" si="79"/>
        <v>0</v>
      </c>
      <c r="GCK22" s="1902">
        <f t="shared" si="79"/>
        <v>0</v>
      </c>
      <c r="GCL22" s="1902">
        <f t="shared" si="79"/>
        <v>0</v>
      </c>
      <c r="GCM22" s="1902">
        <f t="shared" si="79"/>
        <v>0</v>
      </c>
      <c r="GCN22" s="1902">
        <f t="shared" si="79"/>
        <v>0</v>
      </c>
      <c r="GCO22" s="1902">
        <f t="shared" si="79"/>
        <v>0</v>
      </c>
      <c r="GCP22" s="1902">
        <f t="shared" si="79"/>
        <v>0</v>
      </c>
      <c r="GCQ22" s="1902">
        <f t="shared" si="79"/>
        <v>0</v>
      </c>
      <c r="GCR22" s="1902">
        <f t="shared" si="79"/>
        <v>0</v>
      </c>
      <c r="GCS22" s="1902">
        <f t="shared" si="79"/>
        <v>0</v>
      </c>
      <c r="GCT22" s="1902">
        <f t="shared" si="79"/>
        <v>0</v>
      </c>
      <c r="GCU22" s="1902">
        <f t="shared" si="79"/>
        <v>0</v>
      </c>
      <c r="GCV22" s="1902">
        <f t="shared" si="79"/>
        <v>0</v>
      </c>
      <c r="GCW22" s="1902">
        <f t="shared" si="79"/>
        <v>0</v>
      </c>
      <c r="GCX22" s="1902">
        <f t="shared" si="79"/>
        <v>0</v>
      </c>
      <c r="GCY22" s="1902">
        <f t="shared" si="79"/>
        <v>0</v>
      </c>
      <c r="GCZ22" s="1902">
        <f t="shared" si="79"/>
        <v>0</v>
      </c>
      <c r="GDA22" s="1902">
        <f t="shared" si="79"/>
        <v>0</v>
      </c>
      <c r="GDB22" s="1902">
        <f t="shared" si="79"/>
        <v>0</v>
      </c>
      <c r="GDC22" s="1902">
        <f t="shared" si="79"/>
        <v>0</v>
      </c>
      <c r="GDD22" s="1902">
        <f t="shared" si="79"/>
        <v>0</v>
      </c>
      <c r="GDE22" s="1902">
        <f t="shared" si="79"/>
        <v>0</v>
      </c>
      <c r="GDF22" s="1902">
        <f t="shared" si="79"/>
        <v>0</v>
      </c>
      <c r="GDG22" s="1902">
        <f t="shared" si="79"/>
        <v>0</v>
      </c>
      <c r="GDH22" s="1902">
        <f t="shared" si="79"/>
        <v>0</v>
      </c>
      <c r="GDI22" s="1902">
        <f t="shared" si="79"/>
        <v>0</v>
      </c>
      <c r="GDJ22" s="1902">
        <f t="shared" si="79"/>
        <v>0</v>
      </c>
      <c r="GDK22" s="1902">
        <f t="shared" si="79"/>
        <v>0</v>
      </c>
      <c r="GDL22" s="1902">
        <f t="shared" si="79"/>
        <v>0</v>
      </c>
      <c r="GDM22" s="1902">
        <f t="shared" si="79"/>
        <v>0</v>
      </c>
      <c r="GDN22" s="1902">
        <f t="shared" si="79"/>
        <v>0</v>
      </c>
      <c r="GDO22" s="1902">
        <f t="shared" si="79"/>
        <v>0</v>
      </c>
      <c r="GDP22" s="1902">
        <f t="shared" si="79"/>
        <v>0</v>
      </c>
      <c r="GDQ22" s="1902">
        <f t="shared" si="79"/>
        <v>0</v>
      </c>
      <c r="GDR22" s="1902">
        <f t="shared" si="79"/>
        <v>0</v>
      </c>
      <c r="GDS22" s="1902">
        <f t="shared" si="79"/>
        <v>0</v>
      </c>
      <c r="GDT22" s="1902">
        <f t="shared" si="79"/>
        <v>0</v>
      </c>
      <c r="GDU22" s="1902">
        <f t="shared" si="79"/>
        <v>0</v>
      </c>
      <c r="GDV22" s="1902">
        <f t="shared" si="79"/>
        <v>0</v>
      </c>
      <c r="GDW22" s="1902">
        <f t="shared" si="79"/>
        <v>0</v>
      </c>
      <c r="GDX22" s="1902">
        <f t="shared" si="79"/>
        <v>0</v>
      </c>
      <c r="GDY22" s="1902">
        <f t="shared" si="79"/>
        <v>0</v>
      </c>
      <c r="GDZ22" s="1902">
        <f t="shared" si="79"/>
        <v>0</v>
      </c>
      <c r="GEA22" s="1902">
        <f t="shared" si="79"/>
        <v>0</v>
      </c>
      <c r="GEB22" s="1902">
        <f t="shared" si="79"/>
        <v>0</v>
      </c>
      <c r="GEC22" s="1902">
        <f t="shared" si="79"/>
        <v>0</v>
      </c>
      <c r="GED22" s="1902">
        <f t="shared" si="79"/>
        <v>0</v>
      </c>
      <c r="GEE22" s="1902">
        <f t="shared" si="79"/>
        <v>0</v>
      </c>
      <c r="GEF22" s="1902">
        <f t="shared" si="79"/>
        <v>0</v>
      </c>
      <c r="GEG22" s="1902">
        <f t="shared" si="79"/>
        <v>0</v>
      </c>
      <c r="GEH22" s="1902">
        <f t="shared" si="79"/>
        <v>0</v>
      </c>
      <c r="GEI22" s="1902">
        <f t="shared" si="79"/>
        <v>0</v>
      </c>
      <c r="GEJ22" s="1902">
        <f t="shared" si="79"/>
        <v>0</v>
      </c>
      <c r="GEK22" s="1902">
        <f t="shared" si="79"/>
        <v>0</v>
      </c>
      <c r="GEL22" s="1902">
        <f t="shared" si="79"/>
        <v>0</v>
      </c>
      <c r="GEM22" s="1902">
        <f t="shared" ref="GEM22:GGX22" si="80">IF(AND(GEM$26="End of period",GEM$25="Revenue"),GEM9,0)</f>
        <v>0</v>
      </c>
      <c r="GEN22" s="1902">
        <f t="shared" si="80"/>
        <v>0</v>
      </c>
      <c r="GEO22" s="1902">
        <f t="shared" si="80"/>
        <v>0</v>
      </c>
      <c r="GEP22" s="1902">
        <f t="shared" si="80"/>
        <v>0</v>
      </c>
      <c r="GEQ22" s="1902">
        <f t="shared" si="80"/>
        <v>0</v>
      </c>
      <c r="GER22" s="1902">
        <f t="shared" si="80"/>
        <v>0</v>
      </c>
      <c r="GES22" s="1902">
        <f t="shared" si="80"/>
        <v>0</v>
      </c>
      <c r="GET22" s="1902">
        <f t="shared" si="80"/>
        <v>0</v>
      </c>
      <c r="GEU22" s="1902">
        <f t="shared" si="80"/>
        <v>0</v>
      </c>
      <c r="GEV22" s="1902">
        <f t="shared" si="80"/>
        <v>0</v>
      </c>
      <c r="GEW22" s="1902">
        <f t="shared" si="80"/>
        <v>0</v>
      </c>
      <c r="GEX22" s="1902">
        <f t="shared" si="80"/>
        <v>0</v>
      </c>
      <c r="GEY22" s="1902">
        <f t="shared" si="80"/>
        <v>0</v>
      </c>
      <c r="GEZ22" s="1902">
        <f t="shared" si="80"/>
        <v>0</v>
      </c>
      <c r="GFA22" s="1902">
        <f t="shared" si="80"/>
        <v>0</v>
      </c>
      <c r="GFB22" s="1902">
        <f t="shared" si="80"/>
        <v>0</v>
      </c>
      <c r="GFC22" s="1902">
        <f t="shared" si="80"/>
        <v>0</v>
      </c>
      <c r="GFD22" s="1902">
        <f t="shared" si="80"/>
        <v>0</v>
      </c>
      <c r="GFE22" s="1902">
        <f t="shared" si="80"/>
        <v>0</v>
      </c>
      <c r="GFF22" s="1902">
        <f t="shared" si="80"/>
        <v>0</v>
      </c>
      <c r="GFG22" s="1902">
        <f t="shared" si="80"/>
        <v>0</v>
      </c>
      <c r="GFH22" s="1902">
        <f t="shared" si="80"/>
        <v>0</v>
      </c>
      <c r="GFI22" s="1902">
        <f t="shared" si="80"/>
        <v>0</v>
      </c>
      <c r="GFJ22" s="1902">
        <f t="shared" si="80"/>
        <v>0</v>
      </c>
      <c r="GFK22" s="1902">
        <f t="shared" si="80"/>
        <v>0</v>
      </c>
      <c r="GFL22" s="1902">
        <f t="shared" si="80"/>
        <v>0</v>
      </c>
      <c r="GFM22" s="1902">
        <f t="shared" si="80"/>
        <v>0</v>
      </c>
      <c r="GFN22" s="1902">
        <f t="shared" si="80"/>
        <v>0</v>
      </c>
      <c r="GFO22" s="1902">
        <f t="shared" si="80"/>
        <v>0</v>
      </c>
      <c r="GFP22" s="1902">
        <f t="shared" si="80"/>
        <v>0</v>
      </c>
      <c r="GFQ22" s="1902">
        <f t="shared" si="80"/>
        <v>0</v>
      </c>
      <c r="GFR22" s="1902">
        <f t="shared" si="80"/>
        <v>0</v>
      </c>
      <c r="GFS22" s="1902">
        <f t="shared" si="80"/>
        <v>0</v>
      </c>
      <c r="GFT22" s="1902">
        <f t="shared" si="80"/>
        <v>0</v>
      </c>
      <c r="GFU22" s="1902">
        <f t="shared" si="80"/>
        <v>0</v>
      </c>
      <c r="GFV22" s="1902">
        <f t="shared" si="80"/>
        <v>0</v>
      </c>
      <c r="GFW22" s="1902">
        <f t="shared" si="80"/>
        <v>0</v>
      </c>
      <c r="GFX22" s="1902">
        <f t="shared" si="80"/>
        <v>0</v>
      </c>
      <c r="GFY22" s="1902">
        <f t="shared" si="80"/>
        <v>0</v>
      </c>
      <c r="GFZ22" s="1902">
        <f t="shared" si="80"/>
        <v>0</v>
      </c>
      <c r="GGA22" s="1902">
        <f t="shared" si="80"/>
        <v>0</v>
      </c>
      <c r="GGB22" s="1902">
        <f t="shared" si="80"/>
        <v>0</v>
      </c>
      <c r="GGC22" s="1902">
        <f t="shared" si="80"/>
        <v>0</v>
      </c>
      <c r="GGD22" s="1902">
        <f t="shared" si="80"/>
        <v>0</v>
      </c>
      <c r="GGE22" s="1902">
        <f t="shared" si="80"/>
        <v>0</v>
      </c>
      <c r="GGF22" s="1902">
        <f t="shared" si="80"/>
        <v>0</v>
      </c>
      <c r="GGG22" s="1902">
        <f t="shared" si="80"/>
        <v>0</v>
      </c>
      <c r="GGH22" s="1902">
        <f t="shared" si="80"/>
        <v>0</v>
      </c>
      <c r="GGI22" s="1902">
        <f t="shared" si="80"/>
        <v>0</v>
      </c>
      <c r="GGJ22" s="1902">
        <f t="shared" si="80"/>
        <v>0</v>
      </c>
      <c r="GGK22" s="1902">
        <f t="shared" si="80"/>
        <v>0</v>
      </c>
      <c r="GGL22" s="1902">
        <f t="shared" si="80"/>
        <v>0</v>
      </c>
      <c r="GGM22" s="1902">
        <f t="shared" si="80"/>
        <v>0</v>
      </c>
      <c r="GGN22" s="1902">
        <f t="shared" si="80"/>
        <v>0</v>
      </c>
      <c r="GGO22" s="1902">
        <f t="shared" si="80"/>
        <v>0</v>
      </c>
      <c r="GGP22" s="1902">
        <f t="shared" si="80"/>
        <v>0</v>
      </c>
      <c r="GGQ22" s="1902">
        <f t="shared" si="80"/>
        <v>0</v>
      </c>
      <c r="GGR22" s="1902">
        <f t="shared" si="80"/>
        <v>0</v>
      </c>
      <c r="GGS22" s="1902">
        <f t="shared" si="80"/>
        <v>0</v>
      </c>
      <c r="GGT22" s="1902">
        <f t="shared" si="80"/>
        <v>0</v>
      </c>
      <c r="GGU22" s="1902">
        <f t="shared" si="80"/>
        <v>0</v>
      </c>
      <c r="GGV22" s="1902">
        <f t="shared" si="80"/>
        <v>0</v>
      </c>
      <c r="GGW22" s="1902">
        <f t="shared" si="80"/>
        <v>0</v>
      </c>
      <c r="GGX22" s="1902">
        <f t="shared" si="80"/>
        <v>0</v>
      </c>
      <c r="GGY22" s="1902">
        <f t="shared" ref="GGY22:GJJ22" si="81">IF(AND(GGY$26="End of period",GGY$25="Revenue"),GGY9,0)</f>
        <v>0</v>
      </c>
      <c r="GGZ22" s="1902">
        <f t="shared" si="81"/>
        <v>0</v>
      </c>
      <c r="GHA22" s="1902">
        <f t="shared" si="81"/>
        <v>0</v>
      </c>
      <c r="GHB22" s="1902">
        <f t="shared" si="81"/>
        <v>0</v>
      </c>
      <c r="GHC22" s="1902">
        <f t="shared" si="81"/>
        <v>0</v>
      </c>
      <c r="GHD22" s="1902">
        <f t="shared" si="81"/>
        <v>0</v>
      </c>
      <c r="GHE22" s="1902">
        <f t="shared" si="81"/>
        <v>0</v>
      </c>
      <c r="GHF22" s="1902">
        <f t="shared" si="81"/>
        <v>0</v>
      </c>
      <c r="GHG22" s="1902">
        <f t="shared" si="81"/>
        <v>0</v>
      </c>
      <c r="GHH22" s="1902">
        <f t="shared" si="81"/>
        <v>0</v>
      </c>
      <c r="GHI22" s="1902">
        <f t="shared" si="81"/>
        <v>0</v>
      </c>
      <c r="GHJ22" s="1902">
        <f t="shared" si="81"/>
        <v>0</v>
      </c>
      <c r="GHK22" s="1902">
        <f t="shared" si="81"/>
        <v>0</v>
      </c>
      <c r="GHL22" s="1902">
        <f t="shared" si="81"/>
        <v>0</v>
      </c>
      <c r="GHM22" s="1902">
        <f t="shared" si="81"/>
        <v>0</v>
      </c>
      <c r="GHN22" s="1902">
        <f t="shared" si="81"/>
        <v>0</v>
      </c>
      <c r="GHO22" s="1902">
        <f t="shared" si="81"/>
        <v>0</v>
      </c>
      <c r="GHP22" s="1902">
        <f t="shared" si="81"/>
        <v>0</v>
      </c>
      <c r="GHQ22" s="1902">
        <f t="shared" si="81"/>
        <v>0</v>
      </c>
      <c r="GHR22" s="1902">
        <f t="shared" si="81"/>
        <v>0</v>
      </c>
      <c r="GHS22" s="1902">
        <f t="shared" si="81"/>
        <v>0</v>
      </c>
      <c r="GHT22" s="1902">
        <f t="shared" si="81"/>
        <v>0</v>
      </c>
      <c r="GHU22" s="1902">
        <f t="shared" si="81"/>
        <v>0</v>
      </c>
      <c r="GHV22" s="1902">
        <f t="shared" si="81"/>
        <v>0</v>
      </c>
      <c r="GHW22" s="1902">
        <f t="shared" si="81"/>
        <v>0</v>
      </c>
      <c r="GHX22" s="1902">
        <f t="shared" si="81"/>
        <v>0</v>
      </c>
      <c r="GHY22" s="1902">
        <f t="shared" si="81"/>
        <v>0</v>
      </c>
      <c r="GHZ22" s="1902">
        <f t="shared" si="81"/>
        <v>0</v>
      </c>
      <c r="GIA22" s="1902">
        <f t="shared" si="81"/>
        <v>0</v>
      </c>
      <c r="GIB22" s="1902">
        <f t="shared" si="81"/>
        <v>0</v>
      </c>
      <c r="GIC22" s="1902">
        <f t="shared" si="81"/>
        <v>0</v>
      </c>
      <c r="GID22" s="1902">
        <f t="shared" si="81"/>
        <v>0</v>
      </c>
      <c r="GIE22" s="1902">
        <f t="shared" si="81"/>
        <v>0</v>
      </c>
      <c r="GIF22" s="1902">
        <f t="shared" si="81"/>
        <v>0</v>
      </c>
      <c r="GIG22" s="1902">
        <f t="shared" si="81"/>
        <v>0</v>
      </c>
      <c r="GIH22" s="1902">
        <f t="shared" si="81"/>
        <v>0</v>
      </c>
      <c r="GII22" s="1902">
        <f t="shared" si="81"/>
        <v>0</v>
      </c>
      <c r="GIJ22" s="1902">
        <f t="shared" si="81"/>
        <v>0</v>
      </c>
      <c r="GIK22" s="1902">
        <f t="shared" si="81"/>
        <v>0</v>
      </c>
      <c r="GIL22" s="1902">
        <f t="shared" si="81"/>
        <v>0</v>
      </c>
      <c r="GIM22" s="1902">
        <f t="shared" si="81"/>
        <v>0</v>
      </c>
      <c r="GIN22" s="1902">
        <f t="shared" si="81"/>
        <v>0</v>
      </c>
      <c r="GIO22" s="1902">
        <f t="shared" si="81"/>
        <v>0</v>
      </c>
      <c r="GIP22" s="1902">
        <f t="shared" si="81"/>
        <v>0</v>
      </c>
      <c r="GIQ22" s="1902">
        <f t="shared" si="81"/>
        <v>0</v>
      </c>
      <c r="GIR22" s="1902">
        <f t="shared" si="81"/>
        <v>0</v>
      </c>
      <c r="GIS22" s="1902">
        <f t="shared" si="81"/>
        <v>0</v>
      </c>
      <c r="GIT22" s="1902">
        <f t="shared" si="81"/>
        <v>0</v>
      </c>
      <c r="GIU22" s="1902">
        <f t="shared" si="81"/>
        <v>0</v>
      </c>
      <c r="GIV22" s="1902">
        <f t="shared" si="81"/>
        <v>0</v>
      </c>
      <c r="GIW22" s="1902">
        <f t="shared" si="81"/>
        <v>0</v>
      </c>
      <c r="GIX22" s="1902">
        <f t="shared" si="81"/>
        <v>0</v>
      </c>
      <c r="GIY22" s="1902">
        <f t="shared" si="81"/>
        <v>0</v>
      </c>
      <c r="GIZ22" s="1902">
        <f t="shared" si="81"/>
        <v>0</v>
      </c>
      <c r="GJA22" s="1902">
        <f t="shared" si="81"/>
        <v>0</v>
      </c>
      <c r="GJB22" s="1902">
        <f t="shared" si="81"/>
        <v>0</v>
      </c>
      <c r="GJC22" s="1902">
        <f t="shared" si="81"/>
        <v>0</v>
      </c>
      <c r="GJD22" s="1902">
        <f t="shared" si="81"/>
        <v>0</v>
      </c>
      <c r="GJE22" s="1902">
        <f t="shared" si="81"/>
        <v>0</v>
      </c>
      <c r="GJF22" s="1902">
        <f t="shared" si="81"/>
        <v>0</v>
      </c>
      <c r="GJG22" s="1902">
        <f t="shared" si="81"/>
        <v>0</v>
      </c>
      <c r="GJH22" s="1902">
        <f t="shared" si="81"/>
        <v>0</v>
      </c>
      <c r="GJI22" s="1902">
        <f t="shared" si="81"/>
        <v>0</v>
      </c>
      <c r="GJJ22" s="1902">
        <f t="shared" si="81"/>
        <v>0</v>
      </c>
      <c r="GJK22" s="1902">
        <f t="shared" ref="GJK22:GLV22" si="82">IF(AND(GJK$26="End of period",GJK$25="Revenue"),GJK9,0)</f>
        <v>0</v>
      </c>
      <c r="GJL22" s="1902">
        <f t="shared" si="82"/>
        <v>0</v>
      </c>
      <c r="GJM22" s="1902">
        <f t="shared" si="82"/>
        <v>0</v>
      </c>
      <c r="GJN22" s="1902">
        <f t="shared" si="82"/>
        <v>0</v>
      </c>
      <c r="GJO22" s="1902">
        <f t="shared" si="82"/>
        <v>0</v>
      </c>
      <c r="GJP22" s="1902">
        <f t="shared" si="82"/>
        <v>0</v>
      </c>
      <c r="GJQ22" s="1902">
        <f t="shared" si="82"/>
        <v>0</v>
      </c>
      <c r="GJR22" s="1902">
        <f t="shared" si="82"/>
        <v>0</v>
      </c>
      <c r="GJS22" s="1902">
        <f t="shared" si="82"/>
        <v>0</v>
      </c>
      <c r="GJT22" s="1902">
        <f t="shared" si="82"/>
        <v>0</v>
      </c>
      <c r="GJU22" s="1902">
        <f t="shared" si="82"/>
        <v>0</v>
      </c>
      <c r="GJV22" s="1902">
        <f t="shared" si="82"/>
        <v>0</v>
      </c>
      <c r="GJW22" s="1902">
        <f t="shared" si="82"/>
        <v>0</v>
      </c>
      <c r="GJX22" s="1902">
        <f t="shared" si="82"/>
        <v>0</v>
      </c>
      <c r="GJY22" s="1902">
        <f t="shared" si="82"/>
        <v>0</v>
      </c>
      <c r="GJZ22" s="1902">
        <f t="shared" si="82"/>
        <v>0</v>
      </c>
      <c r="GKA22" s="1902">
        <f t="shared" si="82"/>
        <v>0</v>
      </c>
      <c r="GKB22" s="1902">
        <f t="shared" si="82"/>
        <v>0</v>
      </c>
      <c r="GKC22" s="1902">
        <f t="shared" si="82"/>
        <v>0</v>
      </c>
      <c r="GKD22" s="1902">
        <f t="shared" si="82"/>
        <v>0</v>
      </c>
      <c r="GKE22" s="1902">
        <f t="shared" si="82"/>
        <v>0</v>
      </c>
      <c r="GKF22" s="1902">
        <f t="shared" si="82"/>
        <v>0</v>
      </c>
      <c r="GKG22" s="1902">
        <f t="shared" si="82"/>
        <v>0</v>
      </c>
      <c r="GKH22" s="1902">
        <f t="shared" si="82"/>
        <v>0</v>
      </c>
      <c r="GKI22" s="1902">
        <f t="shared" si="82"/>
        <v>0</v>
      </c>
      <c r="GKJ22" s="1902">
        <f t="shared" si="82"/>
        <v>0</v>
      </c>
      <c r="GKK22" s="1902">
        <f t="shared" si="82"/>
        <v>0</v>
      </c>
      <c r="GKL22" s="1902">
        <f t="shared" si="82"/>
        <v>0</v>
      </c>
      <c r="GKM22" s="1902">
        <f t="shared" si="82"/>
        <v>0</v>
      </c>
      <c r="GKN22" s="1902">
        <f t="shared" si="82"/>
        <v>0</v>
      </c>
      <c r="GKO22" s="1902">
        <f t="shared" si="82"/>
        <v>0</v>
      </c>
      <c r="GKP22" s="1902">
        <f t="shared" si="82"/>
        <v>0</v>
      </c>
      <c r="GKQ22" s="1902">
        <f t="shared" si="82"/>
        <v>0</v>
      </c>
      <c r="GKR22" s="1902">
        <f t="shared" si="82"/>
        <v>0</v>
      </c>
      <c r="GKS22" s="1902">
        <f t="shared" si="82"/>
        <v>0</v>
      </c>
      <c r="GKT22" s="1902">
        <f t="shared" si="82"/>
        <v>0</v>
      </c>
      <c r="GKU22" s="1902">
        <f t="shared" si="82"/>
        <v>0</v>
      </c>
      <c r="GKV22" s="1902">
        <f t="shared" si="82"/>
        <v>0</v>
      </c>
      <c r="GKW22" s="1902">
        <f t="shared" si="82"/>
        <v>0</v>
      </c>
      <c r="GKX22" s="1902">
        <f t="shared" si="82"/>
        <v>0</v>
      </c>
      <c r="GKY22" s="1902">
        <f t="shared" si="82"/>
        <v>0</v>
      </c>
      <c r="GKZ22" s="1902">
        <f t="shared" si="82"/>
        <v>0</v>
      </c>
      <c r="GLA22" s="1902">
        <f t="shared" si="82"/>
        <v>0</v>
      </c>
      <c r="GLB22" s="1902">
        <f t="shared" si="82"/>
        <v>0</v>
      </c>
      <c r="GLC22" s="1902">
        <f t="shared" si="82"/>
        <v>0</v>
      </c>
      <c r="GLD22" s="1902">
        <f t="shared" si="82"/>
        <v>0</v>
      </c>
      <c r="GLE22" s="1902">
        <f t="shared" si="82"/>
        <v>0</v>
      </c>
      <c r="GLF22" s="1902">
        <f t="shared" si="82"/>
        <v>0</v>
      </c>
      <c r="GLG22" s="1902">
        <f t="shared" si="82"/>
        <v>0</v>
      </c>
      <c r="GLH22" s="1902">
        <f t="shared" si="82"/>
        <v>0</v>
      </c>
      <c r="GLI22" s="1902">
        <f t="shared" si="82"/>
        <v>0</v>
      </c>
      <c r="GLJ22" s="1902">
        <f t="shared" si="82"/>
        <v>0</v>
      </c>
      <c r="GLK22" s="1902">
        <f t="shared" si="82"/>
        <v>0</v>
      </c>
      <c r="GLL22" s="1902">
        <f t="shared" si="82"/>
        <v>0</v>
      </c>
      <c r="GLM22" s="1902">
        <f t="shared" si="82"/>
        <v>0</v>
      </c>
      <c r="GLN22" s="1902">
        <f t="shared" si="82"/>
        <v>0</v>
      </c>
      <c r="GLO22" s="1902">
        <f t="shared" si="82"/>
        <v>0</v>
      </c>
      <c r="GLP22" s="1902">
        <f t="shared" si="82"/>
        <v>0</v>
      </c>
      <c r="GLQ22" s="1902">
        <f t="shared" si="82"/>
        <v>0</v>
      </c>
      <c r="GLR22" s="1902">
        <f t="shared" si="82"/>
        <v>0</v>
      </c>
      <c r="GLS22" s="1902">
        <f t="shared" si="82"/>
        <v>0</v>
      </c>
      <c r="GLT22" s="1902">
        <f t="shared" si="82"/>
        <v>0</v>
      </c>
      <c r="GLU22" s="1902">
        <f t="shared" si="82"/>
        <v>0</v>
      </c>
      <c r="GLV22" s="1902">
        <f t="shared" si="82"/>
        <v>0</v>
      </c>
      <c r="GLW22" s="1902">
        <f t="shared" ref="GLW22:GOH22" si="83">IF(AND(GLW$26="End of period",GLW$25="Revenue"),GLW9,0)</f>
        <v>0</v>
      </c>
      <c r="GLX22" s="1902">
        <f t="shared" si="83"/>
        <v>0</v>
      </c>
      <c r="GLY22" s="1902">
        <f t="shared" si="83"/>
        <v>0</v>
      </c>
      <c r="GLZ22" s="1902">
        <f t="shared" si="83"/>
        <v>0</v>
      </c>
      <c r="GMA22" s="1902">
        <f t="shared" si="83"/>
        <v>0</v>
      </c>
      <c r="GMB22" s="1902">
        <f t="shared" si="83"/>
        <v>0</v>
      </c>
      <c r="GMC22" s="1902">
        <f t="shared" si="83"/>
        <v>0</v>
      </c>
      <c r="GMD22" s="1902">
        <f t="shared" si="83"/>
        <v>0</v>
      </c>
      <c r="GME22" s="1902">
        <f t="shared" si="83"/>
        <v>0</v>
      </c>
      <c r="GMF22" s="1902">
        <f t="shared" si="83"/>
        <v>0</v>
      </c>
      <c r="GMG22" s="1902">
        <f t="shared" si="83"/>
        <v>0</v>
      </c>
      <c r="GMH22" s="1902">
        <f t="shared" si="83"/>
        <v>0</v>
      </c>
      <c r="GMI22" s="1902">
        <f t="shared" si="83"/>
        <v>0</v>
      </c>
      <c r="GMJ22" s="1902">
        <f t="shared" si="83"/>
        <v>0</v>
      </c>
      <c r="GMK22" s="1902">
        <f t="shared" si="83"/>
        <v>0</v>
      </c>
      <c r="GML22" s="1902">
        <f t="shared" si="83"/>
        <v>0</v>
      </c>
      <c r="GMM22" s="1902">
        <f t="shared" si="83"/>
        <v>0</v>
      </c>
      <c r="GMN22" s="1902">
        <f t="shared" si="83"/>
        <v>0</v>
      </c>
      <c r="GMO22" s="1902">
        <f t="shared" si="83"/>
        <v>0</v>
      </c>
      <c r="GMP22" s="1902">
        <f t="shared" si="83"/>
        <v>0</v>
      </c>
      <c r="GMQ22" s="1902">
        <f t="shared" si="83"/>
        <v>0</v>
      </c>
      <c r="GMR22" s="1902">
        <f t="shared" si="83"/>
        <v>0</v>
      </c>
      <c r="GMS22" s="1902">
        <f t="shared" si="83"/>
        <v>0</v>
      </c>
      <c r="GMT22" s="1902">
        <f t="shared" si="83"/>
        <v>0</v>
      </c>
      <c r="GMU22" s="1902">
        <f t="shared" si="83"/>
        <v>0</v>
      </c>
      <c r="GMV22" s="1902">
        <f t="shared" si="83"/>
        <v>0</v>
      </c>
      <c r="GMW22" s="1902">
        <f t="shared" si="83"/>
        <v>0</v>
      </c>
      <c r="GMX22" s="1902">
        <f t="shared" si="83"/>
        <v>0</v>
      </c>
      <c r="GMY22" s="1902">
        <f t="shared" si="83"/>
        <v>0</v>
      </c>
      <c r="GMZ22" s="1902">
        <f t="shared" si="83"/>
        <v>0</v>
      </c>
      <c r="GNA22" s="1902">
        <f t="shared" si="83"/>
        <v>0</v>
      </c>
      <c r="GNB22" s="1902">
        <f t="shared" si="83"/>
        <v>0</v>
      </c>
      <c r="GNC22" s="1902">
        <f t="shared" si="83"/>
        <v>0</v>
      </c>
      <c r="GND22" s="1902">
        <f t="shared" si="83"/>
        <v>0</v>
      </c>
      <c r="GNE22" s="1902">
        <f t="shared" si="83"/>
        <v>0</v>
      </c>
      <c r="GNF22" s="1902">
        <f t="shared" si="83"/>
        <v>0</v>
      </c>
      <c r="GNG22" s="1902">
        <f t="shared" si="83"/>
        <v>0</v>
      </c>
      <c r="GNH22" s="1902">
        <f t="shared" si="83"/>
        <v>0</v>
      </c>
      <c r="GNI22" s="1902">
        <f t="shared" si="83"/>
        <v>0</v>
      </c>
      <c r="GNJ22" s="1902">
        <f t="shared" si="83"/>
        <v>0</v>
      </c>
      <c r="GNK22" s="1902">
        <f t="shared" si="83"/>
        <v>0</v>
      </c>
      <c r="GNL22" s="1902">
        <f t="shared" si="83"/>
        <v>0</v>
      </c>
      <c r="GNM22" s="1902">
        <f t="shared" si="83"/>
        <v>0</v>
      </c>
      <c r="GNN22" s="1902">
        <f t="shared" si="83"/>
        <v>0</v>
      </c>
      <c r="GNO22" s="1902">
        <f t="shared" si="83"/>
        <v>0</v>
      </c>
      <c r="GNP22" s="1902">
        <f t="shared" si="83"/>
        <v>0</v>
      </c>
      <c r="GNQ22" s="1902">
        <f t="shared" si="83"/>
        <v>0</v>
      </c>
      <c r="GNR22" s="1902">
        <f t="shared" si="83"/>
        <v>0</v>
      </c>
      <c r="GNS22" s="1902">
        <f t="shared" si="83"/>
        <v>0</v>
      </c>
      <c r="GNT22" s="1902">
        <f t="shared" si="83"/>
        <v>0</v>
      </c>
      <c r="GNU22" s="1902">
        <f t="shared" si="83"/>
        <v>0</v>
      </c>
      <c r="GNV22" s="1902">
        <f t="shared" si="83"/>
        <v>0</v>
      </c>
      <c r="GNW22" s="1902">
        <f t="shared" si="83"/>
        <v>0</v>
      </c>
      <c r="GNX22" s="1902">
        <f t="shared" si="83"/>
        <v>0</v>
      </c>
      <c r="GNY22" s="1902">
        <f t="shared" si="83"/>
        <v>0</v>
      </c>
      <c r="GNZ22" s="1902">
        <f t="shared" si="83"/>
        <v>0</v>
      </c>
      <c r="GOA22" s="1902">
        <f t="shared" si="83"/>
        <v>0</v>
      </c>
      <c r="GOB22" s="1902">
        <f t="shared" si="83"/>
        <v>0</v>
      </c>
      <c r="GOC22" s="1902">
        <f t="shared" si="83"/>
        <v>0</v>
      </c>
      <c r="GOD22" s="1902">
        <f t="shared" si="83"/>
        <v>0</v>
      </c>
      <c r="GOE22" s="1902">
        <f t="shared" si="83"/>
        <v>0</v>
      </c>
      <c r="GOF22" s="1902">
        <f t="shared" si="83"/>
        <v>0</v>
      </c>
      <c r="GOG22" s="1902">
        <f t="shared" si="83"/>
        <v>0</v>
      </c>
      <c r="GOH22" s="1902">
        <f t="shared" si="83"/>
        <v>0</v>
      </c>
      <c r="GOI22" s="1902">
        <f t="shared" ref="GOI22:GQT22" si="84">IF(AND(GOI$26="End of period",GOI$25="Revenue"),GOI9,0)</f>
        <v>0</v>
      </c>
      <c r="GOJ22" s="1902">
        <f t="shared" si="84"/>
        <v>0</v>
      </c>
      <c r="GOK22" s="1902">
        <f t="shared" si="84"/>
        <v>0</v>
      </c>
      <c r="GOL22" s="1902">
        <f t="shared" si="84"/>
        <v>0</v>
      </c>
      <c r="GOM22" s="1902">
        <f t="shared" si="84"/>
        <v>0</v>
      </c>
      <c r="GON22" s="1902">
        <f t="shared" si="84"/>
        <v>0</v>
      </c>
      <c r="GOO22" s="1902">
        <f t="shared" si="84"/>
        <v>0</v>
      </c>
      <c r="GOP22" s="1902">
        <f t="shared" si="84"/>
        <v>0</v>
      </c>
      <c r="GOQ22" s="1902">
        <f t="shared" si="84"/>
        <v>0</v>
      </c>
      <c r="GOR22" s="1902">
        <f t="shared" si="84"/>
        <v>0</v>
      </c>
      <c r="GOS22" s="1902">
        <f t="shared" si="84"/>
        <v>0</v>
      </c>
      <c r="GOT22" s="1902">
        <f t="shared" si="84"/>
        <v>0</v>
      </c>
      <c r="GOU22" s="1902">
        <f t="shared" si="84"/>
        <v>0</v>
      </c>
      <c r="GOV22" s="1902">
        <f t="shared" si="84"/>
        <v>0</v>
      </c>
      <c r="GOW22" s="1902">
        <f t="shared" si="84"/>
        <v>0</v>
      </c>
      <c r="GOX22" s="1902">
        <f t="shared" si="84"/>
        <v>0</v>
      </c>
      <c r="GOY22" s="1902">
        <f t="shared" si="84"/>
        <v>0</v>
      </c>
      <c r="GOZ22" s="1902">
        <f t="shared" si="84"/>
        <v>0</v>
      </c>
      <c r="GPA22" s="1902">
        <f t="shared" si="84"/>
        <v>0</v>
      </c>
      <c r="GPB22" s="1902">
        <f t="shared" si="84"/>
        <v>0</v>
      </c>
      <c r="GPC22" s="1902">
        <f t="shared" si="84"/>
        <v>0</v>
      </c>
      <c r="GPD22" s="1902">
        <f t="shared" si="84"/>
        <v>0</v>
      </c>
      <c r="GPE22" s="1902">
        <f t="shared" si="84"/>
        <v>0</v>
      </c>
      <c r="GPF22" s="1902">
        <f t="shared" si="84"/>
        <v>0</v>
      </c>
      <c r="GPG22" s="1902">
        <f t="shared" si="84"/>
        <v>0</v>
      </c>
      <c r="GPH22" s="1902">
        <f t="shared" si="84"/>
        <v>0</v>
      </c>
      <c r="GPI22" s="1902">
        <f t="shared" si="84"/>
        <v>0</v>
      </c>
      <c r="GPJ22" s="1902">
        <f t="shared" si="84"/>
        <v>0</v>
      </c>
      <c r="GPK22" s="1902">
        <f t="shared" si="84"/>
        <v>0</v>
      </c>
      <c r="GPL22" s="1902">
        <f t="shared" si="84"/>
        <v>0</v>
      </c>
      <c r="GPM22" s="1902">
        <f t="shared" si="84"/>
        <v>0</v>
      </c>
      <c r="GPN22" s="1902">
        <f t="shared" si="84"/>
        <v>0</v>
      </c>
      <c r="GPO22" s="1902">
        <f t="shared" si="84"/>
        <v>0</v>
      </c>
      <c r="GPP22" s="1902">
        <f t="shared" si="84"/>
        <v>0</v>
      </c>
      <c r="GPQ22" s="1902">
        <f t="shared" si="84"/>
        <v>0</v>
      </c>
      <c r="GPR22" s="1902">
        <f t="shared" si="84"/>
        <v>0</v>
      </c>
      <c r="GPS22" s="1902">
        <f t="shared" si="84"/>
        <v>0</v>
      </c>
      <c r="GPT22" s="1902">
        <f t="shared" si="84"/>
        <v>0</v>
      </c>
      <c r="GPU22" s="1902">
        <f t="shared" si="84"/>
        <v>0</v>
      </c>
      <c r="GPV22" s="1902">
        <f t="shared" si="84"/>
        <v>0</v>
      </c>
      <c r="GPW22" s="1902">
        <f t="shared" si="84"/>
        <v>0</v>
      </c>
      <c r="GPX22" s="1902">
        <f t="shared" si="84"/>
        <v>0</v>
      </c>
      <c r="GPY22" s="1902">
        <f t="shared" si="84"/>
        <v>0</v>
      </c>
      <c r="GPZ22" s="1902">
        <f t="shared" si="84"/>
        <v>0</v>
      </c>
      <c r="GQA22" s="1902">
        <f t="shared" si="84"/>
        <v>0</v>
      </c>
      <c r="GQB22" s="1902">
        <f t="shared" si="84"/>
        <v>0</v>
      </c>
      <c r="GQC22" s="1902">
        <f t="shared" si="84"/>
        <v>0</v>
      </c>
      <c r="GQD22" s="1902">
        <f t="shared" si="84"/>
        <v>0</v>
      </c>
      <c r="GQE22" s="1902">
        <f t="shared" si="84"/>
        <v>0</v>
      </c>
      <c r="GQF22" s="1902">
        <f t="shared" si="84"/>
        <v>0</v>
      </c>
      <c r="GQG22" s="1902">
        <f t="shared" si="84"/>
        <v>0</v>
      </c>
      <c r="GQH22" s="1902">
        <f t="shared" si="84"/>
        <v>0</v>
      </c>
      <c r="GQI22" s="1902">
        <f t="shared" si="84"/>
        <v>0</v>
      </c>
      <c r="GQJ22" s="1902">
        <f t="shared" si="84"/>
        <v>0</v>
      </c>
      <c r="GQK22" s="1902">
        <f t="shared" si="84"/>
        <v>0</v>
      </c>
      <c r="GQL22" s="1902">
        <f t="shared" si="84"/>
        <v>0</v>
      </c>
      <c r="GQM22" s="1902">
        <f t="shared" si="84"/>
        <v>0</v>
      </c>
      <c r="GQN22" s="1902">
        <f t="shared" si="84"/>
        <v>0</v>
      </c>
      <c r="GQO22" s="1902">
        <f t="shared" si="84"/>
        <v>0</v>
      </c>
      <c r="GQP22" s="1902">
        <f t="shared" si="84"/>
        <v>0</v>
      </c>
      <c r="GQQ22" s="1902">
        <f t="shared" si="84"/>
        <v>0</v>
      </c>
      <c r="GQR22" s="1902">
        <f t="shared" si="84"/>
        <v>0</v>
      </c>
      <c r="GQS22" s="1902">
        <f t="shared" si="84"/>
        <v>0</v>
      </c>
      <c r="GQT22" s="1902">
        <f t="shared" si="84"/>
        <v>0</v>
      </c>
      <c r="GQU22" s="1902">
        <f t="shared" ref="GQU22:GTF22" si="85">IF(AND(GQU$26="End of period",GQU$25="Revenue"),GQU9,0)</f>
        <v>0</v>
      </c>
      <c r="GQV22" s="1902">
        <f t="shared" si="85"/>
        <v>0</v>
      </c>
      <c r="GQW22" s="1902">
        <f t="shared" si="85"/>
        <v>0</v>
      </c>
      <c r="GQX22" s="1902">
        <f t="shared" si="85"/>
        <v>0</v>
      </c>
      <c r="GQY22" s="1902">
        <f t="shared" si="85"/>
        <v>0</v>
      </c>
      <c r="GQZ22" s="1902">
        <f t="shared" si="85"/>
        <v>0</v>
      </c>
      <c r="GRA22" s="1902">
        <f t="shared" si="85"/>
        <v>0</v>
      </c>
      <c r="GRB22" s="1902">
        <f t="shared" si="85"/>
        <v>0</v>
      </c>
      <c r="GRC22" s="1902">
        <f t="shared" si="85"/>
        <v>0</v>
      </c>
      <c r="GRD22" s="1902">
        <f t="shared" si="85"/>
        <v>0</v>
      </c>
      <c r="GRE22" s="1902">
        <f t="shared" si="85"/>
        <v>0</v>
      </c>
      <c r="GRF22" s="1902">
        <f t="shared" si="85"/>
        <v>0</v>
      </c>
      <c r="GRG22" s="1902">
        <f t="shared" si="85"/>
        <v>0</v>
      </c>
      <c r="GRH22" s="1902">
        <f t="shared" si="85"/>
        <v>0</v>
      </c>
      <c r="GRI22" s="1902">
        <f t="shared" si="85"/>
        <v>0</v>
      </c>
      <c r="GRJ22" s="1902">
        <f t="shared" si="85"/>
        <v>0</v>
      </c>
      <c r="GRK22" s="1902">
        <f t="shared" si="85"/>
        <v>0</v>
      </c>
      <c r="GRL22" s="1902">
        <f t="shared" si="85"/>
        <v>0</v>
      </c>
      <c r="GRM22" s="1902">
        <f t="shared" si="85"/>
        <v>0</v>
      </c>
      <c r="GRN22" s="1902">
        <f t="shared" si="85"/>
        <v>0</v>
      </c>
      <c r="GRO22" s="1902">
        <f t="shared" si="85"/>
        <v>0</v>
      </c>
      <c r="GRP22" s="1902">
        <f t="shared" si="85"/>
        <v>0</v>
      </c>
      <c r="GRQ22" s="1902">
        <f t="shared" si="85"/>
        <v>0</v>
      </c>
      <c r="GRR22" s="1902">
        <f t="shared" si="85"/>
        <v>0</v>
      </c>
      <c r="GRS22" s="1902">
        <f t="shared" si="85"/>
        <v>0</v>
      </c>
      <c r="GRT22" s="1902">
        <f t="shared" si="85"/>
        <v>0</v>
      </c>
      <c r="GRU22" s="1902">
        <f t="shared" si="85"/>
        <v>0</v>
      </c>
      <c r="GRV22" s="1902">
        <f t="shared" si="85"/>
        <v>0</v>
      </c>
      <c r="GRW22" s="1902">
        <f t="shared" si="85"/>
        <v>0</v>
      </c>
      <c r="GRX22" s="1902">
        <f t="shared" si="85"/>
        <v>0</v>
      </c>
      <c r="GRY22" s="1902">
        <f t="shared" si="85"/>
        <v>0</v>
      </c>
      <c r="GRZ22" s="1902">
        <f t="shared" si="85"/>
        <v>0</v>
      </c>
      <c r="GSA22" s="1902">
        <f t="shared" si="85"/>
        <v>0</v>
      </c>
      <c r="GSB22" s="1902">
        <f t="shared" si="85"/>
        <v>0</v>
      </c>
      <c r="GSC22" s="1902">
        <f t="shared" si="85"/>
        <v>0</v>
      </c>
      <c r="GSD22" s="1902">
        <f t="shared" si="85"/>
        <v>0</v>
      </c>
      <c r="GSE22" s="1902">
        <f t="shared" si="85"/>
        <v>0</v>
      </c>
      <c r="GSF22" s="1902">
        <f t="shared" si="85"/>
        <v>0</v>
      </c>
      <c r="GSG22" s="1902">
        <f t="shared" si="85"/>
        <v>0</v>
      </c>
      <c r="GSH22" s="1902">
        <f t="shared" si="85"/>
        <v>0</v>
      </c>
      <c r="GSI22" s="1902">
        <f t="shared" si="85"/>
        <v>0</v>
      </c>
      <c r="GSJ22" s="1902">
        <f t="shared" si="85"/>
        <v>0</v>
      </c>
      <c r="GSK22" s="1902">
        <f t="shared" si="85"/>
        <v>0</v>
      </c>
      <c r="GSL22" s="1902">
        <f t="shared" si="85"/>
        <v>0</v>
      </c>
      <c r="GSM22" s="1902">
        <f t="shared" si="85"/>
        <v>0</v>
      </c>
      <c r="GSN22" s="1902">
        <f t="shared" si="85"/>
        <v>0</v>
      </c>
      <c r="GSO22" s="1902">
        <f t="shared" si="85"/>
        <v>0</v>
      </c>
      <c r="GSP22" s="1902">
        <f t="shared" si="85"/>
        <v>0</v>
      </c>
      <c r="GSQ22" s="1902">
        <f t="shared" si="85"/>
        <v>0</v>
      </c>
      <c r="GSR22" s="1902">
        <f t="shared" si="85"/>
        <v>0</v>
      </c>
      <c r="GSS22" s="1902">
        <f t="shared" si="85"/>
        <v>0</v>
      </c>
      <c r="GST22" s="1902">
        <f t="shared" si="85"/>
        <v>0</v>
      </c>
      <c r="GSU22" s="1902">
        <f t="shared" si="85"/>
        <v>0</v>
      </c>
      <c r="GSV22" s="1902">
        <f t="shared" si="85"/>
        <v>0</v>
      </c>
      <c r="GSW22" s="1902">
        <f t="shared" si="85"/>
        <v>0</v>
      </c>
      <c r="GSX22" s="1902">
        <f t="shared" si="85"/>
        <v>0</v>
      </c>
      <c r="GSY22" s="1902">
        <f t="shared" si="85"/>
        <v>0</v>
      </c>
      <c r="GSZ22" s="1902">
        <f t="shared" si="85"/>
        <v>0</v>
      </c>
      <c r="GTA22" s="1902">
        <f t="shared" si="85"/>
        <v>0</v>
      </c>
      <c r="GTB22" s="1902">
        <f t="shared" si="85"/>
        <v>0</v>
      </c>
      <c r="GTC22" s="1902">
        <f t="shared" si="85"/>
        <v>0</v>
      </c>
      <c r="GTD22" s="1902">
        <f t="shared" si="85"/>
        <v>0</v>
      </c>
      <c r="GTE22" s="1902">
        <f t="shared" si="85"/>
        <v>0</v>
      </c>
      <c r="GTF22" s="1902">
        <f t="shared" si="85"/>
        <v>0</v>
      </c>
      <c r="GTG22" s="1902">
        <f t="shared" ref="GTG22:GVR22" si="86">IF(AND(GTG$26="End of period",GTG$25="Revenue"),GTG9,0)</f>
        <v>0</v>
      </c>
      <c r="GTH22" s="1902">
        <f t="shared" si="86"/>
        <v>0</v>
      </c>
      <c r="GTI22" s="1902">
        <f t="shared" si="86"/>
        <v>0</v>
      </c>
      <c r="GTJ22" s="1902">
        <f t="shared" si="86"/>
        <v>0</v>
      </c>
      <c r="GTK22" s="1902">
        <f t="shared" si="86"/>
        <v>0</v>
      </c>
      <c r="GTL22" s="1902">
        <f t="shared" si="86"/>
        <v>0</v>
      </c>
      <c r="GTM22" s="1902">
        <f t="shared" si="86"/>
        <v>0</v>
      </c>
      <c r="GTN22" s="1902">
        <f t="shared" si="86"/>
        <v>0</v>
      </c>
      <c r="GTO22" s="1902">
        <f t="shared" si="86"/>
        <v>0</v>
      </c>
      <c r="GTP22" s="1902">
        <f t="shared" si="86"/>
        <v>0</v>
      </c>
      <c r="GTQ22" s="1902">
        <f t="shared" si="86"/>
        <v>0</v>
      </c>
      <c r="GTR22" s="1902">
        <f t="shared" si="86"/>
        <v>0</v>
      </c>
      <c r="GTS22" s="1902">
        <f t="shared" si="86"/>
        <v>0</v>
      </c>
      <c r="GTT22" s="1902">
        <f t="shared" si="86"/>
        <v>0</v>
      </c>
      <c r="GTU22" s="1902">
        <f t="shared" si="86"/>
        <v>0</v>
      </c>
      <c r="GTV22" s="1902">
        <f t="shared" si="86"/>
        <v>0</v>
      </c>
      <c r="GTW22" s="1902">
        <f t="shared" si="86"/>
        <v>0</v>
      </c>
      <c r="GTX22" s="1902">
        <f t="shared" si="86"/>
        <v>0</v>
      </c>
      <c r="GTY22" s="1902">
        <f t="shared" si="86"/>
        <v>0</v>
      </c>
      <c r="GTZ22" s="1902">
        <f t="shared" si="86"/>
        <v>0</v>
      </c>
      <c r="GUA22" s="1902">
        <f t="shared" si="86"/>
        <v>0</v>
      </c>
      <c r="GUB22" s="1902">
        <f t="shared" si="86"/>
        <v>0</v>
      </c>
      <c r="GUC22" s="1902">
        <f t="shared" si="86"/>
        <v>0</v>
      </c>
      <c r="GUD22" s="1902">
        <f t="shared" si="86"/>
        <v>0</v>
      </c>
      <c r="GUE22" s="1902">
        <f t="shared" si="86"/>
        <v>0</v>
      </c>
      <c r="GUF22" s="1902">
        <f t="shared" si="86"/>
        <v>0</v>
      </c>
      <c r="GUG22" s="1902">
        <f t="shared" si="86"/>
        <v>0</v>
      </c>
      <c r="GUH22" s="1902">
        <f t="shared" si="86"/>
        <v>0</v>
      </c>
      <c r="GUI22" s="1902">
        <f t="shared" si="86"/>
        <v>0</v>
      </c>
      <c r="GUJ22" s="1902">
        <f t="shared" si="86"/>
        <v>0</v>
      </c>
      <c r="GUK22" s="1902">
        <f t="shared" si="86"/>
        <v>0</v>
      </c>
      <c r="GUL22" s="1902">
        <f t="shared" si="86"/>
        <v>0</v>
      </c>
      <c r="GUM22" s="1902">
        <f t="shared" si="86"/>
        <v>0</v>
      </c>
      <c r="GUN22" s="1902">
        <f t="shared" si="86"/>
        <v>0</v>
      </c>
      <c r="GUO22" s="1902">
        <f t="shared" si="86"/>
        <v>0</v>
      </c>
      <c r="GUP22" s="1902">
        <f t="shared" si="86"/>
        <v>0</v>
      </c>
      <c r="GUQ22" s="1902">
        <f t="shared" si="86"/>
        <v>0</v>
      </c>
      <c r="GUR22" s="1902">
        <f t="shared" si="86"/>
        <v>0</v>
      </c>
      <c r="GUS22" s="1902">
        <f t="shared" si="86"/>
        <v>0</v>
      </c>
      <c r="GUT22" s="1902">
        <f t="shared" si="86"/>
        <v>0</v>
      </c>
      <c r="GUU22" s="1902">
        <f t="shared" si="86"/>
        <v>0</v>
      </c>
      <c r="GUV22" s="1902">
        <f t="shared" si="86"/>
        <v>0</v>
      </c>
      <c r="GUW22" s="1902">
        <f t="shared" si="86"/>
        <v>0</v>
      </c>
      <c r="GUX22" s="1902">
        <f t="shared" si="86"/>
        <v>0</v>
      </c>
      <c r="GUY22" s="1902">
        <f t="shared" si="86"/>
        <v>0</v>
      </c>
      <c r="GUZ22" s="1902">
        <f t="shared" si="86"/>
        <v>0</v>
      </c>
      <c r="GVA22" s="1902">
        <f t="shared" si="86"/>
        <v>0</v>
      </c>
      <c r="GVB22" s="1902">
        <f t="shared" si="86"/>
        <v>0</v>
      </c>
      <c r="GVC22" s="1902">
        <f t="shared" si="86"/>
        <v>0</v>
      </c>
      <c r="GVD22" s="1902">
        <f t="shared" si="86"/>
        <v>0</v>
      </c>
      <c r="GVE22" s="1902">
        <f t="shared" si="86"/>
        <v>0</v>
      </c>
      <c r="GVF22" s="1902">
        <f t="shared" si="86"/>
        <v>0</v>
      </c>
      <c r="GVG22" s="1902">
        <f t="shared" si="86"/>
        <v>0</v>
      </c>
      <c r="GVH22" s="1902">
        <f t="shared" si="86"/>
        <v>0</v>
      </c>
      <c r="GVI22" s="1902">
        <f t="shared" si="86"/>
        <v>0</v>
      </c>
      <c r="GVJ22" s="1902">
        <f t="shared" si="86"/>
        <v>0</v>
      </c>
      <c r="GVK22" s="1902">
        <f t="shared" si="86"/>
        <v>0</v>
      </c>
      <c r="GVL22" s="1902">
        <f t="shared" si="86"/>
        <v>0</v>
      </c>
      <c r="GVM22" s="1902">
        <f t="shared" si="86"/>
        <v>0</v>
      </c>
      <c r="GVN22" s="1902">
        <f t="shared" si="86"/>
        <v>0</v>
      </c>
      <c r="GVO22" s="1902">
        <f t="shared" si="86"/>
        <v>0</v>
      </c>
      <c r="GVP22" s="1902">
        <f t="shared" si="86"/>
        <v>0</v>
      </c>
      <c r="GVQ22" s="1902">
        <f t="shared" si="86"/>
        <v>0</v>
      </c>
      <c r="GVR22" s="1902">
        <f t="shared" si="86"/>
        <v>0</v>
      </c>
      <c r="GVS22" s="1902">
        <f t="shared" ref="GVS22:GYD22" si="87">IF(AND(GVS$26="End of period",GVS$25="Revenue"),GVS9,0)</f>
        <v>0</v>
      </c>
      <c r="GVT22" s="1902">
        <f t="shared" si="87"/>
        <v>0</v>
      </c>
      <c r="GVU22" s="1902">
        <f t="shared" si="87"/>
        <v>0</v>
      </c>
      <c r="GVV22" s="1902">
        <f t="shared" si="87"/>
        <v>0</v>
      </c>
      <c r="GVW22" s="1902">
        <f t="shared" si="87"/>
        <v>0</v>
      </c>
      <c r="GVX22" s="1902">
        <f t="shared" si="87"/>
        <v>0</v>
      </c>
      <c r="GVY22" s="1902">
        <f t="shared" si="87"/>
        <v>0</v>
      </c>
      <c r="GVZ22" s="1902">
        <f t="shared" si="87"/>
        <v>0</v>
      </c>
      <c r="GWA22" s="1902">
        <f t="shared" si="87"/>
        <v>0</v>
      </c>
      <c r="GWB22" s="1902">
        <f t="shared" si="87"/>
        <v>0</v>
      </c>
      <c r="GWC22" s="1902">
        <f t="shared" si="87"/>
        <v>0</v>
      </c>
      <c r="GWD22" s="1902">
        <f t="shared" si="87"/>
        <v>0</v>
      </c>
      <c r="GWE22" s="1902">
        <f t="shared" si="87"/>
        <v>0</v>
      </c>
      <c r="GWF22" s="1902">
        <f t="shared" si="87"/>
        <v>0</v>
      </c>
      <c r="GWG22" s="1902">
        <f t="shared" si="87"/>
        <v>0</v>
      </c>
      <c r="GWH22" s="1902">
        <f t="shared" si="87"/>
        <v>0</v>
      </c>
      <c r="GWI22" s="1902">
        <f t="shared" si="87"/>
        <v>0</v>
      </c>
      <c r="GWJ22" s="1902">
        <f t="shared" si="87"/>
        <v>0</v>
      </c>
      <c r="GWK22" s="1902">
        <f t="shared" si="87"/>
        <v>0</v>
      </c>
      <c r="GWL22" s="1902">
        <f t="shared" si="87"/>
        <v>0</v>
      </c>
      <c r="GWM22" s="1902">
        <f t="shared" si="87"/>
        <v>0</v>
      </c>
      <c r="GWN22" s="1902">
        <f t="shared" si="87"/>
        <v>0</v>
      </c>
      <c r="GWO22" s="1902">
        <f t="shared" si="87"/>
        <v>0</v>
      </c>
      <c r="GWP22" s="1902">
        <f t="shared" si="87"/>
        <v>0</v>
      </c>
      <c r="GWQ22" s="1902">
        <f t="shared" si="87"/>
        <v>0</v>
      </c>
      <c r="GWR22" s="1902">
        <f t="shared" si="87"/>
        <v>0</v>
      </c>
      <c r="GWS22" s="1902">
        <f t="shared" si="87"/>
        <v>0</v>
      </c>
      <c r="GWT22" s="1902">
        <f t="shared" si="87"/>
        <v>0</v>
      </c>
      <c r="GWU22" s="1902">
        <f t="shared" si="87"/>
        <v>0</v>
      </c>
      <c r="GWV22" s="1902">
        <f t="shared" si="87"/>
        <v>0</v>
      </c>
      <c r="GWW22" s="1902">
        <f t="shared" si="87"/>
        <v>0</v>
      </c>
      <c r="GWX22" s="1902">
        <f t="shared" si="87"/>
        <v>0</v>
      </c>
      <c r="GWY22" s="1902">
        <f t="shared" si="87"/>
        <v>0</v>
      </c>
      <c r="GWZ22" s="1902">
        <f t="shared" si="87"/>
        <v>0</v>
      </c>
      <c r="GXA22" s="1902">
        <f t="shared" si="87"/>
        <v>0</v>
      </c>
      <c r="GXB22" s="1902">
        <f t="shared" si="87"/>
        <v>0</v>
      </c>
      <c r="GXC22" s="1902">
        <f t="shared" si="87"/>
        <v>0</v>
      </c>
      <c r="GXD22" s="1902">
        <f t="shared" si="87"/>
        <v>0</v>
      </c>
      <c r="GXE22" s="1902">
        <f t="shared" si="87"/>
        <v>0</v>
      </c>
      <c r="GXF22" s="1902">
        <f t="shared" si="87"/>
        <v>0</v>
      </c>
      <c r="GXG22" s="1902">
        <f t="shared" si="87"/>
        <v>0</v>
      </c>
      <c r="GXH22" s="1902">
        <f t="shared" si="87"/>
        <v>0</v>
      </c>
      <c r="GXI22" s="1902">
        <f t="shared" si="87"/>
        <v>0</v>
      </c>
      <c r="GXJ22" s="1902">
        <f t="shared" si="87"/>
        <v>0</v>
      </c>
      <c r="GXK22" s="1902">
        <f t="shared" si="87"/>
        <v>0</v>
      </c>
      <c r="GXL22" s="1902">
        <f t="shared" si="87"/>
        <v>0</v>
      </c>
      <c r="GXM22" s="1902">
        <f t="shared" si="87"/>
        <v>0</v>
      </c>
      <c r="GXN22" s="1902">
        <f t="shared" si="87"/>
        <v>0</v>
      </c>
      <c r="GXO22" s="1902">
        <f t="shared" si="87"/>
        <v>0</v>
      </c>
      <c r="GXP22" s="1902">
        <f t="shared" si="87"/>
        <v>0</v>
      </c>
      <c r="GXQ22" s="1902">
        <f t="shared" si="87"/>
        <v>0</v>
      </c>
      <c r="GXR22" s="1902">
        <f t="shared" si="87"/>
        <v>0</v>
      </c>
      <c r="GXS22" s="1902">
        <f t="shared" si="87"/>
        <v>0</v>
      </c>
      <c r="GXT22" s="1902">
        <f t="shared" si="87"/>
        <v>0</v>
      </c>
      <c r="GXU22" s="1902">
        <f t="shared" si="87"/>
        <v>0</v>
      </c>
      <c r="GXV22" s="1902">
        <f t="shared" si="87"/>
        <v>0</v>
      </c>
      <c r="GXW22" s="1902">
        <f t="shared" si="87"/>
        <v>0</v>
      </c>
      <c r="GXX22" s="1902">
        <f t="shared" si="87"/>
        <v>0</v>
      </c>
      <c r="GXY22" s="1902">
        <f t="shared" si="87"/>
        <v>0</v>
      </c>
      <c r="GXZ22" s="1902">
        <f t="shared" si="87"/>
        <v>0</v>
      </c>
      <c r="GYA22" s="1902">
        <f t="shared" si="87"/>
        <v>0</v>
      </c>
      <c r="GYB22" s="1902">
        <f t="shared" si="87"/>
        <v>0</v>
      </c>
      <c r="GYC22" s="1902">
        <f t="shared" si="87"/>
        <v>0</v>
      </c>
      <c r="GYD22" s="1902">
        <f t="shared" si="87"/>
        <v>0</v>
      </c>
      <c r="GYE22" s="1902">
        <f t="shared" ref="GYE22:HAP22" si="88">IF(AND(GYE$26="End of period",GYE$25="Revenue"),GYE9,0)</f>
        <v>0</v>
      </c>
      <c r="GYF22" s="1902">
        <f t="shared" si="88"/>
        <v>0</v>
      </c>
      <c r="GYG22" s="1902">
        <f t="shared" si="88"/>
        <v>0</v>
      </c>
      <c r="GYH22" s="1902">
        <f t="shared" si="88"/>
        <v>0</v>
      </c>
      <c r="GYI22" s="1902">
        <f t="shared" si="88"/>
        <v>0</v>
      </c>
      <c r="GYJ22" s="1902">
        <f t="shared" si="88"/>
        <v>0</v>
      </c>
      <c r="GYK22" s="1902">
        <f t="shared" si="88"/>
        <v>0</v>
      </c>
      <c r="GYL22" s="1902">
        <f t="shared" si="88"/>
        <v>0</v>
      </c>
      <c r="GYM22" s="1902">
        <f t="shared" si="88"/>
        <v>0</v>
      </c>
      <c r="GYN22" s="1902">
        <f t="shared" si="88"/>
        <v>0</v>
      </c>
      <c r="GYO22" s="1902">
        <f t="shared" si="88"/>
        <v>0</v>
      </c>
      <c r="GYP22" s="1902">
        <f t="shared" si="88"/>
        <v>0</v>
      </c>
      <c r="GYQ22" s="1902">
        <f t="shared" si="88"/>
        <v>0</v>
      </c>
      <c r="GYR22" s="1902">
        <f t="shared" si="88"/>
        <v>0</v>
      </c>
      <c r="GYS22" s="1902">
        <f t="shared" si="88"/>
        <v>0</v>
      </c>
      <c r="GYT22" s="1902">
        <f t="shared" si="88"/>
        <v>0</v>
      </c>
      <c r="GYU22" s="1902">
        <f t="shared" si="88"/>
        <v>0</v>
      </c>
      <c r="GYV22" s="1902">
        <f t="shared" si="88"/>
        <v>0</v>
      </c>
      <c r="GYW22" s="1902">
        <f t="shared" si="88"/>
        <v>0</v>
      </c>
      <c r="GYX22" s="1902">
        <f t="shared" si="88"/>
        <v>0</v>
      </c>
      <c r="GYY22" s="1902">
        <f t="shared" si="88"/>
        <v>0</v>
      </c>
      <c r="GYZ22" s="1902">
        <f t="shared" si="88"/>
        <v>0</v>
      </c>
      <c r="GZA22" s="1902">
        <f t="shared" si="88"/>
        <v>0</v>
      </c>
      <c r="GZB22" s="1902">
        <f t="shared" si="88"/>
        <v>0</v>
      </c>
      <c r="GZC22" s="1902">
        <f t="shared" si="88"/>
        <v>0</v>
      </c>
      <c r="GZD22" s="1902">
        <f t="shared" si="88"/>
        <v>0</v>
      </c>
      <c r="GZE22" s="1902">
        <f t="shared" si="88"/>
        <v>0</v>
      </c>
      <c r="GZF22" s="1902">
        <f t="shared" si="88"/>
        <v>0</v>
      </c>
      <c r="GZG22" s="1902">
        <f t="shared" si="88"/>
        <v>0</v>
      </c>
      <c r="GZH22" s="1902">
        <f t="shared" si="88"/>
        <v>0</v>
      </c>
      <c r="GZI22" s="1902">
        <f t="shared" si="88"/>
        <v>0</v>
      </c>
      <c r="GZJ22" s="1902">
        <f t="shared" si="88"/>
        <v>0</v>
      </c>
      <c r="GZK22" s="1902">
        <f t="shared" si="88"/>
        <v>0</v>
      </c>
      <c r="GZL22" s="1902">
        <f t="shared" si="88"/>
        <v>0</v>
      </c>
      <c r="GZM22" s="1902">
        <f t="shared" si="88"/>
        <v>0</v>
      </c>
      <c r="GZN22" s="1902">
        <f t="shared" si="88"/>
        <v>0</v>
      </c>
      <c r="GZO22" s="1902">
        <f t="shared" si="88"/>
        <v>0</v>
      </c>
      <c r="GZP22" s="1902">
        <f t="shared" si="88"/>
        <v>0</v>
      </c>
      <c r="GZQ22" s="1902">
        <f t="shared" si="88"/>
        <v>0</v>
      </c>
      <c r="GZR22" s="1902">
        <f t="shared" si="88"/>
        <v>0</v>
      </c>
      <c r="GZS22" s="1902">
        <f t="shared" si="88"/>
        <v>0</v>
      </c>
      <c r="GZT22" s="1902">
        <f t="shared" si="88"/>
        <v>0</v>
      </c>
      <c r="GZU22" s="1902">
        <f t="shared" si="88"/>
        <v>0</v>
      </c>
      <c r="GZV22" s="1902">
        <f t="shared" si="88"/>
        <v>0</v>
      </c>
      <c r="GZW22" s="1902">
        <f t="shared" si="88"/>
        <v>0</v>
      </c>
      <c r="GZX22" s="1902">
        <f t="shared" si="88"/>
        <v>0</v>
      </c>
      <c r="GZY22" s="1902">
        <f t="shared" si="88"/>
        <v>0</v>
      </c>
      <c r="GZZ22" s="1902">
        <f t="shared" si="88"/>
        <v>0</v>
      </c>
      <c r="HAA22" s="1902">
        <f t="shared" si="88"/>
        <v>0</v>
      </c>
      <c r="HAB22" s="1902">
        <f t="shared" si="88"/>
        <v>0</v>
      </c>
      <c r="HAC22" s="1902">
        <f t="shared" si="88"/>
        <v>0</v>
      </c>
      <c r="HAD22" s="1902">
        <f t="shared" si="88"/>
        <v>0</v>
      </c>
      <c r="HAE22" s="1902">
        <f t="shared" si="88"/>
        <v>0</v>
      </c>
      <c r="HAF22" s="1902">
        <f t="shared" si="88"/>
        <v>0</v>
      </c>
      <c r="HAG22" s="1902">
        <f t="shared" si="88"/>
        <v>0</v>
      </c>
      <c r="HAH22" s="1902">
        <f t="shared" si="88"/>
        <v>0</v>
      </c>
      <c r="HAI22" s="1902">
        <f t="shared" si="88"/>
        <v>0</v>
      </c>
      <c r="HAJ22" s="1902">
        <f t="shared" si="88"/>
        <v>0</v>
      </c>
      <c r="HAK22" s="1902">
        <f t="shared" si="88"/>
        <v>0</v>
      </c>
      <c r="HAL22" s="1902">
        <f t="shared" si="88"/>
        <v>0</v>
      </c>
      <c r="HAM22" s="1902">
        <f t="shared" si="88"/>
        <v>0</v>
      </c>
      <c r="HAN22" s="1902">
        <f t="shared" si="88"/>
        <v>0</v>
      </c>
      <c r="HAO22" s="1902">
        <f t="shared" si="88"/>
        <v>0</v>
      </c>
      <c r="HAP22" s="1902">
        <f t="shared" si="88"/>
        <v>0</v>
      </c>
      <c r="HAQ22" s="1902">
        <f t="shared" ref="HAQ22:HDB22" si="89">IF(AND(HAQ$26="End of period",HAQ$25="Revenue"),HAQ9,0)</f>
        <v>0</v>
      </c>
      <c r="HAR22" s="1902">
        <f t="shared" si="89"/>
        <v>0</v>
      </c>
      <c r="HAS22" s="1902">
        <f t="shared" si="89"/>
        <v>0</v>
      </c>
      <c r="HAT22" s="1902">
        <f t="shared" si="89"/>
        <v>0</v>
      </c>
      <c r="HAU22" s="1902">
        <f t="shared" si="89"/>
        <v>0</v>
      </c>
      <c r="HAV22" s="1902">
        <f t="shared" si="89"/>
        <v>0</v>
      </c>
      <c r="HAW22" s="1902">
        <f t="shared" si="89"/>
        <v>0</v>
      </c>
      <c r="HAX22" s="1902">
        <f t="shared" si="89"/>
        <v>0</v>
      </c>
      <c r="HAY22" s="1902">
        <f t="shared" si="89"/>
        <v>0</v>
      </c>
      <c r="HAZ22" s="1902">
        <f t="shared" si="89"/>
        <v>0</v>
      </c>
      <c r="HBA22" s="1902">
        <f t="shared" si="89"/>
        <v>0</v>
      </c>
      <c r="HBB22" s="1902">
        <f t="shared" si="89"/>
        <v>0</v>
      </c>
      <c r="HBC22" s="1902">
        <f t="shared" si="89"/>
        <v>0</v>
      </c>
      <c r="HBD22" s="1902">
        <f t="shared" si="89"/>
        <v>0</v>
      </c>
      <c r="HBE22" s="1902">
        <f t="shared" si="89"/>
        <v>0</v>
      </c>
      <c r="HBF22" s="1902">
        <f t="shared" si="89"/>
        <v>0</v>
      </c>
      <c r="HBG22" s="1902">
        <f t="shared" si="89"/>
        <v>0</v>
      </c>
      <c r="HBH22" s="1902">
        <f t="shared" si="89"/>
        <v>0</v>
      </c>
      <c r="HBI22" s="1902">
        <f t="shared" si="89"/>
        <v>0</v>
      </c>
      <c r="HBJ22" s="1902">
        <f t="shared" si="89"/>
        <v>0</v>
      </c>
      <c r="HBK22" s="1902">
        <f t="shared" si="89"/>
        <v>0</v>
      </c>
      <c r="HBL22" s="1902">
        <f t="shared" si="89"/>
        <v>0</v>
      </c>
      <c r="HBM22" s="1902">
        <f t="shared" si="89"/>
        <v>0</v>
      </c>
      <c r="HBN22" s="1902">
        <f t="shared" si="89"/>
        <v>0</v>
      </c>
      <c r="HBO22" s="1902">
        <f t="shared" si="89"/>
        <v>0</v>
      </c>
      <c r="HBP22" s="1902">
        <f t="shared" si="89"/>
        <v>0</v>
      </c>
      <c r="HBQ22" s="1902">
        <f t="shared" si="89"/>
        <v>0</v>
      </c>
      <c r="HBR22" s="1902">
        <f t="shared" si="89"/>
        <v>0</v>
      </c>
      <c r="HBS22" s="1902">
        <f t="shared" si="89"/>
        <v>0</v>
      </c>
      <c r="HBT22" s="1902">
        <f t="shared" si="89"/>
        <v>0</v>
      </c>
      <c r="HBU22" s="1902">
        <f t="shared" si="89"/>
        <v>0</v>
      </c>
      <c r="HBV22" s="1902">
        <f t="shared" si="89"/>
        <v>0</v>
      </c>
      <c r="HBW22" s="1902">
        <f t="shared" si="89"/>
        <v>0</v>
      </c>
      <c r="HBX22" s="1902">
        <f t="shared" si="89"/>
        <v>0</v>
      </c>
      <c r="HBY22" s="1902">
        <f t="shared" si="89"/>
        <v>0</v>
      </c>
      <c r="HBZ22" s="1902">
        <f t="shared" si="89"/>
        <v>0</v>
      </c>
      <c r="HCA22" s="1902">
        <f t="shared" si="89"/>
        <v>0</v>
      </c>
      <c r="HCB22" s="1902">
        <f t="shared" si="89"/>
        <v>0</v>
      </c>
      <c r="HCC22" s="1902">
        <f t="shared" si="89"/>
        <v>0</v>
      </c>
      <c r="HCD22" s="1902">
        <f t="shared" si="89"/>
        <v>0</v>
      </c>
      <c r="HCE22" s="1902">
        <f t="shared" si="89"/>
        <v>0</v>
      </c>
      <c r="HCF22" s="1902">
        <f t="shared" si="89"/>
        <v>0</v>
      </c>
      <c r="HCG22" s="1902">
        <f t="shared" si="89"/>
        <v>0</v>
      </c>
      <c r="HCH22" s="1902">
        <f t="shared" si="89"/>
        <v>0</v>
      </c>
      <c r="HCI22" s="1902">
        <f t="shared" si="89"/>
        <v>0</v>
      </c>
      <c r="HCJ22" s="1902">
        <f t="shared" si="89"/>
        <v>0</v>
      </c>
      <c r="HCK22" s="1902">
        <f t="shared" si="89"/>
        <v>0</v>
      </c>
      <c r="HCL22" s="1902">
        <f t="shared" si="89"/>
        <v>0</v>
      </c>
      <c r="HCM22" s="1902">
        <f t="shared" si="89"/>
        <v>0</v>
      </c>
      <c r="HCN22" s="1902">
        <f t="shared" si="89"/>
        <v>0</v>
      </c>
      <c r="HCO22" s="1902">
        <f t="shared" si="89"/>
        <v>0</v>
      </c>
      <c r="HCP22" s="1902">
        <f t="shared" si="89"/>
        <v>0</v>
      </c>
      <c r="HCQ22" s="1902">
        <f t="shared" si="89"/>
        <v>0</v>
      </c>
      <c r="HCR22" s="1902">
        <f t="shared" si="89"/>
        <v>0</v>
      </c>
      <c r="HCS22" s="1902">
        <f t="shared" si="89"/>
        <v>0</v>
      </c>
      <c r="HCT22" s="1902">
        <f t="shared" si="89"/>
        <v>0</v>
      </c>
      <c r="HCU22" s="1902">
        <f t="shared" si="89"/>
        <v>0</v>
      </c>
      <c r="HCV22" s="1902">
        <f t="shared" si="89"/>
        <v>0</v>
      </c>
      <c r="HCW22" s="1902">
        <f t="shared" si="89"/>
        <v>0</v>
      </c>
      <c r="HCX22" s="1902">
        <f t="shared" si="89"/>
        <v>0</v>
      </c>
      <c r="HCY22" s="1902">
        <f t="shared" si="89"/>
        <v>0</v>
      </c>
      <c r="HCZ22" s="1902">
        <f t="shared" si="89"/>
        <v>0</v>
      </c>
      <c r="HDA22" s="1902">
        <f t="shared" si="89"/>
        <v>0</v>
      </c>
      <c r="HDB22" s="1902">
        <f t="shared" si="89"/>
        <v>0</v>
      </c>
      <c r="HDC22" s="1902">
        <f t="shared" ref="HDC22:HFN22" si="90">IF(AND(HDC$26="End of period",HDC$25="Revenue"),HDC9,0)</f>
        <v>0</v>
      </c>
      <c r="HDD22" s="1902">
        <f t="shared" si="90"/>
        <v>0</v>
      </c>
      <c r="HDE22" s="1902">
        <f t="shared" si="90"/>
        <v>0</v>
      </c>
      <c r="HDF22" s="1902">
        <f t="shared" si="90"/>
        <v>0</v>
      </c>
      <c r="HDG22" s="1902">
        <f t="shared" si="90"/>
        <v>0</v>
      </c>
      <c r="HDH22" s="1902">
        <f t="shared" si="90"/>
        <v>0</v>
      </c>
      <c r="HDI22" s="1902">
        <f t="shared" si="90"/>
        <v>0</v>
      </c>
      <c r="HDJ22" s="1902">
        <f t="shared" si="90"/>
        <v>0</v>
      </c>
      <c r="HDK22" s="1902">
        <f t="shared" si="90"/>
        <v>0</v>
      </c>
      <c r="HDL22" s="1902">
        <f t="shared" si="90"/>
        <v>0</v>
      </c>
      <c r="HDM22" s="1902">
        <f t="shared" si="90"/>
        <v>0</v>
      </c>
      <c r="HDN22" s="1902">
        <f t="shared" si="90"/>
        <v>0</v>
      </c>
      <c r="HDO22" s="1902">
        <f t="shared" si="90"/>
        <v>0</v>
      </c>
      <c r="HDP22" s="1902">
        <f t="shared" si="90"/>
        <v>0</v>
      </c>
      <c r="HDQ22" s="1902">
        <f t="shared" si="90"/>
        <v>0</v>
      </c>
      <c r="HDR22" s="1902">
        <f t="shared" si="90"/>
        <v>0</v>
      </c>
      <c r="HDS22" s="1902">
        <f t="shared" si="90"/>
        <v>0</v>
      </c>
      <c r="HDT22" s="1902">
        <f t="shared" si="90"/>
        <v>0</v>
      </c>
      <c r="HDU22" s="1902">
        <f t="shared" si="90"/>
        <v>0</v>
      </c>
      <c r="HDV22" s="1902">
        <f t="shared" si="90"/>
        <v>0</v>
      </c>
      <c r="HDW22" s="1902">
        <f t="shared" si="90"/>
        <v>0</v>
      </c>
      <c r="HDX22" s="1902">
        <f t="shared" si="90"/>
        <v>0</v>
      </c>
      <c r="HDY22" s="1902">
        <f t="shared" si="90"/>
        <v>0</v>
      </c>
      <c r="HDZ22" s="1902">
        <f t="shared" si="90"/>
        <v>0</v>
      </c>
      <c r="HEA22" s="1902">
        <f t="shared" si="90"/>
        <v>0</v>
      </c>
      <c r="HEB22" s="1902">
        <f t="shared" si="90"/>
        <v>0</v>
      </c>
      <c r="HEC22" s="1902">
        <f t="shared" si="90"/>
        <v>0</v>
      </c>
      <c r="HED22" s="1902">
        <f t="shared" si="90"/>
        <v>0</v>
      </c>
      <c r="HEE22" s="1902">
        <f t="shared" si="90"/>
        <v>0</v>
      </c>
      <c r="HEF22" s="1902">
        <f t="shared" si="90"/>
        <v>0</v>
      </c>
      <c r="HEG22" s="1902">
        <f t="shared" si="90"/>
        <v>0</v>
      </c>
      <c r="HEH22" s="1902">
        <f t="shared" si="90"/>
        <v>0</v>
      </c>
      <c r="HEI22" s="1902">
        <f t="shared" si="90"/>
        <v>0</v>
      </c>
      <c r="HEJ22" s="1902">
        <f t="shared" si="90"/>
        <v>0</v>
      </c>
      <c r="HEK22" s="1902">
        <f t="shared" si="90"/>
        <v>0</v>
      </c>
      <c r="HEL22" s="1902">
        <f t="shared" si="90"/>
        <v>0</v>
      </c>
      <c r="HEM22" s="1902">
        <f t="shared" si="90"/>
        <v>0</v>
      </c>
      <c r="HEN22" s="1902">
        <f t="shared" si="90"/>
        <v>0</v>
      </c>
      <c r="HEO22" s="1902">
        <f t="shared" si="90"/>
        <v>0</v>
      </c>
      <c r="HEP22" s="1902">
        <f t="shared" si="90"/>
        <v>0</v>
      </c>
      <c r="HEQ22" s="1902">
        <f t="shared" si="90"/>
        <v>0</v>
      </c>
      <c r="HER22" s="1902">
        <f t="shared" si="90"/>
        <v>0</v>
      </c>
      <c r="HES22" s="1902">
        <f t="shared" si="90"/>
        <v>0</v>
      </c>
      <c r="HET22" s="1902">
        <f t="shared" si="90"/>
        <v>0</v>
      </c>
      <c r="HEU22" s="1902">
        <f t="shared" si="90"/>
        <v>0</v>
      </c>
      <c r="HEV22" s="1902">
        <f t="shared" si="90"/>
        <v>0</v>
      </c>
      <c r="HEW22" s="1902">
        <f t="shared" si="90"/>
        <v>0</v>
      </c>
      <c r="HEX22" s="1902">
        <f t="shared" si="90"/>
        <v>0</v>
      </c>
      <c r="HEY22" s="1902">
        <f t="shared" si="90"/>
        <v>0</v>
      </c>
      <c r="HEZ22" s="1902">
        <f t="shared" si="90"/>
        <v>0</v>
      </c>
      <c r="HFA22" s="1902">
        <f t="shared" si="90"/>
        <v>0</v>
      </c>
      <c r="HFB22" s="1902">
        <f t="shared" si="90"/>
        <v>0</v>
      </c>
      <c r="HFC22" s="1902">
        <f t="shared" si="90"/>
        <v>0</v>
      </c>
      <c r="HFD22" s="1902">
        <f t="shared" si="90"/>
        <v>0</v>
      </c>
      <c r="HFE22" s="1902">
        <f t="shared" si="90"/>
        <v>0</v>
      </c>
      <c r="HFF22" s="1902">
        <f t="shared" si="90"/>
        <v>0</v>
      </c>
      <c r="HFG22" s="1902">
        <f t="shared" si="90"/>
        <v>0</v>
      </c>
      <c r="HFH22" s="1902">
        <f t="shared" si="90"/>
        <v>0</v>
      </c>
      <c r="HFI22" s="1902">
        <f t="shared" si="90"/>
        <v>0</v>
      </c>
      <c r="HFJ22" s="1902">
        <f t="shared" si="90"/>
        <v>0</v>
      </c>
      <c r="HFK22" s="1902">
        <f t="shared" si="90"/>
        <v>0</v>
      </c>
      <c r="HFL22" s="1902">
        <f t="shared" si="90"/>
        <v>0</v>
      </c>
      <c r="HFM22" s="1902">
        <f t="shared" si="90"/>
        <v>0</v>
      </c>
      <c r="HFN22" s="1902">
        <f t="shared" si="90"/>
        <v>0</v>
      </c>
      <c r="HFO22" s="1902">
        <f t="shared" ref="HFO22:HHZ22" si="91">IF(AND(HFO$26="End of period",HFO$25="Revenue"),HFO9,0)</f>
        <v>0</v>
      </c>
      <c r="HFP22" s="1902">
        <f t="shared" si="91"/>
        <v>0</v>
      </c>
      <c r="HFQ22" s="1902">
        <f t="shared" si="91"/>
        <v>0</v>
      </c>
      <c r="HFR22" s="1902">
        <f t="shared" si="91"/>
        <v>0</v>
      </c>
      <c r="HFS22" s="1902">
        <f t="shared" si="91"/>
        <v>0</v>
      </c>
      <c r="HFT22" s="1902">
        <f t="shared" si="91"/>
        <v>0</v>
      </c>
      <c r="HFU22" s="1902">
        <f t="shared" si="91"/>
        <v>0</v>
      </c>
      <c r="HFV22" s="1902">
        <f t="shared" si="91"/>
        <v>0</v>
      </c>
      <c r="HFW22" s="1902">
        <f t="shared" si="91"/>
        <v>0</v>
      </c>
      <c r="HFX22" s="1902">
        <f t="shared" si="91"/>
        <v>0</v>
      </c>
      <c r="HFY22" s="1902">
        <f t="shared" si="91"/>
        <v>0</v>
      </c>
      <c r="HFZ22" s="1902">
        <f t="shared" si="91"/>
        <v>0</v>
      </c>
      <c r="HGA22" s="1902">
        <f t="shared" si="91"/>
        <v>0</v>
      </c>
      <c r="HGB22" s="1902">
        <f t="shared" si="91"/>
        <v>0</v>
      </c>
      <c r="HGC22" s="1902">
        <f t="shared" si="91"/>
        <v>0</v>
      </c>
      <c r="HGD22" s="1902">
        <f t="shared" si="91"/>
        <v>0</v>
      </c>
      <c r="HGE22" s="1902">
        <f t="shared" si="91"/>
        <v>0</v>
      </c>
      <c r="HGF22" s="1902">
        <f t="shared" si="91"/>
        <v>0</v>
      </c>
      <c r="HGG22" s="1902">
        <f t="shared" si="91"/>
        <v>0</v>
      </c>
      <c r="HGH22" s="1902">
        <f t="shared" si="91"/>
        <v>0</v>
      </c>
      <c r="HGI22" s="1902">
        <f t="shared" si="91"/>
        <v>0</v>
      </c>
      <c r="HGJ22" s="1902">
        <f t="shared" si="91"/>
        <v>0</v>
      </c>
      <c r="HGK22" s="1902">
        <f t="shared" si="91"/>
        <v>0</v>
      </c>
      <c r="HGL22" s="1902">
        <f t="shared" si="91"/>
        <v>0</v>
      </c>
      <c r="HGM22" s="1902">
        <f t="shared" si="91"/>
        <v>0</v>
      </c>
      <c r="HGN22" s="1902">
        <f t="shared" si="91"/>
        <v>0</v>
      </c>
      <c r="HGO22" s="1902">
        <f t="shared" si="91"/>
        <v>0</v>
      </c>
      <c r="HGP22" s="1902">
        <f t="shared" si="91"/>
        <v>0</v>
      </c>
      <c r="HGQ22" s="1902">
        <f t="shared" si="91"/>
        <v>0</v>
      </c>
      <c r="HGR22" s="1902">
        <f t="shared" si="91"/>
        <v>0</v>
      </c>
      <c r="HGS22" s="1902">
        <f t="shared" si="91"/>
        <v>0</v>
      </c>
      <c r="HGT22" s="1902">
        <f t="shared" si="91"/>
        <v>0</v>
      </c>
      <c r="HGU22" s="1902">
        <f t="shared" si="91"/>
        <v>0</v>
      </c>
      <c r="HGV22" s="1902">
        <f t="shared" si="91"/>
        <v>0</v>
      </c>
      <c r="HGW22" s="1902">
        <f t="shared" si="91"/>
        <v>0</v>
      </c>
      <c r="HGX22" s="1902">
        <f t="shared" si="91"/>
        <v>0</v>
      </c>
      <c r="HGY22" s="1902">
        <f t="shared" si="91"/>
        <v>0</v>
      </c>
      <c r="HGZ22" s="1902">
        <f t="shared" si="91"/>
        <v>0</v>
      </c>
      <c r="HHA22" s="1902">
        <f t="shared" si="91"/>
        <v>0</v>
      </c>
      <c r="HHB22" s="1902">
        <f t="shared" si="91"/>
        <v>0</v>
      </c>
      <c r="HHC22" s="1902">
        <f t="shared" si="91"/>
        <v>0</v>
      </c>
      <c r="HHD22" s="1902">
        <f t="shared" si="91"/>
        <v>0</v>
      </c>
      <c r="HHE22" s="1902">
        <f t="shared" si="91"/>
        <v>0</v>
      </c>
      <c r="HHF22" s="1902">
        <f t="shared" si="91"/>
        <v>0</v>
      </c>
      <c r="HHG22" s="1902">
        <f t="shared" si="91"/>
        <v>0</v>
      </c>
      <c r="HHH22" s="1902">
        <f t="shared" si="91"/>
        <v>0</v>
      </c>
      <c r="HHI22" s="1902">
        <f t="shared" si="91"/>
        <v>0</v>
      </c>
      <c r="HHJ22" s="1902">
        <f t="shared" si="91"/>
        <v>0</v>
      </c>
      <c r="HHK22" s="1902">
        <f t="shared" si="91"/>
        <v>0</v>
      </c>
      <c r="HHL22" s="1902">
        <f t="shared" si="91"/>
        <v>0</v>
      </c>
      <c r="HHM22" s="1902">
        <f t="shared" si="91"/>
        <v>0</v>
      </c>
      <c r="HHN22" s="1902">
        <f t="shared" si="91"/>
        <v>0</v>
      </c>
      <c r="HHO22" s="1902">
        <f t="shared" si="91"/>
        <v>0</v>
      </c>
      <c r="HHP22" s="1902">
        <f t="shared" si="91"/>
        <v>0</v>
      </c>
      <c r="HHQ22" s="1902">
        <f t="shared" si="91"/>
        <v>0</v>
      </c>
      <c r="HHR22" s="1902">
        <f t="shared" si="91"/>
        <v>0</v>
      </c>
      <c r="HHS22" s="1902">
        <f t="shared" si="91"/>
        <v>0</v>
      </c>
      <c r="HHT22" s="1902">
        <f t="shared" si="91"/>
        <v>0</v>
      </c>
      <c r="HHU22" s="1902">
        <f t="shared" si="91"/>
        <v>0</v>
      </c>
      <c r="HHV22" s="1902">
        <f t="shared" si="91"/>
        <v>0</v>
      </c>
      <c r="HHW22" s="1902">
        <f t="shared" si="91"/>
        <v>0</v>
      </c>
      <c r="HHX22" s="1902">
        <f t="shared" si="91"/>
        <v>0</v>
      </c>
      <c r="HHY22" s="1902">
        <f t="shared" si="91"/>
        <v>0</v>
      </c>
      <c r="HHZ22" s="1902">
        <f t="shared" si="91"/>
        <v>0</v>
      </c>
      <c r="HIA22" s="1902">
        <f t="shared" ref="HIA22:HKL22" si="92">IF(AND(HIA$26="End of period",HIA$25="Revenue"),HIA9,0)</f>
        <v>0</v>
      </c>
      <c r="HIB22" s="1902">
        <f t="shared" si="92"/>
        <v>0</v>
      </c>
      <c r="HIC22" s="1902">
        <f t="shared" si="92"/>
        <v>0</v>
      </c>
      <c r="HID22" s="1902">
        <f t="shared" si="92"/>
        <v>0</v>
      </c>
      <c r="HIE22" s="1902">
        <f t="shared" si="92"/>
        <v>0</v>
      </c>
      <c r="HIF22" s="1902">
        <f t="shared" si="92"/>
        <v>0</v>
      </c>
      <c r="HIG22" s="1902">
        <f t="shared" si="92"/>
        <v>0</v>
      </c>
      <c r="HIH22" s="1902">
        <f t="shared" si="92"/>
        <v>0</v>
      </c>
      <c r="HII22" s="1902">
        <f t="shared" si="92"/>
        <v>0</v>
      </c>
      <c r="HIJ22" s="1902">
        <f t="shared" si="92"/>
        <v>0</v>
      </c>
      <c r="HIK22" s="1902">
        <f t="shared" si="92"/>
        <v>0</v>
      </c>
      <c r="HIL22" s="1902">
        <f t="shared" si="92"/>
        <v>0</v>
      </c>
      <c r="HIM22" s="1902">
        <f t="shared" si="92"/>
        <v>0</v>
      </c>
      <c r="HIN22" s="1902">
        <f t="shared" si="92"/>
        <v>0</v>
      </c>
      <c r="HIO22" s="1902">
        <f t="shared" si="92"/>
        <v>0</v>
      </c>
      <c r="HIP22" s="1902">
        <f t="shared" si="92"/>
        <v>0</v>
      </c>
      <c r="HIQ22" s="1902">
        <f t="shared" si="92"/>
        <v>0</v>
      </c>
      <c r="HIR22" s="1902">
        <f t="shared" si="92"/>
        <v>0</v>
      </c>
      <c r="HIS22" s="1902">
        <f t="shared" si="92"/>
        <v>0</v>
      </c>
      <c r="HIT22" s="1902">
        <f t="shared" si="92"/>
        <v>0</v>
      </c>
      <c r="HIU22" s="1902">
        <f t="shared" si="92"/>
        <v>0</v>
      </c>
      <c r="HIV22" s="1902">
        <f t="shared" si="92"/>
        <v>0</v>
      </c>
      <c r="HIW22" s="1902">
        <f t="shared" si="92"/>
        <v>0</v>
      </c>
      <c r="HIX22" s="1902">
        <f t="shared" si="92"/>
        <v>0</v>
      </c>
      <c r="HIY22" s="1902">
        <f t="shared" si="92"/>
        <v>0</v>
      </c>
      <c r="HIZ22" s="1902">
        <f t="shared" si="92"/>
        <v>0</v>
      </c>
      <c r="HJA22" s="1902">
        <f t="shared" si="92"/>
        <v>0</v>
      </c>
      <c r="HJB22" s="1902">
        <f t="shared" si="92"/>
        <v>0</v>
      </c>
      <c r="HJC22" s="1902">
        <f t="shared" si="92"/>
        <v>0</v>
      </c>
      <c r="HJD22" s="1902">
        <f t="shared" si="92"/>
        <v>0</v>
      </c>
      <c r="HJE22" s="1902">
        <f t="shared" si="92"/>
        <v>0</v>
      </c>
      <c r="HJF22" s="1902">
        <f t="shared" si="92"/>
        <v>0</v>
      </c>
      <c r="HJG22" s="1902">
        <f t="shared" si="92"/>
        <v>0</v>
      </c>
      <c r="HJH22" s="1902">
        <f t="shared" si="92"/>
        <v>0</v>
      </c>
      <c r="HJI22" s="1902">
        <f t="shared" si="92"/>
        <v>0</v>
      </c>
      <c r="HJJ22" s="1902">
        <f t="shared" si="92"/>
        <v>0</v>
      </c>
      <c r="HJK22" s="1902">
        <f t="shared" si="92"/>
        <v>0</v>
      </c>
      <c r="HJL22" s="1902">
        <f t="shared" si="92"/>
        <v>0</v>
      </c>
      <c r="HJM22" s="1902">
        <f t="shared" si="92"/>
        <v>0</v>
      </c>
      <c r="HJN22" s="1902">
        <f t="shared" si="92"/>
        <v>0</v>
      </c>
      <c r="HJO22" s="1902">
        <f t="shared" si="92"/>
        <v>0</v>
      </c>
      <c r="HJP22" s="1902">
        <f t="shared" si="92"/>
        <v>0</v>
      </c>
      <c r="HJQ22" s="1902">
        <f t="shared" si="92"/>
        <v>0</v>
      </c>
      <c r="HJR22" s="1902">
        <f t="shared" si="92"/>
        <v>0</v>
      </c>
      <c r="HJS22" s="1902">
        <f t="shared" si="92"/>
        <v>0</v>
      </c>
      <c r="HJT22" s="1902">
        <f t="shared" si="92"/>
        <v>0</v>
      </c>
      <c r="HJU22" s="1902">
        <f t="shared" si="92"/>
        <v>0</v>
      </c>
      <c r="HJV22" s="1902">
        <f t="shared" si="92"/>
        <v>0</v>
      </c>
      <c r="HJW22" s="1902">
        <f t="shared" si="92"/>
        <v>0</v>
      </c>
      <c r="HJX22" s="1902">
        <f t="shared" si="92"/>
        <v>0</v>
      </c>
      <c r="HJY22" s="1902">
        <f t="shared" si="92"/>
        <v>0</v>
      </c>
      <c r="HJZ22" s="1902">
        <f t="shared" si="92"/>
        <v>0</v>
      </c>
      <c r="HKA22" s="1902">
        <f t="shared" si="92"/>
        <v>0</v>
      </c>
      <c r="HKB22" s="1902">
        <f t="shared" si="92"/>
        <v>0</v>
      </c>
      <c r="HKC22" s="1902">
        <f t="shared" si="92"/>
        <v>0</v>
      </c>
      <c r="HKD22" s="1902">
        <f t="shared" si="92"/>
        <v>0</v>
      </c>
      <c r="HKE22" s="1902">
        <f t="shared" si="92"/>
        <v>0</v>
      </c>
      <c r="HKF22" s="1902">
        <f t="shared" si="92"/>
        <v>0</v>
      </c>
      <c r="HKG22" s="1902">
        <f t="shared" si="92"/>
        <v>0</v>
      </c>
      <c r="HKH22" s="1902">
        <f t="shared" si="92"/>
        <v>0</v>
      </c>
      <c r="HKI22" s="1902">
        <f t="shared" si="92"/>
        <v>0</v>
      </c>
      <c r="HKJ22" s="1902">
        <f t="shared" si="92"/>
        <v>0</v>
      </c>
      <c r="HKK22" s="1902">
        <f t="shared" si="92"/>
        <v>0</v>
      </c>
      <c r="HKL22" s="1902">
        <f t="shared" si="92"/>
        <v>0</v>
      </c>
      <c r="HKM22" s="1902">
        <f t="shared" ref="HKM22:HMX22" si="93">IF(AND(HKM$26="End of period",HKM$25="Revenue"),HKM9,0)</f>
        <v>0</v>
      </c>
      <c r="HKN22" s="1902">
        <f t="shared" si="93"/>
        <v>0</v>
      </c>
      <c r="HKO22" s="1902">
        <f t="shared" si="93"/>
        <v>0</v>
      </c>
      <c r="HKP22" s="1902">
        <f t="shared" si="93"/>
        <v>0</v>
      </c>
      <c r="HKQ22" s="1902">
        <f t="shared" si="93"/>
        <v>0</v>
      </c>
      <c r="HKR22" s="1902">
        <f t="shared" si="93"/>
        <v>0</v>
      </c>
      <c r="HKS22" s="1902">
        <f t="shared" si="93"/>
        <v>0</v>
      </c>
      <c r="HKT22" s="1902">
        <f t="shared" si="93"/>
        <v>0</v>
      </c>
      <c r="HKU22" s="1902">
        <f t="shared" si="93"/>
        <v>0</v>
      </c>
      <c r="HKV22" s="1902">
        <f t="shared" si="93"/>
        <v>0</v>
      </c>
      <c r="HKW22" s="1902">
        <f t="shared" si="93"/>
        <v>0</v>
      </c>
      <c r="HKX22" s="1902">
        <f t="shared" si="93"/>
        <v>0</v>
      </c>
      <c r="HKY22" s="1902">
        <f t="shared" si="93"/>
        <v>0</v>
      </c>
      <c r="HKZ22" s="1902">
        <f t="shared" si="93"/>
        <v>0</v>
      </c>
      <c r="HLA22" s="1902">
        <f t="shared" si="93"/>
        <v>0</v>
      </c>
      <c r="HLB22" s="1902">
        <f t="shared" si="93"/>
        <v>0</v>
      </c>
      <c r="HLC22" s="1902">
        <f t="shared" si="93"/>
        <v>0</v>
      </c>
      <c r="HLD22" s="1902">
        <f t="shared" si="93"/>
        <v>0</v>
      </c>
      <c r="HLE22" s="1902">
        <f t="shared" si="93"/>
        <v>0</v>
      </c>
      <c r="HLF22" s="1902">
        <f t="shared" si="93"/>
        <v>0</v>
      </c>
      <c r="HLG22" s="1902">
        <f t="shared" si="93"/>
        <v>0</v>
      </c>
      <c r="HLH22" s="1902">
        <f t="shared" si="93"/>
        <v>0</v>
      </c>
      <c r="HLI22" s="1902">
        <f t="shared" si="93"/>
        <v>0</v>
      </c>
      <c r="HLJ22" s="1902">
        <f t="shared" si="93"/>
        <v>0</v>
      </c>
      <c r="HLK22" s="1902">
        <f t="shared" si="93"/>
        <v>0</v>
      </c>
      <c r="HLL22" s="1902">
        <f t="shared" si="93"/>
        <v>0</v>
      </c>
      <c r="HLM22" s="1902">
        <f t="shared" si="93"/>
        <v>0</v>
      </c>
      <c r="HLN22" s="1902">
        <f t="shared" si="93"/>
        <v>0</v>
      </c>
      <c r="HLO22" s="1902">
        <f t="shared" si="93"/>
        <v>0</v>
      </c>
      <c r="HLP22" s="1902">
        <f t="shared" si="93"/>
        <v>0</v>
      </c>
      <c r="HLQ22" s="1902">
        <f t="shared" si="93"/>
        <v>0</v>
      </c>
      <c r="HLR22" s="1902">
        <f t="shared" si="93"/>
        <v>0</v>
      </c>
      <c r="HLS22" s="1902">
        <f t="shared" si="93"/>
        <v>0</v>
      </c>
      <c r="HLT22" s="1902">
        <f t="shared" si="93"/>
        <v>0</v>
      </c>
      <c r="HLU22" s="1902">
        <f t="shared" si="93"/>
        <v>0</v>
      </c>
      <c r="HLV22" s="1902">
        <f t="shared" si="93"/>
        <v>0</v>
      </c>
      <c r="HLW22" s="1902">
        <f t="shared" si="93"/>
        <v>0</v>
      </c>
      <c r="HLX22" s="1902">
        <f t="shared" si="93"/>
        <v>0</v>
      </c>
      <c r="HLY22" s="1902">
        <f t="shared" si="93"/>
        <v>0</v>
      </c>
      <c r="HLZ22" s="1902">
        <f t="shared" si="93"/>
        <v>0</v>
      </c>
      <c r="HMA22" s="1902">
        <f t="shared" si="93"/>
        <v>0</v>
      </c>
      <c r="HMB22" s="1902">
        <f t="shared" si="93"/>
        <v>0</v>
      </c>
      <c r="HMC22" s="1902">
        <f t="shared" si="93"/>
        <v>0</v>
      </c>
      <c r="HMD22" s="1902">
        <f t="shared" si="93"/>
        <v>0</v>
      </c>
      <c r="HME22" s="1902">
        <f t="shared" si="93"/>
        <v>0</v>
      </c>
      <c r="HMF22" s="1902">
        <f t="shared" si="93"/>
        <v>0</v>
      </c>
      <c r="HMG22" s="1902">
        <f t="shared" si="93"/>
        <v>0</v>
      </c>
      <c r="HMH22" s="1902">
        <f t="shared" si="93"/>
        <v>0</v>
      </c>
      <c r="HMI22" s="1902">
        <f t="shared" si="93"/>
        <v>0</v>
      </c>
      <c r="HMJ22" s="1902">
        <f t="shared" si="93"/>
        <v>0</v>
      </c>
      <c r="HMK22" s="1902">
        <f t="shared" si="93"/>
        <v>0</v>
      </c>
      <c r="HML22" s="1902">
        <f t="shared" si="93"/>
        <v>0</v>
      </c>
      <c r="HMM22" s="1902">
        <f t="shared" si="93"/>
        <v>0</v>
      </c>
      <c r="HMN22" s="1902">
        <f t="shared" si="93"/>
        <v>0</v>
      </c>
      <c r="HMO22" s="1902">
        <f t="shared" si="93"/>
        <v>0</v>
      </c>
      <c r="HMP22" s="1902">
        <f t="shared" si="93"/>
        <v>0</v>
      </c>
      <c r="HMQ22" s="1902">
        <f t="shared" si="93"/>
        <v>0</v>
      </c>
      <c r="HMR22" s="1902">
        <f t="shared" si="93"/>
        <v>0</v>
      </c>
      <c r="HMS22" s="1902">
        <f t="shared" si="93"/>
        <v>0</v>
      </c>
      <c r="HMT22" s="1902">
        <f t="shared" si="93"/>
        <v>0</v>
      </c>
      <c r="HMU22" s="1902">
        <f t="shared" si="93"/>
        <v>0</v>
      </c>
      <c r="HMV22" s="1902">
        <f t="shared" si="93"/>
        <v>0</v>
      </c>
      <c r="HMW22" s="1902">
        <f t="shared" si="93"/>
        <v>0</v>
      </c>
      <c r="HMX22" s="1902">
        <f t="shared" si="93"/>
        <v>0</v>
      </c>
      <c r="HMY22" s="1902">
        <f t="shared" ref="HMY22:HPJ22" si="94">IF(AND(HMY$26="End of period",HMY$25="Revenue"),HMY9,0)</f>
        <v>0</v>
      </c>
      <c r="HMZ22" s="1902">
        <f t="shared" si="94"/>
        <v>0</v>
      </c>
      <c r="HNA22" s="1902">
        <f t="shared" si="94"/>
        <v>0</v>
      </c>
      <c r="HNB22" s="1902">
        <f t="shared" si="94"/>
        <v>0</v>
      </c>
      <c r="HNC22" s="1902">
        <f t="shared" si="94"/>
        <v>0</v>
      </c>
      <c r="HND22" s="1902">
        <f t="shared" si="94"/>
        <v>0</v>
      </c>
      <c r="HNE22" s="1902">
        <f t="shared" si="94"/>
        <v>0</v>
      </c>
      <c r="HNF22" s="1902">
        <f t="shared" si="94"/>
        <v>0</v>
      </c>
      <c r="HNG22" s="1902">
        <f t="shared" si="94"/>
        <v>0</v>
      </c>
      <c r="HNH22" s="1902">
        <f t="shared" si="94"/>
        <v>0</v>
      </c>
      <c r="HNI22" s="1902">
        <f t="shared" si="94"/>
        <v>0</v>
      </c>
      <c r="HNJ22" s="1902">
        <f t="shared" si="94"/>
        <v>0</v>
      </c>
      <c r="HNK22" s="1902">
        <f t="shared" si="94"/>
        <v>0</v>
      </c>
      <c r="HNL22" s="1902">
        <f t="shared" si="94"/>
        <v>0</v>
      </c>
      <c r="HNM22" s="1902">
        <f t="shared" si="94"/>
        <v>0</v>
      </c>
      <c r="HNN22" s="1902">
        <f t="shared" si="94"/>
        <v>0</v>
      </c>
      <c r="HNO22" s="1902">
        <f t="shared" si="94"/>
        <v>0</v>
      </c>
      <c r="HNP22" s="1902">
        <f t="shared" si="94"/>
        <v>0</v>
      </c>
      <c r="HNQ22" s="1902">
        <f t="shared" si="94"/>
        <v>0</v>
      </c>
      <c r="HNR22" s="1902">
        <f t="shared" si="94"/>
        <v>0</v>
      </c>
      <c r="HNS22" s="1902">
        <f t="shared" si="94"/>
        <v>0</v>
      </c>
      <c r="HNT22" s="1902">
        <f t="shared" si="94"/>
        <v>0</v>
      </c>
      <c r="HNU22" s="1902">
        <f t="shared" si="94"/>
        <v>0</v>
      </c>
      <c r="HNV22" s="1902">
        <f t="shared" si="94"/>
        <v>0</v>
      </c>
      <c r="HNW22" s="1902">
        <f t="shared" si="94"/>
        <v>0</v>
      </c>
      <c r="HNX22" s="1902">
        <f t="shared" si="94"/>
        <v>0</v>
      </c>
      <c r="HNY22" s="1902">
        <f t="shared" si="94"/>
        <v>0</v>
      </c>
      <c r="HNZ22" s="1902">
        <f t="shared" si="94"/>
        <v>0</v>
      </c>
      <c r="HOA22" s="1902">
        <f t="shared" si="94"/>
        <v>0</v>
      </c>
      <c r="HOB22" s="1902">
        <f t="shared" si="94"/>
        <v>0</v>
      </c>
      <c r="HOC22" s="1902">
        <f t="shared" si="94"/>
        <v>0</v>
      </c>
      <c r="HOD22" s="1902">
        <f t="shared" si="94"/>
        <v>0</v>
      </c>
      <c r="HOE22" s="1902">
        <f t="shared" si="94"/>
        <v>0</v>
      </c>
      <c r="HOF22" s="1902">
        <f t="shared" si="94"/>
        <v>0</v>
      </c>
      <c r="HOG22" s="1902">
        <f t="shared" si="94"/>
        <v>0</v>
      </c>
      <c r="HOH22" s="1902">
        <f t="shared" si="94"/>
        <v>0</v>
      </c>
      <c r="HOI22" s="1902">
        <f t="shared" si="94"/>
        <v>0</v>
      </c>
      <c r="HOJ22" s="1902">
        <f t="shared" si="94"/>
        <v>0</v>
      </c>
      <c r="HOK22" s="1902">
        <f t="shared" si="94"/>
        <v>0</v>
      </c>
      <c r="HOL22" s="1902">
        <f t="shared" si="94"/>
        <v>0</v>
      </c>
      <c r="HOM22" s="1902">
        <f t="shared" si="94"/>
        <v>0</v>
      </c>
      <c r="HON22" s="1902">
        <f t="shared" si="94"/>
        <v>0</v>
      </c>
      <c r="HOO22" s="1902">
        <f t="shared" si="94"/>
        <v>0</v>
      </c>
      <c r="HOP22" s="1902">
        <f t="shared" si="94"/>
        <v>0</v>
      </c>
      <c r="HOQ22" s="1902">
        <f t="shared" si="94"/>
        <v>0</v>
      </c>
      <c r="HOR22" s="1902">
        <f t="shared" si="94"/>
        <v>0</v>
      </c>
      <c r="HOS22" s="1902">
        <f t="shared" si="94"/>
        <v>0</v>
      </c>
      <c r="HOT22" s="1902">
        <f t="shared" si="94"/>
        <v>0</v>
      </c>
      <c r="HOU22" s="1902">
        <f t="shared" si="94"/>
        <v>0</v>
      </c>
      <c r="HOV22" s="1902">
        <f t="shared" si="94"/>
        <v>0</v>
      </c>
      <c r="HOW22" s="1902">
        <f t="shared" si="94"/>
        <v>0</v>
      </c>
      <c r="HOX22" s="1902">
        <f t="shared" si="94"/>
        <v>0</v>
      </c>
      <c r="HOY22" s="1902">
        <f t="shared" si="94"/>
        <v>0</v>
      </c>
      <c r="HOZ22" s="1902">
        <f t="shared" si="94"/>
        <v>0</v>
      </c>
      <c r="HPA22" s="1902">
        <f t="shared" si="94"/>
        <v>0</v>
      </c>
      <c r="HPB22" s="1902">
        <f t="shared" si="94"/>
        <v>0</v>
      </c>
      <c r="HPC22" s="1902">
        <f t="shared" si="94"/>
        <v>0</v>
      </c>
      <c r="HPD22" s="1902">
        <f t="shared" si="94"/>
        <v>0</v>
      </c>
      <c r="HPE22" s="1902">
        <f t="shared" si="94"/>
        <v>0</v>
      </c>
      <c r="HPF22" s="1902">
        <f t="shared" si="94"/>
        <v>0</v>
      </c>
      <c r="HPG22" s="1902">
        <f t="shared" si="94"/>
        <v>0</v>
      </c>
      <c r="HPH22" s="1902">
        <f t="shared" si="94"/>
        <v>0</v>
      </c>
      <c r="HPI22" s="1902">
        <f t="shared" si="94"/>
        <v>0</v>
      </c>
      <c r="HPJ22" s="1902">
        <f t="shared" si="94"/>
        <v>0</v>
      </c>
      <c r="HPK22" s="1902">
        <f t="shared" ref="HPK22:HRV22" si="95">IF(AND(HPK$26="End of period",HPK$25="Revenue"),HPK9,0)</f>
        <v>0</v>
      </c>
      <c r="HPL22" s="1902">
        <f t="shared" si="95"/>
        <v>0</v>
      </c>
      <c r="HPM22" s="1902">
        <f t="shared" si="95"/>
        <v>0</v>
      </c>
      <c r="HPN22" s="1902">
        <f t="shared" si="95"/>
        <v>0</v>
      </c>
      <c r="HPO22" s="1902">
        <f t="shared" si="95"/>
        <v>0</v>
      </c>
      <c r="HPP22" s="1902">
        <f t="shared" si="95"/>
        <v>0</v>
      </c>
      <c r="HPQ22" s="1902">
        <f t="shared" si="95"/>
        <v>0</v>
      </c>
      <c r="HPR22" s="1902">
        <f t="shared" si="95"/>
        <v>0</v>
      </c>
      <c r="HPS22" s="1902">
        <f t="shared" si="95"/>
        <v>0</v>
      </c>
      <c r="HPT22" s="1902">
        <f t="shared" si="95"/>
        <v>0</v>
      </c>
      <c r="HPU22" s="1902">
        <f t="shared" si="95"/>
        <v>0</v>
      </c>
      <c r="HPV22" s="1902">
        <f t="shared" si="95"/>
        <v>0</v>
      </c>
      <c r="HPW22" s="1902">
        <f t="shared" si="95"/>
        <v>0</v>
      </c>
      <c r="HPX22" s="1902">
        <f t="shared" si="95"/>
        <v>0</v>
      </c>
      <c r="HPY22" s="1902">
        <f t="shared" si="95"/>
        <v>0</v>
      </c>
      <c r="HPZ22" s="1902">
        <f t="shared" si="95"/>
        <v>0</v>
      </c>
      <c r="HQA22" s="1902">
        <f t="shared" si="95"/>
        <v>0</v>
      </c>
      <c r="HQB22" s="1902">
        <f t="shared" si="95"/>
        <v>0</v>
      </c>
      <c r="HQC22" s="1902">
        <f t="shared" si="95"/>
        <v>0</v>
      </c>
      <c r="HQD22" s="1902">
        <f t="shared" si="95"/>
        <v>0</v>
      </c>
      <c r="HQE22" s="1902">
        <f t="shared" si="95"/>
        <v>0</v>
      </c>
      <c r="HQF22" s="1902">
        <f t="shared" si="95"/>
        <v>0</v>
      </c>
      <c r="HQG22" s="1902">
        <f t="shared" si="95"/>
        <v>0</v>
      </c>
      <c r="HQH22" s="1902">
        <f t="shared" si="95"/>
        <v>0</v>
      </c>
      <c r="HQI22" s="1902">
        <f t="shared" si="95"/>
        <v>0</v>
      </c>
      <c r="HQJ22" s="1902">
        <f t="shared" si="95"/>
        <v>0</v>
      </c>
      <c r="HQK22" s="1902">
        <f t="shared" si="95"/>
        <v>0</v>
      </c>
      <c r="HQL22" s="1902">
        <f t="shared" si="95"/>
        <v>0</v>
      </c>
      <c r="HQM22" s="1902">
        <f t="shared" si="95"/>
        <v>0</v>
      </c>
      <c r="HQN22" s="1902">
        <f t="shared" si="95"/>
        <v>0</v>
      </c>
      <c r="HQO22" s="1902">
        <f t="shared" si="95"/>
        <v>0</v>
      </c>
      <c r="HQP22" s="1902">
        <f t="shared" si="95"/>
        <v>0</v>
      </c>
      <c r="HQQ22" s="1902">
        <f t="shared" si="95"/>
        <v>0</v>
      </c>
      <c r="HQR22" s="1902">
        <f t="shared" si="95"/>
        <v>0</v>
      </c>
      <c r="HQS22" s="1902">
        <f t="shared" si="95"/>
        <v>0</v>
      </c>
      <c r="HQT22" s="1902">
        <f t="shared" si="95"/>
        <v>0</v>
      </c>
      <c r="HQU22" s="1902">
        <f t="shared" si="95"/>
        <v>0</v>
      </c>
      <c r="HQV22" s="1902">
        <f t="shared" si="95"/>
        <v>0</v>
      </c>
      <c r="HQW22" s="1902">
        <f t="shared" si="95"/>
        <v>0</v>
      </c>
      <c r="HQX22" s="1902">
        <f t="shared" si="95"/>
        <v>0</v>
      </c>
      <c r="HQY22" s="1902">
        <f t="shared" si="95"/>
        <v>0</v>
      </c>
      <c r="HQZ22" s="1902">
        <f t="shared" si="95"/>
        <v>0</v>
      </c>
      <c r="HRA22" s="1902">
        <f t="shared" si="95"/>
        <v>0</v>
      </c>
      <c r="HRB22" s="1902">
        <f t="shared" si="95"/>
        <v>0</v>
      </c>
      <c r="HRC22" s="1902">
        <f t="shared" si="95"/>
        <v>0</v>
      </c>
      <c r="HRD22" s="1902">
        <f t="shared" si="95"/>
        <v>0</v>
      </c>
      <c r="HRE22" s="1902">
        <f t="shared" si="95"/>
        <v>0</v>
      </c>
      <c r="HRF22" s="1902">
        <f t="shared" si="95"/>
        <v>0</v>
      </c>
      <c r="HRG22" s="1902">
        <f t="shared" si="95"/>
        <v>0</v>
      </c>
      <c r="HRH22" s="1902">
        <f t="shared" si="95"/>
        <v>0</v>
      </c>
      <c r="HRI22" s="1902">
        <f t="shared" si="95"/>
        <v>0</v>
      </c>
      <c r="HRJ22" s="1902">
        <f t="shared" si="95"/>
        <v>0</v>
      </c>
      <c r="HRK22" s="1902">
        <f t="shared" si="95"/>
        <v>0</v>
      </c>
      <c r="HRL22" s="1902">
        <f t="shared" si="95"/>
        <v>0</v>
      </c>
      <c r="HRM22" s="1902">
        <f t="shared" si="95"/>
        <v>0</v>
      </c>
      <c r="HRN22" s="1902">
        <f t="shared" si="95"/>
        <v>0</v>
      </c>
      <c r="HRO22" s="1902">
        <f t="shared" si="95"/>
        <v>0</v>
      </c>
      <c r="HRP22" s="1902">
        <f t="shared" si="95"/>
        <v>0</v>
      </c>
      <c r="HRQ22" s="1902">
        <f t="shared" si="95"/>
        <v>0</v>
      </c>
      <c r="HRR22" s="1902">
        <f t="shared" si="95"/>
        <v>0</v>
      </c>
      <c r="HRS22" s="1902">
        <f t="shared" si="95"/>
        <v>0</v>
      </c>
      <c r="HRT22" s="1902">
        <f t="shared" si="95"/>
        <v>0</v>
      </c>
      <c r="HRU22" s="1902">
        <f t="shared" si="95"/>
        <v>0</v>
      </c>
      <c r="HRV22" s="1902">
        <f t="shared" si="95"/>
        <v>0</v>
      </c>
      <c r="HRW22" s="1902">
        <f t="shared" ref="HRW22:HUH22" si="96">IF(AND(HRW$26="End of period",HRW$25="Revenue"),HRW9,0)</f>
        <v>0</v>
      </c>
      <c r="HRX22" s="1902">
        <f t="shared" si="96"/>
        <v>0</v>
      </c>
      <c r="HRY22" s="1902">
        <f t="shared" si="96"/>
        <v>0</v>
      </c>
      <c r="HRZ22" s="1902">
        <f t="shared" si="96"/>
        <v>0</v>
      </c>
      <c r="HSA22" s="1902">
        <f t="shared" si="96"/>
        <v>0</v>
      </c>
      <c r="HSB22" s="1902">
        <f t="shared" si="96"/>
        <v>0</v>
      </c>
      <c r="HSC22" s="1902">
        <f t="shared" si="96"/>
        <v>0</v>
      </c>
      <c r="HSD22" s="1902">
        <f t="shared" si="96"/>
        <v>0</v>
      </c>
      <c r="HSE22" s="1902">
        <f t="shared" si="96"/>
        <v>0</v>
      </c>
      <c r="HSF22" s="1902">
        <f t="shared" si="96"/>
        <v>0</v>
      </c>
      <c r="HSG22" s="1902">
        <f t="shared" si="96"/>
        <v>0</v>
      </c>
      <c r="HSH22" s="1902">
        <f t="shared" si="96"/>
        <v>0</v>
      </c>
      <c r="HSI22" s="1902">
        <f t="shared" si="96"/>
        <v>0</v>
      </c>
      <c r="HSJ22" s="1902">
        <f t="shared" si="96"/>
        <v>0</v>
      </c>
      <c r="HSK22" s="1902">
        <f t="shared" si="96"/>
        <v>0</v>
      </c>
      <c r="HSL22" s="1902">
        <f t="shared" si="96"/>
        <v>0</v>
      </c>
      <c r="HSM22" s="1902">
        <f t="shared" si="96"/>
        <v>0</v>
      </c>
      <c r="HSN22" s="1902">
        <f t="shared" si="96"/>
        <v>0</v>
      </c>
      <c r="HSO22" s="1902">
        <f t="shared" si="96"/>
        <v>0</v>
      </c>
      <c r="HSP22" s="1902">
        <f t="shared" si="96"/>
        <v>0</v>
      </c>
      <c r="HSQ22" s="1902">
        <f t="shared" si="96"/>
        <v>0</v>
      </c>
      <c r="HSR22" s="1902">
        <f t="shared" si="96"/>
        <v>0</v>
      </c>
      <c r="HSS22" s="1902">
        <f t="shared" si="96"/>
        <v>0</v>
      </c>
      <c r="HST22" s="1902">
        <f t="shared" si="96"/>
        <v>0</v>
      </c>
      <c r="HSU22" s="1902">
        <f t="shared" si="96"/>
        <v>0</v>
      </c>
      <c r="HSV22" s="1902">
        <f t="shared" si="96"/>
        <v>0</v>
      </c>
      <c r="HSW22" s="1902">
        <f t="shared" si="96"/>
        <v>0</v>
      </c>
      <c r="HSX22" s="1902">
        <f t="shared" si="96"/>
        <v>0</v>
      </c>
      <c r="HSY22" s="1902">
        <f t="shared" si="96"/>
        <v>0</v>
      </c>
      <c r="HSZ22" s="1902">
        <f t="shared" si="96"/>
        <v>0</v>
      </c>
      <c r="HTA22" s="1902">
        <f t="shared" si="96"/>
        <v>0</v>
      </c>
      <c r="HTB22" s="1902">
        <f t="shared" si="96"/>
        <v>0</v>
      </c>
      <c r="HTC22" s="1902">
        <f t="shared" si="96"/>
        <v>0</v>
      </c>
      <c r="HTD22" s="1902">
        <f t="shared" si="96"/>
        <v>0</v>
      </c>
      <c r="HTE22" s="1902">
        <f t="shared" si="96"/>
        <v>0</v>
      </c>
      <c r="HTF22" s="1902">
        <f t="shared" si="96"/>
        <v>0</v>
      </c>
      <c r="HTG22" s="1902">
        <f t="shared" si="96"/>
        <v>0</v>
      </c>
      <c r="HTH22" s="1902">
        <f t="shared" si="96"/>
        <v>0</v>
      </c>
      <c r="HTI22" s="1902">
        <f t="shared" si="96"/>
        <v>0</v>
      </c>
      <c r="HTJ22" s="1902">
        <f t="shared" si="96"/>
        <v>0</v>
      </c>
      <c r="HTK22" s="1902">
        <f t="shared" si="96"/>
        <v>0</v>
      </c>
      <c r="HTL22" s="1902">
        <f t="shared" si="96"/>
        <v>0</v>
      </c>
      <c r="HTM22" s="1902">
        <f t="shared" si="96"/>
        <v>0</v>
      </c>
      <c r="HTN22" s="1902">
        <f t="shared" si="96"/>
        <v>0</v>
      </c>
      <c r="HTO22" s="1902">
        <f t="shared" si="96"/>
        <v>0</v>
      </c>
      <c r="HTP22" s="1902">
        <f t="shared" si="96"/>
        <v>0</v>
      </c>
      <c r="HTQ22" s="1902">
        <f t="shared" si="96"/>
        <v>0</v>
      </c>
      <c r="HTR22" s="1902">
        <f t="shared" si="96"/>
        <v>0</v>
      </c>
      <c r="HTS22" s="1902">
        <f t="shared" si="96"/>
        <v>0</v>
      </c>
      <c r="HTT22" s="1902">
        <f t="shared" si="96"/>
        <v>0</v>
      </c>
      <c r="HTU22" s="1902">
        <f t="shared" si="96"/>
        <v>0</v>
      </c>
      <c r="HTV22" s="1902">
        <f t="shared" si="96"/>
        <v>0</v>
      </c>
      <c r="HTW22" s="1902">
        <f t="shared" si="96"/>
        <v>0</v>
      </c>
      <c r="HTX22" s="1902">
        <f t="shared" si="96"/>
        <v>0</v>
      </c>
      <c r="HTY22" s="1902">
        <f t="shared" si="96"/>
        <v>0</v>
      </c>
      <c r="HTZ22" s="1902">
        <f t="shared" si="96"/>
        <v>0</v>
      </c>
      <c r="HUA22" s="1902">
        <f t="shared" si="96"/>
        <v>0</v>
      </c>
      <c r="HUB22" s="1902">
        <f t="shared" si="96"/>
        <v>0</v>
      </c>
      <c r="HUC22" s="1902">
        <f t="shared" si="96"/>
        <v>0</v>
      </c>
      <c r="HUD22" s="1902">
        <f t="shared" si="96"/>
        <v>0</v>
      </c>
      <c r="HUE22" s="1902">
        <f t="shared" si="96"/>
        <v>0</v>
      </c>
      <c r="HUF22" s="1902">
        <f t="shared" si="96"/>
        <v>0</v>
      </c>
      <c r="HUG22" s="1902">
        <f t="shared" si="96"/>
        <v>0</v>
      </c>
      <c r="HUH22" s="1902">
        <f t="shared" si="96"/>
        <v>0</v>
      </c>
      <c r="HUI22" s="1902">
        <f t="shared" ref="HUI22:HWT22" si="97">IF(AND(HUI$26="End of period",HUI$25="Revenue"),HUI9,0)</f>
        <v>0</v>
      </c>
      <c r="HUJ22" s="1902">
        <f t="shared" si="97"/>
        <v>0</v>
      </c>
      <c r="HUK22" s="1902">
        <f t="shared" si="97"/>
        <v>0</v>
      </c>
      <c r="HUL22" s="1902">
        <f t="shared" si="97"/>
        <v>0</v>
      </c>
      <c r="HUM22" s="1902">
        <f t="shared" si="97"/>
        <v>0</v>
      </c>
      <c r="HUN22" s="1902">
        <f t="shared" si="97"/>
        <v>0</v>
      </c>
      <c r="HUO22" s="1902">
        <f t="shared" si="97"/>
        <v>0</v>
      </c>
      <c r="HUP22" s="1902">
        <f t="shared" si="97"/>
        <v>0</v>
      </c>
      <c r="HUQ22" s="1902">
        <f t="shared" si="97"/>
        <v>0</v>
      </c>
      <c r="HUR22" s="1902">
        <f t="shared" si="97"/>
        <v>0</v>
      </c>
      <c r="HUS22" s="1902">
        <f t="shared" si="97"/>
        <v>0</v>
      </c>
      <c r="HUT22" s="1902">
        <f t="shared" si="97"/>
        <v>0</v>
      </c>
      <c r="HUU22" s="1902">
        <f t="shared" si="97"/>
        <v>0</v>
      </c>
      <c r="HUV22" s="1902">
        <f t="shared" si="97"/>
        <v>0</v>
      </c>
      <c r="HUW22" s="1902">
        <f t="shared" si="97"/>
        <v>0</v>
      </c>
      <c r="HUX22" s="1902">
        <f t="shared" si="97"/>
        <v>0</v>
      </c>
      <c r="HUY22" s="1902">
        <f t="shared" si="97"/>
        <v>0</v>
      </c>
      <c r="HUZ22" s="1902">
        <f t="shared" si="97"/>
        <v>0</v>
      </c>
      <c r="HVA22" s="1902">
        <f t="shared" si="97"/>
        <v>0</v>
      </c>
      <c r="HVB22" s="1902">
        <f t="shared" si="97"/>
        <v>0</v>
      </c>
      <c r="HVC22" s="1902">
        <f t="shared" si="97"/>
        <v>0</v>
      </c>
      <c r="HVD22" s="1902">
        <f t="shared" si="97"/>
        <v>0</v>
      </c>
      <c r="HVE22" s="1902">
        <f t="shared" si="97"/>
        <v>0</v>
      </c>
      <c r="HVF22" s="1902">
        <f t="shared" si="97"/>
        <v>0</v>
      </c>
      <c r="HVG22" s="1902">
        <f t="shared" si="97"/>
        <v>0</v>
      </c>
      <c r="HVH22" s="1902">
        <f t="shared" si="97"/>
        <v>0</v>
      </c>
      <c r="HVI22" s="1902">
        <f t="shared" si="97"/>
        <v>0</v>
      </c>
      <c r="HVJ22" s="1902">
        <f t="shared" si="97"/>
        <v>0</v>
      </c>
      <c r="HVK22" s="1902">
        <f t="shared" si="97"/>
        <v>0</v>
      </c>
      <c r="HVL22" s="1902">
        <f t="shared" si="97"/>
        <v>0</v>
      </c>
      <c r="HVM22" s="1902">
        <f t="shared" si="97"/>
        <v>0</v>
      </c>
      <c r="HVN22" s="1902">
        <f t="shared" si="97"/>
        <v>0</v>
      </c>
      <c r="HVO22" s="1902">
        <f t="shared" si="97"/>
        <v>0</v>
      </c>
      <c r="HVP22" s="1902">
        <f t="shared" si="97"/>
        <v>0</v>
      </c>
      <c r="HVQ22" s="1902">
        <f t="shared" si="97"/>
        <v>0</v>
      </c>
      <c r="HVR22" s="1902">
        <f t="shared" si="97"/>
        <v>0</v>
      </c>
      <c r="HVS22" s="1902">
        <f t="shared" si="97"/>
        <v>0</v>
      </c>
      <c r="HVT22" s="1902">
        <f t="shared" si="97"/>
        <v>0</v>
      </c>
      <c r="HVU22" s="1902">
        <f t="shared" si="97"/>
        <v>0</v>
      </c>
      <c r="HVV22" s="1902">
        <f t="shared" si="97"/>
        <v>0</v>
      </c>
      <c r="HVW22" s="1902">
        <f t="shared" si="97"/>
        <v>0</v>
      </c>
      <c r="HVX22" s="1902">
        <f t="shared" si="97"/>
        <v>0</v>
      </c>
      <c r="HVY22" s="1902">
        <f t="shared" si="97"/>
        <v>0</v>
      </c>
      <c r="HVZ22" s="1902">
        <f t="shared" si="97"/>
        <v>0</v>
      </c>
      <c r="HWA22" s="1902">
        <f t="shared" si="97"/>
        <v>0</v>
      </c>
      <c r="HWB22" s="1902">
        <f t="shared" si="97"/>
        <v>0</v>
      </c>
      <c r="HWC22" s="1902">
        <f t="shared" si="97"/>
        <v>0</v>
      </c>
      <c r="HWD22" s="1902">
        <f t="shared" si="97"/>
        <v>0</v>
      </c>
      <c r="HWE22" s="1902">
        <f t="shared" si="97"/>
        <v>0</v>
      </c>
      <c r="HWF22" s="1902">
        <f t="shared" si="97"/>
        <v>0</v>
      </c>
      <c r="HWG22" s="1902">
        <f t="shared" si="97"/>
        <v>0</v>
      </c>
      <c r="HWH22" s="1902">
        <f t="shared" si="97"/>
        <v>0</v>
      </c>
      <c r="HWI22" s="1902">
        <f t="shared" si="97"/>
        <v>0</v>
      </c>
      <c r="HWJ22" s="1902">
        <f t="shared" si="97"/>
        <v>0</v>
      </c>
      <c r="HWK22" s="1902">
        <f t="shared" si="97"/>
        <v>0</v>
      </c>
      <c r="HWL22" s="1902">
        <f t="shared" si="97"/>
        <v>0</v>
      </c>
      <c r="HWM22" s="1902">
        <f t="shared" si="97"/>
        <v>0</v>
      </c>
      <c r="HWN22" s="1902">
        <f t="shared" si="97"/>
        <v>0</v>
      </c>
      <c r="HWO22" s="1902">
        <f t="shared" si="97"/>
        <v>0</v>
      </c>
      <c r="HWP22" s="1902">
        <f t="shared" si="97"/>
        <v>0</v>
      </c>
      <c r="HWQ22" s="1902">
        <f t="shared" si="97"/>
        <v>0</v>
      </c>
      <c r="HWR22" s="1902">
        <f t="shared" si="97"/>
        <v>0</v>
      </c>
      <c r="HWS22" s="1902">
        <f t="shared" si="97"/>
        <v>0</v>
      </c>
      <c r="HWT22" s="1902">
        <f t="shared" si="97"/>
        <v>0</v>
      </c>
      <c r="HWU22" s="1902">
        <f t="shared" ref="HWU22:HZF22" si="98">IF(AND(HWU$26="End of period",HWU$25="Revenue"),HWU9,0)</f>
        <v>0</v>
      </c>
      <c r="HWV22" s="1902">
        <f t="shared" si="98"/>
        <v>0</v>
      </c>
      <c r="HWW22" s="1902">
        <f t="shared" si="98"/>
        <v>0</v>
      </c>
      <c r="HWX22" s="1902">
        <f t="shared" si="98"/>
        <v>0</v>
      </c>
      <c r="HWY22" s="1902">
        <f t="shared" si="98"/>
        <v>0</v>
      </c>
      <c r="HWZ22" s="1902">
        <f t="shared" si="98"/>
        <v>0</v>
      </c>
      <c r="HXA22" s="1902">
        <f t="shared" si="98"/>
        <v>0</v>
      </c>
      <c r="HXB22" s="1902">
        <f t="shared" si="98"/>
        <v>0</v>
      </c>
      <c r="HXC22" s="1902">
        <f t="shared" si="98"/>
        <v>0</v>
      </c>
      <c r="HXD22" s="1902">
        <f t="shared" si="98"/>
        <v>0</v>
      </c>
      <c r="HXE22" s="1902">
        <f t="shared" si="98"/>
        <v>0</v>
      </c>
      <c r="HXF22" s="1902">
        <f t="shared" si="98"/>
        <v>0</v>
      </c>
      <c r="HXG22" s="1902">
        <f t="shared" si="98"/>
        <v>0</v>
      </c>
      <c r="HXH22" s="1902">
        <f t="shared" si="98"/>
        <v>0</v>
      </c>
      <c r="HXI22" s="1902">
        <f t="shared" si="98"/>
        <v>0</v>
      </c>
      <c r="HXJ22" s="1902">
        <f t="shared" si="98"/>
        <v>0</v>
      </c>
      <c r="HXK22" s="1902">
        <f t="shared" si="98"/>
        <v>0</v>
      </c>
      <c r="HXL22" s="1902">
        <f t="shared" si="98"/>
        <v>0</v>
      </c>
      <c r="HXM22" s="1902">
        <f t="shared" si="98"/>
        <v>0</v>
      </c>
      <c r="HXN22" s="1902">
        <f t="shared" si="98"/>
        <v>0</v>
      </c>
      <c r="HXO22" s="1902">
        <f t="shared" si="98"/>
        <v>0</v>
      </c>
      <c r="HXP22" s="1902">
        <f t="shared" si="98"/>
        <v>0</v>
      </c>
      <c r="HXQ22" s="1902">
        <f t="shared" si="98"/>
        <v>0</v>
      </c>
      <c r="HXR22" s="1902">
        <f t="shared" si="98"/>
        <v>0</v>
      </c>
      <c r="HXS22" s="1902">
        <f t="shared" si="98"/>
        <v>0</v>
      </c>
      <c r="HXT22" s="1902">
        <f t="shared" si="98"/>
        <v>0</v>
      </c>
      <c r="HXU22" s="1902">
        <f t="shared" si="98"/>
        <v>0</v>
      </c>
      <c r="HXV22" s="1902">
        <f t="shared" si="98"/>
        <v>0</v>
      </c>
      <c r="HXW22" s="1902">
        <f t="shared" si="98"/>
        <v>0</v>
      </c>
      <c r="HXX22" s="1902">
        <f t="shared" si="98"/>
        <v>0</v>
      </c>
      <c r="HXY22" s="1902">
        <f t="shared" si="98"/>
        <v>0</v>
      </c>
      <c r="HXZ22" s="1902">
        <f t="shared" si="98"/>
        <v>0</v>
      </c>
      <c r="HYA22" s="1902">
        <f t="shared" si="98"/>
        <v>0</v>
      </c>
      <c r="HYB22" s="1902">
        <f t="shared" si="98"/>
        <v>0</v>
      </c>
      <c r="HYC22" s="1902">
        <f t="shared" si="98"/>
        <v>0</v>
      </c>
      <c r="HYD22" s="1902">
        <f t="shared" si="98"/>
        <v>0</v>
      </c>
      <c r="HYE22" s="1902">
        <f t="shared" si="98"/>
        <v>0</v>
      </c>
      <c r="HYF22" s="1902">
        <f t="shared" si="98"/>
        <v>0</v>
      </c>
      <c r="HYG22" s="1902">
        <f t="shared" si="98"/>
        <v>0</v>
      </c>
      <c r="HYH22" s="1902">
        <f t="shared" si="98"/>
        <v>0</v>
      </c>
      <c r="HYI22" s="1902">
        <f t="shared" si="98"/>
        <v>0</v>
      </c>
      <c r="HYJ22" s="1902">
        <f t="shared" si="98"/>
        <v>0</v>
      </c>
      <c r="HYK22" s="1902">
        <f t="shared" si="98"/>
        <v>0</v>
      </c>
      <c r="HYL22" s="1902">
        <f t="shared" si="98"/>
        <v>0</v>
      </c>
      <c r="HYM22" s="1902">
        <f t="shared" si="98"/>
        <v>0</v>
      </c>
      <c r="HYN22" s="1902">
        <f t="shared" si="98"/>
        <v>0</v>
      </c>
      <c r="HYO22" s="1902">
        <f t="shared" si="98"/>
        <v>0</v>
      </c>
      <c r="HYP22" s="1902">
        <f t="shared" si="98"/>
        <v>0</v>
      </c>
      <c r="HYQ22" s="1902">
        <f t="shared" si="98"/>
        <v>0</v>
      </c>
      <c r="HYR22" s="1902">
        <f t="shared" si="98"/>
        <v>0</v>
      </c>
      <c r="HYS22" s="1902">
        <f t="shared" si="98"/>
        <v>0</v>
      </c>
      <c r="HYT22" s="1902">
        <f t="shared" si="98"/>
        <v>0</v>
      </c>
      <c r="HYU22" s="1902">
        <f t="shared" si="98"/>
        <v>0</v>
      </c>
      <c r="HYV22" s="1902">
        <f t="shared" si="98"/>
        <v>0</v>
      </c>
      <c r="HYW22" s="1902">
        <f t="shared" si="98"/>
        <v>0</v>
      </c>
      <c r="HYX22" s="1902">
        <f t="shared" si="98"/>
        <v>0</v>
      </c>
      <c r="HYY22" s="1902">
        <f t="shared" si="98"/>
        <v>0</v>
      </c>
      <c r="HYZ22" s="1902">
        <f t="shared" si="98"/>
        <v>0</v>
      </c>
      <c r="HZA22" s="1902">
        <f t="shared" si="98"/>
        <v>0</v>
      </c>
      <c r="HZB22" s="1902">
        <f t="shared" si="98"/>
        <v>0</v>
      </c>
      <c r="HZC22" s="1902">
        <f t="shared" si="98"/>
        <v>0</v>
      </c>
      <c r="HZD22" s="1902">
        <f t="shared" si="98"/>
        <v>0</v>
      </c>
      <c r="HZE22" s="1902">
        <f t="shared" si="98"/>
        <v>0</v>
      </c>
      <c r="HZF22" s="1902">
        <f t="shared" si="98"/>
        <v>0</v>
      </c>
      <c r="HZG22" s="1902">
        <f t="shared" ref="HZG22:IBR22" si="99">IF(AND(HZG$26="End of period",HZG$25="Revenue"),HZG9,0)</f>
        <v>0</v>
      </c>
      <c r="HZH22" s="1902">
        <f t="shared" si="99"/>
        <v>0</v>
      </c>
      <c r="HZI22" s="1902">
        <f t="shared" si="99"/>
        <v>0</v>
      </c>
      <c r="HZJ22" s="1902">
        <f t="shared" si="99"/>
        <v>0</v>
      </c>
      <c r="HZK22" s="1902">
        <f t="shared" si="99"/>
        <v>0</v>
      </c>
      <c r="HZL22" s="1902">
        <f t="shared" si="99"/>
        <v>0</v>
      </c>
      <c r="HZM22" s="1902">
        <f t="shared" si="99"/>
        <v>0</v>
      </c>
      <c r="HZN22" s="1902">
        <f t="shared" si="99"/>
        <v>0</v>
      </c>
      <c r="HZO22" s="1902">
        <f t="shared" si="99"/>
        <v>0</v>
      </c>
      <c r="HZP22" s="1902">
        <f t="shared" si="99"/>
        <v>0</v>
      </c>
      <c r="HZQ22" s="1902">
        <f t="shared" si="99"/>
        <v>0</v>
      </c>
      <c r="HZR22" s="1902">
        <f t="shared" si="99"/>
        <v>0</v>
      </c>
      <c r="HZS22" s="1902">
        <f t="shared" si="99"/>
        <v>0</v>
      </c>
      <c r="HZT22" s="1902">
        <f t="shared" si="99"/>
        <v>0</v>
      </c>
      <c r="HZU22" s="1902">
        <f t="shared" si="99"/>
        <v>0</v>
      </c>
      <c r="HZV22" s="1902">
        <f t="shared" si="99"/>
        <v>0</v>
      </c>
      <c r="HZW22" s="1902">
        <f t="shared" si="99"/>
        <v>0</v>
      </c>
      <c r="HZX22" s="1902">
        <f t="shared" si="99"/>
        <v>0</v>
      </c>
      <c r="HZY22" s="1902">
        <f t="shared" si="99"/>
        <v>0</v>
      </c>
      <c r="HZZ22" s="1902">
        <f t="shared" si="99"/>
        <v>0</v>
      </c>
      <c r="IAA22" s="1902">
        <f t="shared" si="99"/>
        <v>0</v>
      </c>
      <c r="IAB22" s="1902">
        <f t="shared" si="99"/>
        <v>0</v>
      </c>
      <c r="IAC22" s="1902">
        <f t="shared" si="99"/>
        <v>0</v>
      </c>
      <c r="IAD22" s="1902">
        <f t="shared" si="99"/>
        <v>0</v>
      </c>
      <c r="IAE22" s="1902">
        <f t="shared" si="99"/>
        <v>0</v>
      </c>
      <c r="IAF22" s="1902">
        <f t="shared" si="99"/>
        <v>0</v>
      </c>
      <c r="IAG22" s="1902">
        <f t="shared" si="99"/>
        <v>0</v>
      </c>
      <c r="IAH22" s="1902">
        <f t="shared" si="99"/>
        <v>0</v>
      </c>
      <c r="IAI22" s="1902">
        <f t="shared" si="99"/>
        <v>0</v>
      </c>
      <c r="IAJ22" s="1902">
        <f t="shared" si="99"/>
        <v>0</v>
      </c>
      <c r="IAK22" s="1902">
        <f t="shared" si="99"/>
        <v>0</v>
      </c>
      <c r="IAL22" s="1902">
        <f t="shared" si="99"/>
        <v>0</v>
      </c>
      <c r="IAM22" s="1902">
        <f t="shared" si="99"/>
        <v>0</v>
      </c>
      <c r="IAN22" s="1902">
        <f t="shared" si="99"/>
        <v>0</v>
      </c>
      <c r="IAO22" s="1902">
        <f t="shared" si="99"/>
        <v>0</v>
      </c>
      <c r="IAP22" s="1902">
        <f t="shared" si="99"/>
        <v>0</v>
      </c>
      <c r="IAQ22" s="1902">
        <f t="shared" si="99"/>
        <v>0</v>
      </c>
      <c r="IAR22" s="1902">
        <f t="shared" si="99"/>
        <v>0</v>
      </c>
      <c r="IAS22" s="1902">
        <f t="shared" si="99"/>
        <v>0</v>
      </c>
      <c r="IAT22" s="1902">
        <f t="shared" si="99"/>
        <v>0</v>
      </c>
      <c r="IAU22" s="1902">
        <f t="shared" si="99"/>
        <v>0</v>
      </c>
      <c r="IAV22" s="1902">
        <f t="shared" si="99"/>
        <v>0</v>
      </c>
      <c r="IAW22" s="1902">
        <f t="shared" si="99"/>
        <v>0</v>
      </c>
      <c r="IAX22" s="1902">
        <f t="shared" si="99"/>
        <v>0</v>
      </c>
      <c r="IAY22" s="1902">
        <f t="shared" si="99"/>
        <v>0</v>
      </c>
      <c r="IAZ22" s="1902">
        <f t="shared" si="99"/>
        <v>0</v>
      </c>
      <c r="IBA22" s="1902">
        <f t="shared" si="99"/>
        <v>0</v>
      </c>
      <c r="IBB22" s="1902">
        <f t="shared" si="99"/>
        <v>0</v>
      </c>
      <c r="IBC22" s="1902">
        <f t="shared" si="99"/>
        <v>0</v>
      </c>
      <c r="IBD22" s="1902">
        <f t="shared" si="99"/>
        <v>0</v>
      </c>
      <c r="IBE22" s="1902">
        <f t="shared" si="99"/>
        <v>0</v>
      </c>
      <c r="IBF22" s="1902">
        <f t="shared" si="99"/>
        <v>0</v>
      </c>
      <c r="IBG22" s="1902">
        <f t="shared" si="99"/>
        <v>0</v>
      </c>
      <c r="IBH22" s="1902">
        <f t="shared" si="99"/>
        <v>0</v>
      </c>
      <c r="IBI22" s="1902">
        <f t="shared" si="99"/>
        <v>0</v>
      </c>
      <c r="IBJ22" s="1902">
        <f t="shared" si="99"/>
        <v>0</v>
      </c>
      <c r="IBK22" s="1902">
        <f t="shared" si="99"/>
        <v>0</v>
      </c>
      <c r="IBL22" s="1902">
        <f t="shared" si="99"/>
        <v>0</v>
      </c>
      <c r="IBM22" s="1902">
        <f t="shared" si="99"/>
        <v>0</v>
      </c>
      <c r="IBN22" s="1902">
        <f t="shared" si="99"/>
        <v>0</v>
      </c>
      <c r="IBO22" s="1902">
        <f t="shared" si="99"/>
        <v>0</v>
      </c>
      <c r="IBP22" s="1902">
        <f t="shared" si="99"/>
        <v>0</v>
      </c>
      <c r="IBQ22" s="1902">
        <f t="shared" si="99"/>
        <v>0</v>
      </c>
      <c r="IBR22" s="1902">
        <f t="shared" si="99"/>
        <v>0</v>
      </c>
      <c r="IBS22" s="1902">
        <f t="shared" ref="IBS22:IED22" si="100">IF(AND(IBS$26="End of period",IBS$25="Revenue"),IBS9,0)</f>
        <v>0</v>
      </c>
      <c r="IBT22" s="1902">
        <f t="shared" si="100"/>
        <v>0</v>
      </c>
      <c r="IBU22" s="1902">
        <f t="shared" si="100"/>
        <v>0</v>
      </c>
      <c r="IBV22" s="1902">
        <f t="shared" si="100"/>
        <v>0</v>
      </c>
      <c r="IBW22" s="1902">
        <f t="shared" si="100"/>
        <v>0</v>
      </c>
      <c r="IBX22" s="1902">
        <f t="shared" si="100"/>
        <v>0</v>
      </c>
      <c r="IBY22" s="1902">
        <f t="shared" si="100"/>
        <v>0</v>
      </c>
      <c r="IBZ22" s="1902">
        <f t="shared" si="100"/>
        <v>0</v>
      </c>
      <c r="ICA22" s="1902">
        <f t="shared" si="100"/>
        <v>0</v>
      </c>
      <c r="ICB22" s="1902">
        <f t="shared" si="100"/>
        <v>0</v>
      </c>
      <c r="ICC22" s="1902">
        <f t="shared" si="100"/>
        <v>0</v>
      </c>
      <c r="ICD22" s="1902">
        <f t="shared" si="100"/>
        <v>0</v>
      </c>
      <c r="ICE22" s="1902">
        <f t="shared" si="100"/>
        <v>0</v>
      </c>
      <c r="ICF22" s="1902">
        <f t="shared" si="100"/>
        <v>0</v>
      </c>
      <c r="ICG22" s="1902">
        <f t="shared" si="100"/>
        <v>0</v>
      </c>
      <c r="ICH22" s="1902">
        <f t="shared" si="100"/>
        <v>0</v>
      </c>
      <c r="ICI22" s="1902">
        <f t="shared" si="100"/>
        <v>0</v>
      </c>
      <c r="ICJ22" s="1902">
        <f t="shared" si="100"/>
        <v>0</v>
      </c>
      <c r="ICK22" s="1902">
        <f t="shared" si="100"/>
        <v>0</v>
      </c>
      <c r="ICL22" s="1902">
        <f t="shared" si="100"/>
        <v>0</v>
      </c>
      <c r="ICM22" s="1902">
        <f t="shared" si="100"/>
        <v>0</v>
      </c>
      <c r="ICN22" s="1902">
        <f t="shared" si="100"/>
        <v>0</v>
      </c>
      <c r="ICO22" s="1902">
        <f t="shared" si="100"/>
        <v>0</v>
      </c>
      <c r="ICP22" s="1902">
        <f t="shared" si="100"/>
        <v>0</v>
      </c>
      <c r="ICQ22" s="1902">
        <f t="shared" si="100"/>
        <v>0</v>
      </c>
      <c r="ICR22" s="1902">
        <f t="shared" si="100"/>
        <v>0</v>
      </c>
      <c r="ICS22" s="1902">
        <f t="shared" si="100"/>
        <v>0</v>
      </c>
      <c r="ICT22" s="1902">
        <f t="shared" si="100"/>
        <v>0</v>
      </c>
      <c r="ICU22" s="1902">
        <f t="shared" si="100"/>
        <v>0</v>
      </c>
      <c r="ICV22" s="1902">
        <f t="shared" si="100"/>
        <v>0</v>
      </c>
      <c r="ICW22" s="1902">
        <f t="shared" si="100"/>
        <v>0</v>
      </c>
      <c r="ICX22" s="1902">
        <f t="shared" si="100"/>
        <v>0</v>
      </c>
      <c r="ICY22" s="1902">
        <f t="shared" si="100"/>
        <v>0</v>
      </c>
      <c r="ICZ22" s="1902">
        <f t="shared" si="100"/>
        <v>0</v>
      </c>
      <c r="IDA22" s="1902">
        <f t="shared" si="100"/>
        <v>0</v>
      </c>
      <c r="IDB22" s="1902">
        <f t="shared" si="100"/>
        <v>0</v>
      </c>
      <c r="IDC22" s="1902">
        <f t="shared" si="100"/>
        <v>0</v>
      </c>
      <c r="IDD22" s="1902">
        <f t="shared" si="100"/>
        <v>0</v>
      </c>
      <c r="IDE22" s="1902">
        <f t="shared" si="100"/>
        <v>0</v>
      </c>
      <c r="IDF22" s="1902">
        <f t="shared" si="100"/>
        <v>0</v>
      </c>
      <c r="IDG22" s="1902">
        <f t="shared" si="100"/>
        <v>0</v>
      </c>
      <c r="IDH22" s="1902">
        <f t="shared" si="100"/>
        <v>0</v>
      </c>
      <c r="IDI22" s="1902">
        <f t="shared" si="100"/>
        <v>0</v>
      </c>
      <c r="IDJ22" s="1902">
        <f t="shared" si="100"/>
        <v>0</v>
      </c>
      <c r="IDK22" s="1902">
        <f t="shared" si="100"/>
        <v>0</v>
      </c>
      <c r="IDL22" s="1902">
        <f t="shared" si="100"/>
        <v>0</v>
      </c>
      <c r="IDM22" s="1902">
        <f t="shared" si="100"/>
        <v>0</v>
      </c>
      <c r="IDN22" s="1902">
        <f t="shared" si="100"/>
        <v>0</v>
      </c>
      <c r="IDO22" s="1902">
        <f t="shared" si="100"/>
        <v>0</v>
      </c>
      <c r="IDP22" s="1902">
        <f t="shared" si="100"/>
        <v>0</v>
      </c>
      <c r="IDQ22" s="1902">
        <f t="shared" si="100"/>
        <v>0</v>
      </c>
      <c r="IDR22" s="1902">
        <f t="shared" si="100"/>
        <v>0</v>
      </c>
      <c r="IDS22" s="1902">
        <f t="shared" si="100"/>
        <v>0</v>
      </c>
      <c r="IDT22" s="1902">
        <f t="shared" si="100"/>
        <v>0</v>
      </c>
      <c r="IDU22" s="1902">
        <f t="shared" si="100"/>
        <v>0</v>
      </c>
      <c r="IDV22" s="1902">
        <f t="shared" si="100"/>
        <v>0</v>
      </c>
      <c r="IDW22" s="1902">
        <f t="shared" si="100"/>
        <v>0</v>
      </c>
      <c r="IDX22" s="1902">
        <f t="shared" si="100"/>
        <v>0</v>
      </c>
      <c r="IDY22" s="1902">
        <f t="shared" si="100"/>
        <v>0</v>
      </c>
      <c r="IDZ22" s="1902">
        <f t="shared" si="100"/>
        <v>0</v>
      </c>
      <c r="IEA22" s="1902">
        <f t="shared" si="100"/>
        <v>0</v>
      </c>
      <c r="IEB22" s="1902">
        <f t="shared" si="100"/>
        <v>0</v>
      </c>
      <c r="IEC22" s="1902">
        <f t="shared" si="100"/>
        <v>0</v>
      </c>
      <c r="IED22" s="1902">
        <f t="shared" si="100"/>
        <v>0</v>
      </c>
      <c r="IEE22" s="1902">
        <f t="shared" ref="IEE22:IGP22" si="101">IF(AND(IEE$26="End of period",IEE$25="Revenue"),IEE9,0)</f>
        <v>0</v>
      </c>
      <c r="IEF22" s="1902">
        <f t="shared" si="101"/>
        <v>0</v>
      </c>
      <c r="IEG22" s="1902">
        <f t="shared" si="101"/>
        <v>0</v>
      </c>
      <c r="IEH22" s="1902">
        <f t="shared" si="101"/>
        <v>0</v>
      </c>
      <c r="IEI22" s="1902">
        <f t="shared" si="101"/>
        <v>0</v>
      </c>
      <c r="IEJ22" s="1902">
        <f t="shared" si="101"/>
        <v>0</v>
      </c>
      <c r="IEK22" s="1902">
        <f t="shared" si="101"/>
        <v>0</v>
      </c>
      <c r="IEL22" s="1902">
        <f t="shared" si="101"/>
        <v>0</v>
      </c>
      <c r="IEM22" s="1902">
        <f t="shared" si="101"/>
        <v>0</v>
      </c>
      <c r="IEN22" s="1902">
        <f t="shared" si="101"/>
        <v>0</v>
      </c>
      <c r="IEO22" s="1902">
        <f t="shared" si="101"/>
        <v>0</v>
      </c>
      <c r="IEP22" s="1902">
        <f t="shared" si="101"/>
        <v>0</v>
      </c>
      <c r="IEQ22" s="1902">
        <f t="shared" si="101"/>
        <v>0</v>
      </c>
      <c r="IER22" s="1902">
        <f t="shared" si="101"/>
        <v>0</v>
      </c>
      <c r="IES22" s="1902">
        <f t="shared" si="101"/>
        <v>0</v>
      </c>
      <c r="IET22" s="1902">
        <f t="shared" si="101"/>
        <v>0</v>
      </c>
      <c r="IEU22" s="1902">
        <f t="shared" si="101"/>
        <v>0</v>
      </c>
      <c r="IEV22" s="1902">
        <f t="shared" si="101"/>
        <v>0</v>
      </c>
      <c r="IEW22" s="1902">
        <f t="shared" si="101"/>
        <v>0</v>
      </c>
      <c r="IEX22" s="1902">
        <f t="shared" si="101"/>
        <v>0</v>
      </c>
      <c r="IEY22" s="1902">
        <f t="shared" si="101"/>
        <v>0</v>
      </c>
      <c r="IEZ22" s="1902">
        <f t="shared" si="101"/>
        <v>0</v>
      </c>
      <c r="IFA22" s="1902">
        <f t="shared" si="101"/>
        <v>0</v>
      </c>
      <c r="IFB22" s="1902">
        <f t="shared" si="101"/>
        <v>0</v>
      </c>
      <c r="IFC22" s="1902">
        <f t="shared" si="101"/>
        <v>0</v>
      </c>
      <c r="IFD22" s="1902">
        <f t="shared" si="101"/>
        <v>0</v>
      </c>
      <c r="IFE22" s="1902">
        <f t="shared" si="101"/>
        <v>0</v>
      </c>
      <c r="IFF22" s="1902">
        <f t="shared" si="101"/>
        <v>0</v>
      </c>
      <c r="IFG22" s="1902">
        <f t="shared" si="101"/>
        <v>0</v>
      </c>
      <c r="IFH22" s="1902">
        <f t="shared" si="101"/>
        <v>0</v>
      </c>
      <c r="IFI22" s="1902">
        <f t="shared" si="101"/>
        <v>0</v>
      </c>
      <c r="IFJ22" s="1902">
        <f t="shared" si="101"/>
        <v>0</v>
      </c>
      <c r="IFK22" s="1902">
        <f t="shared" si="101"/>
        <v>0</v>
      </c>
      <c r="IFL22" s="1902">
        <f t="shared" si="101"/>
        <v>0</v>
      </c>
      <c r="IFM22" s="1902">
        <f t="shared" si="101"/>
        <v>0</v>
      </c>
      <c r="IFN22" s="1902">
        <f t="shared" si="101"/>
        <v>0</v>
      </c>
      <c r="IFO22" s="1902">
        <f t="shared" si="101"/>
        <v>0</v>
      </c>
      <c r="IFP22" s="1902">
        <f t="shared" si="101"/>
        <v>0</v>
      </c>
      <c r="IFQ22" s="1902">
        <f t="shared" si="101"/>
        <v>0</v>
      </c>
      <c r="IFR22" s="1902">
        <f t="shared" si="101"/>
        <v>0</v>
      </c>
      <c r="IFS22" s="1902">
        <f t="shared" si="101"/>
        <v>0</v>
      </c>
      <c r="IFT22" s="1902">
        <f t="shared" si="101"/>
        <v>0</v>
      </c>
      <c r="IFU22" s="1902">
        <f t="shared" si="101"/>
        <v>0</v>
      </c>
      <c r="IFV22" s="1902">
        <f t="shared" si="101"/>
        <v>0</v>
      </c>
      <c r="IFW22" s="1902">
        <f t="shared" si="101"/>
        <v>0</v>
      </c>
      <c r="IFX22" s="1902">
        <f t="shared" si="101"/>
        <v>0</v>
      </c>
      <c r="IFY22" s="1902">
        <f t="shared" si="101"/>
        <v>0</v>
      </c>
      <c r="IFZ22" s="1902">
        <f t="shared" si="101"/>
        <v>0</v>
      </c>
      <c r="IGA22" s="1902">
        <f t="shared" si="101"/>
        <v>0</v>
      </c>
      <c r="IGB22" s="1902">
        <f t="shared" si="101"/>
        <v>0</v>
      </c>
      <c r="IGC22" s="1902">
        <f t="shared" si="101"/>
        <v>0</v>
      </c>
      <c r="IGD22" s="1902">
        <f t="shared" si="101"/>
        <v>0</v>
      </c>
      <c r="IGE22" s="1902">
        <f t="shared" si="101"/>
        <v>0</v>
      </c>
      <c r="IGF22" s="1902">
        <f t="shared" si="101"/>
        <v>0</v>
      </c>
      <c r="IGG22" s="1902">
        <f t="shared" si="101"/>
        <v>0</v>
      </c>
      <c r="IGH22" s="1902">
        <f t="shared" si="101"/>
        <v>0</v>
      </c>
      <c r="IGI22" s="1902">
        <f t="shared" si="101"/>
        <v>0</v>
      </c>
      <c r="IGJ22" s="1902">
        <f t="shared" si="101"/>
        <v>0</v>
      </c>
      <c r="IGK22" s="1902">
        <f t="shared" si="101"/>
        <v>0</v>
      </c>
      <c r="IGL22" s="1902">
        <f t="shared" si="101"/>
        <v>0</v>
      </c>
      <c r="IGM22" s="1902">
        <f t="shared" si="101"/>
        <v>0</v>
      </c>
      <c r="IGN22" s="1902">
        <f t="shared" si="101"/>
        <v>0</v>
      </c>
      <c r="IGO22" s="1902">
        <f t="shared" si="101"/>
        <v>0</v>
      </c>
      <c r="IGP22" s="1902">
        <f t="shared" si="101"/>
        <v>0</v>
      </c>
      <c r="IGQ22" s="1902">
        <f t="shared" ref="IGQ22:IJB22" si="102">IF(AND(IGQ$26="End of period",IGQ$25="Revenue"),IGQ9,0)</f>
        <v>0</v>
      </c>
      <c r="IGR22" s="1902">
        <f t="shared" si="102"/>
        <v>0</v>
      </c>
      <c r="IGS22" s="1902">
        <f t="shared" si="102"/>
        <v>0</v>
      </c>
      <c r="IGT22" s="1902">
        <f t="shared" si="102"/>
        <v>0</v>
      </c>
      <c r="IGU22" s="1902">
        <f t="shared" si="102"/>
        <v>0</v>
      </c>
      <c r="IGV22" s="1902">
        <f t="shared" si="102"/>
        <v>0</v>
      </c>
      <c r="IGW22" s="1902">
        <f t="shared" si="102"/>
        <v>0</v>
      </c>
      <c r="IGX22" s="1902">
        <f t="shared" si="102"/>
        <v>0</v>
      </c>
      <c r="IGY22" s="1902">
        <f t="shared" si="102"/>
        <v>0</v>
      </c>
      <c r="IGZ22" s="1902">
        <f t="shared" si="102"/>
        <v>0</v>
      </c>
      <c r="IHA22" s="1902">
        <f t="shared" si="102"/>
        <v>0</v>
      </c>
      <c r="IHB22" s="1902">
        <f t="shared" si="102"/>
        <v>0</v>
      </c>
      <c r="IHC22" s="1902">
        <f t="shared" si="102"/>
        <v>0</v>
      </c>
      <c r="IHD22" s="1902">
        <f t="shared" si="102"/>
        <v>0</v>
      </c>
      <c r="IHE22" s="1902">
        <f t="shared" si="102"/>
        <v>0</v>
      </c>
      <c r="IHF22" s="1902">
        <f t="shared" si="102"/>
        <v>0</v>
      </c>
      <c r="IHG22" s="1902">
        <f t="shared" si="102"/>
        <v>0</v>
      </c>
      <c r="IHH22" s="1902">
        <f t="shared" si="102"/>
        <v>0</v>
      </c>
      <c r="IHI22" s="1902">
        <f t="shared" si="102"/>
        <v>0</v>
      </c>
      <c r="IHJ22" s="1902">
        <f t="shared" si="102"/>
        <v>0</v>
      </c>
      <c r="IHK22" s="1902">
        <f t="shared" si="102"/>
        <v>0</v>
      </c>
      <c r="IHL22" s="1902">
        <f t="shared" si="102"/>
        <v>0</v>
      </c>
      <c r="IHM22" s="1902">
        <f t="shared" si="102"/>
        <v>0</v>
      </c>
      <c r="IHN22" s="1902">
        <f t="shared" si="102"/>
        <v>0</v>
      </c>
      <c r="IHO22" s="1902">
        <f t="shared" si="102"/>
        <v>0</v>
      </c>
      <c r="IHP22" s="1902">
        <f t="shared" si="102"/>
        <v>0</v>
      </c>
      <c r="IHQ22" s="1902">
        <f t="shared" si="102"/>
        <v>0</v>
      </c>
      <c r="IHR22" s="1902">
        <f t="shared" si="102"/>
        <v>0</v>
      </c>
      <c r="IHS22" s="1902">
        <f t="shared" si="102"/>
        <v>0</v>
      </c>
      <c r="IHT22" s="1902">
        <f t="shared" si="102"/>
        <v>0</v>
      </c>
      <c r="IHU22" s="1902">
        <f t="shared" si="102"/>
        <v>0</v>
      </c>
      <c r="IHV22" s="1902">
        <f t="shared" si="102"/>
        <v>0</v>
      </c>
      <c r="IHW22" s="1902">
        <f t="shared" si="102"/>
        <v>0</v>
      </c>
      <c r="IHX22" s="1902">
        <f t="shared" si="102"/>
        <v>0</v>
      </c>
      <c r="IHY22" s="1902">
        <f t="shared" si="102"/>
        <v>0</v>
      </c>
      <c r="IHZ22" s="1902">
        <f t="shared" si="102"/>
        <v>0</v>
      </c>
      <c r="IIA22" s="1902">
        <f t="shared" si="102"/>
        <v>0</v>
      </c>
      <c r="IIB22" s="1902">
        <f t="shared" si="102"/>
        <v>0</v>
      </c>
      <c r="IIC22" s="1902">
        <f t="shared" si="102"/>
        <v>0</v>
      </c>
      <c r="IID22" s="1902">
        <f t="shared" si="102"/>
        <v>0</v>
      </c>
      <c r="IIE22" s="1902">
        <f t="shared" si="102"/>
        <v>0</v>
      </c>
      <c r="IIF22" s="1902">
        <f t="shared" si="102"/>
        <v>0</v>
      </c>
      <c r="IIG22" s="1902">
        <f t="shared" si="102"/>
        <v>0</v>
      </c>
      <c r="IIH22" s="1902">
        <f t="shared" si="102"/>
        <v>0</v>
      </c>
      <c r="III22" s="1902">
        <f t="shared" si="102"/>
        <v>0</v>
      </c>
      <c r="IIJ22" s="1902">
        <f t="shared" si="102"/>
        <v>0</v>
      </c>
      <c r="IIK22" s="1902">
        <f t="shared" si="102"/>
        <v>0</v>
      </c>
      <c r="IIL22" s="1902">
        <f t="shared" si="102"/>
        <v>0</v>
      </c>
      <c r="IIM22" s="1902">
        <f t="shared" si="102"/>
        <v>0</v>
      </c>
      <c r="IIN22" s="1902">
        <f t="shared" si="102"/>
        <v>0</v>
      </c>
      <c r="IIO22" s="1902">
        <f t="shared" si="102"/>
        <v>0</v>
      </c>
      <c r="IIP22" s="1902">
        <f t="shared" si="102"/>
        <v>0</v>
      </c>
      <c r="IIQ22" s="1902">
        <f t="shared" si="102"/>
        <v>0</v>
      </c>
      <c r="IIR22" s="1902">
        <f t="shared" si="102"/>
        <v>0</v>
      </c>
      <c r="IIS22" s="1902">
        <f t="shared" si="102"/>
        <v>0</v>
      </c>
      <c r="IIT22" s="1902">
        <f t="shared" si="102"/>
        <v>0</v>
      </c>
      <c r="IIU22" s="1902">
        <f t="shared" si="102"/>
        <v>0</v>
      </c>
      <c r="IIV22" s="1902">
        <f t="shared" si="102"/>
        <v>0</v>
      </c>
      <c r="IIW22" s="1902">
        <f t="shared" si="102"/>
        <v>0</v>
      </c>
      <c r="IIX22" s="1902">
        <f t="shared" si="102"/>
        <v>0</v>
      </c>
      <c r="IIY22" s="1902">
        <f t="shared" si="102"/>
        <v>0</v>
      </c>
      <c r="IIZ22" s="1902">
        <f t="shared" si="102"/>
        <v>0</v>
      </c>
      <c r="IJA22" s="1902">
        <f t="shared" si="102"/>
        <v>0</v>
      </c>
      <c r="IJB22" s="1902">
        <f t="shared" si="102"/>
        <v>0</v>
      </c>
      <c r="IJC22" s="1902">
        <f t="shared" ref="IJC22:ILN22" si="103">IF(AND(IJC$26="End of period",IJC$25="Revenue"),IJC9,0)</f>
        <v>0</v>
      </c>
      <c r="IJD22" s="1902">
        <f t="shared" si="103"/>
        <v>0</v>
      </c>
      <c r="IJE22" s="1902">
        <f t="shared" si="103"/>
        <v>0</v>
      </c>
      <c r="IJF22" s="1902">
        <f t="shared" si="103"/>
        <v>0</v>
      </c>
      <c r="IJG22" s="1902">
        <f t="shared" si="103"/>
        <v>0</v>
      </c>
      <c r="IJH22" s="1902">
        <f t="shared" si="103"/>
        <v>0</v>
      </c>
      <c r="IJI22" s="1902">
        <f t="shared" si="103"/>
        <v>0</v>
      </c>
      <c r="IJJ22" s="1902">
        <f t="shared" si="103"/>
        <v>0</v>
      </c>
      <c r="IJK22" s="1902">
        <f t="shared" si="103"/>
        <v>0</v>
      </c>
      <c r="IJL22" s="1902">
        <f t="shared" si="103"/>
        <v>0</v>
      </c>
      <c r="IJM22" s="1902">
        <f t="shared" si="103"/>
        <v>0</v>
      </c>
      <c r="IJN22" s="1902">
        <f t="shared" si="103"/>
        <v>0</v>
      </c>
      <c r="IJO22" s="1902">
        <f t="shared" si="103"/>
        <v>0</v>
      </c>
      <c r="IJP22" s="1902">
        <f t="shared" si="103"/>
        <v>0</v>
      </c>
      <c r="IJQ22" s="1902">
        <f t="shared" si="103"/>
        <v>0</v>
      </c>
      <c r="IJR22" s="1902">
        <f t="shared" si="103"/>
        <v>0</v>
      </c>
      <c r="IJS22" s="1902">
        <f t="shared" si="103"/>
        <v>0</v>
      </c>
      <c r="IJT22" s="1902">
        <f t="shared" si="103"/>
        <v>0</v>
      </c>
      <c r="IJU22" s="1902">
        <f t="shared" si="103"/>
        <v>0</v>
      </c>
      <c r="IJV22" s="1902">
        <f t="shared" si="103"/>
        <v>0</v>
      </c>
      <c r="IJW22" s="1902">
        <f t="shared" si="103"/>
        <v>0</v>
      </c>
      <c r="IJX22" s="1902">
        <f t="shared" si="103"/>
        <v>0</v>
      </c>
      <c r="IJY22" s="1902">
        <f t="shared" si="103"/>
        <v>0</v>
      </c>
      <c r="IJZ22" s="1902">
        <f t="shared" si="103"/>
        <v>0</v>
      </c>
      <c r="IKA22" s="1902">
        <f t="shared" si="103"/>
        <v>0</v>
      </c>
      <c r="IKB22" s="1902">
        <f t="shared" si="103"/>
        <v>0</v>
      </c>
      <c r="IKC22" s="1902">
        <f t="shared" si="103"/>
        <v>0</v>
      </c>
      <c r="IKD22" s="1902">
        <f t="shared" si="103"/>
        <v>0</v>
      </c>
      <c r="IKE22" s="1902">
        <f t="shared" si="103"/>
        <v>0</v>
      </c>
      <c r="IKF22" s="1902">
        <f t="shared" si="103"/>
        <v>0</v>
      </c>
      <c r="IKG22" s="1902">
        <f t="shared" si="103"/>
        <v>0</v>
      </c>
      <c r="IKH22" s="1902">
        <f t="shared" si="103"/>
        <v>0</v>
      </c>
      <c r="IKI22" s="1902">
        <f t="shared" si="103"/>
        <v>0</v>
      </c>
      <c r="IKJ22" s="1902">
        <f t="shared" si="103"/>
        <v>0</v>
      </c>
      <c r="IKK22" s="1902">
        <f t="shared" si="103"/>
        <v>0</v>
      </c>
      <c r="IKL22" s="1902">
        <f t="shared" si="103"/>
        <v>0</v>
      </c>
      <c r="IKM22" s="1902">
        <f t="shared" si="103"/>
        <v>0</v>
      </c>
      <c r="IKN22" s="1902">
        <f t="shared" si="103"/>
        <v>0</v>
      </c>
      <c r="IKO22" s="1902">
        <f t="shared" si="103"/>
        <v>0</v>
      </c>
      <c r="IKP22" s="1902">
        <f t="shared" si="103"/>
        <v>0</v>
      </c>
      <c r="IKQ22" s="1902">
        <f t="shared" si="103"/>
        <v>0</v>
      </c>
      <c r="IKR22" s="1902">
        <f t="shared" si="103"/>
        <v>0</v>
      </c>
      <c r="IKS22" s="1902">
        <f t="shared" si="103"/>
        <v>0</v>
      </c>
      <c r="IKT22" s="1902">
        <f t="shared" si="103"/>
        <v>0</v>
      </c>
      <c r="IKU22" s="1902">
        <f t="shared" si="103"/>
        <v>0</v>
      </c>
      <c r="IKV22" s="1902">
        <f t="shared" si="103"/>
        <v>0</v>
      </c>
      <c r="IKW22" s="1902">
        <f t="shared" si="103"/>
        <v>0</v>
      </c>
      <c r="IKX22" s="1902">
        <f t="shared" si="103"/>
        <v>0</v>
      </c>
      <c r="IKY22" s="1902">
        <f t="shared" si="103"/>
        <v>0</v>
      </c>
      <c r="IKZ22" s="1902">
        <f t="shared" si="103"/>
        <v>0</v>
      </c>
      <c r="ILA22" s="1902">
        <f t="shared" si="103"/>
        <v>0</v>
      </c>
      <c r="ILB22" s="1902">
        <f t="shared" si="103"/>
        <v>0</v>
      </c>
      <c r="ILC22" s="1902">
        <f t="shared" si="103"/>
        <v>0</v>
      </c>
      <c r="ILD22" s="1902">
        <f t="shared" si="103"/>
        <v>0</v>
      </c>
      <c r="ILE22" s="1902">
        <f t="shared" si="103"/>
        <v>0</v>
      </c>
      <c r="ILF22" s="1902">
        <f t="shared" si="103"/>
        <v>0</v>
      </c>
      <c r="ILG22" s="1902">
        <f t="shared" si="103"/>
        <v>0</v>
      </c>
      <c r="ILH22" s="1902">
        <f t="shared" si="103"/>
        <v>0</v>
      </c>
      <c r="ILI22" s="1902">
        <f t="shared" si="103"/>
        <v>0</v>
      </c>
      <c r="ILJ22" s="1902">
        <f t="shared" si="103"/>
        <v>0</v>
      </c>
      <c r="ILK22" s="1902">
        <f t="shared" si="103"/>
        <v>0</v>
      </c>
      <c r="ILL22" s="1902">
        <f t="shared" si="103"/>
        <v>0</v>
      </c>
      <c r="ILM22" s="1902">
        <f t="shared" si="103"/>
        <v>0</v>
      </c>
      <c r="ILN22" s="1902">
        <f t="shared" si="103"/>
        <v>0</v>
      </c>
      <c r="ILO22" s="1902">
        <f t="shared" ref="ILO22:INZ22" si="104">IF(AND(ILO$26="End of period",ILO$25="Revenue"),ILO9,0)</f>
        <v>0</v>
      </c>
      <c r="ILP22" s="1902">
        <f t="shared" si="104"/>
        <v>0</v>
      </c>
      <c r="ILQ22" s="1902">
        <f t="shared" si="104"/>
        <v>0</v>
      </c>
      <c r="ILR22" s="1902">
        <f t="shared" si="104"/>
        <v>0</v>
      </c>
      <c r="ILS22" s="1902">
        <f t="shared" si="104"/>
        <v>0</v>
      </c>
      <c r="ILT22" s="1902">
        <f t="shared" si="104"/>
        <v>0</v>
      </c>
      <c r="ILU22" s="1902">
        <f t="shared" si="104"/>
        <v>0</v>
      </c>
      <c r="ILV22" s="1902">
        <f t="shared" si="104"/>
        <v>0</v>
      </c>
      <c r="ILW22" s="1902">
        <f t="shared" si="104"/>
        <v>0</v>
      </c>
      <c r="ILX22" s="1902">
        <f t="shared" si="104"/>
        <v>0</v>
      </c>
      <c r="ILY22" s="1902">
        <f t="shared" si="104"/>
        <v>0</v>
      </c>
      <c r="ILZ22" s="1902">
        <f t="shared" si="104"/>
        <v>0</v>
      </c>
      <c r="IMA22" s="1902">
        <f t="shared" si="104"/>
        <v>0</v>
      </c>
      <c r="IMB22" s="1902">
        <f t="shared" si="104"/>
        <v>0</v>
      </c>
      <c r="IMC22" s="1902">
        <f t="shared" si="104"/>
        <v>0</v>
      </c>
      <c r="IMD22" s="1902">
        <f t="shared" si="104"/>
        <v>0</v>
      </c>
      <c r="IME22" s="1902">
        <f t="shared" si="104"/>
        <v>0</v>
      </c>
      <c r="IMF22" s="1902">
        <f t="shared" si="104"/>
        <v>0</v>
      </c>
      <c r="IMG22" s="1902">
        <f t="shared" si="104"/>
        <v>0</v>
      </c>
      <c r="IMH22" s="1902">
        <f t="shared" si="104"/>
        <v>0</v>
      </c>
      <c r="IMI22" s="1902">
        <f t="shared" si="104"/>
        <v>0</v>
      </c>
      <c r="IMJ22" s="1902">
        <f t="shared" si="104"/>
        <v>0</v>
      </c>
      <c r="IMK22" s="1902">
        <f t="shared" si="104"/>
        <v>0</v>
      </c>
      <c r="IML22" s="1902">
        <f t="shared" si="104"/>
        <v>0</v>
      </c>
      <c r="IMM22" s="1902">
        <f t="shared" si="104"/>
        <v>0</v>
      </c>
      <c r="IMN22" s="1902">
        <f t="shared" si="104"/>
        <v>0</v>
      </c>
      <c r="IMO22" s="1902">
        <f t="shared" si="104"/>
        <v>0</v>
      </c>
      <c r="IMP22" s="1902">
        <f t="shared" si="104"/>
        <v>0</v>
      </c>
      <c r="IMQ22" s="1902">
        <f t="shared" si="104"/>
        <v>0</v>
      </c>
      <c r="IMR22" s="1902">
        <f t="shared" si="104"/>
        <v>0</v>
      </c>
      <c r="IMS22" s="1902">
        <f t="shared" si="104"/>
        <v>0</v>
      </c>
      <c r="IMT22" s="1902">
        <f t="shared" si="104"/>
        <v>0</v>
      </c>
      <c r="IMU22" s="1902">
        <f t="shared" si="104"/>
        <v>0</v>
      </c>
      <c r="IMV22" s="1902">
        <f t="shared" si="104"/>
        <v>0</v>
      </c>
      <c r="IMW22" s="1902">
        <f t="shared" si="104"/>
        <v>0</v>
      </c>
      <c r="IMX22" s="1902">
        <f t="shared" si="104"/>
        <v>0</v>
      </c>
      <c r="IMY22" s="1902">
        <f t="shared" si="104"/>
        <v>0</v>
      </c>
      <c r="IMZ22" s="1902">
        <f t="shared" si="104"/>
        <v>0</v>
      </c>
      <c r="INA22" s="1902">
        <f t="shared" si="104"/>
        <v>0</v>
      </c>
      <c r="INB22" s="1902">
        <f t="shared" si="104"/>
        <v>0</v>
      </c>
      <c r="INC22" s="1902">
        <f t="shared" si="104"/>
        <v>0</v>
      </c>
      <c r="IND22" s="1902">
        <f t="shared" si="104"/>
        <v>0</v>
      </c>
      <c r="INE22" s="1902">
        <f t="shared" si="104"/>
        <v>0</v>
      </c>
      <c r="INF22" s="1902">
        <f t="shared" si="104"/>
        <v>0</v>
      </c>
      <c r="ING22" s="1902">
        <f t="shared" si="104"/>
        <v>0</v>
      </c>
      <c r="INH22" s="1902">
        <f t="shared" si="104"/>
        <v>0</v>
      </c>
      <c r="INI22" s="1902">
        <f t="shared" si="104"/>
        <v>0</v>
      </c>
      <c r="INJ22" s="1902">
        <f t="shared" si="104"/>
        <v>0</v>
      </c>
      <c r="INK22" s="1902">
        <f t="shared" si="104"/>
        <v>0</v>
      </c>
      <c r="INL22" s="1902">
        <f t="shared" si="104"/>
        <v>0</v>
      </c>
      <c r="INM22" s="1902">
        <f t="shared" si="104"/>
        <v>0</v>
      </c>
      <c r="INN22" s="1902">
        <f t="shared" si="104"/>
        <v>0</v>
      </c>
      <c r="INO22" s="1902">
        <f t="shared" si="104"/>
        <v>0</v>
      </c>
      <c r="INP22" s="1902">
        <f t="shared" si="104"/>
        <v>0</v>
      </c>
      <c r="INQ22" s="1902">
        <f t="shared" si="104"/>
        <v>0</v>
      </c>
      <c r="INR22" s="1902">
        <f t="shared" si="104"/>
        <v>0</v>
      </c>
      <c r="INS22" s="1902">
        <f t="shared" si="104"/>
        <v>0</v>
      </c>
      <c r="INT22" s="1902">
        <f t="shared" si="104"/>
        <v>0</v>
      </c>
      <c r="INU22" s="1902">
        <f t="shared" si="104"/>
        <v>0</v>
      </c>
      <c r="INV22" s="1902">
        <f t="shared" si="104"/>
        <v>0</v>
      </c>
      <c r="INW22" s="1902">
        <f t="shared" si="104"/>
        <v>0</v>
      </c>
      <c r="INX22" s="1902">
        <f t="shared" si="104"/>
        <v>0</v>
      </c>
      <c r="INY22" s="1902">
        <f t="shared" si="104"/>
        <v>0</v>
      </c>
      <c r="INZ22" s="1902">
        <f t="shared" si="104"/>
        <v>0</v>
      </c>
      <c r="IOA22" s="1902">
        <f t="shared" ref="IOA22:IQL22" si="105">IF(AND(IOA$26="End of period",IOA$25="Revenue"),IOA9,0)</f>
        <v>0</v>
      </c>
      <c r="IOB22" s="1902">
        <f t="shared" si="105"/>
        <v>0</v>
      </c>
      <c r="IOC22" s="1902">
        <f t="shared" si="105"/>
        <v>0</v>
      </c>
      <c r="IOD22" s="1902">
        <f t="shared" si="105"/>
        <v>0</v>
      </c>
      <c r="IOE22" s="1902">
        <f t="shared" si="105"/>
        <v>0</v>
      </c>
      <c r="IOF22" s="1902">
        <f t="shared" si="105"/>
        <v>0</v>
      </c>
      <c r="IOG22" s="1902">
        <f t="shared" si="105"/>
        <v>0</v>
      </c>
      <c r="IOH22" s="1902">
        <f t="shared" si="105"/>
        <v>0</v>
      </c>
      <c r="IOI22" s="1902">
        <f t="shared" si="105"/>
        <v>0</v>
      </c>
      <c r="IOJ22" s="1902">
        <f t="shared" si="105"/>
        <v>0</v>
      </c>
      <c r="IOK22" s="1902">
        <f t="shared" si="105"/>
        <v>0</v>
      </c>
      <c r="IOL22" s="1902">
        <f t="shared" si="105"/>
        <v>0</v>
      </c>
      <c r="IOM22" s="1902">
        <f t="shared" si="105"/>
        <v>0</v>
      </c>
      <c r="ION22" s="1902">
        <f t="shared" si="105"/>
        <v>0</v>
      </c>
      <c r="IOO22" s="1902">
        <f t="shared" si="105"/>
        <v>0</v>
      </c>
      <c r="IOP22" s="1902">
        <f t="shared" si="105"/>
        <v>0</v>
      </c>
      <c r="IOQ22" s="1902">
        <f t="shared" si="105"/>
        <v>0</v>
      </c>
      <c r="IOR22" s="1902">
        <f t="shared" si="105"/>
        <v>0</v>
      </c>
      <c r="IOS22" s="1902">
        <f t="shared" si="105"/>
        <v>0</v>
      </c>
      <c r="IOT22" s="1902">
        <f t="shared" si="105"/>
        <v>0</v>
      </c>
      <c r="IOU22" s="1902">
        <f t="shared" si="105"/>
        <v>0</v>
      </c>
      <c r="IOV22" s="1902">
        <f t="shared" si="105"/>
        <v>0</v>
      </c>
      <c r="IOW22" s="1902">
        <f t="shared" si="105"/>
        <v>0</v>
      </c>
      <c r="IOX22" s="1902">
        <f t="shared" si="105"/>
        <v>0</v>
      </c>
      <c r="IOY22" s="1902">
        <f t="shared" si="105"/>
        <v>0</v>
      </c>
      <c r="IOZ22" s="1902">
        <f t="shared" si="105"/>
        <v>0</v>
      </c>
      <c r="IPA22" s="1902">
        <f t="shared" si="105"/>
        <v>0</v>
      </c>
      <c r="IPB22" s="1902">
        <f t="shared" si="105"/>
        <v>0</v>
      </c>
      <c r="IPC22" s="1902">
        <f t="shared" si="105"/>
        <v>0</v>
      </c>
      <c r="IPD22" s="1902">
        <f t="shared" si="105"/>
        <v>0</v>
      </c>
      <c r="IPE22" s="1902">
        <f t="shared" si="105"/>
        <v>0</v>
      </c>
      <c r="IPF22" s="1902">
        <f t="shared" si="105"/>
        <v>0</v>
      </c>
      <c r="IPG22" s="1902">
        <f t="shared" si="105"/>
        <v>0</v>
      </c>
      <c r="IPH22" s="1902">
        <f t="shared" si="105"/>
        <v>0</v>
      </c>
      <c r="IPI22" s="1902">
        <f t="shared" si="105"/>
        <v>0</v>
      </c>
      <c r="IPJ22" s="1902">
        <f t="shared" si="105"/>
        <v>0</v>
      </c>
      <c r="IPK22" s="1902">
        <f t="shared" si="105"/>
        <v>0</v>
      </c>
      <c r="IPL22" s="1902">
        <f t="shared" si="105"/>
        <v>0</v>
      </c>
      <c r="IPM22" s="1902">
        <f t="shared" si="105"/>
        <v>0</v>
      </c>
      <c r="IPN22" s="1902">
        <f t="shared" si="105"/>
        <v>0</v>
      </c>
      <c r="IPO22" s="1902">
        <f t="shared" si="105"/>
        <v>0</v>
      </c>
      <c r="IPP22" s="1902">
        <f t="shared" si="105"/>
        <v>0</v>
      </c>
      <c r="IPQ22" s="1902">
        <f t="shared" si="105"/>
        <v>0</v>
      </c>
      <c r="IPR22" s="1902">
        <f t="shared" si="105"/>
        <v>0</v>
      </c>
      <c r="IPS22" s="1902">
        <f t="shared" si="105"/>
        <v>0</v>
      </c>
      <c r="IPT22" s="1902">
        <f t="shared" si="105"/>
        <v>0</v>
      </c>
      <c r="IPU22" s="1902">
        <f t="shared" si="105"/>
        <v>0</v>
      </c>
      <c r="IPV22" s="1902">
        <f t="shared" si="105"/>
        <v>0</v>
      </c>
      <c r="IPW22" s="1902">
        <f t="shared" si="105"/>
        <v>0</v>
      </c>
      <c r="IPX22" s="1902">
        <f t="shared" si="105"/>
        <v>0</v>
      </c>
      <c r="IPY22" s="1902">
        <f t="shared" si="105"/>
        <v>0</v>
      </c>
      <c r="IPZ22" s="1902">
        <f t="shared" si="105"/>
        <v>0</v>
      </c>
      <c r="IQA22" s="1902">
        <f t="shared" si="105"/>
        <v>0</v>
      </c>
      <c r="IQB22" s="1902">
        <f t="shared" si="105"/>
        <v>0</v>
      </c>
      <c r="IQC22" s="1902">
        <f t="shared" si="105"/>
        <v>0</v>
      </c>
      <c r="IQD22" s="1902">
        <f t="shared" si="105"/>
        <v>0</v>
      </c>
      <c r="IQE22" s="1902">
        <f t="shared" si="105"/>
        <v>0</v>
      </c>
      <c r="IQF22" s="1902">
        <f t="shared" si="105"/>
        <v>0</v>
      </c>
      <c r="IQG22" s="1902">
        <f t="shared" si="105"/>
        <v>0</v>
      </c>
      <c r="IQH22" s="1902">
        <f t="shared" si="105"/>
        <v>0</v>
      </c>
      <c r="IQI22" s="1902">
        <f t="shared" si="105"/>
        <v>0</v>
      </c>
      <c r="IQJ22" s="1902">
        <f t="shared" si="105"/>
        <v>0</v>
      </c>
      <c r="IQK22" s="1902">
        <f t="shared" si="105"/>
        <v>0</v>
      </c>
      <c r="IQL22" s="1902">
        <f t="shared" si="105"/>
        <v>0</v>
      </c>
      <c r="IQM22" s="1902">
        <f t="shared" ref="IQM22:ISX22" si="106">IF(AND(IQM$26="End of period",IQM$25="Revenue"),IQM9,0)</f>
        <v>0</v>
      </c>
      <c r="IQN22" s="1902">
        <f t="shared" si="106"/>
        <v>0</v>
      </c>
      <c r="IQO22" s="1902">
        <f t="shared" si="106"/>
        <v>0</v>
      </c>
      <c r="IQP22" s="1902">
        <f t="shared" si="106"/>
        <v>0</v>
      </c>
      <c r="IQQ22" s="1902">
        <f t="shared" si="106"/>
        <v>0</v>
      </c>
      <c r="IQR22" s="1902">
        <f t="shared" si="106"/>
        <v>0</v>
      </c>
      <c r="IQS22" s="1902">
        <f t="shared" si="106"/>
        <v>0</v>
      </c>
      <c r="IQT22" s="1902">
        <f t="shared" si="106"/>
        <v>0</v>
      </c>
      <c r="IQU22" s="1902">
        <f t="shared" si="106"/>
        <v>0</v>
      </c>
      <c r="IQV22" s="1902">
        <f t="shared" si="106"/>
        <v>0</v>
      </c>
      <c r="IQW22" s="1902">
        <f t="shared" si="106"/>
        <v>0</v>
      </c>
      <c r="IQX22" s="1902">
        <f t="shared" si="106"/>
        <v>0</v>
      </c>
      <c r="IQY22" s="1902">
        <f t="shared" si="106"/>
        <v>0</v>
      </c>
      <c r="IQZ22" s="1902">
        <f t="shared" si="106"/>
        <v>0</v>
      </c>
      <c r="IRA22" s="1902">
        <f t="shared" si="106"/>
        <v>0</v>
      </c>
      <c r="IRB22" s="1902">
        <f t="shared" si="106"/>
        <v>0</v>
      </c>
      <c r="IRC22" s="1902">
        <f t="shared" si="106"/>
        <v>0</v>
      </c>
      <c r="IRD22" s="1902">
        <f t="shared" si="106"/>
        <v>0</v>
      </c>
      <c r="IRE22" s="1902">
        <f t="shared" si="106"/>
        <v>0</v>
      </c>
      <c r="IRF22" s="1902">
        <f t="shared" si="106"/>
        <v>0</v>
      </c>
      <c r="IRG22" s="1902">
        <f t="shared" si="106"/>
        <v>0</v>
      </c>
      <c r="IRH22" s="1902">
        <f t="shared" si="106"/>
        <v>0</v>
      </c>
      <c r="IRI22" s="1902">
        <f t="shared" si="106"/>
        <v>0</v>
      </c>
      <c r="IRJ22" s="1902">
        <f t="shared" si="106"/>
        <v>0</v>
      </c>
      <c r="IRK22" s="1902">
        <f t="shared" si="106"/>
        <v>0</v>
      </c>
      <c r="IRL22" s="1902">
        <f t="shared" si="106"/>
        <v>0</v>
      </c>
      <c r="IRM22" s="1902">
        <f t="shared" si="106"/>
        <v>0</v>
      </c>
      <c r="IRN22" s="1902">
        <f t="shared" si="106"/>
        <v>0</v>
      </c>
      <c r="IRO22" s="1902">
        <f t="shared" si="106"/>
        <v>0</v>
      </c>
      <c r="IRP22" s="1902">
        <f t="shared" si="106"/>
        <v>0</v>
      </c>
      <c r="IRQ22" s="1902">
        <f t="shared" si="106"/>
        <v>0</v>
      </c>
      <c r="IRR22" s="1902">
        <f t="shared" si="106"/>
        <v>0</v>
      </c>
      <c r="IRS22" s="1902">
        <f t="shared" si="106"/>
        <v>0</v>
      </c>
      <c r="IRT22" s="1902">
        <f t="shared" si="106"/>
        <v>0</v>
      </c>
      <c r="IRU22" s="1902">
        <f t="shared" si="106"/>
        <v>0</v>
      </c>
      <c r="IRV22" s="1902">
        <f t="shared" si="106"/>
        <v>0</v>
      </c>
      <c r="IRW22" s="1902">
        <f t="shared" si="106"/>
        <v>0</v>
      </c>
      <c r="IRX22" s="1902">
        <f t="shared" si="106"/>
        <v>0</v>
      </c>
      <c r="IRY22" s="1902">
        <f t="shared" si="106"/>
        <v>0</v>
      </c>
      <c r="IRZ22" s="1902">
        <f t="shared" si="106"/>
        <v>0</v>
      </c>
      <c r="ISA22" s="1902">
        <f t="shared" si="106"/>
        <v>0</v>
      </c>
      <c r="ISB22" s="1902">
        <f t="shared" si="106"/>
        <v>0</v>
      </c>
      <c r="ISC22" s="1902">
        <f t="shared" si="106"/>
        <v>0</v>
      </c>
      <c r="ISD22" s="1902">
        <f t="shared" si="106"/>
        <v>0</v>
      </c>
      <c r="ISE22" s="1902">
        <f t="shared" si="106"/>
        <v>0</v>
      </c>
      <c r="ISF22" s="1902">
        <f t="shared" si="106"/>
        <v>0</v>
      </c>
      <c r="ISG22" s="1902">
        <f t="shared" si="106"/>
        <v>0</v>
      </c>
      <c r="ISH22" s="1902">
        <f t="shared" si="106"/>
        <v>0</v>
      </c>
      <c r="ISI22" s="1902">
        <f t="shared" si="106"/>
        <v>0</v>
      </c>
      <c r="ISJ22" s="1902">
        <f t="shared" si="106"/>
        <v>0</v>
      </c>
      <c r="ISK22" s="1902">
        <f t="shared" si="106"/>
        <v>0</v>
      </c>
      <c r="ISL22" s="1902">
        <f t="shared" si="106"/>
        <v>0</v>
      </c>
      <c r="ISM22" s="1902">
        <f t="shared" si="106"/>
        <v>0</v>
      </c>
      <c r="ISN22" s="1902">
        <f t="shared" si="106"/>
        <v>0</v>
      </c>
      <c r="ISO22" s="1902">
        <f t="shared" si="106"/>
        <v>0</v>
      </c>
      <c r="ISP22" s="1902">
        <f t="shared" si="106"/>
        <v>0</v>
      </c>
      <c r="ISQ22" s="1902">
        <f t="shared" si="106"/>
        <v>0</v>
      </c>
      <c r="ISR22" s="1902">
        <f t="shared" si="106"/>
        <v>0</v>
      </c>
      <c r="ISS22" s="1902">
        <f t="shared" si="106"/>
        <v>0</v>
      </c>
      <c r="IST22" s="1902">
        <f t="shared" si="106"/>
        <v>0</v>
      </c>
      <c r="ISU22" s="1902">
        <f t="shared" si="106"/>
        <v>0</v>
      </c>
      <c r="ISV22" s="1902">
        <f t="shared" si="106"/>
        <v>0</v>
      </c>
      <c r="ISW22" s="1902">
        <f t="shared" si="106"/>
        <v>0</v>
      </c>
      <c r="ISX22" s="1902">
        <f t="shared" si="106"/>
        <v>0</v>
      </c>
      <c r="ISY22" s="1902">
        <f t="shared" ref="ISY22:IVJ22" si="107">IF(AND(ISY$26="End of period",ISY$25="Revenue"),ISY9,0)</f>
        <v>0</v>
      </c>
      <c r="ISZ22" s="1902">
        <f t="shared" si="107"/>
        <v>0</v>
      </c>
      <c r="ITA22" s="1902">
        <f t="shared" si="107"/>
        <v>0</v>
      </c>
      <c r="ITB22" s="1902">
        <f t="shared" si="107"/>
        <v>0</v>
      </c>
      <c r="ITC22" s="1902">
        <f t="shared" si="107"/>
        <v>0</v>
      </c>
      <c r="ITD22" s="1902">
        <f t="shared" si="107"/>
        <v>0</v>
      </c>
      <c r="ITE22" s="1902">
        <f t="shared" si="107"/>
        <v>0</v>
      </c>
      <c r="ITF22" s="1902">
        <f t="shared" si="107"/>
        <v>0</v>
      </c>
      <c r="ITG22" s="1902">
        <f t="shared" si="107"/>
        <v>0</v>
      </c>
      <c r="ITH22" s="1902">
        <f t="shared" si="107"/>
        <v>0</v>
      </c>
      <c r="ITI22" s="1902">
        <f t="shared" si="107"/>
        <v>0</v>
      </c>
      <c r="ITJ22" s="1902">
        <f t="shared" si="107"/>
        <v>0</v>
      </c>
      <c r="ITK22" s="1902">
        <f t="shared" si="107"/>
        <v>0</v>
      </c>
      <c r="ITL22" s="1902">
        <f t="shared" si="107"/>
        <v>0</v>
      </c>
      <c r="ITM22" s="1902">
        <f t="shared" si="107"/>
        <v>0</v>
      </c>
      <c r="ITN22" s="1902">
        <f t="shared" si="107"/>
        <v>0</v>
      </c>
      <c r="ITO22" s="1902">
        <f t="shared" si="107"/>
        <v>0</v>
      </c>
      <c r="ITP22" s="1902">
        <f t="shared" si="107"/>
        <v>0</v>
      </c>
      <c r="ITQ22" s="1902">
        <f t="shared" si="107"/>
        <v>0</v>
      </c>
      <c r="ITR22" s="1902">
        <f t="shared" si="107"/>
        <v>0</v>
      </c>
      <c r="ITS22" s="1902">
        <f t="shared" si="107"/>
        <v>0</v>
      </c>
      <c r="ITT22" s="1902">
        <f t="shared" si="107"/>
        <v>0</v>
      </c>
      <c r="ITU22" s="1902">
        <f t="shared" si="107"/>
        <v>0</v>
      </c>
      <c r="ITV22" s="1902">
        <f t="shared" si="107"/>
        <v>0</v>
      </c>
      <c r="ITW22" s="1902">
        <f t="shared" si="107"/>
        <v>0</v>
      </c>
      <c r="ITX22" s="1902">
        <f t="shared" si="107"/>
        <v>0</v>
      </c>
      <c r="ITY22" s="1902">
        <f t="shared" si="107"/>
        <v>0</v>
      </c>
      <c r="ITZ22" s="1902">
        <f t="shared" si="107"/>
        <v>0</v>
      </c>
      <c r="IUA22" s="1902">
        <f t="shared" si="107"/>
        <v>0</v>
      </c>
      <c r="IUB22" s="1902">
        <f t="shared" si="107"/>
        <v>0</v>
      </c>
      <c r="IUC22" s="1902">
        <f t="shared" si="107"/>
        <v>0</v>
      </c>
      <c r="IUD22" s="1902">
        <f t="shared" si="107"/>
        <v>0</v>
      </c>
      <c r="IUE22" s="1902">
        <f t="shared" si="107"/>
        <v>0</v>
      </c>
      <c r="IUF22" s="1902">
        <f t="shared" si="107"/>
        <v>0</v>
      </c>
      <c r="IUG22" s="1902">
        <f t="shared" si="107"/>
        <v>0</v>
      </c>
      <c r="IUH22" s="1902">
        <f t="shared" si="107"/>
        <v>0</v>
      </c>
      <c r="IUI22" s="1902">
        <f t="shared" si="107"/>
        <v>0</v>
      </c>
      <c r="IUJ22" s="1902">
        <f t="shared" si="107"/>
        <v>0</v>
      </c>
      <c r="IUK22" s="1902">
        <f t="shared" si="107"/>
        <v>0</v>
      </c>
      <c r="IUL22" s="1902">
        <f t="shared" si="107"/>
        <v>0</v>
      </c>
      <c r="IUM22" s="1902">
        <f t="shared" si="107"/>
        <v>0</v>
      </c>
      <c r="IUN22" s="1902">
        <f t="shared" si="107"/>
        <v>0</v>
      </c>
      <c r="IUO22" s="1902">
        <f t="shared" si="107"/>
        <v>0</v>
      </c>
      <c r="IUP22" s="1902">
        <f t="shared" si="107"/>
        <v>0</v>
      </c>
      <c r="IUQ22" s="1902">
        <f t="shared" si="107"/>
        <v>0</v>
      </c>
      <c r="IUR22" s="1902">
        <f t="shared" si="107"/>
        <v>0</v>
      </c>
      <c r="IUS22" s="1902">
        <f t="shared" si="107"/>
        <v>0</v>
      </c>
      <c r="IUT22" s="1902">
        <f t="shared" si="107"/>
        <v>0</v>
      </c>
      <c r="IUU22" s="1902">
        <f t="shared" si="107"/>
        <v>0</v>
      </c>
      <c r="IUV22" s="1902">
        <f t="shared" si="107"/>
        <v>0</v>
      </c>
      <c r="IUW22" s="1902">
        <f t="shared" si="107"/>
        <v>0</v>
      </c>
      <c r="IUX22" s="1902">
        <f t="shared" si="107"/>
        <v>0</v>
      </c>
      <c r="IUY22" s="1902">
        <f t="shared" si="107"/>
        <v>0</v>
      </c>
      <c r="IUZ22" s="1902">
        <f t="shared" si="107"/>
        <v>0</v>
      </c>
      <c r="IVA22" s="1902">
        <f t="shared" si="107"/>
        <v>0</v>
      </c>
      <c r="IVB22" s="1902">
        <f t="shared" si="107"/>
        <v>0</v>
      </c>
      <c r="IVC22" s="1902">
        <f t="shared" si="107"/>
        <v>0</v>
      </c>
      <c r="IVD22" s="1902">
        <f t="shared" si="107"/>
        <v>0</v>
      </c>
      <c r="IVE22" s="1902">
        <f t="shared" si="107"/>
        <v>0</v>
      </c>
      <c r="IVF22" s="1902">
        <f t="shared" si="107"/>
        <v>0</v>
      </c>
      <c r="IVG22" s="1902">
        <f t="shared" si="107"/>
        <v>0</v>
      </c>
      <c r="IVH22" s="1902">
        <f t="shared" si="107"/>
        <v>0</v>
      </c>
      <c r="IVI22" s="1902">
        <f t="shared" si="107"/>
        <v>0</v>
      </c>
      <c r="IVJ22" s="1902">
        <f t="shared" si="107"/>
        <v>0</v>
      </c>
      <c r="IVK22" s="1902">
        <f t="shared" ref="IVK22:IXV22" si="108">IF(AND(IVK$26="End of period",IVK$25="Revenue"),IVK9,0)</f>
        <v>0</v>
      </c>
      <c r="IVL22" s="1902">
        <f t="shared" si="108"/>
        <v>0</v>
      </c>
      <c r="IVM22" s="1902">
        <f t="shared" si="108"/>
        <v>0</v>
      </c>
      <c r="IVN22" s="1902">
        <f t="shared" si="108"/>
        <v>0</v>
      </c>
      <c r="IVO22" s="1902">
        <f t="shared" si="108"/>
        <v>0</v>
      </c>
      <c r="IVP22" s="1902">
        <f t="shared" si="108"/>
        <v>0</v>
      </c>
      <c r="IVQ22" s="1902">
        <f t="shared" si="108"/>
        <v>0</v>
      </c>
      <c r="IVR22" s="1902">
        <f t="shared" si="108"/>
        <v>0</v>
      </c>
      <c r="IVS22" s="1902">
        <f t="shared" si="108"/>
        <v>0</v>
      </c>
      <c r="IVT22" s="1902">
        <f t="shared" si="108"/>
        <v>0</v>
      </c>
      <c r="IVU22" s="1902">
        <f t="shared" si="108"/>
        <v>0</v>
      </c>
      <c r="IVV22" s="1902">
        <f t="shared" si="108"/>
        <v>0</v>
      </c>
      <c r="IVW22" s="1902">
        <f t="shared" si="108"/>
        <v>0</v>
      </c>
      <c r="IVX22" s="1902">
        <f t="shared" si="108"/>
        <v>0</v>
      </c>
      <c r="IVY22" s="1902">
        <f t="shared" si="108"/>
        <v>0</v>
      </c>
      <c r="IVZ22" s="1902">
        <f t="shared" si="108"/>
        <v>0</v>
      </c>
      <c r="IWA22" s="1902">
        <f t="shared" si="108"/>
        <v>0</v>
      </c>
      <c r="IWB22" s="1902">
        <f t="shared" si="108"/>
        <v>0</v>
      </c>
      <c r="IWC22" s="1902">
        <f t="shared" si="108"/>
        <v>0</v>
      </c>
      <c r="IWD22" s="1902">
        <f t="shared" si="108"/>
        <v>0</v>
      </c>
      <c r="IWE22" s="1902">
        <f t="shared" si="108"/>
        <v>0</v>
      </c>
      <c r="IWF22" s="1902">
        <f t="shared" si="108"/>
        <v>0</v>
      </c>
      <c r="IWG22" s="1902">
        <f t="shared" si="108"/>
        <v>0</v>
      </c>
      <c r="IWH22" s="1902">
        <f t="shared" si="108"/>
        <v>0</v>
      </c>
      <c r="IWI22" s="1902">
        <f t="shared" si="108"/>
        <v>0</v>
      </c>
      <c r="IWJ22" s="1902">
        <f t="shared" si="108"/>
        <v>0</v>
      </c>
      <c r="IWK22" s="1902">
        <f t="shared" si="108"/>
        <v>0</v>
      </c>
      <c r="IWL22" s="1902">
        <f t="shared" si="108"/>
        <v>0</v>
      </c>
      <c r="IWM22" s="1902">
        <f t="shared" si="108"/>
        <v>0</v>
      </c>
      <c r="IWN22" s="1902">
        <f t="shared" si="108"/>
        <v>0</v>
      </c>
      <c r="IWO22" s="1902">
        <f t="shared" si="108"/>
        <v>0</v>
      </c>
      <c r="IWP22" s="1902">
        <f t="shared" si="108"/>
        <v>0</v>
      </c>
      <c r="IWQ22" s="1902">
        <f t="shared" si="108"/>
        <v>0</v>
      </c>
      <c r="IWR22" s="1902">
        <f t="shared" si="108"/>
        <v>0</v>
      </c>
      <c r="IWS22" s="1902">
        <f t="shared" si="108"/>
        <v>0</v>
      </c>
      <c r="IWT22" s="1902">
        <f t="shared" si="108"/>
        <v>0</v>
      </c>
      <c r="IWU22" s="1902">
        <f t="shared" si="108"/>
        <v>0</v>
      </c>
      <c r="IWV22" s="1902">
        <f t="shared" si="108"/>
        <v>0</v>
      </c>
      <c r="IWW22" s="1902">
        <f t="shared" si="108"/>
        <v>0</v>
      </c>
      <c r="IWX22" s="1902">
        <f t="shared" si="108"/>
        <v>0</v>
      </c>
      <c r="IWY22" s="1902">
        <f t="shared" si="108"/>
        <v>0</v>
      </c>
      <c r="IWZ22" s="1902">
        <f t="shared" si="108"/>
        <v>0</v>
      </c>
      <c r="IXA22" s="1902">
        <f t="shared" si="108"/>
        <v>0</v>
      </c>
      <c r="IXB22" s="1902">
        <f t="shared" si="108"/>
        <v>0</v>
      </c>
      <c r="IXC22" s="1902">
        <f t="shared" si="108"/>
        <v>0</v>
      </c>
      <c r="IXD22" s="1902">
        <f t="shared" si="108"/>
        <v>0</v>
      </c>
      <c r="IXE22" s="1902">
        <f t="shared" si="108"/>
        <v>0</v>
      </c>
      <c r="IXF22" s="1902">
        <f t="shared" si="108"/>
        <v>0</v>
      </c>
      <c r="IXG22" s="1902">
        <f t="shared" si="108"/>
        <v>0</v>
      </c>
      <c r="IXH22" s="1902">
        <f t="shared" si="108"/>
        <v>0</v>
      </c>
      <c r="IXI22" s="1902">
        <f t="shared" si="108"/>
        <v>0</v>
      </c>
      <c r="IXJ22" s="1902">
        <f t="shared" si="108"/>
        <v>0</v>
      </c>
      <c r="IXK22" s="1902">
        <f t="shared" si="108"/>
        <v>0</v>
      </c>
      <c r="IXL22" s="1902">
        <f t="shared" si="108"/>
        <v>0</v>
      </c>
      <c r="IXM22" s="1902">
        <f t="shared" si="108"/>
        <v>0</v>
      </c>
      <c r="IXN22" s="1902">
        <f t="shared" si="108"/>
        <v>0</v>
      </c>
      <c r="IXO22" s="1902">
        <f t="shared" si="108"/>
        <v>0</v>
      </c>
      <c r="IXP22" s="1902">
        <f t="shared" si="108"/>
        <v>0</v>
      </c>
      <c r="IXQ22" s="1902">
        <f t="shared" si="108"/>
        <v>0</v>
      </c>
      <c r="IXR22" s="1902">
        <f t="shared" si="108"/>
        <v>0</v>
      </c>
      <c r="IXS22" s="1902">
        <f t="shared" si="108"/>
        <v>0</v>
      </c>
      <c r="IXT22" s="1902">
        <f t="shared" si="108"/>
        <v>0</v>
      </c>
      <c r="IXU22" s="1902">
        <f t="shared" si="108"/>
        <v>0</v>
      </c>
      <c r="IXV22" s="1902">
        <f t="shared" si="108"/>
        <v>0</v>
      </c>
      <c r="IXW22" s="1902">
        <f t="shared" ref="IXW22:JAH22" si="109">IF(AND(IXW$26="End of period",IXW$25="Revenue"),IXW9,0)</f>
        <v>0</v>
      </c>
      <c r="IXX22" s="1902">
        <f t="shared" si="109"/>
        <v>0</v>
      </c>
      <c r="IXY22" s="1902">
        <f t="shared" si="109"/>
        <v>0</v>
      </c>
      <c r="IXZ22" s="1902">
        <f t="shared" si="109"/>
        <v>0</v>
      </c>
      <c r="IYA22" s="1902">
        <f t="shared" si="109"/>
        <v>0</v>
      </c>
      <c r="IYB22" s="1902">
        <f t="shared" si="109"/>
        <v>0</v>
      </c>
      <c r="IYC22" s="1902">
        <f t="shared" si="109"/>
        <v>0</v>
      </c>
      <c r="IYD22" s="1902">
        <f t="shared" si="109"/>
        <v>0</v>
      </c>
      <c r="IYE22" s="1902">
        <f t="shared" si="109"/>
        <v>0</v>
      </c>
      <c r="IYF22" s="1902">
        <f t="shared" si="109"/>
        <v>0</v>
      </c>
      <c r="IYG22" s="1902">
        <f t="shared" si="109"/>
        <v>0</v>
      </c>
      <c r="IYH22" s="1902">
        <f t="shared" si="109"/>
        <v>0</v>
      </c>
      <c r="IYI22" s="1902">
        <f t="shared" si="109"/>
        <v>0</v>
      </c>
      <c r="IYJ22" s="1902">
        <f t="shared" si="109"/>
        <v>0</v>
      </c>
      <c r="IYK22" s="1902">
        <f t="shared" si="109"/>
        <v>0</v>
      </c>
      <c r="IYL22" s="1902">
        <f t="shared" si="109"/>
        <v>0</v>
      </c>
      <c r="IYM22" s="1902">
        <f t="shared" si="109"/>
        <v>0</v>
      </c>
      <c r="IYN22" s="1902">
        <f t="shared" si="109"/>
        <v>0</v>
      </c>
      <c r="IYO22" s="1902">
        <f t="shared" si="109"/>
        <v>0</v>
      </c>
      <c r="IYP22" s="1902">
        <f t="shared" si="109"/>
        <v>0</v>
      </c>
      <c r="IYQ22" s="1902">
        <f t="shared" si="109"/>
        <v>0</v>
      </c>
      <c r="IYR22" s="1902">
        <f t="shared" si="109"/>
        <v>0</v>
      </c>
      <c r="IYS22" s="1902">
        <f t="shared" si="109"/>
        <v>0</v>
      </c>
      <c r="IYT22" s="1902">
        <f t="shared" si="109"/>
        <v>0</v>
      </c>
      <c r="IYU22" s="1902">
        <f t="shared" si="109"/>
        <v>0</v>
      </c>
      <c r="IYV22" s="1902">
        <f t="shared" si="109"/>
        <v>0</v>
      </c>
      <c r="IYW22" s="1902">
        <f t="shared" si="109"/>
        <v>0</v>
      </c>
      <c r="IYX22" s="1902">
        <f t="shared" si="109"/>
        <v>0</v>
      </c>
      <c r="IYY22" s="1902">
        <f t="shared" si="109"/>
        <v>0</v>
      </c>
      <c r="IYZ22" s="1902">
        <f t="shared" si="109"/>
        <v>0</v>
      </c>
      <c r="IZA22" s="1902">
        <f t="shared" si="109"/>
        <v>0</v>
      </c>
      <c r="IZB22" s="1902">
        <f t="shared" si="109"/>
        <v>0</v>
      </c>
      <c r="IZC22" s="1902">
        <f t="shared" si="109"/>
        <v>0</v>
      </c>
      <c r="IZD22" s="1902">
        <f t="shared" si="109"/>
        <v>0</v>
      </c>
      <c r="IZE22" s="1902">
        <f t="shared" si="109"/>
        <v>0</v>
      </c>
      <c r="IZF22" s="1902">
        <f t="shared" si="109"/>
        <v>0</v>
      </c>
      <c r="IZG22" s="1902">
        <f t="shared" si="109"/>
        <v>0</v>
      </c>
      <c r="IZH22" s="1902">
        <f t="shared" si="109"/>
        <v>0</v>
      </c>
      <c r="IZI22" s="1902">
        <f t="shared" si="109"/>
        <v>0</v>
      </c>
      <c r="IZJ22" s="1902">
        <f t="shared" si="109"/>
        <v>0</v>
      </c>
      <c r="IZK22" s="1902">
        <f t="shared" si="109"/>
        <v>0</v>
      </c>
      <c r="IZL22" s="1902">
        <f t="shared" si="109"/>
        <v>0</v>
      </c>
      <c r="IZM22" s="1902">
        <f t="shared" si="109"/>
        <v>0</v>
      </c>
      <c r="IZN22" s="1902">
        <f t="shared" si="109"/>
        <v>0</v>
      </c>
      <c r="IZO22" s="1902">
        <f t="shared" si="109"/>
        <v>0</v>
      </c>
      <c r="IZP22" s="1902">
        <f t="shared" si="109"/>
        <v>0</v>
      </c>
      <c r="IZQ22" s="1902">
        <f t="shared" si="109"/>
        <v>0</v>
      </c>
      <c r="IZR22" s="1902">
        <f t="shared" si="109"/>
        <v>0</v>
      </c>
      <c r="IZS22" s="1902">
        <f t="shared" si="109"/>
        <v>0</v>
      </c>
      <c r="IZT22" s="1902">
        <f t="shared" si="109"/>
        <v>0</v>
      </c>
      <c r="IZU22" s="1902">
        <f t="shared" si="109"/>
        <v>0</v>
      </c>
      <c r="IZV22" s="1902">
        <f t="shared" si="109"/>
        <v>0</v>
      </c>
      <c r="IZW22" s="1902">
        <f t="shared" si="109"/>
        <v>0</v>
      </c>
      <c r="IZX22" s="1902">
        <f t="shared" si="109"/>
        <v>0</v>
      </c>
      <c r="IZY22" s="1902">
        <f t="shared" si="109"/>
        <v>0</v>
      </c>
      <c r="IZZ22" s="1902">
        <f t="shared" si="109"/>
        <v>0</v>
      </c>
      <c r="JAA22" s="1902">
        <f t="shared" si="109"/>
        <v>0</v>
      </c>
      <c r="JAB22" s="1902">
        <f t="shared" si="109"/>
        <v>0</v>
      </c>
      <c r="JAC22" s="1902">
        <f t="shared" si="109"/>
        <v>0</v>
      </c>
      <c r="JAD22" s="1902">
        <f t="shared" si="109"/>
        <v>0</v>
      </c>
      <c r="JAE22" s="1902">
        <f t="shared" si="109"/>
        <v>0</v>
      </c>
      <c r="JAF22" s="1902">
        <f t="shared" si="109"/>
        <v>0</v>
      </c>
      <c r="JAG22" s="1902">
        <f t="shared" si="109"/>
        <v>0</v>
      </c>
      <c r="JAH22" s="1902">
        <f t="shared" si="109"/>
        <v>0</v>
      </c>
      <c r="JAI22" s="1902">
        <f t="shared" ref="JAI22:JCT22" si="110">IF(AND(JAI$26="End of period",JAI$25="Revenue"),JAI9,0)</f>
        <v>0</v>
      </c>
      <c r="JAJ22" s="1902">
        <f t="shared" si="110"/>
        <v>0</v>
      </c>
      <c r="JAK22" s="1902">
        <f t="shared" si="110"/>
        <v>0</v>
      </c>
      <c r="JAL22" s="1902">
        <f t="shared" si="110"/>
        <v>0</v>
      </c>
      <c r="JAM22" s="1902">
        <f t="shared" si="110"/>
        <v>0</v>
      </c>
      <c r="JAN22" s="1902">
        <f t="shared" si="110"/>
        <v>0</v>
      </c>
      <c r="JAO22" s="1902">
        <f t="shared" si="110"/>
        <v>0</v>
      </c>
      <c r="JAP22" s="1902">
        <f t="shared" si="110"/>
        <v>0</v>
      </c>
      <c r="JAQ22" s="1902">
        <f t="shared" si="110"/>
        <v>0</v>
      </c>
      <c r="JAR22" s="1902">
        <f t="shared" si="110"/>
        <v>0</v>
      </c>
      <c r="JAS22" s="1902">
        <f t="shared" si="110"/>
        <v>0</v>
      </c>
      <c r="JAT22" s="1902">
        <f t="shared" si="110"/>
        <v>0</v>
      </c>
      <c r="JAU22" s="1902">
        <f t="shared" si="110"/>
        <v>0</v>
      </c>
      <c r="JAV22" s="1902">
        <f t="shared" si="110"/>
        <v>0</v>
      </c>
      <c r="JAW22" s="1902">
        <f t="shared" si="110"/>
        <v>0</v>
      </c>
      <c r="JAX22" s="1902">
        <f t="shared" si="110"/>
        <v>0</v>
      </c>
      <c r="JAY22" s="1902">
        <f t="shared" si="110"/>
        <v>0</v>
      </c>
      <c r="JAZ22" s="1902">
        <f t="shared" si="110"/>
        <v>0</v>
      </c>
      <c r="JBA22" s="1902">
        <f t="shared" si="110"/>
        <v>0</v>
      </c>
      <c r="JBB22" s="1902">
        <f t="shared" si="110"/>
        <v>0</v>
      </c>
      <c r="JBC22" s="1902">
        <f t="shared" si="110"/>
        <v>0</v>
      </c>
      <c r="JBD22" s="1902">
        <f t="shared" si="110"/>
        <v>0</v>
      </c>
      <c r="JBE22" s="1902">
        <f t="shared" si="110"/>
        <v>0</v>
      </c>
      <c r="JBF22" s="1902">
        <f t="shared" si="110"/>
        <v>0</v>
      </c>
      <c r="JBG22" s="1902">
        <f t="shared" si="110"/>
        <v>0</v>
      </c>
      <c r="JBH22" s="1902">
        <f t="shared" si="110"/>
        <v>0</v>
      </c>
      <c r="JBI22" s="1902">
        <f t="shared" si="110"/>
        <v>0</v>
      </c>
      <c r="JBJ22" s="1902">
        <f t="shared" si="110"/>
        <v>0</v>
      </c>
      <c r="JBK22" s="1902">
        <f t="shared" si="110"/>
        <v>0</v>
      </c>
      <c r="JBL22" s="1902">
        <f t="shared" si="110"/>
        <v>0</v>
      </c>
      <c r="JBM22" s="1902">
        <f t="shared" si="110"/>
        <v>0</v>
      </c>
      <c r="JBN22" s="1902">
        <f t="shared" si="110"/>
        <v>0</v>
      </c>
      <c r="JBO22" s="1902">
        <f t="shared" si="110"/>
        <v>0</v>
      </c>
      <c r="JBP22" s="1902">
        <f t="shared" si="110"/>
        <v>0</v>
      </c>
      <c r="JBQ22" s="1902">
        <f t="shared" si="110"/>
        <v>0</v>
      </c>
      <c r="JBR22" s="1902">
        <f t="shared" si="110"/>
        <v>0</v>
      </c>
      <c r="JBS22" s="1902">
        <f t="shared" si="110"/>
        <v>0</v>
      </c>
      <c r="JBT22" s="1902">
        <f t="shared" si="110"/>
        <v>0</v>
      </c>
      <c r="JBU22" s="1902">
        <f t="shared" si="110"/>
        <v>0</v>
      </c>
      <c r="JBV22" s="1902">
        <f t="shared" si="110"/>
        <v>0</v>
      </c>
      <c r="JBW22" s="1902">
        <f t="shared" si="110"/>
        <v>0</v>
      </c>
      <c r="JBX22" s="1902">
        <f t="shared" si="110"/>
        <v>0</v>
      </c>
      <c r="JBY22" s="1902">
        <f t="shared" si="110"/>
        <v>0</v>
      </c>
      <c r="JBZ22" s="1902">
        <f t="shared" si="110"/>
        <v>0</v>
      </c>
      <c r="JCA22" s="1902">
        <f t="shared" si="110"/>
        <v>0</v>
      </c>
      <c r="JCB22" s="1902">
        <f t="shared" si="110"/>
        <v>0</v>
      </c>
      <c r="JCC22" s="1902">
        <f t="shared" si="110"/>
        <v>0</v>
      </c>
      <c r="JCD22" s="1902">
        <f t="shared" si="110"/>
        <v>0</v>
      </c>
      <c r="JCE22" s="1902">
        <f t="shared" si="110"/>
        <v>0</v>
      </c>
      <c r="JCF22" s="1902">
        <f t="shared" si="110"/>
        <v>0</v>
      </c>
      <c r="JCG22" s="1902">
        <f t="shared" si="110"/>
        <v>0</v>
      </c>
      <c r="JCH22" s="1902">
        <f t="shared" si="110"/>
        <v>0</v>
      </c>
      <c r="JCI22" s="1902">
        <f t="shared" si="110"/>
        <v>0</v>
      </c>
      <c r="JCJ22" s="1902">
        <f t="shared" si="110"/>
        <v>0</v>
      </c>
      <c r="JCK22" s="1902">
        <f t="shared" si="110"/>
        <v>0</v>
      </c>
      <c r="JCL22" s="1902">
        <f t="shared" si="110"/>
        <v>0</v>
      </c>
      <c r="JCM22" s="1902">
        <f t="shared" si="110"/>
        <v>0</v>
      </c>
      <c r="JCN22" s="1902">
        <f t="shared" si="110"/>
        <v>0</v>
      </c>
      <c r="JCO22" s="1902">
        <f t="shared" si="110"/>
        <v>0</v>
      </c>
      <c r="JCP22" s="1902">
        <f t="shared" si="110"/>
        <v>0</v>
      </c>
      <c r="JCQ22" s="1902">
        <f t="shared" si="110"/>
        <v>0</v>
      </c>
      <c r="JCR22" s="1902">
        <f t="shared" si="110"/>
        <v>0</v>
      </c>
      <c r="JCS22" s="1902">
        <f t="shared" si="110"/>
        <v>0</v>
      </c>
      <c r="JCT22" s="1902">
        <f t="shared" si="110"/>
        <v>0</v>
      </c>
      <c r="JCU22" s="1902">
        <f t="shared" ref="JCU22:JFF22" si="111">IF(AND(JCU$26="End of period",JCU$25="Revenue"),JCU9,0)</f>
        <v>0</v>
      </c>
      <c r="JCV22" s="1902">
        <f t="shared" si="111"/>
        <v>0</v>
      </c>
      <c r="JCW22" s="1902">
        <f t="shared" si="111"/>
        <v>0</v>
      </c>
      <c r="JCX22" s="1902">
        <f t="shared" si="111"/>
        <v>0</v>
      </c>
      <c r="JCY22" s="1902">
        <f t="shared" si="111"/>
        <v>0</v>
      </c>
      <c r="JCZ22" s="1902">
        <f t="shared" si="111"/>
        <v>0</v>
      </c>
      <c r="JDA22" s="1902">
        <f t="shared" si="111"/>
        <v>0</v>
      </c>
      <c r="JDB22" s="1902">
        <f t="shared" si="111"/>
        <v>0</v>
      </c>
      <c r="JDC22" s="1902">
        <f t="shared" si="111"/>
        <v>0</v>
      </c>
      <c r="JDD22" s="1902">
        <f t="shared" si="111"/>
        <v>0</v>
      </c>
      <c r="JDE22" s="1902">
        <f t="shared" si="111"/>
        <v>0</v>
      </c>
      <c r="JDF22" s="1902">
        <f t="shared" si="111"/>
        <v>0</v>
      </c>
      <c r="JDG22" s="1902">
        <f t="shared" si="111"/>
        <v>0</v>
      </c>
      <c r="JDH22" s="1902">
        <f t="shared" si="111"/>
        <v>0</v>
      </c>
      <c r="JDI22" s="1902">
        <f t="shared" si="111"/>
        <v>0</v>
      </c>
      <c r="JDJ22" s="1902">
        <f t="shared" si="111"/>
        <v>0</v>
      </c>
      <c r="JDK22" s="1902">
        <f t="shared" si="111"/>
        <v>0</v>
      </c>
      <c r="JDL22" s="1902">
        <f t="shared" si="111"/>
        <v>0</v>
      </c>
      <c r="JDM22" s="1902">
        <f t="shared" si="111"/>
        <v>0</v>
      </c>
      <c r="JDN22" s="1902">
        <f t="shared" si="111"/>
        <v>0</v>
      </c>
      <c r="JDO22" s="1902">
        <f t="shared" si="111"/>
        <v>0</v>
      </c>
      <c r="JDP22" s="1902">
        <f t="shared" si="111"/>
        <v>0</v>
      </c>
      <c r="JDQ22" s="1902">
        <f t="shared" si="111"/>
        <v>0</v>
      </c>
      <c r="JDR22" s="1902">
        <f t="shared" si="111"/>
        <v>0</v>
      </c>
      <c r="JDS22" s="1902">
        <f t="shared" si="111"/>
        <v>0</v>
      </c>
      <c r="JDT22" s="1902">
        <f t="shared" si="111"/>
        <v>0</v>
      </c>
      <c r="JDU22" s="1902">
        <f t="shared" si="111"/>
        <v>0</v>
      </c>
      <c r="JDV22" s="1902">
        <f t="shared" si="111"/>
        <v>0</v>
      </c>
      <c r="JDW22" s="1902">
        <f t="shared" si="111"/>
        <v>0</v>
      </c>
      <c r="JDX22" s="1902">
        <f t="shared" si="111"/>
        <v>0</v>
      </c>
      <c r="JDY22" s="1902">
        <f t="shared" si="111"/>
        <v>0</v>
      </c>
      <c r="JDZ22" s="1902">
        <f t="shared" si="111"/>
        <v>0</v>
      </c>
      <c r="JEA22" s="1902">
        <f t="shared" si="111"/>
        <v>0</v>
      </c>
      <c r="JEB22" s="1902">
        <f t="shared" si="111"/>
        <v>0</v>
      </c>
      <c r="JEC22" s="1902">
        <f t="shared" si="111"/>
        <v>0</v>
      </c>
      <c r="JED22" s="1902">
        <f t="shared" si="111"/>
        <v>0</v>
      </c>
      <c r="JEE22" s="1902">
        <f t="shared" si="111"/>
        <v>0</v>
      </c>
      <c r="JEF22" s="1902">
        <f t="shared" si="111"/>
        <v>0</v>
      </c>
      <c r="JEG22" s="1902">
        <f t="shared" si="111"/>
        <v>0</v>
      </c>
      <c r="JEH22" s="1902">
        <f t="shared" si="111"/>
        <v>0</v>
      </c>
      <c r="JEI22" s="1902">
        <f t="shared" si="111"/>
        <v>0</v>
      </c>
      <c r="JEJ22" s="1902">
        <f t="shared" si="111"/>
        <v>0</v>
      </c>
      <c r="JEK22" s="1902">
        <f t="shared" si="111"/>
        <v>0</v>
      </c>
      <c r="JEL22" s="1902">
        <f t="shared" si="111"/>
        <v>0</v>
      </c>
      <c r="JEM22" s="1902">
        <f t="shared" si="111"/>
        <v>0</v>
      </c>
      <c r="JEN22" s="1902">
        <f t="shared" si="111"/>
        <v>0</v>
      </c>
      <c r="JEO22" s="1902">
        <f t="shared" si="111"/>
        <v>0</v>
      </c>
      <c r="JEP22" s="1902">
        <f t="shared" si="111"/>
        <v>0</v>
      </c>
      <c r="JEQ22" s="1902">
        <f t="shared" si="111"/>
        <v>0</v>
      </c>
      <c r="JER22" s="1902">
        <f t="shared" si="111"/>
        <v>0</v>
      </c>
      <c r="JES22" s="1902">
        <f t="shared" si="111"/>
        <v>0</v>
      </c>
      <c r="JET22" s="1902">
        <f t="shared" si="111"/>
        <v>0</v>
      </c>
      <c r="JEU22" s="1902">
        <f t="shared" si="111"/>
        <v>0</v>
      </c>
      <c r="JEV22" s="1902">
        <f t="shared" si="111"/>
        <v>0</v>
      </c>
      <c r="JEW22" s="1902">
        <f t="shared" si="111"/>
        <v>0</v>
      </c>
      <c r="JEX22" s="1902">
        <f t="shared" si="111"/>
        <v>0</v>
      </c>
      <c r="JEY22" s="1902">
        <f t="shared" si="111"/>
        <v>0</v>
      </c>
      <c r="JEZ22" s="1902">
        <f t="shared" si="111"/>
        <v>0</v>
      </c>
      <c r="JFA22" s="1902">
        <f t="shared" si="111"/>
        <v>0</v>
      </c>
      <c r="JFB22" s="1902">
        <f t="shared" si="111"/>
        <v>0</v>
      </c>
      <c r="JFC22" s="1902">
        <f t="shared" si="111"/>
        <v>0</v>
      </c>
      <c r="JFD22" s="1902">
        <f t="shared" si="111"/>
        <v>0</v>
      </c>
      <c r="JFE22" s="1902">
        <f t="shared" si="111"/>
        <v>0</v>
      </c>
      <c r="JFF22" s="1902">
        <f t="shared" si="111"/>
        <v>0</v>
      </c>
      <c r="JFG22" s="1902">
        <f t="shared" ref="JFG22:JHR22" si="112">IF(AND(JFG$26="End of period",JFG$25="Revenue"),JFG9,0)</f>
        <v>0</v>
      </c>
      <c r="JFH22" s="1902">
        <f t="shared" si="112"/>
        <v>0</v>
      </c>
      <c r="JFI22" s="1902">
        <f t="shared" si="112"/>
        <v>0</v>
      </c>
      <c r="JFJ22" s="1902">
        <f t="shared" si="112"/>
        <v>0</v>
      </c>
      <c r="JFK22" s="1902">
        <f t="shared" si="112"/>
        <v>0</v>
      </c>
      <c r="JFL22" s="1902">
        <f t="shared" si="112"/>
        <v>0</v>
      </c>
      <c r="JFM22" s="1902">
        <f t="shared" si="112"/>
        <v>0</v>
      </c>
      <c r="JFN22" s="1902">
        <f t="shared" si="112"/>
        <v>0</v>
      </c>
      <c r="JFO22" s="1902">
        <f t="shared" si="112"/>
        <v>0</v>
      </c>
      <c r="JFP22" s="1902">
        <f t="shared" si="112"/>
        <v>0</v>
      </c>
      <c r="JFQ22" s="1902">
        <f t="shared" si="112"/>
        <v>0</v>
      </c>
      <c r="JFR22" s="1902">
        <f t="shared" si="112"/>
        <v>0</v>
      </c>
      <c r="JFS22" s="1902">
        <f t="shared" si="112"/>
        <v>0</v>
      </c>
      <c r="JFT22" s="1902">
        <f t="shared" si="112"/>
        <v>0</v>
      </c>
      <c r="JFU22" s="1902">
        <f t="shared" si="112"/>
        <v>0</v>
      </c>
      <c r="JFV22" s="1902">
        <f t="shared" si="112"/>
        <v>0</v>
      </c>
      <c r="JFW22" s="1902">
        <f t="shared" si="112"/>
        <v>0</v>
      </c>
      <c r="JFX22" s="1902">
        <f t="shared" si="112"/>
        <v>0</v>
      </c>
      <c r="JFY22" s="1902">
        <f t="shared" si="112"/>
        <v>0</v>
      </c>
      <c r="JFZ22" s="1902">
        <f t="shared" si="112"/>
        <v>0</v>
      </c>
      <c r="JGA22" s="1902">
        <f t="shared" si="112"/>
        <v>0</v>
      </c>
      <c r="JGB22" s="1902">
        <f t="shared" si="112"/>
        <v>0</v>
      </c>
      <c r="JGC22" s="1902">
        <f t="shared" si="112"/>
        <v>0</v>
      </c>
      <c r="JGD22" s="1902">
        <f t="shared" si="112"/>
        <v>0</v>
      </c>
      <c r="JGE22" s="1902">
        <f t="shared" si="112"/>
        <v>0</v>
      </c>
      <c r="JGF22" s="1902">
        <f t="shared" si="112"/>
        <v>0</v>
      </c>
      <c r="JGG22" s="1902">
        <f t="shared" si="112"/>
        <v>0</v>
      </c>
      <c r="JGH22" s="1902">
        <f t="shared" si="112"/>
        <v>0</v>
      </c>
      <c r="JGI22" s="1902">
        <f t="shared" si="112"/>
        <v>0</v>
      </c>
      <c r="JGJ22" s="1902">
        <f t="shared" si="112"/>
        <v>0</v>
      </c>
      <c r="JGK22" s="1902">
        <f t="shared" si="112"/>
        <v>0</v>
      </c>
      <c r="JGL22" s="1902">
        <f t="shared" si="112"/>
        <v>0</v>
      </c>
      <c r="JGM22" s="1902">
        <f t="shared" si="112"/>
        <v>0</v>
      </c>
      <c r="JGN22" s="1902">
        <f t="shared" si="112"/>
        <v>0</v>
      </c>
      <c r="JGO22" s="1902">
        <f t="shared" si="112"/>
        <v>0</v>
      </c>
      <c r="JGP22" s="1902">
        <f t="shared" si="112"/>
        <v>0</v>
      </c>
      <c r="JGQ22" s="1902">
        <f t="shared" si="112"/>
        <v>0</v>
      </c>
      <c r="JGR22" s="1902">
        <f t="shared" si="112"/>
        <v>0</v>
      </c>
      <c r="JGS22" s="1902">
        <f t="shared" si="112"/>
        <v>0</v>
      </c>
      <c r="JGT22" s="1902">
        <f t="shared" si="112"/>
        <v>0</v>
      </c>
      <c r="JGU22" s="1902">
        <f t="shared" si="112"/>
        <v>0</v>
      </c>
      <c r="JGV22" s="1902">
        <f t="shared" si="112"/>
        <v>0</v>
      </c>
      <c r="JGW22" s="1902">
        <f t="shared" si="112"/>
        <v>0</v>
      </c>
      <c r="JGX22" s="1902">
        <f t="shared" si="112"/>
        <v>0</v>
      </c>
      <c r="JGY22" s="1902">
        <f t="shared" si="112"/>
        <v>0</v>
      </c>
      <c r="JGZ22" s="1902">
        <f t="shared" si="112"/>
        <v>0</v>
      </c>
      <c r="JHA22" s="1902">
        <f t="shared" si="112"/>
        <v>0</v>
      </c>
      <c r="JHB22" s="1902">
        <f t="shared" si="112"/>
        <v>0</v>
      </c>
      <c r="JHC22" s="1902">
        <f t="shared" si="112"/>
        <v>0</v>
      </c>
      <c r="JHD22" s="1902">
        <f t="shared" si="112"/>
        <v>0</v>
      </c>
      <c r="JHE22" s="1902">
        <f t="shared" si="112"/>
        <v>0</v>
      </c>
      <c r="JHF22" s="1902">
        <f t="shared" si="112"/>
        <v>0</v>
      </c>
      <c r="JHG22" s="1902">
        <f t="shared" si="112"/>
        <v>0</v>
      </c>
      <c r="JHH22" s="1902">
        <f t="shared" si="112"/>
        <v>0</v>
      </c>
      <c r="JHI22" s="1902">
        <f t="shared" si="112"/>
        <v>0</v>
      </c>
      <c r="JHJ22" s="1902">
        <f t="shared" si="112"/>
        <v>0</v>
      </c>
      <c r="JHK22" s="1902">
        <f t="shared" si="112"/>
        <v>0</v>
      </c>
      <c r="JHL22" s="1902">
        <f t="shared" si="112"/>
        <v>0</v>
      </c>
      <c r="JHM22" s="1902">
        <f t="shared" si="112"/>
        <v>0</v>
      </c>
      <c r="JHN22" s="1902">
        <f t="shared" si="112"/>
        <v>0</v>
      </c>
      <c r="JHO22" s="1902">
        <f t="shared" si="112"/>
        <v>0</v>
      </c>
      <c r="JHP22" s="1902">
        <f t="shared" si="112"/>
        <v>0</v>
      </c>
      <c r="JHQ22" s="1902">
        <f t="shared" si="112"/>
        <v>0</v>
      </c>
      <c r="JHR22" s="1902">
        <f t="shared" si="112"/>
        <v>0</v>
      </c>
      <c r="JHS22" s="1902">
        <f t="shared" ref="JHS22:JKD22" si="113">IF(AND(JHS$26="End of period",JHS$25="Revenue"),JHS9,0)</f>
        <v>0</v>
      </c>
      <c r="JHT22" s="1902">
        <f t="shared" si="113"/>
        <v>0</v>
      </c>
      <c r="JHU22" s="1902">
        <f t="shared" si="113"/>
        <v>0</v>
      </c>
      <c r="JHV22" s="1902">
        <f t="shared" si="113"/>
        <v>0</v>
      </c>
      <c r="JHW22" s="1902">
        <f t="shared" si="113"/>
        <v>0</v>
      </c>
      <c r="JHX22" s="1902">
        <f t="shared" si="113"/>
        <v>0</v>
      </c>
      <c r="JHY22" s="1902">
        <f t="shared" si="113"/>
        <v>0</v>
      </c>
      <c r="JHZ22" s="1902">
        <f t="shared" si="113"/>
        <v>0</v>
      </c>
      <c r="JIA22" s="1902">
        <f t="shared" si="113"/>
        <v>0</v>
      </c>
      <c r="JIB22" s="1902">
        <f t="shared" si="113"/>
        <v>0</v>
      </c>
      <c r="JIC22" s="1902">
        <f t="shared" si="113"/>
        <v>0</v>
      </c>
      <c r="JID22" s="1902">
        <f t="shared" si="113"/>
        <v>0</v>
      </c>
      <c r="JIE22" s="1902">
        <f t="shared" si="113"/>
        <v>0</v>
      </c>
      <c r="JIF22" s="1902">
        <f t="shared" si="113"/>
        <v>0</v>
      </c>
      <c r="JIG22" s="1902">
        <f t="shared" si="113"/>
        <v>0</v>
      </c>
      <c r="JIH22" s="1902">
        <f t="shared" si="113"/>
        <v>0</v>
      </c>
      <c r="JII22" s="1902">
        <f t="shared" si="113"/>
        <v>0</v>
      </c>
      <c r="JIJ22" s="1902">
        <f t="shared" si="113"/>
        <v>0</v>
      </c>
      <c r="JIK22" s="1902">
        <f t="shared" si="113"/>
        <v>0</v>
      </c>
      <c r="JIL22" s="1902">
        <f t="shared" si="113"/>
        <v>0</v>
      </c>
      <c r="JIM22" s="1902">
        <f t="shared" si="113"/>
        <v>0</v>
      </c>
      <c r="JIN22" s="1902">
        <f t="shared" si="113"/>
        <v>0</v>
      </c>
      <c r="JIO22" s="1902">
        <f t="shared" si="113"/>
        <v>0</v>
      </c>
      <c r="JIP22" s="1902">
        <f t="shared" si="113"/>
        <v>0</v>
      </c>
      <c r="JIQ22" s="1902">
        <f t="shared" si="113"/>
        <v>0</v>
      </c>
      <c r="JIR22" s="1902">
        <f t="shared" si="113"/>
        <v>0</v>
      </c>
      <c r="JIS22" s="1902">
        <f t="shared" si="113"/>
        <v>0</v>
      </c>
      <c r="JIT22" s="1902">
        <f t="shared" si="113"/>
        <v>0</v>
      </c>
      <c r="JIU22" s="1902">
        <f t="shared" si="113"/>
        <v>0</v>
      </c>
      <c r="JIV22" s="1902">
        <f t="shared" si="113"/>
        <v>0</v>
      </c>
      <c r="JIW22" s="1902">
        <f t="shared" si="113"/>
        <v>0</v>
      </c>
      <c r="JIX22" s="1902">
        <f t="shared" si="113"/>
        <v>0</v>
      </c>
      <c r="JIY22" s="1902">
        <f t="shared" si="113"/>
        <v>0</v>
      </c>
      <c r="JIZ22" s="1902">
        <f t="shared" si="113"/>
        <v>0</v>
      </c>
      <c r="JJA22" s="1902">
        <f t="shared" si="113"/>
        <v>0</v>
      </c>
      <c r="JJB22" s="1902">
        <f t="shared" si="113"/>
        <v>0</v>
      </c>
      <c r="JJC22" s="1902">
        <f t="shared" si="113"/>
        <v>0</v>
      </c>
      <c r="JJD22" s="1902">
        <f t="shared" si="113"/>
        <v>0</v>
      </c>
      <c r="JJE22" s="1902">
        <f t="shared" si="113"/>
        <v>0</v>
      </c>
      <c r="JJF22" s="1902">
        <f t="shared" si="113"/>
        <v>0</v>
      </c>
      <c r="JJG22" s="1902">
        <f t="shared" si="113"/>
        <v>0</v>
      </c>
      <c r="JJH22" s="1902">
        <f t="shared" si="113"/>
        <v>0</v>
      </c>
      <c r="JJI22" s="1902">
        <f t="shared" si="113"/>
        <v>0</v>
      </c>
      <c r="JJJ22" s="1902">
        <f t="shared" si="113"/>
        <v>0</v>
      </c>
      <c r="JJK22" s="1902">
        <f t="shared" si="113"/>
        <v>0</v>
      </c>
      <c r="JJL22" s="1902">
        <f t="shared" si="113"/>
        <v>0</v>
      </c>
      <c r="JJM22" s="1902">
        <f t="shared" si="113"/>
        <v>0</v>
      </c>
      <c r="JJN22" s="1902">
        <f t="shared" si="113"/>
        <v>0</v>
      </c>
      <c r="JJO22" s="1902">
        <f t="shared" si="113"/>
        <v>0</v>
      </c>
      <c r="JJP22" s="1902">
        <f t="shared" si="113"/>
        <v>0</v>
      </c>
      <c r="JJQ22" s="1902">
        <f t="shared" si="113"/>
        <v>0</v>
      </c>
      <c r="JJR22" s="1902">
        <f t="shared" si="113"/>
        <v>0</v>
      </c>
      <c r="JJS22" s="1902">
        <f t="shared" si="113"/>
        <v>0</v>
      </c>
      <c r="JJT22" s="1902">
        <f t="shared" si="113"/>
        <v>0</v>
      </c>
      <c r="JJU22" s="1902">
        <f t="shared" si="113"/>
        <v>0</v>
      </c>
      <c r="JJV22" s="1902">
        <f t="shared" si="113"/>
        <v>0</v>
      </c>
      <c r="JJW22" s="1902">
        <f t="shared" si="113"/>
        <v>0</v>
      </c>
      <c r="JJX22" s="1902">
        <f t="shared" si="113"/>
        <v>0</v>
      </c>
      <c r="JJY22" s="1902">
        <f t="shared" si="113"/>
        <v>0</v>
      </c>
      <c r="JJZ22" s="1902">
        <f t="shared" si="113"/>
        <v>0</v>
      </c>
      <c r="JKA22" s="1902">
        <f t="shared" si="113"/>
        <v>0</v>
      </c>
      <c r="JKB22" s="1902">
        <f t="shared" si="113"/>
        <v>0</v>
      </c>
      <c r="JKC22" s="1902">
        <f t="shared" si="113"/>
        <v>0</v>
      </c>
      <c r="JKD22" s="1902">
        <f t="shared" si="113"/>
        <v>0</v>
      </c>
      <c r="JKE22" s="1902">
        <f t="shared" ref="JKE22:JMP22" si="114">IF(AND(JKE$26="End of period",JKE$25="Revenue"),JKE9,0)</f>
        <v>0</v>
      </c>
      <c r="JKF22" s="1902">
        <f t="shared" si="114"/>
        <v>0</v>
      </c>
      <c r="JKG22" s="1902">
        <f t="shared" si="114"/>
        <v>0</v>
      </c>
      <c r="JKH22" s="1902">
        <f t="shared" si="114"/>
        <v>0</v>
      </c>
      <c r="JKI22" s="1902">
        <f t="shared" si="114"/>
        <v>0</v>
      </c>
      <c r="JKJ22" s="1902">
        <f t="shared" si="114"/>
        <v>0</v>
      </c>
      <c r="JKK22" s="1902">
        <f t="shared" si="114"/>
        <v>0</v>
      </c>
      <c r="JKL22" s="1902">
        <f t="shared" si="114"/>
        <v>0</v>
      </c>
      <c r="JKM22" s="1902">
        <f t="shared" si="114"/>
        <v>0</v>
      </c>
      <c r="JKN22" s="1902">
        <f t="shared" si="114"/>
        <v>0</v>
      </c>
      <c r="JKO22" s="1902">
        <f t="shared" si="114"/>
        <v>0</v>
      </c>
      <c r="JKP22" s="1902">
        <f t="shared" si="114"/>
        <v>0</v>
      </c>
      <c r="JKQ22" s="1902">
        <f t="shared" si="114"/>
        <v>0</v>
      </c>
      <c r="JKR22" s="1902">
        <f t="shared" si="114"/>
        <v>0</v>
      </c>
      <c r="JKS22" s="1902">
        <f t="shared" si="114"/>
        <v>0</v>
      </c>
      <c r="JKT22" s="1902">
        <f t="shared" si="114"/>
        <v>0</v>
      </c>
      <c r="JKU22" s="1902">
        <f t="shared" si="114"/>
        <v>0</v>
      </c>
      <c r="JKV22" s="1902">
        <f t="shared" si="114"/>
        <v>0</v>
      </c>
      <c r="JKW22" s="1902">
        <f t="shared" si="114"/>
        <v>0</v>
      </c>
      <c r="JKX22" s="1902">
        <f t="shared" si="114"/>
        <v>0</v>
      </c>
      <c r="JKY22" s="1902">
        <f t="shared" si="114"/>
        <v>0</v>
      </c>
      <c r="JKZ22" s="1902">
        <f t="shared" si="114"/>
        <v>0</v>
      </c>
      <c r="JLA22" s="1902">
        <f t="shared" si="114"/>
        <v>0</v>
      </c>
      <c r="JLB22" s="1902">
        <f t="shared" si="114"/>
        <v>0</v>
      </c>
      <c r="JLC22" s="1902">
        <f t="shared" si="114"/>
        <v>0</v>
      </c>
      <c r="JLD22" s="1902">
        <f t="shared" si="114"/>
        <v>0</v>
      </c>
      <c r="JLE22" s="1902">
        <f t="shared" si="114"/>
        <v>0</v>
      </c>
      <c r="JLF22" s="1902">
        <f t="shared" si="114"/>
        <v>0</v>
      </c>
      <c r="JLG22" s="1902">
        <f t="shared" si="114"/>
        <v>0</v>
      </c>
      <c r="JLH22" s="1902">
        <f t="shared" si="114"/>
        <v>0</v>
      </c>
      <c r="JLI22" s="1902">
        <f t="shared" si="114"/>
        <v>0</v>
      </c>
      <c r="JLJ22" s="1902">
        <f t="shared" si="114"/>
        <v>0</v>
      </c>
      <c r="JLK22" s="1902">
        <f t="shared" si="114"/>
        <v>0</v>
      </c>
      <c r="JLL22" s="1902">
        <f t="shared" si="114"/>
        <v>0</v>
      </c>
      <c r="JLM22" s="1902">
        <f t="shared" si="114"/>
        <v>0</v>
      </c>
      <c r="JLN22" s="1902">
        <f t="shared" si="114"/>
        <v>0</v>
      </c>
      <c r="JLO22" s="1902">
        <f t="shared" si="114"/>
        <v>0</v>
      </c>
      <c r="JLP22" s="1902">
        <f t="shared" si="114"/>
        <v>0</v>
      </c>
      <c r="JLQ22" s="1902">
        <f t="shared" si="114"/>
        <v>0</v>
      </c>
      <c r="JLR22" s="1902">
        <f t="shared" si="114"/>
        <v>0</v>
      </c>
      <c r="JLS22" s="1902">
        <f t="shared" si="114"/>
        <v>0</v>
      </c>
      <c r="JLT22" s="1902">
        <f t="shared" si="114"/>
        <v>0</v>
      </c>
      <c r="JLU22" s="1902">
        <f t="shared" si="114"/>
        <v>0</v>
      </c>
      <c r="JLV22" s="1902">
        <f t="shared" si="114"/>
        <v>0</v>
      </c>
      <c r="JLW22" s="1902">
        <f t="shared" si="114"/>
        <v>0</v>
      </c>
      <c r="JLX22" s="1902">
        <f t="shared" si="114"/>
        <v>0</v>
      </c>
      <c r="JLY22" s="1902">
        <f t="shared" si="114"/>
        <v>0</v>
      </c>
      <c r="JLZ22" s="1902">
        <f t="shared" si="114"/>
        <v>0</v>
      </c>
      <c r="JMA22" s="1902">
        <f t="shared" si="114"/>
        <v>0</v>
      </c>
      <c r="JMB22" s="1902">
        <f t="shared" si="114"/>
        <v>0</v>
      </c>
      <c r="JMC22" s="1902">
        <f t="shared" si="114"/>
        <v>0</v>
      </c>
      <c r="JMD22" s="1902">
        <f t="shared" si="114"/>
        <v>0</v>
      </c>
      <c r="JME22" s="1902">
        <f t="shared" si="114"/>
        <v>0</v>
      </c>
      <c r="JMF22" s="1902">
        <f t="shared" si="114"/>
        <v>0</v>
      </c>
      <c r="JMG22" s="1902">
        <f t="shared" si="114"/>
        <v>0</v>
      </c>
      <c r="JMH22" s="1902">
        <f t="shared" si="114"/>
        <v>0</v>
      </c>
      <c r="JMI22" s="1902">
        <f t="shared" si="114"/>
        <v>0</v>
      </c>
      <c r="JMJ22" s="1902">
        <f t="shared" si="114"/>
        <v>0</v>
      </c>
      <c r="JMK22" s="1902">
        <f t="shared" si="114"/>
        <v>0</v>
      </c>
      <c r="JML22" s="1902">
        <f t="shared" si="114"/>
        <v>0</v>
      </c>
      <c r="JMM22" s="1902">
        <f t="shared" si="114"/>
        <v>0</v>
      </c>
      <c r="JMN22" s="1902">
        <f t="shared" si="114"/>
        <v>0</v>
      </c>
      <c r="JMO22" s="1902">
        <f t="shared" si="114"/>
        <v>0</v>
      </c>
      <c r="JMP22" s="1902">
        <f t="shared" si="114"/>
        <v>0</v>
      </c>
      <c r="JMQ22" s="1902">
        <f t="shared" ref="JMQ22:JPB22" si="115">IF(AND(JMQ$26="End of period",JMQ$25="Revenue"),JMQ9,0)</f>
        <v>0</v>
      </c>
      <c r="JMR22" s="1902">
        <f t="shared" si="115"/>
        <v>0</v>
      </c>
      <c r="JMS22" s="1902">
        <f t="shared" si="115"/>
        <v>0</v>
      </c>
      <c r="JMT22" s="1902">
        <f t="shared" si="115"/>
        <v>0</v>
      </c>
      <c r="JMU22" s="1902">
        <f t="shared" si="115"/>
        <v>0</v>
      </c>
      <c r="JMV22" s="1902">
        <f t="shared" si="115"/>
        <v>0</v>
      </c>
      <c r="JMW22" s="1902">
        <f t="shared" si="115"/>
        <v>0</v>
      </c>
      <c r="JMX22" s="1902">
        <f t="shared" si="115"/>
        <v>0</v>
      </c>
      <c r="JMY22" s="1902">
        <f t="shared" si="115"/>
        <v>0</v>
      </c>
      <c r="JMZ22" s="1902">
        <f t="shared" si="115"/>
        <v>0</v>
      </c>
      <c r="JNA22" s="1902">
        <f t="shared" si="115"/>
        <v>0</v>
      </c>
      <c r="JNB22" s="1902">
        <f t="shared" si="115"/>
        <v>0</v>
      </c>
      <c r="JNC22" s="1902">
        <f t="shared" si="115"/>
        <v>0</v>
      </c>
      <c r="JND22" s="1902">
        <f t="shared" si="115"/>
        <v>0</v>
      </c>
      <c r="JNE22" s="1902">
        <f t="shared" si="115"/>
        <v>0</v>
      </c>
      <c r="JNF22" s="1902">
        <f t="shared" si="115"/>
        <v>0</v>
      </c>
      <c r="JNG22" s="1902">
        <f t="shared" si="115"/>
        <v>0</v>
      </c>
      <c r="JNH22" s="1902">
        <f t="shared" si="115"/>
        <v>0</v>
      </c>
      <c r="JNI22" s="1902">
        <f t="shared" si="115"/>
        <v>0</v>
      </c>
      <c r="JNJ22" s="1902">
        <f t="shared" si="115"/>
        <v>0</v>
      </c>
      <c r="JNK22" s="1902">
        <f t="shared" si="115"/>
        <v>0</v>
      </c>
      <c r="JNL22" s="1902">
        <f t="shared" si="115"/>
        <v>0</v>
      </c>
      <c r="JNM22" s="1902">
        <f t="shared" si="115"/>
        <v>0</v>
      </c>
      <c r="JNN22" s="1902">
        <f t="shared" si="115"/>
        <v>0</v>
      </c>
      <c r="JNO22" s="1902">
        <f t="shared" si="115"/>
        <v>0</v>
      </c>
      <c r="JNP22" s="1902">
        <f t="shared" si="115"/>
        <v>0</v>
      </c>
      <c r="JNQ22" s="1902">
        <f t="shared" si="115"/>
        <v>0</v>
      </c>
      <c r="JNR22" s="1902">
        <f t="shared" si="115"/>
        <v>0</v>
      </c>
      <c r="JNS22" s="1902">
        <f t="shared" si="115"/>
        <v>0</v>
      </c>
      <c r="JNT22" s="1902">
        <f t="shared" si="115"/>
        <v>0</v>
      </c>
      <c r="JNU22" s="1902">
        <f t="shared" si="115"/>
        <v>0</v>
      </c>
      <c r="JNV22" s="1902">
        <f t="shared" si="115"/>
        <v>0</v>
      </c>
      <c r="JNW22" s="1902">
        <f t="shared" si="115"/>
        <v>0</v>
      </c>
      <c r="JNX22" s="1902">
        <f t="shared" si="115"/>
        <v>0</v>
      </c>
      <c r="JNY22" s="1902">
        <f t="shared" si="115"/>
        <v>0</v>
      </c>
      <c r="JNZ22" s="1902">
        <f t="shared" si="115"/>
        <v>0</v>
      </c>
      <c r="JOA22" s="1902">
        <f t="shared" si="115"/>
        <v>0</v>
      </c>
      <c r="JOB22" s="1902">
        <f t="shared" si="115"/>
        <v>0</v>
      </c>
      <c r="JOC22" s="1902">
        <f t="shared" si="115"/>
        <v>0</v>
      </c>
      <c r="JOD22" s="1902">
        <f t="shared" si="115"/>
        <v>0</v>
      </c>
      <c r="JOE22" s="1902">
        <f t="shared" si="115"/>
        <v>0</v>
      </c>
      <c r="JOF22" s="1902">
        <f t="shared" si="115"/>
        <v>0</v>
      </c>
      <c r="JOG22" s="1902">
        <f t="shared" si="115"/>
        <v>0</v>
      </c>
      <c r="JOH22" s="1902">
        <f t="shared" si="115"/>
        <v>0</v>
      </c>
      <c r="JOI22" s="1902">
        <f t="shared" si="115"/>
        <v>0</v>
      </c>
      <c r="JOJ22" s="1902">
        <f t="shared" si="115"/>
        <v>0</v>
      </c>
      <c r="JOK22" s="1902">
        <f t="shared" si="115"/>
        <v>0</v>
      </c>
      <c r="JOL22" s="1902">
        <f t="shared" si="115"/>
        <v>0</v>
      </c>
      <c r="JOM22" s="1902">
        <f t="shared" si="115"/>
        <v>0</v>
      </c>
      <c r="JON22" s="1902">
        <f t="shared" si="115"/>
        <v>0</v>
      </c>
      <c r="JOO22" s="1902">
        <f t="shared" si="115"/>
        <v>0</v>
      </c>
      <c r="JOP22" s="1902">
        <f t="shared" si="115"/>
        <v>0</v>
      </c>
      <c r="JOQ22" s="1902">
        <f t="shared" si="115"/>
        <v>0</v>
      </c>
      <c r="JOR22" s="1902">
        <f t="shared" si="115"/>
        <v>0</v>
      </c>
      <c r="JOS22" s="1902">
        <f t="shared" si="115"/>
        <v>0</v>
      </c>
      <c r="JOT22" s="1902">
        <f t="shared" si="115"/>
        <v>0</v>
      </c>
      <c r="JOU22" s="1902">
        <f t="shared" si="115"/>
        <v>0</v>
      </c>
      <c r="JOV22" s="1902">
        <f t="shared" si="115"/>
        <v>0</v>
      </c>
      <c r="JOW22" s="1902">
        <f t="shared" si="115"/>
        <v>0</v>
      </c>
      <c r="JOX22" s="1902">
        <f t="shared" si="115"/>
        <v>0</v>
      </c>
      <c r="JOY22" s="1902">
        <f t="shared" si="115"/>
        <v>0</v>
      </c>
      <c r="JOZ22" s="1902">
        <f t="shared" si="115"/>
        <v>0</v>
      </c>
      <c r="JPA22" s="1902">
        <f t="shared" si="115"/>
        <v>0</v>
      </c>
      <c r="JPB22" s="1902">
        <f t="shared" si="115"/>
        <v>0</v>
      </c>
      <c r="JPC22" s="1902">
        <f t="shared" ref="JPC22:JRN22" si="116">IF(AND(JPC$26="End of period",JPC$25="Revenue"),JPC9,0)</f>
        <v>0</v>
      </c>
      <c r="JPD22" s="1902">
        <f t="shared" si="116"/>
        <v>0</v>
      </c>
      <c r="JPE22" s="1902">
        <f t="shared" si="116"/>
        <v>0</v>
      </c>
      <c r="JPF22" s="1902">
        <f t="shared" si="116"/>
        <v>0</v>
      </c>
      <c r="JPG22" s="1902">
        <f t="shared" si="116"/>
        <v>0</v>
      </c>
      <c r="JPH22" s="1902">
        <f t="shared" si="116"/>
        <v>0</v>
      </c>
      <c r="JPI22" s="1902">
        <f t="shared" si="116"/>
        <v>0</v>
      </c>
      <c r="JPJ22" s="1902">
        <f t="shared" si="116"/>
        <v>0</v>
      </c>
      <c r="JPK22" s="1902">
        <f t="shared" si="116"/>
        <v>0</v>
      </c>
      <c r="JPL22" s="1902">
        <f t="shared" si="116"/>
        <v>0</v>
      </c>
      <c r="JPM22" s="1902">
        <f t="shared" si="116"/>
        <v>0</v>
      </c>
      <c r="JPN22" s="1902">
        <f t="shared" si="116"/>
        <v>0</v>
      </c>
      <c r="JPO22" s="1902">
        <f t="shared" si="116"/>
        <v>0</v>
      </c>
      <c r="JPP22" s="1902">
        <f t="shared" si="116"/>
        <v>0</v>
      </c>
      <c r="JPQ22" s="1902">
        <f t="shared" si="116"/>
        <v>0</v>
      </c>
      <c r="JPR22" s="1902">
        <f t="shared" si="116"/>
        <v>0</v>
      </c>
      <c r="JPS22" s="1902">
        <f t="shared" si="116"/>
        <v>0</v>
      </c>
      <c r="JPT22" s="1902">
        <f t="shared" si="116"/>
        <v>0</v>
      </c>
      <c r="JPU22" s="1902">
        <f t="shared" si="116"/>
        <v>0</v>
      </c>
      <c r="JPV22" s="1902">
        <f t="shared" si="116"/>
        <v>0</v>
      </c>
      <c r="JPW22" s="1902">
        <f t="shared" si="116"/>
        <v>0</v>
      </c>
      <c r="JPX22" s="1902">
        <f t="shared" si="116"/>
        <v>0</v>
      </c>
      <c r="JPY22" s="1902">
        <f t="shared" si="116"/>
        <v>0</v>
      </c>
      <c r="JPZ22" s="1902">
        <f t="shared" si="116"/>
        <v>0</v>
      </c>
      <c r="JQA22" s="1902">
        <f t="shared" si="116"/>
        <v>0</v>
      </c>
      <c r="JQB22" s="1902">
        <f t="shared" si="116"/>
        <v>0</v>
      </c>
      <c r="JQC22" s="1902">
        <f t="shared" si="116"/>
        <v>0</v>
      </c>
      <c r="JQD22" s="1902">
        <f t="shared" si="116"/>
        <v>0</v>
      </c>
      <c r="JQE22" s="1902">
        <f t="shared" si="116"/>
        <v>0</v>
      </c>
      <c r="JQF22" s="1902">
        <f t="shared" si="116"/>
        <v>0</v>
      </c>
      <c r="JQG22" s="1902">
        <f t="shared" si="116"/>
        <v>0</v>
      </c>
      <c r="JQH22" s="1902">
        <f t="shared" si="116"/>
        <v>0</v>
      </c>
      <c r="JQI22" s="1902">
        <f t="shared" si="116"/>
        <v>0</v>
      </c>
      <c r="JQJ22" s="1902">
        <f t="shared" si="116"/>
        <v>0</v>
      </c>
      <c r="JQK22" s="1902">
        <f t="shared" si="116"/>
        <v>0</v>
      </c>
      <c r="JQL22" s="1902">
        <f t="shared" si="116"/>
        <v>0</v>
      </c>
      <c r="JQM22" s="1902">
        <f t="shared" si="116"/>
        <v>0</v>
      </c>
      <c r="JQN22" s="1902">
        <f t="shared" si="116"/>
        <v>0</v>
      </c>
      <c r="JQO22" s="1902">
        <f t="shared" si="116"/>
        <v>0</v>
      </c>
      <c r="JQP22" s="1902">
        <f t="shared" si="116"/>
        <v>0</v>
      </c>
      <c r="JQQ22" s="1902">
        <f t="shared" si="116"/>
        <v>0</v>
      </c>
      <c r="JQR22" s="1902">
        <f t="shared" si="116"/>
        <v>0</v>
      </c>
      <c r="JQS22" s="1902">
        <f t="shared" si="116"/>
        <v>0</v>
      </c>
      <c r="JQT22" s="1902">
        <f t="shared" si="116"/>
        <v>0</v>
      </c>
      <c r="JQU22" s="1902">
        <f t="shared" si="116"/>
        <v>0</v>
      </c>
      <c r="JQV22" s="1902">
        <f t="shared" si="116"/>
        <v>0</v>
      </c>
      <c r="JQW22" s="1902">
        <f t="shared" si="116"/>
        <v>0</v>
      </c>
      <c r="JQX22" s="1902">
        <f t="shared" si="116"/>
        <v>0</v>
      </c>
      <c r="JQY22" s="1902">
        <f t="shared" si="116"/>
        <v>0</v>
      </c>
      <c r="JQZ22" s="1902">
        <f t="shared" si="116"/>
        <v>0</v>
      </c>
      <c r="JRA22" s="1902">
        <f t="shared" si="116"/>
        <v>0</v>
      </c>
      <c r="JRB22" s="1902">
        <f t="shared" si="116"/>
        <v>0</v>
      </c>
      <c r="JRC22" s="1902">
        <f t="shared" si="116"/>
        <v>0</v>
      </c>
      <c r="JRD22" s="1902">
        <f t="shared" si="116"/>
        <v>0</v>
      </c>
      <c r="JRE22" s="1902">
        <f t="shared" si="116"/>
        <v>0</v>
      </c>
      <c r="JRF22" s="1902">
        <f t="shared" si="116"/>
        <v>0</v>
      </c>
      <c r="JRG22" s="1902">
        <f t="shared" si="116"/>
        <v>0</v>
      </c>
      <c r="JRH22" s="1902">
        <f t="shared" si="116"/>
        <v>0</v>
      </c>
      <c r="JRI22" s="1902">
        <f t="shared" si="116"/>
        <v>0</v>
      </c>
      <c r="JRJ22" s="1902">
        <f t="shared" si="116"/>
        <v>0</v>
      </c>
      <c r="JRK22" s="1902">
        <f t="shared" si="116"/>
        <v>0</v>
      </c>
      <c r="JRL22" s="1902">
        <f t="shared" si="116"/>
        <v>0</v>
      </c>
      <c r="JRM22" s="1902">
        <f t="shared" si="116"/>
        <v>0</v>
      </c>
      <c r="JRN22" s="1902">
        <f t="shared" si="116"/>
        <v>0</v>
      </c>
      <c r="JRO22" s="1902">
        <f t="shared" ref="JRO22:JTZ22" si="117">IF(AND(JRO$26="End of period",JRO$25="Revenue"),JRO9,0)</f>
        <v>0</v>
      </c>
      <c r="JRP22" s="1902">
        <f t="shared" si="117"/>
        <v>0</v>
      </c>
      <c r="JRQ22" s="1902">
        <f t="shared" si="117"/>
        <v>0</v>
      </c>
      <c r="JRR22" s="1902">
        <f t="shared" si="117"/>
        <v>0</v>
      </c>
      <c r="JRS22" s="1902">
        <f t="shared" si="117"/>
        <v>0</v>
      </c>
      <c r="JRT22" s="1902">
        <f t="shared" si="117"/>
        <v>0</v>
      </c>
      <c r="JRU22" s="1902">
        <f t="shared" si="117"/>
        <v>0</v>
      </c>
      <c r="JRV22" s="1902">
        <f t="shared" si="117"/>
        <v>0</v>
      </c>
      <c r="JRW22" s="1902">
        <f t="shared" si="117"/>
        <v>0</v>
      </c>
      <c r="JRX22" s="1902">
        <f t="shared" si="117"/>
        <v>0</v>
      </c>
      <c r="JRY22" s="1902">
        <f t="shared" si="117"/>
        <v>0</v>
      </c>
      <c r="JRZ22" s="1902">
        <f t="shared" si="117"/>
        <v>0</v>
      </c>
      <c r="JSA22" s="1902">
        <f t="shared" si="117"/>
        <v>0</v>
      </c>
      <c r="JSB22" s="1902">
        <f t="shared" si="117"/>
        <v>0</v>
      </c>
      <c r="JSC22" s="1902">
        <f t="shared" si="117"/>
        <v>0</v>
      </c>
      <c r="JSD22" s="1902">
        <f t="shared" si="117"/>
        <v>0</v>
      </c>
      <c r="JSE22" s="1902">
        <f t="shared" si="117"/>
        <v>0</v>
      </c>
      <c r="JSF22" s="1902">
        <f t="shared" si="117"/>
        <v>0</v>
      </c>
      <c r="JSG22" s="1902">
        <f t="shared" si="117"/>
        <v>0</v>
      </c>
      <c r="JSH22" s="1902">
        <f t="shared" si="117"/>
        <v>0</v>
      </c>
      <c r="JSI22" s="1902">
        <f t="shared" si="117"/>
        <v>0</v>
      </c>
      <c r="JSJ22" s="1902">
        <f t="shared" si="117"/>
        <v>0</v>
      </c>
      <c r="JSK22" s="1902">
        <f t="shared" si="117"/>
        <v>0</v>
      </c>
      <c r="JSL22" s="1902">
        <f t="shared" si="117"/>
        <v>0</v>
      </c>
      <c r="JSM22" s="1902">
        <f t="shared" si="117"/>
        <v>0</v>
      </c>
      <c r="JSN22" s="1902">
        <f t="shared" si="117"/>
        <v>0</v>
      </c>
      <c r="JSO22" s="1902">
        <f t="shared" si="117"/>
        <v>0</v>
      </c>
      <c r="JSP22" s="1902">
        <f t="shared" si="117"/>
        <v>0</v>
      </c>
      <c r="JSQ22" s="1902">
        <f t="shared" si="117"/>
        <v>0</v>
      </c>
      <c r="JSR22" s="1902">
        <f t="shared" si="117"/>
        <v>0</v>
      </c>
      <c r="JSS22" s="1902">
        <f t="shared" si="117"/>
        <v>0</v>
      </c>
      <c r="JST22" s="1902">
        <f t="shared" si="117"/>
        <v>0</v>
      </c>
      <c r="JSU22" s="1902">
        <f t="shared" si="117"/>
        <v>0</v>
      </c>
      <c r="JSV22" s="1902">
        <f t="shared" si="117"/>
        <v>0</v>
      </c>
      <c r="JSW22" s="1902">
        <f t="shared" si="117"/>
        <v>0</v>
      </c>
      <c r="JSX22" s="1902">
        <f t="shared" si="117"/>
        <v>0</v>
      </c>
      <c r="JSY22" s="1902">
        <f t="shared" si="117"/>
        <v>0</v>
      </c>
      <c r="JSZ22" s="1902">
        <f t="shared" si="117"/>
        <v>0</v>
      </c>
      <c r="JTA22" s="1902">
        <f t="shared" si="117"/>
        <v>0</v>
      </c>
      <c r="JTB22" s="1902">
        <f t="shared" si="117"/>
        <v>0</v>
      </c>
      <c r="JTC22" s="1902">
        <f t="shared" si="117"/>
        <v>0</v>
      </c>
      <c r="JTD22" s="1902">
        <f t="shared" si="117"/>
        <v>0</v>
      </c>
      <c r="JTE22" s="1902">
        <f t="shared" si="117"/>
        <v>0</v>
      </c>
      <c r="JTF22" s="1902">
        <f t="shared" si="117"/>
        <v>0</v>
      </c>
      <c r="JTG22" s="1902">
        <f t="shared" si="117"/>
        <v>0</v>
      </c>
      <c r="JTH22" s="1902">
        <f t="shared" si="117"/>
        <v>0</v>
      </c>
      <c r="JTI22" s="1902">
        <f t="shared" si="117"/>
        <v>0</v>
      </c>
      <c r="JTJ22" s="1902">
        <f t="shared" si="117"/>
        <v>0</v>
      </c>
      <c r="JTK22" s="1902">
        <f t="shared" si="117"/>
        <v>0</v>
      </c>
      <c r="JTL22" s="1902">
        <f t="shared" si="117"/>
        <v>0</v>
      </c>
      <c r="JTM22" s="1902">
        <f t="shared" si="117"/>
        <v>0</v>
      </c>
      <c r="JTN22" s="1902">
        <f t="shared" si="117"/>
        <v>0</v>
      </c>
      <c r="JTO22" s="1902">
        <f t="shared" si="117"/>
        <v>0</v>
      </c>
      <c r="JTP22" s="1902">
        <f t="shared" si="117"/>
        <v>0</v>
      </c>
      <c r="JTQ22" s="1902">
        <f t="shared" si="117"/>
        <v>0</v>
      </c>
      <c r="JTR22" s="1902">
        <f t="shared" si="117"/>
        <v>0</v>
      </c>
      <c r="JTS22" s="1902">
        <f t="shared" si="117"/>
        <v>0</v>
      </c>
      <c r="JTT22" s="1902">
        <f t="shared" si="117"/>
        <v>0</v>
      </c>
      <c r="JTU22" s="1902">
        <f t="shared" si="117"/>
        <v>0</v>
      </c>
      <c r="JTV22" s="1902">
        <f t="shared" si="117"/>
        <v>0</v>
      </c>
      <c r="JTW22" s="1902">
        <f t="shared" si="117"/>
        <v>0</v>
      </c>
      <c r="JTX22" s="1902">
        <f t="shared" si="117"/>
        <v>0</v>
      </c>
      <c r="JTY22" s="1902">
        <f t="shared" si="117"/>
        <v>0</v>
      </c>
      <c r="JTZ22" s="1902">
        <f t="shared" si="117"/>
        <v>0</v>
      </c>
      <c r="JUA22" s="1902">
        <f t="shared" ref="JUA22:JWL22" si="118">IF(AND(JUA$26="End of period",JUA$25="Revenue"),JUA9,0)</f>
        <v>0</v>
      </c>
      <c r="JUB22" s="1902">
        <f t="shared" si="118"/>
        <v>0</v>
      </c>
      <c r="JUC22" s="1902">
        <f t="shared" si="118"/>
        <v>0</v>
      </c>
      <c r="JUD22" s="1902">
        <f t="shared" si="118"/>
        <v>0</v>
      </c>
      <c r="JUE22" s="1902">
        <f t="shared" si="118"/>
        <v>0</v>
      </c>
      <c r="JUF22" s="1902">
        <f t="shared" si="118"/>
        <v>0</v>
      </c>
      <c r="JUG22" s="1902">
        <f t="shared" si="118"/>
        <v>0</v>
      </c>
      <c r="JUH22" s="1902">
        <f t="shared" si="118"/>
        <v>0</v>
      </c>
      <c r="JUI22" s="1902">
        <f t="shared" si="118"/>
        <v>0</v>
      </c>
      <c r="JUJ22" s="1902">
        <f t="shared" si="118"/>
        <v>0</v>
      </c>
      <c r="JUK22" s="1902">
        <f t="shared" si="118"/>
        <v>0</v>
      </c>
      <c r="JUL22" s="1902">
        <f t="shared" si="118"/>
        <v>0</v>
      </c>
      <c r="JUM22" s="1902">
        <f t="shared" si="118"/>
        <v>0</v>
      </c>
      <c r="JUN22" s="1902">
        <f t="shared" si="118"/>
        <v>0</v>
      </c>
      <c r="JUO22" s="1902">
        <f t="shared" si="118"/>
        <v>0</v>
      </c>
      <c r="JUP22" s="1902">
        <f t="shared" si="118"/>
        <v>0</v>
      </c>
      <c r="JUQ22" s="1902">
        <f t="shared" si="118"/>
        <v>0</v>
      </c>
      <c r="JUR22" s="1902">
        <f t="shared" si="118"/>
        <v>0</v>
      </c>
      <c r="JUS22" s="1902">
        <f t="shared" si="118"/>
        <v>0</v>
      </c>
      <c r="JUT22" s="1902">
        <f t="shared" si="118"/>
        <v>0</v>
      </c>
      <c r="JUU22" s="1902">
        <f t="shared" si="118"/>
        <v>0</v>
      </c>
      <c r="JUV22" s="1902">
        <f t="shared" si="118"/>
        <v>0</v>
      </c>
      <c r="JUW22" s="1902">
        <f t="shared" si="118"/>
        <v>0</v>
      </c>
      <c r="JUX22" s="1902">
        <f t="shared" si="118"/>
        <v>0</v>
      </c>
      <c r="JUY22" s="1902">
        <f t="shared" si="118"/>
        <v>0</v>
      </c>
      <c r="JUZ22" s="1902">
        <f t="shared" si="118"/>
        <v>0</v>
      </c>
      <c r="JVA22" s="1902">
        <f t="shared" si="118"/>
        <v>0</v>
      </c>
      <c r="JVB22" s="1902">
        <f t="shared" si="118"/>
        <v>0</v>
      </c>
      <c r="JVC22" s="1902">
        <f t="shared" si="118"/>
        <v>0</v>
      </c>
      <c r="JVD22" s="1902">
        <f t="shared" si="118"/>
        <v>0</v>
      </c>
      <c r="JVE22" s="1902">
        <f t="shared" si="118"/>
        <v>0</v>
      </c>
      <c r="JVF22" s="1902">
        <f t="shared" si="118"/>
        <v>0</v>
      </c>
      <c r="JVG22" s="1902">
        <f t="shared" si="118"/>
        <v>0</v>
      </c>
      <c r="JVH22" s="1902">
        <f t="shared" si="118"/>
        <v>0</v>
      </c>
      <c r="JVI22" s="1902">
        <f t="shared" si="118"/>
        <v>0</v>
      </c>
      <c r="JVJ22" s="1902">
        <f t="shared" si="118"/>
        <v>0</v>
      </c>
      <c r="JVK22" s="1902">
        <f t="shared" si="118"/>
        <v>0</v>
      </c>
      <c r="JVL22" s="1902">
        <f t="shared" si="118"/>
        <v>0</v>
      </c>
      <c r="JVM22" s="1902">
        <f t="shared" si="118"/>
        <v>0</v>
      </c>
      <c r="JVN22" s="1902">
        <f t="shared" si="118"/>
        <v>0</v>
      </c>
      <c r="JVO22" s="1902">
        <f t="shared" si="118"/>
        <v>0</v>
      </c>
      <c r="JVP22" s="1902">
        <f t="shared" si="118"/>
        <v>0</v>
      </c>
      <c r="JVQ22" s="1902">
        <f t="shared" si="118"/>
        <v>0</v>
      </c>
      <c r="JVR22" s="1902">
        <f t="shared" si="118"/>
        <v>0</v>
      </c>
      <c r="JVS22" s="1902">
        <f t="shared" si="118"/>
        <v>0</v>
      </c>
      <c r="JVT22" s="1902">
        <f t="shared" si="118"/>
        <v>0</v>
      </c>
      <c r="JVU22" s="1902">
        <f t="shared" si="118"/>
        <v>0</v>
      </c>
      <c r="JVV22" s="1902">
        <f t="shared" si="118"/>
        <v>0</v>
      </c>
      <c r="JVW22" s="1902">
        <f t="shared" si="118"/>
        <v>0</v>
      </c>
      <c r="JVX22" s="1902">
        <f t="shared" si="118"/>
        <v>0</v>
      </c>
      <c r="JVY22" s="1902">
        <f t="shared" si="118"/>
        <v>0</v>
      </c>
      <c r="JVZ22" s="1902">
        <f t="shared" si="118"/>
        <v>0</v>
      </c>
      <c r="JWA22" s="1902">
        <f t="shared" si="118"/>
        <v>0</v>
      </c>
      <c r="JWB22" s="1902">
        <f t="shared" si="118"/>
        <v>0</v>
      </c>
      <c r="JWC22" s="1902">
        <f t="shared" si="118"/>
        <v>0</v>
      </c>
      <c r="JWD22" s="1902">
        <f t="shared" si="118"/>
        <v>0</v>
      </c>
      <c r="JWE22" s="1902">
        <f t="shared" si="118"/>
        <v>0</v>
      </c>
      <c r="JWF22" s="1902">
        <f t="shared" si="118"/>
        <v>0</v>
      </c>
      <c r="JWG22" s="1902">
        <f t="shared" si="118"/>
        <v>0</v>
      </c>
      <c r="JWH22" s="1902">
        <f t="shared" si="118"/>
        <v>0</v>
      </c>
      <c r="JWI22" s="1902">
        <f t="shared" si="118"/>
        <v>0</v>
      </c>
      <c r="JWJ22" s="1902">
        <f t="shared" si="118"/>
        <v>0</v>
      </c>
      <c r="JWK22" s="1902">
        <f t="shared" si="118"/>
        <v>0</v>
      </c>
      <c r="JWL22" s="1902">
        <f t="shared" si="118"/>
        <v>0</v>
      </c>
      <c r="JWM22" s="1902">
        <f t="shared" ref="JWM22:JYX22" si="119">IF(AND(JWM$26="End of period",JWM$25="Revenue"),JWM9,0)</f>
        <v>0</v>
      </c>
      <c r="JWN22" s="1902">
        <f t="shared" si="119"/>
        <v>0</v>
      </c>
      <c r="JWO22" s="1902">
        <f t="shared" si="119"/>
        <v>0</v>
      </c>
      <c r="JWP22" s="1902">
        <f t="shared" si="119"/>
        <v>0</v>
      </c>
      <c r="JWQ22" s="1902">
        <f t="shared" si="119"/>
        <v>0</v>
      </c>
      <c r="JWR22" s="1902">
        <f t="shared" si="119"/>
        <v>0</v>
      </c>
      <c r="JWS22" s="1902">
        <f t="shared" si="119"/>
        <v>0</v>
      </c>
      <c r="JWT22" s="1902">
        <f t="shared" si="119"/>
        <v>0</v>
      </c>
      <c r="JWU22" s="1902">
        <f t="shared" si="119"/>
        <v>0</v>
      </c>
      <c r="JWV22" s="1902">
        <f t="shared" si="119"/>
        <v>0</v>
      </c>
      <c r="JWW22" s="1902">
        <f t="shared" si="119"/>
        <v>0</v>
      </c>
      <c r="JWX22" s="1902">
        <f t="shared" si="119"/>
        <v>0</v>
      </c>
      <c r="JWY22" s="1902">
        <f t="shared" si="119"/>
        <v>0</v>
      </c>
      <c r="JWZ22" s="1902">
        <f t="shared" si="119"/>
        <v>0</v>
      </c>
      <c r="JXA22" s="1902">
        <f t="shared" si="119"/>
        <v>0</v>
      </c>
      <c r="JXB22" s="1902">
        <f t="shared" si="119"/>
        <v>0</v>
      </c>
      <c r="JXC22" s="1902">
        <f t="shared" si="119"/>
        <v>0</v>
      </c>
      <c r="JXD22" s="1902">
        <f t="shared" si="119"/>
        <v>0</v>
      </c>
      <c r="JXE22" s="1902">
        <f t="shared" si="119"/>
        <v>0</v>
      </c>
      <c r="JXF22" s="1902">
        <f t="shared" si="119"/>
        <v>0</v>
      </c>
      <c r="JXG22" s="1902">
        <f t="shared" si="119"/>
        <v>0</v>
      </c>
      <c r="JXH22" s="1902">
        <f t="shared" si="119"/>
        <v>0</v>
      </c>
      <c r="JXI22" s="1902">
        <f t="shared" si="119"/>
        <v>0</v>
      </c>
      <c r="JXJ22" s="1902">
        <f t="shared" si="119"/>
        <v>0</v>
      </c>
      <c r="JXK22" s="1902">
        <f t="shared" si="119"/>
        <v>0</v>
      </c>
      <c r="JXL22" s="1902">
        <f t="shared" si="119"/>
        <v>0</v>
      </c>
      <c r="JXM22" s="1902">
        <f t="shared" si="119"/>
        <v>0</v>
      </c>
      <c r="JXN22" s="1902">
        <f t="shared" si="119"/>
        <v>0</v>
      </c>
      <c r="JXO22" s="1902">
        <f t="shared" si="119"/>
        <v>0</v>
      </c>
      <c r="JXP22" s="1902">
        <f t="shared" si="119"/>
        <v>0</v>
      </c>
      <c r="JXQ22" s="1902">
        <f t="shared" si="119"/>
        <v>0</v>
      </c>
      <c r="JXR22" s="1902">
        <f t="shared" si="119"/>
        <v>0</v>
      </c>
      <c r="JXS22" s="1902">
        <f t="shared" si="119"/>
        <v>0</v>
      </c>
      <c r="JXT22" s="1902">
        <f t="shared" si="119"/>
        <v>0</v>
      </c>
      <c r="JXU22" s="1902">
        <f t="shared" si="119"/>
        <v>0</v>
      </c>
      <c r="JXV22" s="1902">
        <f t="shared" si="119"/>
        <v>0</v>
      </c>
      <c r="JXW22" s="1902">
        <f t="shared" si="119"/>
        <v>0</v>
      </c>
      <c r="JXX22" s="1902">
        <f t="shared" si="119"/>
        <v>0</v>
      </c>
      <c r="JXY22" s="1902">
        <f t="shared" si="119"/>
        <v>0</v>
      </c>
      <c r="JXZ22" s="1902">
        <f t="shared" si="119"/>
        <v>0</v>
      </c>
      <c r="JYA22" s="1902">
        <f t="shared" si="119"/>
        <v>0</v>
      </c>
      <c r="JYB22" s="1902">
        <f t="shared" si="119"/>
        <v>0</v>
      </c>
      <c r="JYC22" s="1902">
        <f t="shared" si="119"/>
        <v>0</v>
      </c>
      <c r="JYD22" s="1902">
        <f t="shared" si="119"/>
        <v>0</v>
      </c>
      <c r="JYE22" s="1902">
        <f t="shared" si="119"/>
        <v>0</v>
      </c>
      <c r="JYF22" s="1902">
        <f t="shared" si="119"/>
        <v>0</v>
      </c>
      <c r="JYG22" s="1902">
        <f t="shared" si="119"/>
        <v>0</v>
      </c>
      <c r="JYH22" s="1902">
        <f t="shared" si="119"/>
        <v>0</v>
      </c>
      <c r="JYI22" s="1902">
        <f t="shared" si="119"/>
        <v>0</v>
      </c>
      <c r="JYJ22" s="1902">
        <f t="shared" si="119"/>
        <v>0</v>
      </c>
      <c r="JYK22" s="1902">
        <f t="shared" si="119"/>
        <v>0</v>
      </c>
      <c r="JYL22" s="1902">
        <f t="shared" si="119"/>
        <v>0</v>
      </c>
      <c r="JYM22" s="1902">
        <f t="shared" si="119"/>
        <v>0</v>
      </c>
      <c r="JYN22" s="1902">
        <f t="shared" si="119"/>
        <v>0</v>
      </c>
      <c r="JYO22" s="1902">
        <f t="shared" si="119"/>
        <v>0</v>
      </c>
      <c r="JYP22" s="1902">
        <f t="shared" si="119"/>
        <v>0</v>
      </c>
      <c r="JYQ22" s="1902">
        <f t="shared" si="119"/>
        <v>0</v>
      </c>
      <c r="JYR22" s="1902">
        <f t="shared" si="119"/>
        <v>0</v>
      </c>
      <c r="JYS22" s="1902">
        <f t="shared" si="119"/>
        <v>0</v>
      </c>
      <c r="JYT22" s="1902">
        <f t="shared" si="119"/>
        <v>0</v>
      </c>
      <c r="JYU22" s="1902">
        <f t="shared" si="119"/>
        <v>0</v>
      </c>
      <c r="JYV22" s="1902">
        <f t="shared" si="119"/>
        <v>0</v>
      </c>
      <c r="JYW22" s="1902">
        <f t="shared" si="119"/>
        <v>0</v>
      </c>
      <c r="JYX22" s="1902">
        <f t="shared" si="119"/>
        <v>0</v>
      </c>
      <c r="JYY22" s="1902">
        <f t="shared" ref="JYY22:KBJ22" si="120">IF(AND(JYY$26="End of period",JYY$25="Revenue"),JYY9,0)</f>
        <v>0</v>
      </c>
      <c r="JYZ22" s="1902">
        <f t="shared" si="120"/>
        <v>0</v>
      </c>
      <c r="JZA22" s="1902">
        <f t="shared" si="120"/>
        <v>0</v>
      </c>
      <c r="JZB22" s="1902">
        <f t="shared" si="120"/>
        <v>0</v>
      </c>
      <c r="JZC22" s="1902">
        <f t="shared" si="120"/>
        <v>0</v>
      </c>
      <c r="JZD22" s="1902">
        <f t="shared" si="120"/>
        <v>0</v>
      </c>
      <c r="JZE22" s="1902">
        <f t="shared" si="120"/>
        <v>0</v>
      </c>
      <c r="JZF22" s="1902">
        <f t="shared" si="120"/>
        <v>0</v>
      </c>
      <c r="JZG22" s="1902">
        <f t="shared" si="120"/>
        <v>0</v>
      </c>
      <c r="JZH22" s="1902">
        <f t="shared" si="120"/>
        <v>0</v>
      </c>
      <c r="JZI22" s="1902">
        <f t="shared" si="120"/>
        <v>0</v>
      </c>
      <c r="JZJ22" s="1902">
        <f t="shared" si="120"/>
        <v>0</v>
      </c>
      <c r="JZK22" s="1902">
        <f t="shared" si="120"/>
        <v>0</v>
      </c>
      <c r="JZL22" s="1902">
        <f t="shared" si="120"/>
        <v>0</v>
      </c>
      <c r="JZM22" s="1902">
        <f t="shared" si="120"/>
        <v>0</v>
      </c>
      <c r="JZN22" s="1902">
        <f t="shared" si="120"/>
        <v>0</v>
      </c>
      <c r="JZO22" s="1902">
        <f t="shared" si="120"/>
        <v>0</v>
      </c>
      <c r="JZP22" s="1902">
        <f t="shared" si="120"/>
        <v>0</v>
      </c>
      <c r="JZQ22" s="1902">
        <f t="shared" si="120"/>
        <v>0</v>
      </c>
      <c r="JZR22" s="1902">
        <f t="shared" si="120"/>
        <v>0</v>
      </c>
      <c r="JZS22" s="1902">
        <f t="shared" si="120"/>
        <v>0</v>
      </c>
      <c r="JZT22" s="1902">
        <f t="shared" si="120"/>
        <v>0</v>
      </c>
      <c r="JZU22" s="1902">
        <f t="shared" si="120"/>
        <v>0</v>
      </c>
      <c r="JZV22" s="1902">
        <f t="shared" si="120"/>
        <v>0</v>
      </c>
      <c r="JZW22" s="1902">
        <f t="shared" si="120"/>
        <v>0</v>
      </c>
      <c r="JZX22" s="1902">
        <f t="shared" si="120"/>
        <v>0</v>
      </c>
      <c r="JZY22" s="1902">
        <f t="shared" si="120"/>
        <v>0</v>
      </c>
      <c r="JZZ22" s="1902">
        <f t="shared" si="120"/>
        <v>0</v>
      </c>
      <c r="KAA22" s="1902">
        <f t="shared" si="120"/>
        <v>0</v>
      </c>
      <c r="KAB22" s="1902">
        <f t="shared" si="120"/>
        <v>0</v>
      </c>
      <c r="KAC22" s="1902">
        <f t="shared" si="120"/>
        <v>0</v>
      </c>
      <c r="KAD22" s="1902">
        <f t="shared" si="120"/>
        <v>0</v>
      </c>
      <c r="KAE22" s="1902">
        <f t="shared" si="120"/>
        <v>0</v>
      </c>
      <c r="KAF22" s="1902">
        <f t="shared" si="120"/>
        <v>0</v>
      </c>
      <c r="KAG22" s="1902">
        <f t="shared" si="120"/>
        <v>0</v>
      </c>
      <c r="KAH22" s="1902">
        <f t="shared" si="120"/>
        <v>0</v>
      </c>
      <c r="KAI22" s="1902">
        <f t="shared" si="120"/>
        <v>0</v>
      </c>
      <c r="KAJ22" s="1902">
        <f t="shared" si="120"/>
        <v>0</v>
      </c>
      <c r="KAK22" s="1902">
        <f t="shared" si="120"/>
        <v>0</v>
      </c>
      <c r="KAL22" s="1902">
        <f t="shared" si="120"/>
        <v>0</v>
      </c>
      <c r="KAM22" s="1902">
        <f t="shared" si="120"/>
        <v>0</v>
      </c>
      <c r="KAN22" s="1902">
        <f t="shared" si="120"/>
        <v>0</v>
      </c>
      <c r="KAO22" s="1902">
        <f t="shared" si="120"/>
        <v>0</v>
      </c>
      <c r="KAP22" s="1902">
        <f t="shared" si="120"/>
        <v>0</v>
      </c>
      <c r="KAQ22" s="1902">
        <f t="shared" si="120"/>
        <v>0</v>
      </c>
      <c r="KAR22" s="1902">
        <f t="shared" si="120"/>
        <v>0</v>
      </c>
      <c r="KAS22" s="1902">
        <f t="shared" si="120"/>
        <v>0</v>
      </c>
      <c r="KAT22" s="1902">
        <f t="shared" si="120"/>
        <v>0</v>
      </c>
      <c r="KAU22" s="1902">
        <f t="shared" si="120"/>
        <v>0</v>
      </c>
      <c r="KAV22" s="1902">
        <f t="shared" si="120"/>
        <v>0</v>
      </c>
      <c r="KAW22" s="1902">
        <f t="shared" si="120"/>
        <v>0</v>
      </c>
      <c r="KAX22" s="1902">
        <f t="shared" si="120"/>
        <v>0</v>
      </c>
      <c r="KAY22" s="1902">
        <f t="shared" si="120"/>
        <v>0</v>
      </c>
      <c r="KAZ22" s="1902">
        <f t="shared" si="120"/>
        <v>0</v>
      </c>
      <c r="KBA22" s="1902">
        <f t="shared" si="120"/>
        <v>0</v>
      </c>
      <c r="KBB22" s="1902">
        <f t="shared" si="120"/>
        <v>0</v>
      </c>
      <c r="KBC22" s="1902">
        <f t="shared" si="120"/>
        <v>0</v>
      </c>
      <c r="KBD22" s="1902">
        <f t="shared" si="120"/>
        <v>0</v>
      </c>
      <c r="KBE22" s="1902">
        <f t="shared" si="120"/>
        <v>0</v>
      </c>
      <c r="KBF22" s="1902">
        <f t="shared" si="120"/>
        <v>0</v>
      </c>
      <c r="KBG22" s="1902">
        <f t="shared" si="120"/>
        <v>0</v>
      </c>
      <c r="KBH22" s="1902">
        <f t="shared" si="120"/>
        <v>0</v>
      </c>
      <c r="KBI22" s="1902">
        <f t="shared" si="120"/>
        <v>0</v>
      </c>
      <c r="KBJ22" s="1902">
        <f t="shared" si="120"/>
        <v>0</v>
      </c>
      <c r="KBK22" s="1902">
        <f t="shared" ref="KBK22:KDV22" si="121">IF(AND(KBK$26="End of period",KBK$25="Revenue"),KBK9,0)</f>
        <v>0</v>
      </c>
      <c r="KBL22" s="1902">
        <f t="shared" si="121"/>
        <v>0</v>
      </c>
      <c r="KBM22" s="1902">
        <f t="shared" si="121"/>
        <v>0</v>
      </c>
      <c r="KBN22" s="1902">
        <f t="shared" si="121"/>
        <v>0</v>
      </c>
      <c r="KBO22" s="1902">
        <f t="shared" si="121"/>
        <v>0</v>
      </c>
      <c r="KBP22" s="1902">
        <f t="shared" si="121"/>
        <v>0</v>
      </c>
      <c r="KBQ22" s="1902">
        <f t="shared" si="121"/>
        <v>0</v>
      </c>
      <c r="KBR22" s="1902">
        <f t="shared" si="121"/>
        <v>0</v>
      </c>
      <c r="KBS22" s="1902">
        <f t="shared" si="121"/>
        <v>0</v>
      </c>
      <c r="KBT22" s="1902">
        <f t="shared" si="121"/>
        <v>0</v>
      </c>
      <c r="KBU22" s="1902">
        <f t="shared" si="121"/>
        <v>0</v>
      </c>
      <c r="KBV22" s="1902">
        <f t="shared" si="121"/>
        <v>0</v>
      </c>
      <c r="KBW22" s="1902">
        <f t="shared" si="121"/>
        <v>0</v>
      </c>
      <c r="KBX22" s="1902">
        <f t="shared" si="121"/>
        <v>0</v>
      </c>
      <c r="KBY22" s="1902">
        <f t="shared" si="121"/>
        <v>0</v>
      </c>
      <c r="KBZ22" s="1902">
        <f t="shared" si="121"/>
        <v>0</v>
      </c>
      <c r="KCA22" s="1902">
        <f t="shared" si="121"/>
        <v>0</v>
      </c>
      <c r="KCB22" s="1902">
        <f t="shared" si="121"/>
        <v>0</v>
      </c>
      <c r="KCC22" s="1902">
        <f t="shared" si="121"/>
        <v>0</v>
      </c>
      <c r="KCD22" s="1902">
        <f t="shared" si="121"/>
        <v>0</v>
      </c>
      <c r="KCE22" s="1902">
        <f t="shared" si="121"/>
        <v>0</v>
      </c>
      <c r="KCF22" s="1902">
        <f t="shared" si="121"/>
        <v>0</v>
      </c>
      <c r="KCG22" s="1902">
        <f t="shared" si="121"/>
        <v>0</v>
      </c>
      <c r="KCH22" s="1902">
        <f t="shared" si="121"/>
        <v>0</v>
      </c>
      <c r="KCI22" s="1902">
        <f t="shared" si="121"/>
        <v>0</v>
      </c>
      <c r="KCJ22" s="1902">
        <f t="shared" si="121"/>
        <v>0</v>
      </c>
      <c r="KCK22" s="1902">
        <f t="shared" si="121"/>
        <v>0</v>
      </c>
      <c r="KCL22" s="1902">
        <f t="shared" si="121"/>
        <v>0</v>
      </c>
      <c r="KCM22" s="1902">
        <f t="shared" si="121"/>
        <v>0</v>
      </c>
      <c r="KCN22" s="1902">
        <f t="shared" si="121"/>
        <v>0</v>
      </c>
      <c r="KCO22" s="1902">
        <f t="shared" si="121"/>
        <v>0</v>
      </c>
      <c r="KCP22" s="1902">
        <f t="shared" si="121"/>
        <v>0</v>
      </c>
      <c r="KCQ22" s="1902">
        <f t="shared" si="121"/>
        <v>0</v>
      </c>
      <c r="KCR22" s="1902">
        <f t="shared" si="121"/>
        <v>0</v>
      </c>
      <c r="KCS22" s="1902">
        <f t="shared" si="121"/>
        <v>0</v>
      </c>
      <c r="KCT22" s="1902">
        <f t="shared" si="121"/>
        <v>0</v>
      </c>
      <c r="KCU22" s="1902">
        <f t="shared" si="121"/>
        <v>0</v>
      </c>
      <c r="KCV22" s="1902">
        <f t="shared" si="121"/>
        <v>0</v>
      </c>
      <c r="KCW22" s="1902">
        <f t="shared" si="121"/>
        <v>0</v>
      </c>
      <c r="KCX22" s="1902">
        <f t="shared" si="121"/>
        <v>0</v>
      </c>
      <c r="KCY22" s="1902">
        <f t="shared" si="121"/>
        <v>0</v>
      </c>
      <c r="KCZ22" s="1902">
        <f t="shared" si="121"/>
        <v>0</v>
      </c>
      <c r="KDA22" s="1902">
        <f t="shared" si="121"/>
        <v>0</v>
      </c>
      <c r="KDB22" s="1902">
        <f t="shared" si="121"/>
        <v>0</v>
      </c>
      <c r="KDC22" s="1902">
        <f t="shared" si="121"/>
        <v>0</v>
      </c>
      <c r="KDD22" s="1902">
        <f t="shared" si="121"/>
        <v>0</v>
      </c>
      <c r="KDE22" s="1902">
        <f t="shared" si="121"/>
        <v>0</v>
      </c>
      <c r="KDF22" s="1902">
        <f t="shared" si="121"/>
        <v>0</v>
      </c>
      <c r="KDG22" s="1902">
        <f t="shared" si="121"/>
        <v>0</v>
      </c>
      <c r="KDH22" s="1902">
        <f t="shared" si="121"/>
        <v>0</v>
      </c>
      <c r="KDI22" s="1902">
        <f t="shared" si="121"/>
        <v>0</v>
      </c>
      <c r="KDJ22" s="1902">
        <f t="shared" si="121"/>
        <v>0</v>
      </c>
      <c r="KDK22" s="1902">
        <f t="shared" si="121"/>
        <v>0</v>
      </c>
      <c r="KDL22" s="1902">
        <f t="shared" si="121"/>
        <v>0</v>
      </c>
      <c r="KDM22" s="1902">
        <f t="shared" si="121"/>
        <v>0</v>
      </c>
      <c r="KDN22" s="1902">
        <f t="shared" si="121"/>
        <v>0</v>
      </c>
      <c r="KDO22" s="1902">
        <f t="shared" si="121"/>
        <v>0</v>
      </c>
      <c r="KDP22" s="1902">
        <f t="shared" si="121"/>
        <v>0</v>
      </c>
      <c r="KDQ22" s="1902">
        <f t="shared" si="121"/>
        <v>0</v>
      </c>
      <c r="KDR22" s="1902">
        <f t="shared" si="121"/>
        <v>0</v>
      </c>
      <c r="KDS22" s="1902">
        <f t="shared" si="121"/>
        <v>0</v>
      </c>
      <c r="KDT22" s="1902">
        <f t="shared" si="121"/>
        <v>0</v>
      </c>
      <c r="KDU22" s="1902">
        <f t="shared" si="121"/>
        <v>0</v>
      </c>
      <c r="KDV22" s="1902">
        <f t="shared" si="121"/>
        <v>0</v>
      </c>
      <c r="KDW22" s="1902">
        <f t="shared" ref="KDW22:KGH22" si="122">IF(AND(KDW$26="End of period",KDW$25="Revenue"),KDW9,0)</f>
        <v>0</v>
      </c>
      <c r="KDX22" s="1902">
        <f t="shared" si="122"/>
        <v>0</v>
      </c>
      <c r="KDY22" s="1902">
        <f t="shared" si="122"/>
        <v>0</v>
      </c>
      <c r="KDZ22" s="1902">
        <f t="shared" si="122"/>
        <v>0</v>
      </c>
      <c r="KEA22" s="1902">
        <f t="shared" si="122"/>
        <v>0</v>
      </c>
      <c r="KEB22" s="1902">
        <f t="shared" si="122"/>
        <v>0</v>
      </c>
      <c r="KEC22" s="1902">
        <f t="shared" si="122"/>
        <v>0</v>
      </c>
      <c r="KED22" s="1902">
        <f t="shared" si="122"/>
        <v>0</v>
      </c>
      <c r="KEE22" s="1902">
        <f t="shared" si="122"/>
        <v>0</v>
      </c>
      <c r="KEF22" s="1902">
        <f t="shared" si="122"/>
        <v>0</v>
      </c>
      <c r="KEG22" s="1902">
        <f t="shared" si="122"/>
        <v>0</v>
      </c>
      <c r="KEH22" s="1902">
        <f t="shared" si="122"/>
        <v>0</v>
      </c>
      <c r="KEI22" s="1902">
        <f t="shared" si="122"/>
        <v>0</v>
      </c>
      <c r="KEJ22" s="1902">
        <f t="shared" si="122"/>
        <v>0</v>
      </c>
      <c r="KEK22" s="1902">
        <f t="shared" si="122"/>
        <v>0</v>
      </c>
      <c r="KEL22" s="1902">
        <f t="shared" si="122"/>
        <v>0</v>
      </c>
      <c r="KEM22" s="1902">
        <f t="shared" si="122"/>
        <v>0</v>
      </c>
      <c r="KEN22" s="1902">
        <f t="shared" si="122"/>
        <v>0</v>
      </c>
      <c r="KEO22" s="1902">
        <f t="shared" si="122"/>
        <v>0</v>
      </c>
      <c r="KEP22" s="1902">
        <f t="shared" si="122"/>
        <v>0</v>
      </c>
      <c r="KEQ22" s="1902">
        <f t="shared" si="122"/>
        <v>0</v>
      </c>
      <c r="KER22" s="1902">
        <f t="shared" si="122"/>
        <v>0</v>
      </c>
      <c r="KES22" s="1902">
        <f t="shared" si="122"/>
        <v>0</v>
      </c>
      <c r="KET22" s="1902">
        <f t="shared" si="122"/>
        <v>0</v>
      </c>
      <c r="KEU22" s="1902">
        <f t="shared" si="122"/>
        <v>0</v>
      </c>
      <c r="KEV22" s="1902">
        <f t="shared" si="122"/>
        <v>0</v>
      </c>
      <c r="KEW22" s="1902">
        <f t="shared" si="122"/>
        <v>0</v>
      </c>
      <c r="KEX22" s="1902">
        <f t="shared" si="122"/>
        <v>0</v>
      </c>
      <c r="KEY22" s="1902">
        <f t="shared" si="122"/>
        <v>0</v>
      </c>
      <c r="KEZ22" s="1902">
        <f t="shared" si="122"/>
        <v>0</v>
      </c>
      <c r="KFA22" s="1902">
        <f t="shared" si="122"/>
        <v>0</v>
      </c>
      <c r="KFB22" s="1902">
        <f t="shared" si="122"/>
        <v>0</v>
      </c>
      <c r="KFC22" s="1902">
        <f t="shared" si="122"/>
        <v>0</v>
      </c>
      <c r="KFD22" s="1902">
        <f t="shared" si="122"/>
        <v>0</v>
      </c>
      <c r="KFE22" s="1902">
        <f t="shared" si="122"/>
        <v>0</v>
      </c>
      <c r="KFF22" s="1902">
        <f t="shared" si="122"/>
        <v>0</v>
      </c>
      <c r="KFG22" s="1902">
        <f t="shared" si="122"/>
        <v>0</v>
      </c>
      <c r="KFH22" s="1902">
        <f t="shared" si="122"/>
        <v>0</v>
      </c>
      <c r="KFI22" s="1902">
        <f t="shared" si="122"/>
        <v>0</v>
      </c>
      <c r="KFJ22" s="1902">
        <f t="shared" si="122"/>
        <v>0</v>
      </c>
      <c r="KFK22" s="1902">
        <f t="shared" si="122"/>
        <v>0</v>
      </c>
      <c r="KFL22" s="1902">
        <f t="shared" si="122"/>
        <v>0</v>
      </c>
      <c r="KFM22" s="1902">
        <f t="shared" si="122"/>
        <v>0</v>
      </c>
      <c r="KFN22" s="1902">
        <f t="shared" si="122"/>
        <v>0</v>
      </c>
      <c r="KFO22" s="1902">
        <f t="shared" si="122"/>
        <v>0</v>
      </c>
      <c r="KFP22" s="1902">
        <f t="shared" si="122"/>
        <v>0</v>
      </c>
      <c r="KFQ22" s="1902">
        <f t="shared" si="122"/>
        <v>0</v>
      </c>
      <c r="KFR22" s="1902">
        <f t="shared" si="122"/>
        <v>0</v>
      </c>
      <c r="KFS22" s="1902">
        <f t="shared" si="122"/>
        <v>0</v>
      </c>
      <c r="KFT22" s="1902">
        <f t="shared" si="122"/>
        <v>0</v>
      </c>
      <c r="KFU22" s="1902">
        <f t="shared" si="122"/>
        <v>0</v>
      </c>
      <c r="KFV22" s="1902">
        <f t="shared" si="122"/>
        <v>0</v>
      </c>
      <c r="KFW22" s="1902">
        <f t="shared" si="122"/>
        <v>0</v>
      </c>
      <c r="KFX22" s="1902">
        <f t="shared" si="122"/>
        <v>0</v>
      </c>
      <c r="KFY22" s="1902">
        <f t="shared" si="122"/>
        <v>0</v>
      </c>
      <c r="KFZ22" s="1902">
        <f t="shared" si="122"/>
        <v>0</v>
      </c>
      <c r="KGA22" s="1902">
        <f t="shared" si="122"/>
        <v>0</v>
      </c>
      <c r="KGB22" s="1902">
        <f t="shared" si="122"/>
        <v>0</v>
      </c>
      <c r="KGC22" s="1902">
        <f t="shared" si="122"/>
        <v>0</v>
      </c>
      <c r="KGD22" s="1902">
        <f t="shared" si="122"/>
        <v>0</v>
      </c>
      <c r="KGE22" s="1902">
        <f t="shared" si="122"/>
        <v>0</v>
      </c>
      <c r="KGF22" s="1902">
        <f t="shared" si="122"/>
        <v>0</v>
      </c>
      <c r="KGG22" s="1902">
        <f t="shared" si="122"/>
        <v>0</v>
      </c>
      <c r="KGH22" s="1902">
        <f t="shared" si="122"/>
        <v>0</v>
      </c>
      <c r="KGI22" s="1902">
        <f t="shared" ref="KGI22:KIT22" si="123">IF(AND(KGI$26="End of period",KGI$25="Revenue"),KGI9,0)</f>
        <v>0</v>
      </c>
      <c r="KGJ22" s="1902">
        <f t="shared" si="123"/>
        <v>0</v>
      </c>
      <c r="KGK22" s="1902">
        <f t="shared" si="123"/>
        <v>0</v>
      </c>
      <c r="KGL22" s="1902">
        <f t="shared" si="123"/>
        <v>0</v>
      </c>
      <c r="KGM22" s="1902">
        <f t="shared" si="123"/>
        <v>0</v>
      </c>
      <c r="KGN22" s="1902">
        <f t="shared" si="123"/>
        <v>0</v>
      </c>
      <c r="KGO22" s="1902">
        <f t="shared" si="123"/>
        <v>0</v>
      </c>
      <c r="KGP22" s="1902">
        <f t="shared" si="123"/>
        <v>0</v>
      </c>
      <c r="KGQ22" s="1902">
        <f t="shared" si="123"/>
        <v>0</v>
      </c>
      <c r="KGR22" s="1902">
        <f t="shared" si="123"/>
        <v>0</v>
      </c>
      <c r="KGS22" s="1902">
        <f t="shared" si="123"/>
        <v>0</v>
      </c>
      <c r="KGT22" s="1902">
        <f t="shared" si="123"/>
        <v>0</v>
      </c>
      <c r="KGU22" s="1902">
        <f t="shared" si="123"/>
        <v>0</v>
      </c>
      <c r="KGV22" s="1902">
        <f t="shared" si="123"/>
        <v>0</v>
      </c>
      <c r="KGW22" s="1902">
        <f t="shared" si="123"/>
        <v>0</v>
      </c>
      <c r="KGX22" s="1902">
        <f t="shared" si="123"/>
        <v>0</v>
      </c>
      <c r="KGY22" s="1902">
        <f t="shared" si="123"/>
        <v>0</v>
      </c>
      <c r="KGZ22" s="1902">
        <f t="shared" si="123"/>
        <v>0</v>
      </c>
      <c r="KHA22" s="1902">
        <f t="shared" si="123"/>
        <v>0</v>
      </c>
      <c r="KHB22" s="1902">
        <f t="shared" si="123"/>
        <v>0</v>
      </c>
      <c r="KHC22" s="1902">
        <f t="shared" si="123"/>
        <v>0</v>
      </c>
      <c r="KHD22" s="1902">
        <f t="shared" si="123"/>
        <v>0</v>
      </c>
      <c r="KHE22" s="1902">
        <f t="shared" si="123"/>
        <v>0</v>
      </c>
      <c r="KHF22" s="1902">
        <f t="shared" si="123"/>
        <v>0</v>
      </c>
      <c r="KHG22" s="1902">
        <f t="shared" si="123"/>
        <v>0</v>
      </c>
      <c r="KHH22" s="1902">
        <f t="shared" si="123"/>
        <v>0</v>
      </c>
      <c r="KHI22" s="1902">
        <f t="shared" si="123"/>
        <v>0</v>
      </c>
      <c r="KHJ22" s="1902">
        <f t="shared" si="123"/>
        <v>0</v>
      </c>
      <c r="KHK22" s="1902">
        <f t="shared" si="123"/>
        <v>0</v>
      </c>
      <c r="KHL22" s="1902">
        <f t="shared" si="123"/>
        <v>0</v>
      </c>
      <c r="KHM22" s="1902">
        <f t="shared" si="123"/>
        <v>0</v>
      </c>
      <c r="KHN22" s="1902">
        <f t="shared" si="123"/>
        <v>0</v>
      </c>
      <c r="KHO22" s="1902">
        <f t="shared" si="123"/>
        <v>0</v>
      </c>
      <c r="KHP22" s="1902">
        <f t="shared" si="123"/>
        <v>0</v>
      </c>
      <c r="KHQ22" s="1902">
        <f t="shared" si="123"/>
        <v>0</v>
      </c>
      <c r="KHR22" s="1902">
        <f t="shared" si="123"/>
        <v>0</v>
      </c>
      <c r="KHS22" s="1902">
        <f t="shared" si="123"/>
        <v>0</v>
      </c>
      <c r="KHT22" s="1902">
        <f t="shared" si="123"/>
        <v>0</v>
      </c>
      <c r="KHU22" s="1902">
        <f t="shared" si="123"/>
        <v>0</v>
      </c>
      <c r="KHV22" s="1902">
        <f t="shared" si="123"/>
        <v>0</v>
      </c>
      <c r="KHW22" s="1902">
        <f t="shared" si="123"/>
        <v>0</v>
      </c>
      <c r="KHX22" s="1902">
        <f t="shared" si="123"/>
        <v>0</v>
      </c>
      <c r="KHY22" s="1902">
        <f t="shared" si="123"/>
        <v>0</v>
      </c>
      <c r="KHZ22" s="1902">
        <f t="shared" si="123"/>
        <v>0</v>
      </c>
      <c r="KIA22" s="1902">
        <f t="shared" si="123"/>
        <v>0</v>
      </c>
      <c r="KIB22" s="1902">
        <f t="shared" si="123"/>
        <v>0</v>
      </c>
      <c r="KIC22" s="1902">
        <f t="shared" si="123"/>
        <v>0</v>
      </c>
      <c r="KID22" s="1902">
        <f t="shared" si="123"/>
        <v>0</v>
      </c>
      <c r="KIE22" s="1902">
        <f t="shared" si="123"/>
        <v>0</v>
      </c>
      <c r="KIF22" s="1902">
        <f t="shared" si="123"/>
        <v>0</v>
      </c>
      <c r="KIG22" s="1902">
        <f t="shared" si="123"/>
        <v>0</v>
      </c>
      <c r="KIH22" s="1902">
        <f t="shared" si="123"/>
        <v>0</v>
      </c>
      <c r="KII22" s="1902">
        <f t="shared" si="123"/>
        <v>0</v>
      </c>
      <c r="KIJ22" s="1902">
        <f t="shared" si="123"/>
        <v>0</v>
      </c>
      <c r="KIK22" s="1902">
        <f t="shared" si="123"/>
        <v>0</v>
      </c>
      <c r="KIL22" s="1902">
        <f t="shared" si="123"/>
        <v>0</v>
      </c>
      <c r="KIM22" s="1902">
        <f t="shared" si="123"/>
        <v>0</v>
      </c>
      <c r="KIN22" s="1902">
        <f t="shared" si="123"/>
        <v>0</v>
      </c>
      <c r="KIO22" s="1902">
        <f t="shared" si="123"/>
        <v>0</v>
      </c>
      <c r="KIP22" s="1902">
        <f t="shared" si="123"/>
        <v>0</v>
      </c>
      <c r="KIQ22" s="1902">
        <f t="shared" si="123"/>
        <v>0</v>
      </c>
      <c r="KIR22" s="1902">
        <f t="shared" si="123"/>
        <v>0</v>
      </c>
      <c r="KIS22" s="1902">
        <f t="shared" si="123"/>
        <v>0</v>
      </c>
      <c r="KIT22" s="1902">
        <f t="shared" si="123"/>
        <v>0</v>
      </c>
      <c r="KIU22" s="1902">
        <f t="shared" ref="KIU22:KLF22" si="124">IF(AND(KIU$26="End of period",KIU$25="Revenue"),KIU9,0)</f>
        <v>0</v>
      </c>
      <c r="KIV22" s="1902">
        <f t="shared" si="124"/>
        <v>0</v>
      </c>
      <c r="KIW22" s="1902">
        <f t="shared" si="124"/>
        <v>0</v>
      </c>
      <c r="KIX22" s="1902">
        <f t="shared" si="124"/>
        <v>0</v>
      </c>
      <c r="KIY22" s="1902">
        <f t="shared" si="124"/>
        <v>0</v>
      </c>
      <c r="KIZ22" s="1902">
        <f t="shared" si="124"/>
        <v>0</v>
      </c>
      <c r="KJA22" s="1902">
        <f t="shared" si="124"/>
        <v>0</v>
      </c>
      <c r="KJB22" s="1902">
        <f t="shared" si="124"/>
        <v>0</v>
      </c>
      <c r="KJC22" s="1902">
        <f t="shared" si="124"/>
        <v>0</v>
      </c>
      <c r="KJD22" s="1902">
        <f t="shared" si="124"/>
        <v>0</v>
      </c>
      <c r="KJE22" s="1902">
        <f t="shared" si="124"/>
        <v>0</v>
      </c>
      <c r="KJF22" s="1902">
        <f t="shared" si="124"/>
        <v>0</v>
      </c>
      <c r="KJG22" s="1902">
        <f t="shared" si="124"/>
        <v>0</v>
      </c>
      <c r="KJH22" s="1902">
        <f t="shared" si="124"/>
        <v>0</v>
      </c>
      <c r="KJI22" s="1902">
        <f t="shared" si="124"/>
        <v>0</v>
      </c>
      <c r="KJJ22" s="1902">
        <f t="shared" si="124"/>
        <v>0</v>
      </c>
      <c r="KJK22" s="1902">
        <f t="shared" si="124"/>
        <v>0</v>
      </c>
      <c r="KJL22" s="1902">
        <f t="shared" si="124"/>
        <v>0</v>
      </c>
      <c r="KJM22" s="1902">
        <f t="shared" si="124"/>
        <v>0</v>
      </c>
      <c r="KJN22" s="1902">
        <f t="shared" si="124"/>
        <v>0</v>
      </c>
      <c r="KJO22" s="1902">
        <f t="shared" si="124"/>
        <v>0</v>
      </c>
      <c r="KJP22" s="1902">
        <f t="shared" si="124"/>
        <v>0</v>
      </c>
      <c r="KJQ22" s="1902">
        <f t="shared" si="124"/>
        <v>0</v>
      </c>
      <c r="KJR22" s="1902">
        <f t="shared" si="124"/>
        <v>0</v>
      </c>
      <c r="KJS22" s="1902">
        <f t="shared" si="124"/>
        <v>0</v>
      </c>
      <c r="KJT22" s="1902">
        <f t="shared" si="124"/>
        <v>0</v>
      </c>
      <c r="KJU22" s="1902">
        <f t="shared" si="124"/>
        <v>0</v>
      </c>
      <c r="KJV22" s="1902">
        <f t="shared" si="124"/>
        <v>0</v>
      </c>
      <c r="KJW22" s="1902">
        <f t="shared" si="124"/>
        <v>0</v>
      </c>
      <c r="KJX22" s="1902">
        <f t="shared" si="124"/>
        <v>0</v>
      </c>
      <c r="KJY22" s="1902">
        <f t="shared" si="124"/>
        <v>0</v>
      </c>
      <c r="KJZ22" s="1902">
        <f t="shared" si="124"/>
        <v>0</v>
      </c>
      <c r="KKA22" s="1902">
        <f t="shared" si="124"/>
        <v>0</v>
      </c>
      <c r="KKB22" s="1902">
        <f t="shared" si="124"/>
        <v>0</v>
      </c>
      <c r="KKC22" s="1902">
        <f t="shared" si="124"/>
        <v>0</v>
      </c>
      <c r="KKD22" s="1902">
        <f t="shared" si="124"/>
        <v>0</v>
      </c>
      <c r="KKE22" s="1902">
        <f t="shared" si="124"/>
        <v>0</v>
      </c>
      <c r="KKF22" s="1902">
        <f t="shared" si="124"/>
        <v>0</v>
      </c>
      <c r="KKG22" s="1902">
        <f t="shared" si="124"/>
        <v>0</v>
      </c>
      <c r="KKH22" s="1902">
        <f t="shared" si="124"/>
        <v>0</v>
      </c>
      <c r="KKI22" s="1902">
        <f t="shared" si="124"/>
        <v>0</v>
      </c>
      <c r="KKJ22" s="1902">
        <f t="shared" si="124"/>
        <v>0</v>
      </c>
      <c r="KKK22" s="1902">
        <f t="shared" si="124"/>
        <v>0</v>
      </c>
      <c r="KKL22" s="1902">
        <f t="shared" si="124"/>
        <v>0</v>
      </c>
      <c r="KKM22" s="1902">
        <f t="shared" si="124"/>
        <v>0</v>
      </c>
      <c r="KKN22" s="1902">
        <f t="shared" si="124"/>
        <v>0</v>
      </c>
      <c r="KKO22" s="1902">
        <f t="shared" si="124"/>
        <v>0</v>
      </c>
      <c r="KKP22" s="1902">
        <f t="shared" si="124"/>
        <v>0</v>
      </c>
      <c r="KKQ22" s="1902">
        <f t="shared" si="124"/>
        <v>0</v>
      </c>
      <c r="KKR22" s="1902">
        <f t="shared" si="124"/>
        <v>0</v>
      </c>
      <c r="KKS22" s="1902">
        <f t="shared" si="124"/>
        <v>0</v>
      </c>
      <c r="KKT22" s="1902">
        <f t="shared" si="124"/>
        <v>0</v>
      </c>
      <c r="KKU22" s="1902">
        <f t="shared" si="124"/>
        <v>0</v>
      </c>
      <c r="KKV22" s="1902">
        <f t="shared" si="124"/>
        <v>0</v>
      </c>
      <c r="KKW22" s="1902">
        <f t="shared" si="124"/>
        <v>0</v>
      </c>
      <c r="KKX22" s="1902">
        <f t="shared" si="124"/>
        <v>0</v>
      </c>
      <c r="KKY22" s="1902">
        <f t="shared" si="124"/>
        <v>0</v>
      </c>
      <c r="KKZ22" s="1902">
        <f t="shared" si="124"/>
        <v>0</v>
      </c>
      <c r="KLA22" s="1902">
        <f t="shared" si="124"/>
        <v>0</v>
      </c>
      <c r="KLB22" s="1902">
        <f t="shared" si="124"/>
        <v>0</v>
      </c>
      <c r="KLC22" s="1902">
        <f t="shared" si="124"/>
        <v>0</v>
      </c>
      <c r="KLD22" s="1902">
        <f t="shared" si="124"/>
        <v>0</v>
      </c>
      <c r="KLE22" s="1902">
        <f t="shared" si="124"/>
        <v>0</v>
      </c>
      <c r="KLF22" s="1902">
        <f t="shared" si="124"/>
        <v>0</v>
      </c>
      <c r="KLG22" s="1902">
        <f t="shared" ref="KLG22:KNR22" si="125">IF(AND(KLG$26="End of period",KLG$25="Revenue"),KLG9,0)</f>
        <v>0</v>
      </c>
      <c r="KLH22" s="1902">
        <f t="shared" si="125"/>
        <v>0</v>
      </c>
      <c r="KLI22" s="1902">
        <f t="shared" si="125"/>
        <v>0</v>
      </c>
      <c r="KLJ22" s="1902">
        <f t="shared" si="125"/>
        <v>0</v>
      </c>
      <c r="KLK22" s="1902">
        <f t="shared" si="125"/>
        <v>0</v>
      </c>
      <c r="KLL22" s="1902">
        <f t="shared" si="125"/>
        <v>0</v>
      </c>
      <c r="KLM22" s="1902">
        <f t="shared" si="125"/>
        <v>0</v>
      </c>
      <c r="KLN22" s="1902">
        <f t="shared" si="125"/>
        <v>0</v>
      </c>
      <c r="KLO22" s="1902">
        <f t="shared" si="125"/>
        <v>0</v>
      </c>
      <c r="KLP22" s="1902">
        <f t="shared" si="125"/>
        <v>0</v>
      </c>
      <c r="KLQ22" s="1902">
        <f t="shared" si="125"/>
        <v>0</v>
      </c>
      <c r="KLR22" s="1902">
        <f t="shared" si="125"/>
        <v>0</v>
      </c>
      <c r="KLS22" s="1902">
        <f t="shared" si="125"/>
        <v>0</v>
      </c>
      <c r="KLT22" s="1902">
        <f t="shared" si="125"/>
        <v>0</v>
      </c>
      <c r="KLU22" s="1902">
        <f t="shared" si="125"/>
        <v>0</v>
      </c>
      <c r="KLV22" s="1902">
        <f t="shared" si="125"/>
        <v>0</v>
      </c>
      <c r="KLW22" s="1902">
        <f t="shared" si="125"/>
        <v>0</v>
      </c>
      <c r="KLX22" s="1902">
        <f t="shared" si="125"/>
        <v>0</v>
      </c>
      <c r="KLY22" s="1902">
        <f t="shared" si="125"/>
        <v>0</v>
      </c>
      <c r="KLZ22" s="1902">
        <f t="shared" si="125"/>
        <v>0</v>
      </c>
      <c r="KMA22" s="1902">
        <f t="shared" si="125"/>
        <v>0</v>
      </c>
      <c r="KMB22" s="1902">
        <f t="shared" si="125"/>
        <v>0</v>
      </c>
      <c r="KMC22" s="1902">
        <f t="shared" si="125"/>
        <v>0</v>
      </c>
      <c r="KMD22" s="1902">
        <f t="shared" si="125"/>
        <v>0</v>
      </c>
      <c r="KME22" s="1902">
        <f t="shared" si="125"/>
        <v>0</v>
      </c>
      <c r="KMF22" s="1902">
        <f t="shared" si="125"/>
        <v>0</v>
      </c>
      <c r="KMG22" s="1902">
        <f t="shared" si="125"/>
        <v>0</v>
      </c>
      <c r="KMH22" s="1902">
        <f t="shared" si="125"/>
        <v>0</v>
      </c>
      <c r="KMI22" s="1902">
        <f t="shared" si="125"/>
        <v>0</v>
      </c>
      <c r="KMJ22" s="1902">
        <f t="shared" si="125"/>
        <v>0</v>
      </c>
      <c r="KMK22" s="1902">
        <f t="shared" si="125"/>
        <v>0</v>
      </c>
      <c r="KML22" s="1902">
        <f t="shared" si="125"/>
        <v>0</v>
      </c>
      <c r="KMM22" s="1902">
        <f t="shared" si="125"/>
        <v>0</v>
      </c>
      <c r="KMN22" s="1902">
        <f t="shared" si="125"/>
        <v>0</v>
      </c>
      <c r="KMO22" s="1902">
        <f t="shared" si="125"/>
        <v>0</v>
      </c>
      <c r="KMP22" s="1902">
        <f t="shared" si="125"/>
        <v>0</v>
      </c>
      <c r="KMQ22" s="1902">
        <f t="shared" si="125"/>
        <v>0</v>
      </c>
      <c r="KMR22" s="1902">
        <f t="shared" si="125"/>
        <v>0</v>
      </c>
      <c r="KMS22" s="1902">
        <f t="shared" si="125"/>
        <v>0</v>
      </c>
      <c r="KMT22" s="1902">
        <f t="shared" si="125"/>
        <v>0</v>
      </c>
      <c r="KMU22" s="1902">
        <f t="shared" si="125"/>
        <v>0</v>
      </c>
      <c r="KMV22" s="1902">
        <f t="shared" si="125"/>
        <v>0</v>
      </c>
      <c r="KMW22" s="1902">
        <f t="shared" si="125"/>
        <v>0</v>
      </c>
      <c r="KMX22" s="1902">
        <f t="shared" si="125"/>
        <v>0</v>
      </c>
      <c r="KMY22" s="1902">
        <f t="shared" si="125"/>
        <v>0</v>
      </c>
      <c r="KMZ22" s="1902">
        <f t="shared" si="125"/>
        <v>0</v>
      </c>
      <c r="KNA22" s="1902">
        <f t="shared" si="125"/>
        <v>0</v>
      </c>
      <c r="KNB22" s="1902">
        <f t="shared" si="125"/>
        <v>0</v>
      </c>
      <c r="KNC22" s="1902">
        <f t="shared" si="125"/>
        <v>0</v>
      </c>
      <c r="KND22" s="1902">
        <f t="shared" si="125"/>
        <v>0</v>
      </c>
      <c r="KNE22" s="1902">
        <f t="shared" si="125"/>
        <v>0</v>
      </c>
      <c r="KNF22" s="1902">
        <f t="shared" si="125"/>
        <v>0</v>
      </c>
      <c r="KNG22" s="1902">
        <f t="shared" si="125"/>
        <v>0</v>
      </c>
      <c r="KNH22" s="1902">
        <f t="shared" si="125"/>
        <v>0</v>
      </c>
      <c r="KNI22" s="1902">
        <f t="shared" si="125"/>
        <v>0</v>
      </c>
      <c r="KNJ22" s="1902">
        <f t="shared" si="125"/>
        <v>0</v>
      </c>
      <c r="KNK22" s="1902">
        <f t="shared" si="125"/>
        <v>0</v>
      </c>
      <c r="KNL22" s="1902">
        <f t="shared" si="125"/>
        <v>0</v>
      </c>
      <c r="KNM22" s="1902">
        <f t="shared" si="125"/>
        <v>0</v>
      </c>
      <c r="KNN22" s="1902">
        <f t="shared" si="125"/>
        <v>0</v>
      </c>
      <c r="KNO22" s="1902">
        <f t="shared" si="125"/>
        <v>0</v>
      </c>
      <c r="KNP22" s="1902">
        <f t="shared" si="125"/>
        <v>0</v>
      </c>
      <c r="KNQ22" s="1902">
        <f t="shared" si="125"/>
        <v>0</v>
      </c>
      <c r="KNR22" s="1902">
        <f t="shared" si="125"/>
        <v>0</v>
      </c>
      <c r="KNS22" s="1902">
        <f t="shared" ref="KNS22:KQD22" si="126">IF(AND(KNS$26="End of period",KNS$25="Revenue"),KNS9,0)</f>
        <v>0</v>
      </c>
      <c r="KNT22" s="1902">
        <f t="shared" si="126"/>
        <v>0</v>
      </c>
      <c r="KNU22" s="1902">
        <f t="shared" si="126"/>
        <v>0</v>
      </c>
      <c r="KNV22" s="1902">
        <f t="shared" si="126"/>
        <v>0</v>
      </c>
      <c r="KNW22" s="1902">
        <f t="shared" si="126"/>
        <v>0</v>
      </c>
      <c r="KNX22" s="1902">
        <f t="shared" si="126"/>
        <v>0</v>
      </c>
      <c r="KNY22" s="1902">
        <f t="shared" si="126"/>
        <v>0</v>
      </c>
      <c r="KNZ22" s="1902">
        <f t="shared" si="126"/>
        <v>0</v>
      </c>
      <c r="KOA22" s="1902">
        <f t="shared" si="126"/>
        <v>0</v>
      </c>
      <c r="KOB22" s="1902">
        <f t="shared" si="126"/>
        <v>0</v>
      </c>
      <c r="KOC22" s="1902">
        <f t="shared" si="126"/>
        <v>0</v>
      </c>
      <c r="KOD22" s="1902">
        <f t="shared" si="126"/>
        <v>0</v>
      </c>
      <c r="KOE22" s="1902">
        <f t="shared" si="126"/>
        <v>0</v>
      </c>
      <c r="KOF22" s="1902">
        <f t="shared" si="126"/>
        <v>0</v>
      </c>
      <c r="KOG22" s="1902">
        <f t="shared" si="126"/>
        <v>0</v>
      </c>
      <c r="KOH22" s="1902">
        <f t="shared" si="126"/>
        <v>0</v>
      </c>
      <c r="KOI22" s="1902">
        <f t="shared" si="126"/>
        <v>0</v>
      </c>
      <c r="KOJ22" s="1902">
        <f t="shared" si="126"/>
        <v>0</v>
      </c>
      <c r="KOK22" s="1902">
        <f t="shared" si="126"/>
        <v>0</v>
      </c>
      <c r="KOL22" s="1902">
        <f t="shared" si="126"/>
        <v>0</v>
      </c>
      <c r="KOM22" s="1902">
        <f t="shared" si="126"/>
        <v>0</v>
      </c>
      <c r="KON22" s="1902">
        <f t="shared" si="126"/>
        <v>0</v>
      </c>
      <c r="KOO22" s="1902">
        <f t="shared" si="126"/>
        <v>0</v>
      </c>
      <c r="KOP22" s="1902">
        <f t="shared" si="126"/>
        <v>0</v>
      </c>
      <c r="KOQ22" s="1902">
        <f t="shared" si="126"/>
        <v>0</v>
      </c>
      <c r="KOR22" s="1902">
        <f t="shared" si="126"/>
        <v>0</v>
      </c>
      <c r="KOS22" s="1902">
        <f t="shared" si="126"/>
        <v>0</v>
      </c>
      <c r="KOT22" s="1902">
        <f t="shared" si="126"/>
        <v>0</v>
      </c>
      <c r="KOU22" s="1902">
        <f t="shared" si="126"/>
        <v>0</v>
      </c>
      <c r="KOV22" s="1902">
        <f t="shared" si="126"/>
        <v>0</v>
      </c>
      <c r="KOW22" s="1902">
        <f t="shared" si="126"/>
        <v>0</v>
      </c>
      <c r="KOX22" s="1902">
        <f t="shared" si="126"/>
        <v>0</v>
      </c>
      <c r="KOY22" s="1902">
        <f t="shared" si="126"/>
        <v>0</v>
      </c>
      <c r="KOZ22" s="1902">
        <f t="shared" si="126"/>
        <v>0</v>
      </c>
      <c r="KPA22" s="1902">
        <f t="shared" si="126"/>
        <v>0</v>
      </c>
      <c r="KPB22" s="1902">
        <f t="shared" si="126"/>
        <v>0</v>
      </c>
      <c r="KPC22" s="1902">
        <f t="shared" si="126"/>
        <v>0</v>
      </c>
      <c r="KPD22" s="1902">
        <f t="shared" si="126"/>
        <v>0</v>
      </c>
      <c r="KPE22" s="1902">
        <f t="shared" si="126"/>
        <v>0</v>
      </c>
      <c r="KPF22" s="1902">
        <f t="shared" si="126"/>
        <v>0</v>
      </c>
      <c r="KPG22" s="1902">
        <f t="shared" si="126"/>
        <v>0</v>
      </c>
      <c r="KPH22" s="1902">
        <f t="shared" si="126"/>
        <v>0</v>
      </c>
      <c r="KPI22" s="1902">
        <f t="shared" si="126"/>
        <v>0</v>
      </c>
      <c r="KPJ22" s="1902">
        <f t="shared" si="126"/>
        <v>0</v>
      </c>
      <c r="KPK22" s="1902">
        <f t="shared" si="126"/>
        <v>0</v>
      </c>
      <c r="KPL22" s="1902">
        <f t="shared" si="126"/>
        <v>0</v>
      </c>
      <c r="KPM22" s="1902">
        <f t="shared" si="126"/>
        <v>0</v>
      </c>
      <c r="KPN22" s="1902">
        <f t="shared" si="126"/>
        <v>0</v>
      </c>
      <c r="KPO22" s="1902">
        <f t="shared" si="126"/>
        <v>0</v>
      </c>
      <c r="KPP22" s="1902">
        <f t="shared" si="126"/>
        <v>0</v>
      </c>
      <c r="KPQ22" s="1902">
        <f t="shared" si="126"/>
        <v>0</v>
      </c>
      <c r="KPR22" s="1902">
        <f t="shared" si="126"/>
        <v>0</v>
      </c>
      <c r="KPS22" s="1902">
        <f t="shared" si="126"/>
        <v>0</v>
      </c>
      <c r="KPT22" s="1902">
        <f t="shared" si="126"/>
        <v>0</v>
      </c>
      <c r="KPU22" s="1902">
        <f t="shared" si="126"/>
        <v>0</v>
      </c>
      <c r="KPV22" s="1902">
        <f t="shared" si="126"/>
        <v>0</v>
      </c>
      <c r="KPW22" s="1902">
        <f t="shared" si="126"/>
        <v>0</v>
      </c>
      <c r="KPX22" s="1902">
        <f t="shared" si="126"/>
        <v>0</v>
      </c>
      <c r="KPY22" s="1902">
        <f t="shared" si="126"/>
        <v>0</v>
      </c>
      <c r="KPZ22" s="1902">
        <f t="shared" si="126"/>
        <v>0</v>
      </c>
      <c r="KQA22" s="1902">
        <f t="shared" si="126"/>
        <v>0</v>
      </c>
      <c r="KQB22" s="1902">
        <f t="shared" si="126"/>
        <v>0</v>
      </c>
      <c r="KQC22" s="1902">
        <f t="shared" si="126"/>
        <v>0</v>
      </c>
      <c r="KQD22" s="1902">
        <f t="shared" si="126"/>
        <v>0</v>
      </c>
      <c r="KQE22" s="1902">
        <f t="shared" ref="KQE22:KSP22" si="127">IF(AND(KQE$26="End of period",KQE$25="Revenue"),KQE9,0)</f>
        <v>0</v>
      </c>
      <c r="KQF22" s="1902">
        <f t="shared" si="127"/>
        <v>0</v>
      </c>
      <c r="KQG22" s="1902">
        <f t="shared" si="127"/>
        <v>0</v>
      </c>
      <c r="KQH22" s="1902">
        <f t="shared" si="127"/>
        <v>0</v>
      </c>
      <c r="KQI22" s="1902">
        <f t="shared" si="127"/>
        <v>0</v>
      </c>
      <c r="KQJ22" s="1902">
        <f t="shared" si="127"/>
        <v>0</v>
      </c>
      <c r="KQK22" s="1902">
        <f t="shared" si="127"/>
        <v>0</v>
      </c>
      <c r="KQL22" s="1902">
        <f t="shared" si="127"/>
        <v>0</v>
      </c>
      <c r="KQM22" s="1902">
        <f t="shared" si="127"/>
        <v>0</v>
      </c>
      <c r="KQN22" s="1902">
        <f t="shared" si="127"/>
        <v>0</v>
      </c>
      <c r="KQO22" s="1902">
        <f t="shared" si="127"/>
        <v>0</v>
      </c>
      <c r="KQP22" s="1902">
        <f t="shared" si="127"/>
        <v>0</v>
      </c>
      <c r="KQQ22" s="1902">
        <f t="shared" si="127"/>
        <v>0</v>
      </c>
      <c r="KQR22" s="1902">
        <f t="shared" si="127"/>
        <v>0</v>
      </c>
      <c r="KQS22" s="1902">
        <f t="shared" si="127"/>
        <v>0</v>
      </c>
      <c r="KQT22" s="1902">
        <f t="shared" si="127"/>
        <v>0</v>
      </c>
      <c r="KQU22" s="1902">
        <f t="shared" si="127"/>
        <v>0</v>
      </c>
      <c r="KQV22" s="1902">
        <f t="shared" si="127"/>
        <v>0</v>
      </c>
      <c r="KQW22" s="1902">
        <f t="shared" si="127"/>
        <v>0</v>
      </c>
      <c r="KQX22" s="1902">
        <f t="shared" si="127"/>
        <v>0</v>
      </c>
      <c r="KQY22" s="1902">
        <f t="shared" si="127"/>
        <v>0</v>
      </c>
      <c r="KQZ22" s="1902">
        <f t="shared" si="127"/>
        <v>0</v>
      </c>
      <c r="KRA22" s="1902">
        <f t="shared" si="127"/>
        <v>0</v>
      </c>
      <c r="KRB22" s="1902">
        <f t="shared" si="127"/>
        <v>0</v>
      </c>
      <c r="KRC22" s="1902">
        <f t="shared" si="127"/>
        <v>0</v>
      </c>
      <c r="KRD22" s="1902">
        <f t="shared" si="127"/>
        <v>0</v>
      </c>
      <c r="KRE22" s="1902">
        <f t="shared" si="127"/>
        <v>0</v>
      </c>
      <c r="KRF22" s="1902">
        <f t="shared" si="127"/>
        <v>0</v>
      </c>
      <c r="KRG22" s="1902">
        <f t="shared" si="127"/>
        <v>0</v>
      </c>
      <c r="KRH22" s="1902">
        <f t="shared" si="127"/>
        <v>0</v>
      </c>
      <c r="KRI22" s="1902">
        <f t="shared" si="127"/>
        <v>0</v>
      </c>
      <c r="KRJ22" s="1902">
        <f t="shared" si="127"/>
        <v>0</v>
      </c>
      <c r="KRK22" s="1902">
        <f t="shared" si="127"/>
        <v>0</v>
      </c>
      <c r="KRL22" s="1902">
        <f t="shared" si="127"/>
        <v>0</v>
      </c>
      <c r="KRM22" s="1902">
        <f t="shared" si="127"/>
        <v>0</v>
      </c>
      <c r="KRN22" s="1902">
        <f t="shared" si="127"/>
        <v>0</v>
      </c>
      <c r="KRO22" s="1902">
        <f t="shared" si="127"/>
        <v>0</v>
      </c>
      <c r="KRP22" s="1902">
        <f t="shared" si="127"/>
        <v>0</v>
      </c>
      <c r="KRQ22" s="1902">
        <f t="shared" si="127"/>
        <v>0</v>
      </c>
      <c r="KRR22" s="1902">
        <f t="shared" si="127"/>
        <v>0</v>
      </c>
      <c r="KRS22" s="1902">
        <f t="shared" si="127"/>
        <v>0</v>
      </c>
      <c r="KRT22" s="1902">
        <f t="shared" si="127"/>
        <v>0</v>
      </c>
      <c r="KRU22" s="1902">
        <f t="shared" si="127"/>
        <v>0</v>
      </c>
      <c r="KRV22" s="1902">
        <f t="shared" si="127"/>
        <v>0</v>
      </c>
      <c r="KRW22" s="1902">
        <f t="shared" si="127"/>
        <v>0</v>
      </c>
      <c r="KRX22" s="1902">
        <f t="shared" si="127"/>
        <v>0</v>
      </c>
      <c r="KRY22" s="1902">
        <f t="shared" si="127"/>
        <v>0</v>
      </c>
      <c r="KRZ22" s="1902">
        <f t="shared" si="127"/>
        <v>0</v>
      </c>
      <c r="KSA22" s="1902">
        <f t="shared" si="127"/>
        <v>0</v>
      </c>
      <c r="KSB22" s="1902">
        <f t="shared" si="127"/>
        <v>0</v>
      </c>
      <c r="KSC22" s="1902">
        <f t="shared" si="127"/>
        <v>0</v>
      </c>
      <c r="KSD22" s="1902">
        <f t="shared" si="127"/>
        <v>0</v>
      </c>
      <c r="KSE22" s="1902">
        <f t="shared" si="127"/>
        <v>0</v>
      </c>
      <c r="KSF22" s="1902">
        <f t="shared" si="127"/>
        <v>0</v>
      </c>
      <c r="KSG22" s="1902">
        <f t="shared" si="127"/>
        <v>0</v>
      </c>
      <c r="KSH22" s="1902">
        <f t="shared" si="127"/>
        <v>0</v>
      </c>
      <c r="KSI22" s="1902">
        <f t="shared" si="127"/>
        <v>0</v>
      </c>
      <c r="KSJ22" s="1902">
        <f t="shared" si="127"/>
        <v>0</v>
      </c>
      <c r="KSK22" s="1902">
        <f t="shared" si="127"/>
        <v>0</v>
      </c>
      <c r="KSL22" s="1902">
        <f t="shared" si="127"/>
        <v>0</v>
      </c>
      <c r="KSM22" s="1902">
        <f t="shared" si="127"/>
        <v>0</v>
      </c>
      <c r="KSN22" s="1902">
        <f t="shared" si="127"/>
        <v>0</v>
      </c>
      <c r="KSO22" s="1902">
        <f t="shared" si="127"/>
        <v>0</v>
      </c>
      <c r="KSP22" s="1902">
        <f t="shared" si="127"/>
        <v>0</v>
      </c>
      <c r="KSQ22" s="1902">
        <f t="shared" ref="KSQ22:KVB22" si="128">IF(AND(KSQ$26="End of period",KSQ$25="Revenue"),KSQ9,0)</f>
        <v>0</v>
      </c>
      <c r="KSR22" s="1902">
        <f t="shared" si="128"/>
        <v>0</v>
      </c>
      <c r="KSS22" s="1902">
        <f t="shared" si="128"/>
        <v>0</v>
      </c>
      <c r="KST22" s="1902">
        <f t="shared" si="128"/>
        <v>0</v>
      </c>
      <c r="KSU22" s="1902">
        <f t="shared" si="128"/>
        <v>0</v>
      </c>
      <c r="KSV22" s="1902">
        <f t="shared" si="128"/>
        <v>0</v>
      </c>
      <c r="KSW22" s="1902">
        <f t="shared" si="128"/>
        <v>0</v>
      </c>
      <c r="KSX22" s="1902">
        <f t="shared" si="128"/>
        <v>0</v>
      </c>
      <c r="KSY22" s="1902">
        <f t="shared" si="128"/>
        <v>0</v>
      </c>
      <c r="KSZ22" s="1902">
        <f t="shared" si="128"/>
        <v>0</v>
      </c>
      <c r="KTA22" s="1902">
        <f t="shared" si="128"/>
        <v>0</v>
      </c>
      <c r="KTB22" s="1902">
        <f t="shared" si="128"/>
        <v>0</v>
      </c>
      <c r="KTC22" s="1902">
        <f t="shared" si="128"/>
        <v>0</v>
      </c>
      <c r="KTD22" s="1902">
        <f t="shared" si="128"/>
        <v>0</v>
      </c>
      <c r="KTE22" s="1902">
        <f t="shared" si="128"/>
        <v>0</v>
      </c>
      <c r="KTF22" s="1902">
        <f t="shared" si="128"/>
        <v>0</v>
      </c>
      <c r="KTG22" s="1902">
        <f t="shared" si="128"/>
        <v>0</v>
      </c>
      <c r="KTH22" s="1902">
        <f t="shared" si="128"/>
        <v>0</v>
      </c>
      <c r="KTI22" s="1902">
        <f t="shared" si="128"/>
        <v>0</v>
      </c>
      <c r="KTJ22" s="1902">
        <f t="shared" si="128"/>
        <v>0</v>
      </c>
      <c r="KTK22" s="1902">
        <f t="shared" si="128"/>
        <v>0</v>
      </c>
      <c r="KTL22" s="1902">
        <f t="shared" si="128"/>
        <v>0</v>
      </c>
      <c r="KTM22" s="1902">
        <f t="shared" si="128"/>
        <v>0</v>
      </c>
      <c r="KTN22" s="1902">
        <f t="shared" si="128"/>
        <v>0</v>
      </c>
      <c r="KTO22" s="1902">
        <f t="shared" si="128"/>
        <v>0</v>
      </c>
      <c r="KTP22" s="1902">
        <f t="shared" si="128"/>
        <v>0</v>
      </c>
      <c r="KTQ22" s="1902">
        <f t="shared" si="128"/>
        <v>0</v>
      </c>
      <c r="KTR22" s="1902">
        <f t="shared" si="128"/>
        <v>0</v>
      </c>
      <c r="KTS22" s="1902">
        <f t="shared" si="128"/>
        <v>0</v>
      </c>
      <c r="KTT22" s="1902">
        <f t="shared" si="128"/>
        <v>0</v>
      </c>
      <c r="KTU22" s="1902">
        <f t="shared" si="128"/>
        <v>0</v>
      </c>
      <c r="KTV22" s="1902">
        <f t="shared" si="128"/>
        <v>0</v>
      </c>
      <c r="KTW22" s="1902">
        <f t="shared" si="128"/>
        <v>0</v>
      </c>
      <c r="KTX22" s="1902">
        <f t="shared" si="128"/>
        <v>0</v>
      </c>
      <c r="KTY22" s="1902">
        <f t="shared" si="128"/>
        <v>0</v>
      </c>
      <c r="KTZ22" s="1902">
        <f t="shared" si="128"/>
        <v>0</v>
      </c>
      <c r="KUA22" s="1902">
        <f t="shared" si="128"/>
        <v>0</v>
      </c>
      <c r="KUB22" s="1902">
        <f t="shared" si="128"/>
        <v>0</v>
      </c>
      <c r="KUC22" s="1902">
        <f t="shared" si="128"/>
        <v>0</v>
      </c>
      <c r="KUD22" s="1902">
        <f t="shared" si="128"/>
        <v>0</v>
      </c>
      <c r="KUE22" s="1902">
        <f t="shared" si="128"/>
        <v>0</v>
      </c>
      <c r="KUF22" s="1902">
        <f t="shared" si="128"/>
        <v>0</v>
      </c>
      <c r="KUG22" s="1902">
        <f t="shared" si="128"/>
        <v>0</v>
      </c>
      <c r="KUH22" s="1902">
        <f t="shared" si="128"/>
        <v>0</v>
      </c>
      <c r="KUI22" s="1902">
        <f t="shared" si="128"/>
        <v>0</v>
      </c>
      <c r="KUJ22" s="1902">
        <f t="shared" si="128"/>
        <v>0</v>
      </c>
      <c r="KUK22" s="1902">
        <f t="shared" si="128"/>
        <v>0</v>
      </c>
      <c r="KUL22" s="1902">
        <f t="shared" si="128"/>
        <v>0</v>
      </c>
      <c r="KUM22" s="1902">
        <f t="shared" si="128"/>
        <v>0</v>
      </c>
      <c r="KUN22" s="1902">
        <f t="shared" si="128"/>
        <v>0</v>
      </c>
      <c r="KUO22" s="1902">
        <f t="shared" si="128"/>
        <v>0</v>
      </c>
      <c r="KUP22" s="1902">
        <f t="shared" si="128"/>
        <v>0</v>
      </c>
      <c r="KUQ22" s="1902">
        <f t="shared" si="128"/>
        <v>0</v>
      </c>
      <c r="KUR22" s="1902">
        <f t="shared" si="128"/>
        <v>0</v>
      </c>
      <c r="KUS22" s="1902">
        <f t="shared" si="128"/>
        <v>0</v>
      </c>
      <c r="KUT22" s="1902">
        <f t="shared" si="128"/>
        <v>0</v>
      </c>
      <c r="KUU22" s="1902">
        <f t="shared" si="128"/>
        <v>0</v>
      </c>
      <c r="KUV22" s="1902">
        <f t="shared" si="128"/>
        <v>0</v>
      </c>
      <c r="KUW22" s="1902">
        <f t="shared" si="128"/>
        <v>0</v>
      </c>
      <c r="KUX22" s="1902">
        <f t="shared" si="128"/>
        <v>0</v>
      </c>
      <c r="KUY22" s="1902">
        <f t="shared" si="128"/>
        <v>0</v>
      </c>
      <c r="KUZ22" s="1902">
        <f t="shared" si="128"/>
        <v>0</v>
      </c>
      <c r="KVA22" s="1902">
        <f t="shared" si="128"/>
        <v>0</v>
      </c>
      <c r="KVB22" s="1902">
        <f t="shared" si="128"/>
        <v>0</v>
      </c>
      <c r="KVC22" s="1902">
        <f t="shared" ref="KVC22:KXN22" si="129">IF(AND(KVC$26="End of period",KVC$25="Revenue"),KVC9,0)</f>
        <v>0</v>
      </c>
      <c r="KVD22" s="1902">
        <f t="shared" si="129"/>
        <v>0</v>
      </c>
      <c r="KVE22" s="1902">
        <f t="shared" si="129"/>
        <v>0</v>
      </c>
      <c r="KVF22" s="1902">
        <f t="shared" si="129"/>
        <v>0</v>
      </c>
      <c r="KVG22" s="1902">
        <f t="shared" si="129"/>
        <v>0</v>
      </c>
      <c r="KVH22" s="1902">
        <f t="shared" si="129"/>
        <v>0</v>
      </c>
      <c r="KVI22" s="1902">
        <f t="shared" si="129"/>
        <v>0</v>
      </c>
      <c r="KVJ22" s="1902">
        <f t="shared" si="129"/>
        <v>0</v>
      </c>
      <c r="KVK22" s="1902">
        <f t="shared" si="129"/>
        <v>0</v>
      </c>
      <c r="KVL22" s="1902">
        <f t="shared" si="129"/>
        <v>0</v>
      </c>
      <c r="KVM22" s="1902">
        <f t="shared" si="129"/>
        <v>0</v>
      </c>
      <c r="KVN22" s="1902">
        <f t="shared" si="129"/>
        <v>0</v>
      </c>
      <c r="KVO22" s="1902">
        <f t="shared" si="129"/>
        <v>0</v>
      </c>
      <c r="KVP22" s="1902">
        <f t="shared" si="129"/>
        <v>0</v>
      </c>
      <c r="KVQ22" s="1902">
        <f t="shared" si="129"/>
        <v>0</v>
      </c>
      <c r="KVR22" s="1902">
        <f t="shared" si="129"/>
        <v>0</v>
      </c>
      <c r="KVS22" s="1902">
        <f t="shared" si="129"/>
        <v>0</v>
      </c>
      <c r="KVT22" s="1902">
        <f t="shared" si="129"/>
        <v>0</v>
      </c>
      <c r="KVU22" s="1902">
        <f t="shared" si="129"/>
        <v>0</v>
      </c>
      <c r="KVV22" s="1902">
        <f t="shared" si="129"/>
        <v>0</v>
      </c>
      <c r="KVW22" s="1902">
        <f t="shared" si="129"/>
        <v>0</v>
      </c>
      <c r="KVX22" s="1902">
        <f t="shared" si="129"/>
        <v>0</v>
      </c>
      <c r="KVY22" s="1902">
        <f t="shared" si="129"/>
        <v>0</v>
      </c>
      <c r="KVZ22" s="1902">
        <f t="shared" si="129"/>
        <v>0</v>
      </c>
      <c r="KWA22" s="1902">
        <f t="shared" si="129"/>
        <v>0</v>
      </c>
      <c r="KWB22" s="1902">
        <f t="shared" si="129"/>
        <v>0</v>
      </c>
      <c r="KWC22" s="1902">
        <f t="shared" si="129"/>
        <v>0</v>
      </c>
      <c r="KWD22" s="1902">
        <f t="shared" si="129"/>
        <v>0</v>
      </c>
      <c r="KWE22" s="1902">
        <f t="shared" si="129"/>
        <v>0</v>
      </c>
      <c r="KWF22" s="1902">
        <f t="shared" si="129"/>
        <v>0</v>
      </c>
      <c r="KWG22" s="1902">
        <f t="shared" si="129"/>
        <v>0</v>
      </c>
      <c r="KWH22" s="1902">
        <f t="shared" si="129"/>
        <v>0</v>
      </c>
      <c r="KWI22" s="1902">
        <f t="shared" si="129"/>
        <v>0</v>
      </c>
      <c r="KWJ22" s="1902">
        <f t="shared" si="129"/>
        <v>0</v>
      </c>
      <c r="KWK22" s="1902">
        <f t="shared" si="129"/>
        <v>0</v>
      </c>
      <c r="KWL22" s="1902">
        <f t="shared" si="129"/>
        <v>0</v>
      </c>
      <c r="KWM22" s="1902">
        <f t="shared" si="129"/>
        <v>0</v>
      </c>
      <c r="KWN22" s="1902">
        <f t="shared" si="129"/>
        <v>0</v>
      </c>
      <c r="KWO22" s="1902">
        <f t="shared" si="129"/>
        <v>0</v>
      </c>
      <c r="KWP22" s="1902">
        <f t="shared" si="129"/>
        <v>0</v>
      </c>
      <c r="KWQ22" s="1902">
        <f t="shared" si="129"/>
        <v>0</v>
      </c>
      <c r="KWR22" s="1902">
        <f t="shared" si="129"/>
        <v>0</v>
      </c>
      <c r="KWS22" s="1902">
        <f t="shared" si="129"/>
        <v>0</v>
      </c>
      <c r="KWT22" s="1902">
        <f t="shared" si="129"/>
        <v>0</v>
      </c>
      <c r="KWU22" s="1902">
        <f t="shared" si="129"/>
        <v>0</v>
      </c>
      <c r="KWV22" s="1902">
        <f t="shared" si="129"/>
        <v>0</v>
      </c>
      <c r="KWW22" s="1902">
        <f t="shared" si="129"/>
        <v>0</v>
      </c>
      <c r="KWX22" s="1902">
        <f t="shared" si="129"/>
        <v>0</v>
      </c>
      <c r="KWY22" s="1902">
        <f t="shared" si="129"/>
        <v>0</v>
      </c>
      <c r="KWZ22" s="1902">
        <f t="shared" si="129"/>
        <v>0</v>
      </c>
      <c r="KXA22" s="1902">
        <f t="shared" si="129"/>
        <v>0</v>
      </c>
      <c r="KXB22" s="1902">
        <f t="shared" si="129"/>
        <v>0</v>
      </c>
      <c r="KXC22" s="1902">
        <f t="shared" si="129"/>
        <v>0</v>
      </c>
      <c r="KXD22" s="1902">
        <f t="shared" si="129"/>
        <v>0</v>
      </c>
      <c r="KXE22" s="1902">
        <f t="shared" si="129"/>
        <v>0</v>
      </c>
      <c r="KXF22" s="1902">
        <f t="shared" si="129"/>
        <v>0</v>
      </c>
      <c r="KXG22" s="1902">
        <f t="shared" si="129"/>
        <v>0</v>
      </c>
      <c r="KXH22" s="1902">
        <f t="shared" si="129"/>
        <v>0</v>
      </c>
      <c r="KXI22" s="1902">
        <f t="shared" si="129"/>
        <v>0</v>
      </c>
      <c r="KXJ22" s="1902">
        <f t="shared" si="129"/>
        <v>0</v>
      </c>
      <c r="KXK22" s="1902">
        <f t="shared" si="129"/>
        <v>0</v>
      </c>
      <c r="KXL22" s="1902">
        <f t="shared" si="129"/>
        <v>0</v>
      </c>
      <c r="KXM22" s="1902">
        <f t="shared" si="129"/>
        <v>0</v>
      </c>
      <c r="KXN22" s="1902">
        <f t="shared" si="129"/>
        <v>0</v>
      </c>
      <c r="KXO22" s="1902">
        <f t="shared" ref="KXO22:KZZ22" si="130">IF(AND(KXO$26="End of period",KXO$25="Revenue"),KXO9,0)</f>
        <v>0</v>
      </c>
      <c r="KXP22" s="1902">
        <f t="shared" si="130"/>
        <v>0</v>
      </c>
      <c r="KXQ22" s="1902">
        <f t="shared" si="130"/>
        <v>0</v>
      </c>
      <c r="KXR22" s="1902">
        <f t="shared" si="130"/>
        <v>0</v>
      </c>
      <c r="KXS22" s="1902">
        <f t="shared" si="130"/>
        <v>0</v>
      </c>
      <c r="KXT22" s="1902">
        <f t="shared" si="130"/>
        <v>0</v>
      </c>
      <c r="KXU22" s="1902">
        <f t="shared" si="130"/>
        <v>0</v>
      </c>
      <c r="KXV22" s="1902">
        <f t="shared" si="130"/>
        <v>0</v>
      </c>
      <c r="KXW22" s="1902">
        <f t="shared" si="130"/>
        <v>0</v>
      </c>
      <c r="KXX22" s="1902">
        <f t="shared" si="130"/>
        <v>0</v>
      </c>
      <c r="KXY22" s="1902">
        <f t="shared" si="130"/>
        <v>0</v>
      </c>
      <c r="KXZ22" s="1902">
        <f t="shared" si="130"/>
        <v>0</v>
      </c>
      <c r="KYA22" s="1902">
        <f t="shared" si="130"/>
        <v>0</v>
      </c>
      <c r="KYB22" s="1902">
        <f t="shared" si="130"/>
        <v>0</v>
      </c>
      <c r="KYC22" s="1902">
        <f t="shared" si="130"/>
        <v>0</v>
      </c>
      <c r="KYD22" s="1902">
        <f t="shared" si="130"/>
        <v>0</v>
      </c>
      <c r="KYE22" s="1902">
        <f t="shared" si="130"/>
        <v>0</v>
      </c>
      <c r="KYF22" s="1902">
        <f t="shared" si="130"/>
        <v>0</v>
      </c>
      <c r="KYG22" s="1902">
        <f t="shared" si="130"/>
        <v>0</v>
      </c>
      <c r="KYH22" s="1902">
        <f t="shared" si="130"/>
        <v>0</v>
      </c>
      <c r="KYI22" s="1902">
        <f t="shared" si="130"/>
        <v>0</v>
      </c>
      <c r="KYJ22" s="1902">
        <f t="shared" si="130"/>
        <v>0</v>
      </c>
      <c r="KYK22" s="1902">
        <f t="shared" si="130"/>
        <v>0</v>
      </c>
      <c r="KYL22" s="1902">
        <f t="shared" si="130"/>
        <v>0</v>
      </c>
      <c r="KYM22" s="1902">
        <f t="shared" si="130"/>
        <v>0</v>
      </c>
      <c r="KYN22" s="1902">
        <f t="shared" si="130"/>
        <v>0</v>
      </c>
      <c r="KYO22" s="1902">
        <f t="shared" si="130"/>
        <v>0</v>
      </c>
      <c r="KYP22" s="1902">
        <f t="shared" si="130"/>
        <v>0</v>
      </c>
      <c r="KYQ22" s="1902">
        <f t="shared" si="130"/>
        <v>0</v>
      </c>
      <c r="KYR22" s="1902">
        <f t="shared" si="130"/>
        <v>0</v>
      </c>
      <c r="KYS22" s="1902">
        <f t="shared" si="130"/>
        <v>0</v>
      </c>
      <c r="KYT22" s="1902">
        <f t="shared" si="130"/>
        <v>0</v>
      </c>
      <c r="KYU22" s="1902">
        <f t="shared" si="130"/>
        <v>0</v>
      </c>
      <c r="KYV22" s="1902">
        <f t="shared" si="130"/>
        <v>0</v>
      </c>
      <c r="KYW22" s="1902">
        <f t="shared" si="130"/>
        <v>0</v>
      </c>
      <c r="KYX22" s="1902">
        <f t="shared" si="130"/>
        <v>0</v>
      </c>
      <c r="KYY22" s="1902">
        <f t="shared" si="130"/>
        <v>0</v>
      </c>
      <c r="KYZ22" s="1902">
        <f t="shared" si="130"/>
        <v>0</v>
      </c>
      <c r="KZA22" s="1902">
        <f t="shared" si="130"/>
        <v>0</v>
      </c>
      <c r="KZB22" s="1902">
        <f t="shared" si="130"/>
        <v>0</v>
      </c>
      <c r="KZC22" s="1902">
        <f t="shared" si="130"/>
        <v>0</v>
      </c>
      <c r="KZD22" s="1902">
        <f t="shared" si="130"/>
        <v>0</v>
      </c>
      <c r="KZE22" s="1902">
        <f t="shared" si="130"/>
        <v>0</v>
      </c>
      <c r="KZF22" s="1902">
        <f t="shared" si="130"/>
        <v>0</v>
      </c>
      <c r="KZG22" s="1902">
        <f t="shared" si="130"/>
        <v>0</v>
      </c>
      <c r="KZH22" s="1902">
        <f t="shared" si="130"/>
        <v>0</v>
      </c>
      <c r="KZI22" s="1902">
        <f t="shared" si="130"/>
        <v>0</v>
      </c>
      <c r="KZJ22" s="1902">
        <f t="shared" si="130"/>
        <v>0</v>
      </c>
      <c r="KZK22" s="1902">
        <f t="shared" si="130"/>
        <v>0</v>
      </c>
      <c r="KZL22" s="1902">
        <f t="shared" si="130"/>
        <v>0</v>
      </c>
      <c r="KZM22" s="1902">
        <f t="shared" si="130"/>
        <v>0</v>
      </c>
      <c r="KZN22" s="1902">
        <f t="shared" si="130"/>
        <v>0</v>
      </c>
      <c r="KZO22" s="1902">
        <f t="shared" si="130"/>
        <v>0</v>
      </c>
      <c r="KZP22" s="1902">
        <f t="shared" si="130"/>
        <v>0</v>
      </c>
      <c r="KZQ22" s="1902">
        <f t="shared" si="130"/>
        <v>0</v>
      </c>
      <c r="KZR22" s="1902">
        <f t="shared" si="130"/>
        <v>0</v>
      </c>
      <c r="KZS22" s="1902">
        <f t="shared" si="130"/>
        <v>0</v>
      </c>
      <c r="KZT22" s="1902">
        <f t="shared" si="130"/>
        <v>0</v>
      </c>
      <c r="KZU22" s="1902">
        <f t="shared" si="130"/>
        <v>0</v>
      </c>
      <c r="KZV22" s="1902">
        <f t="shared" si="130"/>
        <v>0</v>
      </c>
      <c r="KZW22" s="1902">
        <f t="shared" si="130"/>
        <v>0</v>
      </c>
      <c r="KZX22" s="1902">
        <f t="shared" si="130"/>
        <v>0</v>
      </c>
      <c r="KZY22" s="1902">
        <f t="shared" si="130"/>
        <v>0</v>
      </c>
      <c r="KZZ22" s="1902">
        <f t="shared" si="130"/>
        <v>0</v>
      </c>
      <c r="LAA22" s="1902">
        <f t="shared" ref="LAA22:LCL22" si="131">IF(AND(LAA$26="End of period",LAA$25="Revenue"),LAA9,0)</f>
        <v>0</v>
      </c>
      <c r="LAB22" s="1902">
        <f t="shared" si="131"/>
        <v>0</v>
      </c>
      <c r="LAC22" s="1902">
        <f t="shared" si="131"/>
        <v>0</v>
      </c>
      <c r="LAD22" s="1902">
        <f t="shared" si="131"/>
        <v>0</v>
      </c>
      <c r="LAE22" s="1902">
        <f t="shared" si="131"/>
        <v>0</v>
      </c>
      <c r="LAF22" s="1902">
        <f t="shared" si="131"/>
        <v>0</v>
      </c>
      <c r="LAG22" s="1902">
        <f t="shared" si="131"/>
        <v>0</v>
      </c>
      <c r="LAH22" s="1902">
        <f t="shared" si="131"/>
        <v>0</v>
      </c>
      <c r="LAI22" s="1902">
        <f t="shared" si="131"/>
        <v>0</v>
      </c>
      <c r="LAJ22" s="1902">
        <f t="shared" si="131"/>
        <v>0</v>
      </c>
      <c r="LAK22" s="1902">
        <f t="shared" si="131"/>
        <v>0</v>
      </c>
      <c r="LAL22" s="1902">
        <f t="shared" si="131"/>
        <v>0</v>
      </c>
      <c r="LAM22" s="1902">
        <f t="shared" si="131"/>
        <v>0</v>
      </c>
      <c r="LAN22" s="1902">
        <f t="shared" si="131"/>
        <v>0</v>
      </c>
      <c r="LAO22" s="1902">
        <f t="shared" si="131"/>
        <v>0</v>
      </c>
      <c r="LAP22" s="1902">
        <f t="shared" si="131"/>
        <v>0</v>
      </c>
      <c r="LAQ22" s="1902">
        <f t="shared" si="131"/>
        <v>0</v>
      </c>
      <c r="LAR22" s="1902">
        <f t="shared" si="131"/>
        <v>0</v>
      </c>
      <c r="LAS22" s="1902">
        <f t="shared" si="131"/>
        <v>0</v>
      </c>
      <c r="LAT22" s="1902">
        <f t="shared" si="131"/>
        <v>0</v>
      </c>
      <c r="LAU22" s="1902">
        <f t="shared" si="131"/>
        <v>0</v>
      </c>
      <c r="LAV22" s="1902">
        <f t="shared" si="131"/>
        <v>0</v>
      </c>
      <c r="LAW22" s="1902">
        <f t="shared" si="131"/>
        <v>0</v>
      </c>
      <c r="LAX22" s="1902">
        <f t="shared" si="131"/>
        <v>0</v>
      </c>
      <c r="LAY22" s="1902">
        <f t="shared" si="131"/>
        <v>0</v>
      </c>
      <c r="LAZ22" s="1902">
        <f t="shared" si="131"/>
        <v>0</v>
      </c>
      <c r="LBA22" s="1902">
        <f t="shared" si="131"/>
        <v>0</v>
      </c>
      <c r="LBB22" s="1902">
        <f t="shared" si="131"/>
        <v>0</v>
      </c>
      <c r="LBC22" s="1902">
        <f t="shared" si="131"/>
        <v>0</v>
      </c>
      <c r="LBD22" s="1902">
        <f t="shared" si="131"/>
        <v>0</v>
      </c>
      <c r="LBE22" s="1902">
        <f t="shared" si="131"/>
        <v>0</v>
      </c>
      <c r="LBF22" s="1902">
        <f t="shared" si="131"/>
        <v>0</v>
      </c>
      <c r="LBG22" s="1902">
        <f t="shared" si="131"/>
        <v>0</v>
      </c>
      <c r="LBH22" s="1902">
        <f t="shared" si="131"/>
        <v>0</v>
      </c>
      <c r="LBI22" s="1902">
        <f t="shared" si="131"/>
        <v>0</v>
      </c>
      <c r="LBJ22" s="1902">
        <f t="shared" si="131"/>
        <v>0</v>
      </c>
      <c r="LBK22" s="1902">
        <f t="shared" si="131"/>
        <v>0</v>
      </c>
      <c r="LBL22" s="1902">
        <f t="shared" si="131"/>
        <v>0</v>
      </c>
      <c r="LBM22" s="1902">
        <f t="shared" si="131"/>
        <v>0</v>
      </c>
      <c r="LBN22" s="1902">
        <f t="shared" si="131"/>
        <v>0</v>
      </c>
      <c r="LBO22" s="1902">
        <f t="shared" si="131"/>
        <v>0</v>
      </c>
      <c r="LBP22" s="1902">
        <f t="shared" si="131"/>
        <v>0</v>
      </c>
      <c r="LBQ22" s="1902">
        <f t="shared" si="131"/>
        <v>0</v>
      </c>
      <c r="LBR22" s="1902">
        <f t="shared" si="131"/>
        <v>0</v>
      </c>
      <c r="LBS22" s="1902">
        <f t="shared" si="131"/>
        <v>0</v>
      </c>
      <c r="LBT22" s="1902">
        <f t="shared" si="131"/>
        <v>0</v>
      </c>
      <c r="LBU22" s="1902">
        <f t="shared" si="131"/>
        <v>0</v>
      </c>
      <c r="LBV22" s="1902">
        <f t="shared" si="131"/>
        <v>0</v>
      </c>
      <c r="LBW22" s="1902">
        <f t="shared" si="131"/>
        <v>0</v>
      </c>
      <c r="LBX22" s="1902">
        <f t="shared" si="131"/>
        <v>0</v>
      </c>
      <c r="LBY22" s="1902">
        <f t="shared" si="131"/>
        <v>0</v>
      </c>
      <c r="LBZ22" s="1902">
        <f t="shared" si="131"/>
        <v>0</v>
      </c>
      <c r="LCA22" s="1902">
        <f t="shared" si="131"/>
        <v>0</v>
      </c>
      <c r="LCB22" s="1902">
        <f t="shared" si="131"/>
        <v>0</v>
      </c>
      <c r="LCC22" s="1902">
        <f t="shared" si="131"/>
        <v>0</v>
      </c>
      <c r="LCD22" s="1902">
        <f t="shared" si="131"/>
        <v>0</v>
      </c>
      <c r="LCE22" s="1902">
        <f t="shared" si="131"/>
        <v>0</v>
      </c>
      <c r="LCF22" s="1902">
        <f t="shared" si="131"/>
        <v>0</v>
      </c>
      <c r="LCG22" s="1902">
        <f t="shared" si="131"/>
        <v>0</v>
      </c>
      <c r="LCH22" s="1902">
        <f t="shared" si="131"/>
        <v>0</v>
      </c>
      <c r="LCI22" s="1902">
        <f t="shared" si="131"/>
        <v>0</v>
      </c>
      <c r="LCJ22" s="1902">
        <f t="shared" si="131"/>
        <v>0</v>
      </c>
      <c r="LCK22" s="1902">
        <f t="shared" si="131"/>
        <v>0</v>
      </c>
      <c r="LCL22" s="1902">
        <f t="shared" si="131"/>
        <v>0</v>
      </c>
      <c r="LCM22" s="1902">
        <f t="shared" ref="LCM22:LEX22" si="132">IF(AND(LCM$26="End of period",LCM$25="Revenue"),LCM9,0)</f>
        <v>0</v>
      </c>
      <c r="LCN22" s="1902">
        <f t="shared" si="132"/>
        <v>0</v>
      </c>
      <c r="LCO22" s="1902">
        <f t="shared" si="132"/>
        <v>0</v>
      </c>
      <c r="LCP22" s="1902">
        <f t="shared" si="132"/>
        <v>0</v>
      </c>
      <c r="LCQ22" s="1902">
        <f t="shared" si="132"/>
        <v>0</v>
      </c>
      <c r="LCR22" s="1902">
        <f t="shared" si="132"/>
        <v>0</v>
      </c>
      <c r="LCS22" s="1902">
        <f t="shared" si="132"/>
        <v>0</v>
      </c>
      <c r="LCT22" s="1902">
        <f t="shared" si="132"/>
        <v>0</v>
      </c>
      <c r="LCU22" s="1902">
        <f t="shared" si="132"/>
        <v>0</v>
      </c>
      <c r="LCV22" s="1902">
        <f t="shared" si="132"/>
        <v>0</v>
      </c>
      <c r="LCW22" s="1902">
        <f t="shared" si="132"/>
        <v>0</v>
      </c>
      <c r="LCX22" s="1902">
        <f t="shared" si="132"/>
        <v>0</v>
      </c>
      <c r="LCY22" s="1902">
        <f t="shared" si="132"/>
        <v>0</v>
      </c>
      <c r="LCZ22" s="1902">
        <f t="shared" si="132"/>
        <v>0</v>
      </c>
      <c r="LDA22" s="1902">
        <f t="shared" si="132"/>
        <v>0</v>
      </c>
      <c r="LDB22" s="1902">
        <f t="shared" si="132"/>
        <v>0</v>
      </c>
      <c r="LDC22" s="1902">
        <f t="shared" si="132"/>
        <v>0</v>
      </c>
      <c r="LDD22" s="1902">
        <f t="shared" si="132"/>
        <v>0</v>
      </c>
      <c r="LDE22" s="1902">
        <f t="shared" si="132"/>
        <v>0</v>
      </c>
      <c r="LDF22" s="1902">
        <f t="shared" si="132"/>
        <v>0</v>
      </c>
      <c r="LDG22" s="1902">
        <f t="shared" si="132"/>
        <v>0</v>
      </c>
      <c r="LDH22" s="1902">
        <f t="shared" si="132"/>
        <v>0</v>
      </c>
      <c r="LDI22" s="1902">
        <f t="shared" si="132"/>
        <v>0</v>
      </c>
      <c r="LDJ22" s="1902">
        <f t="shared" si="132"/>
        <v>0</v>
      </c>
      <c r="LDK22" s="1902">
        <f t="shared" si="132"/>
        <v>0</v>
      </c>
      <c r="LDL22" s="1902">
        <f t="shared" si="132"/>
        <v>0</v>
      </c>
      <c r="LDM22" s="1902">
        <f t="shared" si="132"/>
        <v>0</v>
      </c>
      <c r="LDN22" s="1902">
        <f t="shared" si="132"/>
        <v>0</v>
      </c>
      <c r="LDO22" s="1902">
        <f t="shared" si="132"/>
        <v>0</v>
      </c>
      <c r="LDP22" s="1902">
        <f t="shared" si="132"/>
        <v>0</v>
      </c>
      <c r="LDQ22" s="1902">
        <f t="shared" si="132"/>
        <v>0</v>
      </c>
      <c r="LDR22" s="1902">
        <f t="shared" si="132"/>
        <v>0</v>
      </c>
      <c r="LDS22" s="1902">
        <f t="shared" si="132"/>
        <v>0</v>
      </c>
      <c r="LDT22" s="1902">
        <f t="shared" si="132"/>
        <v>0</v>
      </c>
      <c r="LDU22" s="1902">
        <f t="shared" si="132"/>
        <v>0</v>
      </c>
      <c r="LDV22" s="1902">
        <f t="shared" si="132"/>
        <v>0</v>
      </c>
      <c r="LDW22" s="1902">
        <f t="shared" si="132"/>
        <v>0</v>
      </c>
      <c r="LDX22" s="1902">
        <f t="shared" si="132"/>
        <v>0</v>
      </c>
      <c r="LDY22" s="1902">
        <f t="shared" si="132"/>
        <v>0</v>
      </c>
      <c r="LDZ22" s="1902">
        <f t="shared" si="132"/>
        <v>0</v>
      </c>
      <c r="LEA22" s="1902">
        <f t="shared" si="132"/>
        <v>0</v>
      </c>
      <c r="LEB22" s="1902">
        <f t="shared" si="132"/>
        <v>0</v>
      </c>
      <c r="LEC22" s="1902">
        <f t="shared" si="132"/>
        <v>0</v>
      </c>
      <c r="LED22" s="1902">
        <f t="shared" si="132"/>
        <v>0</v>
      </c>
      <c r="LEE22" s="1902">
        <f t="shared" si="132"/>
        <v>0</v>
      </c>
      <c r="LEF22" s="1902">
        <f t="shared" si="132"/>
        <v>0</v>
      </c>
      <c r="LEG22" s="1902">
        <f t="shared" si="132"/>
        <v>0</v>
      </c>
      <c r="LEH22" s="1902">
        <f t="shared" si="132"/>
        <v>0</v>
      </c>
      <c r="LEI22" s="1902">
        <f t="shared" si="132"/>
        <v>0</v>
      </c>
      <c r="LEJ22" s="1902">
        <f t="shared" si="132"/>
        <v>0</v>
      </c>
      <c r="LEK22" s="1902">
        <f t="shared" si="132"/>
        <v>0</v>
      </c>
      <c r="LEL22" s="1902">
        <f t="shared" si="132"/>
        <v>0</v>
      </c>
      <c r="LEM22" s="1902">
        <f t="shared" si="132"/>
        <v>0</v>
      </c>
      <c r="LEN22" s="1902">
        <f t="shared" si="132"/>
        <v>0</v>
      </c>
      <c r="LEO22" s="1902">
        <f t="shared" si="132"/>
        <v>0</v>
      </c>
      <c r="LEP22" s="1902">
        <f t="shared" si="132"/>
        <v>0</v>
      </c>
      <c r="LEQ22" s="1902">
        <f t="shared" si="132"/>
        <v>0</v>
      </c>
      <c r="LER22" s="1902">
        <f t="shared" si="132"/>
        <v>0</v>
      </c>
      <c r="LES22" s="1902">
        <f t="shared" si="132"/>
        <v>0</v>
      </c>
      <c r="LET22" s="1902">
        <f t="shared" si="132"/>
        <v>0</v>
      </c>
      <c r="LEU22" s="1902">
        <f t="shared" si="132"/>
        <v>0</v>
      </c>
      <c r="LEV22" s="1902">
        <f t="shared" si="132"/>
        <v>0</v>
      </c>
      <c r="LEW22" s="1902">
        <f t="shared" si="132"/>
        <v>0</v>
      </c>
      <c r="LEX22" s="1902">
        <f t="shared" si="132"/>
        <v>0</v>
      </c>
      <c r="LEY22" s="1902">
        <f t="shared" ref="LEY22:LHJ22" si="133">IF(AND(LEY$26="End of period",LEY$25="Revenue"),LEY9,0)</f>
        <v>0</v>
      </c>
      <c r="LEZ22" s="1902">
        <f t="shared" si="133"/>
        <v>0</v>
      </c>
      <c r="LFA22" s="1902">
        <f t="shared" si="133"/>
        <v>0</v>
      </c>
      <c r="LFB22" s="1902">
        <f t="shared" si="133"/>
        <v>0</v>
      </c>
      <c r="LFC22" s="1902">
        <f t="shared" si="133"/>
        <v>0</v>
      </c>
      <c r="LFD22" s="1902">
        <f t="shared" si="133"/>
        <v>0</v>
      </c>
      <c r="LFE22" s="1902">
        <f t="shared" si="133"/>
        <v>0</v>
      </c>
      <c r="LFF22" s="1902">
        <f t="shared" si="133"/>
        <v>0</v>
      </c>
      <c r="LFG22" s="1902">
        <f t="shared" si="133"/>
        <v>0</v>
      </c>
      <c r="LFH22" s="1902">
        <f t="shared" si="133"/>
        <v>0</v>
      </c>
      <c r="LFI22" s="1902">
        <f t="shared" si="133"/>
        <v>0</v>
      </c>
      <c r="LFJ22" s="1902">
        <f t="shared" si="133"/>
        <v>0</v>
      </c>
      <c r="LFK22" s="1902">
        <f t="shared" si="133"/>
        <v>0</v>
      </c>
      <c r="LFL22" s="1902">
        <f t="shared" si="133"/>
        <v>0</v>
      </c>
      <c r="LFM22" s="1902">
        <f t="shared" si="133"/>
        <v>0</v>
      </c>
      <c r="LFN22" s="1902">
        <f t="shared" si="133"/>
        <v>0</v>
      </c>
      <c r="LFO22" s="1902">
        <f t="shared" si="133"/>
        <v>0</v>
      </c>
      <c r="LFP22" s="1902">
        <f t="shared" si="133"/>
        <v>0</v>
      </c>
      <c r="LFQ22" s="1902">
        <f t="shared" si="133"/>
        <v>0</v>
      </c>
      <c r="LFR22" s="1902">
        <f t="shared" si="133"/>
        <v>0</v>
      </c>
      <c r="LFS22" s="1902">
        <f t="shared" si="133"/>
        <v>0</v>
      </c>
      <c r="LFT22" s="1902">
        <f t="shared" si="133"/>
        <v>0</v>
      </c>
      <c r="LFU22" s="1902">
        <f t="shared" si="133"/>
        <v>0</v>
      </c>
      <c r="LFV22" s="1902">
        <f t="shared" si="133"/>
        <v>0</v>
      </c>
      <c r="LFW22" s="1902">
        <f t="shared" si="133"/>
        <v>0</v>
      </c>
      <c r="LFX22" s="1902">
        <f t="shared" si="133"/>
        <v>0</v>
      </c>
      <c r="LFY22" s="1902">
        <f t="shared" si="133"/>
        <v>0</v>
      </c>
      <c r="LFZ22" s="1902">
        <f t="shared" si="133"/>
        <v>0</v>
      </c>
      <c r="LGA22" s="1902">
        <f t="shared" si="133"/>
        <v>0</v>
      </c>
      <c r="LGB22" s="1902">
        <f t="shared" si="133"/>
        <v>0</v>
      </c>
      <c r="LGC22" s="1902">
        <f t="shared" si="133"/>
        <v>0</v>
      </c>
      <c r="LGD22" s="1902">
        <f t="shared" si="133"/>
        <v>0</v>
      </c>
      <c r="LGE22" s="1902">
        <f t="shared" si="133"/>
        <v>0</v>
      </c>
      <c r="LGF22" s="1902">
        <f t="shared" si="133"/>
        <v>0</v>
      </c>
      <c r="LGG22" s="1902">
        <f t="shared" si="133"/>
        <v>0</v>
      </c>
      <c r="LGH22" s="1902">
        <f t="shared" si="133"/>
        <v>0</v>
      </c>
      <c r="LGI22" s="1902">
        <f t="shared" si="133"/>
        <v>0</v>
      </c>
      <c r="LGJ22" s="1902">
        <f t="shared" si="133"/>
        <v>0</v>
      </c>
      <c r="LGK22" s="1902">
        <f t="shared" si="133"/>
        <v>0</v>
      </c>
      <c r="LGL22" s="1902">
        <f t="shared" si="133"/>
        <v>0</v>
      </c>
      <c r="LGM22" s="1902">
        <f t="shared" si="133"/>
        <v>0</v>
      </c>
      <c r="LGN22" s="1902">
        <f t="shared" si="133"/>
        <v>0</v>
      </c>
      <c r="LGO22" s="1902">
        <f t="shared" si="133"/>
        <v>0</v>
      </c>
      <c r="LGP22" s="1902">
        <f t="shared" si="133"/>
        <v>0</v>
      </c>
      <c r="LGQ22" s="1902">
        <f t="shared" si="133"/>
        <v>0</v>
      </c>
      <c r="LGR22" s="1902">
        <f t="shared" si="133"/>
        <v>0</v>
      </c>
      <c r="LGS22" s="1902">
        <f t="shared" si="133"/>
        <v>0</v>
      </c>
      <c r="LGT22" s="1902">
        <f t="shared" si="133"/>
        <v>0</v>
      </c>
      <c r="LGU22" s="1902">
        <f t="shared" si="133"/>
        <v>0</v>
      </c>
      <c r="LGV22" s="1902">
        <f t="shared" si="133"/>
        <v>0</v>
      </c>
      <c r="LGW22" s="1902">
        <f t="shared" si="133"/>
        <v>0</v>
      </c>
      <c r="LGX22" s="1902">
        <f t="shared" si="133"/>
        <v>0</v>
      </c>
      <c r="LGY22" s="1902">
        <f t="shared" si="133"/>
        <v>0</v>
      </c>
      <c r="LGZ22" s="1902">
        <f t="shared" si="133"/>
        <v>0</v>
      </c>
      <c r="LHA22" s="1902">
        <f t="shared" si="133"/>
        <v>0</v>
      </c>
      <c r="LHB22" s="1902">
        <f t="shared" si="133"/>
        <v>0</v>
      </c>
      <c r="LHC22" s="1902">
        <f t="shared" si="133"/>
        <v>0</v>
      </c>
      <c r="LHD22" s="1902">
        <f t="shared" si="133"/>
        <v>0</v>
      </c>
      <c r="LHE22" s="1902">
        <f t="shared" si="133"/>
        <v>0</v>
      </c>
      <c r="LHF22" s="1902">
        <f t="shared" si="133"/>
        <v>0</v>
      </c>
      <c r="LHG22" s="1902">
        <f t="shared" si="133"/>
        <v>0</v>
      </c>
      <c r="LHH22" s="1902">
        <f t="shared" si="133"/>
        <v>0</v>
      </c>
      <c r="LHI22" s="1902">
        <f t="shared" si="133"/>
        <v>0</v>
      </c>
      <c r="LHJ22" s="1902">
        <f t="shared" si="133"/>
        <v>0</v>
      </c>
      <c r="LHK22" s="1902">
        <f t="shared" ref="LHK22:LJV22" si="134">IF(AND(LHK$26="End of period",LHK$25="Revenue"),LHK9,0)</f>
        <v>0</v>
      </c>
      <c r="LHL22" s="1902">
        <f t="shared" si="134"/>
        <v>0</v>
      </c>
      <c r="LHM22" s="1902">
        <f t="shared" si="134"/>
        <v>0</v>
      </c>
      <c r="LHN22" s="1902">
        <f t="shared" si="134"/>
        <v>0</v>
      </c>
      <c r="LHO22" s="1902">
        <f t="shared" si="134"/>
        <v>0</v>
      </c>
      <c r="LHP22" s="1902">
        <f t="shared" si="134"/>
        <v>0</v>
      </c>
      <c r="LHQ22" s="1902">
        <f t="shared" si="134"/>
        <v>0</v>
      </c>
      <c r="LHR22" s="1902">
        <f t="shared" si="134"/>
        <v>0</v>
      </c>
      <c r="LHS22" s="1902">
        <f t="shared" si="134"/>
        <v>0</v>
      </c>
      <c r="LHT22" s="1902">
        <f t="shared" si="134"/>
        <v>0</v>
      </c>
      <c r="LHU22" s="1902">
        <f t="shared" si="134"/>
        <v>0</v>
      </c>
      <c r="LHV22" s="1902">
        <f t="shared" si="134"/>
        <v>0</v>
      </c>
      <c r="LHW22" s="1902">
        <f t="shared" si="134"/>
        <v>0</v>
      </c>
      <c r="LHX22" s="1902">
        <f t="shared" si="134"/>
        <v>0</v>
      </c>
      <c r="LHY22" s="1902">
        <f t="shared" si="134"/>
        <v>0</v>
      </c>
      <c r="LHZ22" s="1902">
        <f t="shared" si="134"/>
        <v>0</v>
      </c>
      <c r="LIA22" s="1902">
        <f t="shared" si="134"/>
        <v>0</v>
      </c>
      <c r="LIB22" s="1902">
        <f t="shared" si="134"/>
        <v>0</v>
      </c>
      <c r="LIC22" s="1902">
        <f t="shared" si="134"/>
        <v>0</v>
      </c>
      <c r="LID22" s="1902">
        <f t="shared" si="134"/>
        <v>0</v>
      </c>
      <c r="LIE22" s="1902">
        <f t="shared" si="134"/>
        <v>0</v>
      </c>
      <c r="LIF22" s="1902">
        <f t="shared" si="134"/>
        <v>0</v>
      </c>
      <c r="LIG22" s="1902">
        <f t="shared" si="134"/>
        <v>0</v>
      </c>
      <c r="LIH22" s="1902">
        <f t="shared" si="134"/>
        <v>0</v>
      </c>
      <c r="LII22" s="1902">
        <f t="shared" si="134"/>
        <v>0</v>
      </c>
      <c r="LIJ22" s="1902">
        <f t="shared" si="134"/>
        <v>0</v>
      </c>
      <c r="LIK22" s="1902">
        <f t="shared" si="134"/>
        <v>0</v>
      </c>
      <c r="LIL22" s="1902">
        <f t="shared" si="134"/>
        <v>0</v>
      </c>
      <c r="LIM22" s="1902">
        <f t="shared" si="134"/>
        <v>0</v>
      </c>
      <c r="LIN22" s="1902">
        <f t="shared" si="134"/>
        <v>0</v>
      </c>
      <c r="LIO22" s="1902">
        <f t="shared" si="134"/>
        <v>0</v>
      </c>
      <c r="LIP22" s="1902">
        <f t="shared" si="134"/>
        <v>0</v>
      </c>
      <c r="LIQ22" s="1902">
        <f t="shared" si="134"/>
        <v>0</v>
      </c>
      <c r="LIR22" s="1902">
        <f t="shared" si="134"/>
        <v>0</v>
      </c>
      <c r="LIS22" s="1902">
        <f t="shared" si="134"/>
        <v>0</v>
      </c>
      <c r="LIT22" s="1902">
        <f t="shared" si="134"/>
        <v>0</v>
      </c>
      <c r="LIU22" s="1902">
        <f t="shared" si="134"/>
        <v>0</v>
      </c>
      <c r="LIV22" s="1902">
        <f t="shared" si="134"/>
        <v>0</v>
      </c>
      <c r="LIW22" s="1902">
        <f t="shared" si="134"/>
        <v>0</v>
      </c>
      <c r="LIX22" s="1902">
        <f t="shared" si="134"/>
        <v>0</v>
      </c>
      <c r="LIY22" s="1902">
        <f t="shared" si="134"/>
        <v>0</v>
      </c>
      <c r="LIZ22" s="1902">
        <f t="shared" si="134"/>
        <v>0</v>
      </c>
      <c r="LJA22" s="1902">
        <f t="shared" si="134"/>
        <v>0</v>
      </c>
      <c r="LJB22" s="1902">
        <f t="shared" si="134"/>
        <v>0</v>
      </c>
      <c r="LJC22" s="1902">
        <f t="shared" si="134"/>
        <v>0</v>
      </c>
      <c r="LJD22" s="1902">
        <f t="shared" si="134"/>
        <v>0</v>
      </c>
      <c r="LJE22" s="1902">
        <f t="shared" si="134"/>
        <v>0</v>
      </c>
      <c r="LJF22" s="1902">
        <f t="shared" si="134"/>
        <v>0</v>
      </c>
      <c r="LJG22" s="1902">
        <f t="shared" si="134"/>
        <v>0</v>
      </c>
      <c r="LJH22" s="1902">
        <f t="shared" si="134"/>
        <v>0</v>
      </c>
      <c r="LJI22" s="1902">
        <f t="shared" si="134"/>
        <v>0</v>
      </c>
      <c r="LJJ22" s="1902">
        <f t="shared" si="134"/>
        <v>0</v>
      </c>
      <c r="LJK22" s="1902">
        <f t="shared" si="134"/>
        <v>0</v>
      </c>
      <c r="LJL22" s="1902">
        <f t="shared" si="134"/>
        <v>0</v>
      </c>
      <c r="LJM22" s="1902">
        <f t="shared" si="134"/>
        <v>0</v>
      </c>
      <c r="LJN22" s="1902">
        <f t="shared" si="134"/>
        <v>0</v>
      </c>
      <c r="LJO22" s="1902">
        <f t="shared" si="134"/>
        <v>0</v>
      </c>
      <c r="LJP22" s="1902">
        <f t="shared" si="134"/>
        <v>0</v>
      </c>
      <c r="LJQ22" s="1902">
        <f t="shared" si="134"/>
        <v>0</v>
      </c>
      <c r="LJR22" s="1902">
        <f t="shared" si="134"/>
        <v>0</v>
      </c>
      <c r="LJS22" s="1902">
        <f t="shared" si="134"/>
        <v>0</v>
      </c>
      <c r="LJT22" s="1902">
        <f t="shared" si="134"/>
        <v>0</v>
      </c>
      <c r="LJU22" s="1902">
        <f t="shared" si="134"/>
        <v>0</v>
      </c>
      <c r="LJV22" s="1902">
        <f t="shared" si="134"/>
        <v>0</v>
      </c>
      <c r="LJW22" s="1902">
        <f t="shared" ref="LJW22:LMH22" si="135">IF(AND(LJW$26="End of period",LJW$25="Revenue"),LJW9,0)</f>
        <v>0</v>
      </c>
      <c r="LJX22" s="1902">
        <f t="shared" si="135"/>
        <v>0</v>
      </c>
      <c r="LJY22" s="1902">
        <f t="shared" si="135"/>
        <v>0</v>
      </c>
      <c r="LJZ22" s="1902">
        <f t="shared" si="135"/>
        <v>0</v>
      </c>
      <c r="LKA22" s="1902">
        <f t="shared" si="135"/>
        <v>0</v>
      </c>
      <c r="LKB22" s="1902">
        <f t="shared" si="135"/>
        <v>0</v>
      </c>
      <c r="LKC22" s="1902">
        <f t="shared" si="135"/>
        <v>0</v>
      </c>
      <c r="LKD22" s="1902">
        <f t="shared" si="135"/>
        <v>0</v>
      </c>
      <c r="LKE22" s="1902">
        <f t="shared" si="135"/>
        <v>0</v>
      </c>
      <c r="LKF22" s="1902">
        <f t="shared" si="135"/>
        <v>0</v>
      </c>
      <c r="LKG22" s="1902">
        <f t="shared" si="135"/>
        <v>0</v>
      </c>
      <c r="LKH22" s="1902">
        <f t="shared" si="135"/>
        <v>0</v>
      </c>
      <c r="LKI22" s="1902">
        <f t="shared" si="135"/>
        <v>0</v>
      </c>
      <c r="LKJ22" s="1902">
        <f t="shared" si="135"/>
        <v>0</v>
      </c>
      <c r="LKK22" s="1902">
        <f t="shared" si="135"/>
        <v>0</v>
      </c>
      <c r="LKL22" s="1902">
        <f t="shared" si="135"/>
        <v>0</v>
      </c>
      <c r="LKM22" s="1902">
        <f t="shared" si="135"/>
        <v>0</v>
      </c>
      <c r="LKN22" s="1902">
        <f t="shared" si="135"/>
        <v>0</v>
      </c>
      <c r="LKO22" s="1902">
        <f t="shared" si="135"/>
        <v>0</v>
      </c>
      <c r="LKP22" s="1902">
        <f t="shared" si="135"/>
        <v>0</v>
      </c>
      <c r="LKQ22" s="1902">
        <f t="shared" si="135"/>
        <v>0</v>
      </c>
      <c r="LKR22" s="1902">
        <f t="shared" si="135"/>
        <v>0</v>
      </c>
      <c r="LKS22" s="1902">
        <f t="shared" si="135"/>
        <v>0</v>
      </c>
      <c r="LKT22" s="1902">
        <f t="shared" si="135"/>
        <v>0</v>
      </c>
      <c r="LKU22" s="1902">
        <f t="shared" si="135"/>
        <v>0</v>
      </c>
      <c r="LKV22" s="1902">
        <f t="shared" si="135"/>
        <v>0</v>
      </c>
      <c r="LKW22" s="1902">
        <f t="shared" si="135"/>
        <v>0</v>
      </c>
      <c r="LKX22" s="1902">
        <f t="shared" si="135"/>
        <v>0</v>
      </c>
      <c r="LKY22" s="1902">
        <f t="shared" si="135"/>
        <v>0</v>
      </c>
      <c r="LKZ22" s="1902">
        <f t="shared" si="135"/>
        <v>0</v>
      </c>
      <c r="LLA22" s="1902">
        <f t="shared" si="135"/>
        <v>0</v>
      </c>
      <c r="LLB22" s="1902">
        <f t="shared" si="135"/>
        <v>0</v>
      </c>
      <c r="LLC22" s="1902">
        <f t="shared" si="135"/>
        <v>0</v>
      </c>
      <c r="LLD22" s="1902">
        <f t="shared" si="135"/>
        <v>0</v>
      </c>
      <c r="LLE22" s="1902">
        <f t="shared" si="135"/>
        <v>0</v>
      </c>
      <c r="LLF22" s="1902">
        <f t="shared" si="135"/>
        <v>0</v>
      </c>
      <c r="LLG22" s="1902">
        <f t="shared" si="135"/>
        <v>0</v>
      </c>
      <c r="LLH22" s="1902">
        <f t="shared" si="135"/>
        <v>0</v>
      </c>
      <c r="LLI22" s="1902">
        <f t="shared" si="135"/>
        <v>0</v>
      </c>
      <c r="LLJ22" s="1902">
        <f t="shared" si="135"/>
        <v>0</v>
      </c>
      <c r="LLK22" s="1902">
        <f t="shared" si="135"/>
        <v>0</v>
      </c>
      <c r="LLL22" s="1902">
        <f t="shared" si="135"/>
        <v>0</v>
      </c>
      <c r="LLM22" s="1902">
        <f t="shared" si="135"/>
        <v>0</v>
      </c>
      <c r="LLN22" s="1902">
        <f t="shared" si="135"/>
        <v>0</v>
      </c>
      <c r="LLO22" s="1902">
        <f t="shared" si="135"/>
        <v>0</v>
      </c>
      <c r="LLP22" s="1902">
        <f t="shared" si="135"/>
        <v>0</v>
      </c>
      <c r="LLQ22" s="1902">
        <f t="shared" si="135"/>
        <v>0</v>
      </c>
      <c r="LLR22" s="1902">
        <f t="shared" si="135"/>
        <v>0</v>
      </c>
      <c r="LLS22" s="1902">
        <f t="shared" si="135"/>
        <v>0</v>
      </c>
      <c r="LLT22" s="1902">
        <f t="shared" si="135"/>
        <v>0</v>
      </c>
      <c r="LLU22" s="1902">
        <f t="shared" si="135"/>
        <v>0</v>
      </c>
      <c r="LLV22" s="1902">
        <f t="shared" si="135"/>
        <v>0</v>
      </c>
      <c r="LLW22" s="1902">
        <f t="shared" si="135"/>
        <v>0</v>
      </c>
      <c r="LLX22" s="1902">
        <f t="shared" si="135"/>
        <v>0</v>
      </c>
      <c r="LLY22" s="1902">
        <f t="shared" si="135"/>
        <v>0</v>
      </c>
      <c r="LLZ22" s="1902">
        <f t="shared" si="135"/>
        <v>0</v>
      </c>
      <c r="LMA22" s="1902">
        <f t="shared" si="135"/>
        <v>0</v>
      </c>
      <c r="LMB22" s="1902">
        <f t="shared" si="135"/>
        <v>0</v>
      </c>
      <c r="LMC22" s="1902">
        <f t="shared" si="135"/>
        <v>0</v>
      </c>
      <c r="LMD22" s="1902">
        <f t="shared" si="135"/>
        <v>0</v>
      </c>
      <c r="LME22" s="1902">
        <f t="shared" si="135"/>
        <v>0</v>
      </c>
      <c r="LMF22" s="1902">
        <f t="shared" si="135"/>
        <v>0</v>
      </c>
      <c r="LMG22" s="1902">
        <f t="shared" si="135"/>
        <v>0</v>
      </c>
      <c r="LMH22" s="1902">
        <f t="shared" si="135"/>
        <v>0</v>
      </c>
      <c r="LMI22" s="1902">
        <f t="shared" ref="LMI22:LOT22" si="136">IF(AND(LMI$26="End of period",LMI$25="Revenue"),LMI9,0)</f>
        <v>0</v>
      </c>
      <c r="LMJ22" s="1902">
        <f t="shared" si="136"/>
        <v>0</v>
      </c>
      <c r="LMK22" s="1902">
        <f t="shared" si="136"/>
        <v>0</v>
      </c>
      <c r="LML22" s="1902">
        <f t="shared" si="136"/>
        <v>0</v>
      </c>
      <c r="LMM22" s="1902">
        <f t="shared" si="136"/>
        <v>0</v>
      </c>
      <c r="LMN22" s="1902">
        <f t="shared" si="136"/>
        <v>0</v>
      </c>
      <c r="LMO22" s="1902">
        <f t="shared" si="136"/>
        <v>0</v>
      </c>
      <c r="LMP22" s="1902">
        <f t="shared" si="136"/>
        <v>0</v>
      </c>
      <c r="LMQ22" s="1902">
        <f t="shared" si="136"/>
        <v>0</v>
      </c>
      <c r="LMR22" s="1902">
        <f t="shared" si="136"/>
        <v>0</v>
      </c>
      <c r="LMS22" s="1902">
        <f t="shared" si="136"/>
        <v>0</v>
      </c>
      <c r="LMT22" s="1902">
        <f t="shared" si="136"/>
        <v>0</v>
      </c>
      <c r="LMU22" s="1902">
        <f t="shared" si="136"/>
        <v>0</v>
      </c>
      <c r="LMV22" s="1902">
        <f t="shared" si="136"/>
        <v>0</v>
      </c>
      <c r="LMW22" s="1902">
        <f t="shared" si="136"/>
        <v>0</v>
      </c>
      <c r="LMX22" s="1902">
        <f t="shared" si="136"/>
        <v>0</v>
      </c>
      <c r="LMY22" s="1902">
        <f t="shared" si="136"/>
        <v>0</v>
      </c>
      <c r="LMZ22" s="1902">
        <f t="shared" si="136"/>
        <v>0</v>
      </c>
      <c r="LNA22" s="1902">
        <f t="shared" si="136"/>
        <v>0</v>
      </c>
      <c r="LNB22" s="1902">
        <f t="shared" si="136"/>
        <v>0</v>
      </c>
      <c r="LNC22" s="1902">
        <f t="shared" si="136"/>
        <v>0</v>
      </c>
      <c r="LND22" s="1902">
        <f t="shared" si="136"/>
        <v>0</v>
      </c>
      <c r="LNE22" s="1902">
        <f t="shared" si="136"/>
        <v>0</v>
      </c>
      <c r="LNF22" s="1902">
        <f t="shared" si="136"/>
        <v>0</v>
      </c>
      <c r="LNG22" s="1902">
        <f t="shared" si="136"/>
        <v>0</v>
      </c>
      <c r="LNH22" s="1902">
        <f t="shared" si="136"/>
        <v>0</v>
      </c>
      <c r="LNI22" s="1902">
        <f t="shared" si="136"/>
        <v>0</v>
      </c>
      <c r="LNJ22" s="1902">
        <f t="shared" si="136"/>
        <v>0</v>
      </c>
      <c r="LNK22" s="1902">
        <f t="shared" si="136"/>
        <v>0</v>
      </c>
      <c r="LNL22" s="1902">
        <f t="shared" si="136"/>
        <v>0</v>
      </c>
      <c r="LNM22" s="1902">
        <f t="shared" si="136"/>
        <v>0</v>
      </c>
      <c r="LNN22" s="1902">
        <f t="shared" si="136"/>
        <v>0</v>
      </c>
      <c r="LNO22" s="1902">
        <f t="shared" si="136"/>
        <v>0</v>
      </c>
      <c r="LNP22" s="1902">
        <f t="shared" si="136"/>
        <v>0</v>
      </c>
      <c r="LNQ22" s="1902">
        <f t="shared" si="136"/>
        <v>0</v>
      </c>
      <c r="LNR22" s="1902">
        <f t="shared" si="136"/>
        <v>0</v>
      </c>
      <c r="LNS22" s="1902">
        <f t="shared" si="136"/>
        <v>0</v>
      </c>
      <c r="LNT22" s="1902">
        <f t="shared" si="136"/>
        <v>0</v>
      </c>
      <c r="LNU22" s="1902">
        <f t="shared" si="136"/>
        <v>0</v>
      </c>
      <c r="LNV22" s="1902">
        <f t="shared" si="136"/>
        <v>0</v>
      </c>
      <c r="LNW22" s="1902">
        <f t="shared" si="136"/>
        <v>0</v>
      </c>
      <c r="LNX22" s="1902">
        <f t="shared" si="136"/>
        <v>0</v>
      </c>
      <c r="LNY22" s="1902">
        <f t="shared" si="136"/>
        <v>0</v>
      </c>
      <c r="LNZ22" s="1902">
        <f t="shared" si="136"/>
        <v>0</v>
      </c>
      <c r="LOA22" s="1902">
        <f t="shared" si="136"/>
        <v>0</v>
      </c>
      <c r="LOB22" s="1902">
        <f t="shared" si="136"/>
        <v>0</v>
      </c>
      <c r="LOC22" s="1902">
        <f t="shared" si="136"/>
        <v>0</v>
      </c>
      <c r="LOD22" s="1902">
        <f t="shared" si="136"/>
        <v>0</v>
      </c>
      <c r="LOE22" s="1902">
        <f t="shared" si="136"/>
        <v>0</v>
      </c>
      <c r="LOF22" s="1902">
        <f t="shared" si="136"/>
        <v>0</v>
      </c>
      <c r="LOG22" s="1902">
        <f t="shared" si="136"/>
        <v>0</v>
      </c>
      <c r="LOH22" s="1902">
        <f t="shared" si="136"/>
        <v>0</v>
      </c>
      <c r="LOI22" s="1902">
        <f t="shared" si="136"/>
        <v>0</v>
      </c>
      <c r="LOJ22" s="1902">
        <f t="shared" si="136"/>
        <v>0</v>
      </c>
      <c r="LOK22" s="1902">
        <f t="shared" si="136"/>
        <v>0</v>
      </c>
      <c r="LOL22" s="1902">
        <f t="shared" si="136"/>
        <v>0</v>
      </c>
      <c r="LOM22" s="1902">
        <f t="shared" si="136"/>
        <v>0</v>
      </c>
      <c r="LON22" s="1902">
        <f t="shared" si="136"/>
        <v>0</v>
      </c>
      <c r="LOO22" s="1902">
        <f t="shared" si="136"/>
        <v>0</v>
      </c>
      <c r="LOP22" s="1902">
        <f t="shared" si="136"/>
        <v>0</v>
      </c>
      <c r="LOQ22" s="1902">
        <f t="shared" si="136"/>
        <v>0</v>
      </c>
      <c r="LOR22" s="1902">
        <f t="shared" si="136"/>
        <v>0</v>
      </c>
      <c r="LOS22" s="1902">
        <f t="shared" si="136"/>
        <v>0</v>
      </c>
      <c r="LOT22" s="1902">
        <f t="shared" si="136"/>
        <v>0</v>
      </c>
      <c r="LOU22" s="1902">
        <f t="shared" ref="LOU22:LRF22" si="137">IF(AND(LOU$26="End of period",LOU$25="Revenue"),LOU9,0)</f>
        <v>0</v>
      </c>
      <c r="LOV22" s="1902">
        <f t="shared" si="137"/>
        <v>0</v>
      </c>
      <c r="LOW22" s="1902">
        <f t="shared" si="137"/>
        <v>0</v>
      </c>
      <c r="LOX22" s="1902">
        <f t="shared" si="137"/>
        <v>0</v>
      </c>
      <c r="LOY22" s="1902">
        <f t="shared" si="137"/>
        <v>0</v>
      </c>
      <c r="LOZ22" s="1902">
        <f t="shared" si="137"/>
        <v>0</v>
      </c>
      <c r="LPA22" s="1902">
        <f t="shared" si="137"/>
        <v>0</v>
      </c>
      <c r="LPB22" s="1902">
        <f t="shared" si="137"/>
        <v>0</v>
      </c>
      <c r="LPC22" s="1902">
        <f t="shared" si="137"/>
        <v>0</v>
      </c>
      <c r="LPD22" s="1902">
        <f t="shared" si="137"/>
        <v>0</v>
      </c>
      <c r="LPE22" s="1902">
        <f t="shared" si="137"/>
        <v>0</v>
      </c>
      <c r="LPF22" s="1902">
        <f t="shared" si="137"/>
        <v>0</v>
      </c>
      <c r="LPG22" s="1902">
        <f t="shared" si="137"/>
        <v>0</v>
      </c>
      <c r="LPH22" s="1902">
        <f t="shared" si="137"/>
        <v>0</v>
      </c>
      <c r="LPI22" s="1902">
        <f t="shared" si="137"/>
        <v>0</v>
      </c>
      <c r="LPJ22" s="1902">
        <f t="shared" si="137"/>
        <v>0</v>
      </c>
      <c r="LPK22" s="1902">
        <f t="shared" si="137"/>
        <v>0</v>
      </c>
      <c r="LPL22" s="1902">
        <f t="shared" si="137"/>
        <v>0</v>
      </c>
      <c r="LPM22" s="1902">
        <f t="shared" si="137"/>
        <v>0</v>
      </c>
      <c r="LPN22" s="1902">
        <f t="shared" si="137"/>
        <v>0</v>
      </c>
      <c r="LPO22" s="1902">
        <f t="shared" si="137"/>
        <v>0</v>
      </c>
      <c r="LPP22" s="1902">
        <f t="shared" si="137"/>
        <v>0</v>
      </c>
      <c r="LPQ22" s="1902">
        <f t="shared" si="137"/>
        <v>0</v>
      </c>
      <c r="LPR22" s="1902">
        <f t="shared" si="137"/>
        <v>0</v>
      </c>
      <c r="LPS22" s="1902">
        <f t="shared" si="137"/>
        <v>0</v>
      </c>
      <c r="LPT22" s="1902">
        <f t="shared" si="137"/>
        <v>0</v>
      </c>
      <c r="LPU22" s="1902">
        <f t="shared" si="137"/>
        <v>0</v>
      </c>
      <c r="LPV22" s="1902">
        <f t="shared" si="137"/>
        <v>0</v>
      </c>
      <c r="LPW22" s="1902">
        <f t="shared" si="137"/>
        <v>0</v>
      </c>
      <c r="LPX22" s="1902">
        <f t="shared" si="137"/>
        <v>0</v>
      </c>
      <c r="LPY22" s="1902">
        <f t="shared" si="137"/>
        <v>0</v>
      </c>
      <c r="LPZ22" s="1902">
        <f t="shared" si="137"/>
        <v>0</v>
      </c>
      <c r="LQA22" s="1902">
        <f t="shared" si="137"/>
        <v>0</v>
      </c>
      <c r="LQB22" s="1902">
        <f t="shared" si="137"/>
        <v>0</v>
      </c>
      <c r="LQC22" s="1902">
        <f t="shared" si="137"/>
        <v>0</v>
      </c>
      <c r="LQD22" s="1902">
        <f t="shared" si="137"/>
        <v>0</v>
      </c>
      <c r="LQE22" s="1902">
        <f t="shared" si="137"/>
        <v>0</v>
      </c>
      <c r="LQF22" s="1902">
        <f t="shared" si="137"/>
        <v>0</v>
      </c>
      <c r="LQG22" s="1902">
        <f t="shared" si="137"/>
        <v>0</v>
      </c>
      <c r="LQH22" s="1902">
        <f t="shared" si="137"/>
        <v>0</v>
      </c>
      <c r="LQI22" s="1902">
        <f t="shared" si="137"/>
        <v>0</v>
      </c>
      <c r="LQJ22" s="1902">
        <f t="shared" si="137"/>
        <v>0</v>
      </c>
      <c r="LQK22" s="1902">
        <f t="shared" si="137"/>
        <v>0</v>
      </c>
      <c r="LQL22" s="1902">
        <f t="shared" si="137"/>
        <v>0</v>
      </c>
      <c r="LQM22" s="1902">
        <f t="shared" si="137"/>
        <v>0</v>
      </c>
      <c r="LQN22" s="1902">
        <f t="shared" si="137"/>
        <v>0</v>
      </c>
      <c r="LQO22" s="1902">
        <f t="shared" si="137"/>
        <v>0</v>
      </c>
      <c r="LQP22" s="1902">
        <f t="shared" si="137"/>
        <v>0</v>
      </c>
      <c r="LQQ22" s="1902">
        <f t="shared" si="137"/>
        <v>0</v>
      </c>
      <c r="LQR22" s="1902">
        <f t="shared" si="137"/>
        <v>0</v>
      </c>
      <c r="LQS22" s="1902">
        <f t="shared" si="137"/>
        <v>0</v>
      </c>
      <c r="LQT22" s="1902">
        <f t="shared" si="137"/>
        <v>0</v>
      </c>
      <c r="LQU22" s="1902">
        <f t="shared" si="137"/>
        <v>0</v>
      </c>
      <c r="LQV22" s="1902">
        <f t="shared" si="137"/>
        <v>0</v>
      </c>
      <c r="LQW22" s="1902">
        <f t="shared" si="137"/>
        <v>0</v>
      </c>
      <c r="LQX22" s="1902">
        <f t="shared" si="137"/>
        <v>0</v>
      </c>
      <c r="LQY22" s="1902">
        <f t="shared" si="137"/>
        <v>0</v>
      </c>
      <c r="LQZ22" s="1902">
        <f t="shared" si="137"/>
        <v>0</v>
      </c>
      <c r="LRA22" s="1902">
        <f t="shared" si="137"/>
        <v>0</v>
      </c>
      <c r="LRB22" s="1902">
        <f t="shared" si="137"/>
        <v>0</v>
      </c>
      <c r="LRC22" s="1902">
        <f t="shared" si="137"/>
        <v>0</v>
      </c>
      <c r="LRD22" s="1902">
        <f t="shared" si="137"/>
        <v>0</v>
      </c>
      <c r="LRE22" s="1902">
        <f t="shared" si="137"/>
        <v>0</v>
      </c>
      <c r="LRF22" s="1902">
        <f t="shared" si="137"/>
        <v>0</v>
      </c>
      <c r="LRG22" s="1902">
        <f t="shared" ref="LRG22:LTR22" si="138">IF(AND(LRG$26="End of period",LRG$25="Revenue"),LRG9,0)</f>
        <v>0</v>
      </c>
      <c r="LRH22" s="1902">
        <f t="shared" si="138"/>
        <v>0</v>
      </c>
      <c r="LRI22" s="1902">
        <f t="shared" si="138"/>
        <v>0</v>
      </c>
      <c r="LRJ22" s="1902">
        <f t="shared" si="138"/>
        <v>0</v>
      </c>
      <c r="LRK22" s="1902">
        <f t="shared" si="138"/>
        <v>0</v>
      </c>
      <c r="LRL22" s="1902">
        <f t="shared" si="138"/>
        <v>0</v>
      </c>
      <c r="LRM22" s="1902">
        <f t="shared" si="138"/>
        <v>0</v>
      </c>
      <c r="LRN22" s="1902">
        <f t="shared" si="138"/>
        <v>0</v>
      </c>
      <c r="LRO22" s="1902">
        <f t="shared" si="138"/>
        <v>0</v>
      </c>
      <c r="LRP22" s="1902">
        <f t="shared" si="138"/>
        <v>0</v>
      </c>
      <c r="LRQ22" s="1902">
        <f t="shared" si="138"/>
        <v>0</v>
      </c>
      <c r="LRR22" s="1902">
        <f t="shared" si="138"/>
        <v>0</v>
      </c>
      <c r="LRS22" s="1902">
        <f t="shared" si="138"/>
        <v>0</v>
      </c>
      <c r="LRT22" s="1902">
        <f t="shared" si="138"/>
        <v>0</v>
      </c>
      <c r="LRU22" s="1902">
        <f t="shared" si="138"/>
        <v>0</v>
      </c>
      <c r="LRV22" s="1902">
        <f t="shared" si="138"/>
        <v>0</v>
      </c>
      <c r="LRW22" s="1902">
        <f t="shared" si="138"/>
        <v>0</v>
      </c>
      <c r="LRX22" s="1902">
        <f t="shared" si="138"/>
        <v>0</v>
      </c>
      <c r="LRY22" s="1902">
        <f t="shared" si="138"/>
        <v>0</v>
      </c>
      <c r="LRZ22" s="1902">
        <f t="shared" si="138"/>
        <v>0</v>
      </c>
      <c r="LSA22" s="1902">
        <f t="shared" si="138"/>
        <v>0</v>
      </c>
      <c r="LSB22" s="1902">
        <f t="shared" si="138"/>
        <v>0</v>
      </c>
      <c r="LSC22" s="1902">
        <f t="shared" si="138"/>
        <v>0</v>
      </c>
      <c r="LSD22" s="1902">
        <f t="shared" si="138"/>
        <v>0</v>
      </c>
      <c r="LSE22" s="1902">
        <f t="shared" si="138"/>
        <v>0</v>
      </c>
      <c r="LSF22" s="1902">
        <f t="shared" si="138"/>
        <v>0</v>
      </c>
      <c r="LSG22" s="1902">
        <f t="shared" si="138"/>
        <v>0</v>
      </c>
      <c r="LSH22" s="1902">
        <f t="shared" si="138"/>
        <v>0</v>
      </c>
      <c r="LSI22" s="1902">
        <f t="shared" si="138"/>
        <v>0</v>
      </c>
      <c r="LSJ22" s="1902">
        <f t="shared" si="138"/>
        <v>0</v>
      </c>
      <c r="LSK22" s="1902">
        <f t="shared" si="138"/>
        <v>0</v>
      </c>
      <c r="LSL22" s="1902">
        <f t="shared" si="138"/>
        <v>0</v>
      </c>
      <c r="LSM22" s="1902">
        <f t="shared" si="138"/>
        <v>0</v>
      </c>
      <c r="LSN22" s="1902">
        <f t="shared" si="138"/>
        <v>0</v>
      </c>
      <c r="LSO22" s="1902">
        <f t="shared" si="138"/>
        <v>0</v>
      </c>
      <c r="LSP22" s="1902">
        <f t="shared" si="138"/>
        <v>0</v>
      </c>
      <c r="LSQ22" s="1902">
        <f t="shared" si="138"/>
        <v>0</v>
      </c>
      <c r="LSR22" s="1902">
        <f t="shared" si="138"/>
        <v>0</v>
      </c>
      <c r="LSS22" s="1902">
        <f t="shared" si="138"/>
        <v>0</v>
      </c>
      <c r="LST22" s="1902">
        <f t="shared" si="138"/>
        <v>0</v>
      </c>
      <c r="LSU22" s="1902">
        <f t="shared" si="138"/>
        <v>0</v>
      </c>
      <c r="LSV22" s="1902">
        <f t="shared" si="138"/>
        <v>0</v>
      </c>
      <c r="LSW22" s="1902">
        <f t="shared" si="138"/>
        <v>0</v>
      </c>
      <c r="LSX22" s="1902">
        <f t="shared" si="138"/>
        <v>0</v>
      </c>
      <c r="LSY22" s="1902">
        <f t="shared" si="138"/>
        <v>0</v>
      </c>
      <c r="LSZ22" s="1902">
        <f t="shared" si="138"/>
        <v>0</v>
      </c>
      <c r="LTA22" s="1902">
        <f t="shared" si="138"/>
        <v>0</v>
      </c>
      <c r="LTB22" s="1902">
        <f t="shared" si="138"/>
        <v>0</v>
      </c>
      <c r="LTC22" s="1902">
        <f t="shared" si="138"/>
        <v>0</v>
      </c>
      <c r="LTD22" s="1902">
        <f t="shared" si="138"/>
        <v>0</v>
      </c>
      <c r="LTE22" s="1902">
        <f t="shared" si="138"/>
        <v>0</v>
      </c>
      <c r="LTF22" s="1902">
        <f t="shared" si="138"/>
        <v>0</v>
      </c>
      <c r="LTG22" s="1902">
        <f t="shared" si="138"/>
        <v>0</v>
      </c>
      <c r="LTH22" s="1902">
        <f t="shared" si="138"/>
        <v>0</v>
      </c>
      <c r="LTI22" s="1902">
        <f t="shared" si="138"/>
        <v>0</v>
      </c>
      <c r="LTJ22" s="1902">
        <f t="shared" si="138"/>
        <v>0</v>
      </c>
      <c r="LTK22" s="1902">
        <f t="shared" si="138"/>
        <v>0</v>
      </c>
      <c r="LTL22" s="1902">
        <f t="shared" si="138"/>
        <v>0</v>
      </c>
      <c r="LTM22" s="1902">
        <f t="shared" si="138"/>
        <v>0</v>
      </c>
      <c r="LTN22" s="1902">
        <f t="shared" si="138"/>
        <v>0</v>
      </c>
      <c r="LTO22" s="1902">
        <f t="shared" si="138"/>
        <v>0</v>
      </c>
      <c r="LTP22" s="1902">
        <f t="shared" si="138"/>
        <v>0</v>
      </c>
      <c r="LTQ22" s="1902">
        <f t="shared" si="138"/>
        <v>0</v>
      </c>
      <c r="LTR22" s="1902">
        <f t="shared" si="138"/>
        <v>0</v>
      </c>
      <c r="LTS22" s="1902">
        <f t="shared" ref="LTS22:LWD22" si="139">IF(AND(LTS$26="End of period",LTS$25="Revenue"),LTS9,0)</f>
        <v>0</v>
      </c>
      <c r="LTT22" s="1902">
        <f t="shared" si="139"/>
        <v>0</v>
      </c>
      <c r="LTU22" s="1902">
        <f t="shared" si="139"/>
        <v>0</v>
      </c>
      <c r="LTV22" s="1902">
        <f t="shared" si="139"/>
        <v>0</v>
      </c>
      <c r="LTW22" s="1902">
        <f t="shared" si="139"/>
        <v>0</v>
      </c>
      <c r="LTX22" s="1902">
        <f t="shared" si="139"/>
        <v>0</v>
      </c>
      <c r="LTY22" s="1902">
        <f t="shared" si="139"/>
        <v>0</v>
      </c>
      <c r="LTZ22" s="1902">
        <f t="shared" si="139"/>
        <v>0</v>
      </c>
      <c r="LUA22" s="1902">
        <f t="shared" si="139"/>
        <v>0</v>
      </c>
      <c r="LUB22" s="1902">
        <f t="shared" si="139"/>
        <v>0</v>
      </c>
      <c r="LUC22" s="1902">
        <f t="shared" si="139"/>
        <v>0</v>
      </c>
      <c r="LUD22" s="1902">
        <f t="shared" si="139"/>
        <v>0</v>
      </c>
      <c r="LUE22" s="1902">
        <f t="shared" si="139"/>
        <v>0</v>
      </c>
      <c r="LUF22" s="1902">
        <f t="shared" si="139"/>
        <v>0</v>
      </c>
      <c r="LUG22" s="1902">
        <f t="shared" si="139"/>
        <v>0</v>
      </c>
      <c r="LUH22" s="1902">
        <f t="shared" si="139"/>
        <v>0</v>
      </c>
      <c r="LUI22" s="1902">
        <f t="shared" si="139"/>
        <v>0</v>
      </c>
      <c r="LUJ22" s="1902">
        <f t="shared" si="139"/>
        <v>0</v>
      </c>
      <c r="LUK22" s="1902">
        <f t="shared" si="139"/>
        <v>0</v>
      </c>
      <c r="LUL22" s="1902">
        <f t="shared" si="139"/>
        <v>0</v>
      </c>
      <c r="LUM22" s="1902">
        <f t="shared" si="139"/>
        <v>0</v>
      </c>
      <c r="LUN22" s="1902">
        <f t="shared" si="139"/>
        <v>0</v>
      </c>
      <c r="LUO22" s="1902">
        <f t="shared" si="139"/>
        <v>0</v>
      </c>
      <c r="LUP22" s="1902">
        <f t="shared" si="139"/>
        <v>0</v>
      </c>
      <c r="LUQ22" s="1902">
        <f t="shared" si="139"/>
        <v>0</v>
      </c>
      <c r="LUR22" s="1902">
        <f t="shared" si="139"/>
        <v>0</v>
      </c>
      <c r="LUS22" s="1902">
        <f t="shared" si="139"/>
        <v>0</v>
      </c>
      <c r="LUT22" s="1902">
        <f t="shared" si="139"/>
        <v>0</v>
      </c>
      <c r="LUU22" s="1902">
        <f t="shared" si="139"/>
        <v>0</v>
      </c>
      <c r="LUV22" s="1902">
        <f t="shared" si="139"/>
        <v>0</v>
      </c>
      <c r="LUW22" s="1902">
        <f t="shared" si="139"/>
        <v>0</v>
      </c>
      <c r="LUX22" s="1902">
        <f t="shared" si="139"/>
        <v>0</v>
      </c>
      <c r="LUY22" s="1902">
        <f t="shared" si="139"/>
        <v>0</v>
      </c>
      <c r="LUZ22" s="1902">
        <f t="shared" si="139"/>
        <v>0</v>
      </c>
      <c r="LVA22" s="1902">
        <f t="shared" si="139"/>
        <v>0</v>
      </c>
      <c r="LVB22" s="1902">
        <f t="shared" si="139"/>
        <v>0</v>
      </c>
      <c r="LVC22" s="1902">
        <f t="shared" si="139"/>
        <v>0</v>
      </c>
      <c r="LVD22" s="1902">
        <f t="shared" si="139"/>
        <v>0</v>
      </c>
      <c r="LVE22" s="1902">
        <f t="shared" si="139"/>
        <v>0</v>
      </c>
      <c r="LVF22" s="1902">
        <f t="shared" si="139"/>
        <v>0</v>
      </c>
      <c r="LVG22" s="1902">
        <f t="shared" si="139"/>
        <v>0</v>
      </c>
      <c r="LVH22" s="1902">
        <f t="shared" si="139"/>
        <v>0</v>
      </c>
      <c r="LVI22" s="1902">
        <f t="shared" si="139"/>
        <v>0</v>
      </c>
      <c r="LVJ22" s="1902">
        <f t="shared" si="139"/>
        <v>0</v>
      </c>
      <c r="LVK22" s="1902">
        <f t="shared" si="139"/>
        <v>0</v>
      </c>
      <c r="LVL22" s="1902">
        <f t="shared" si="139"/>
        <v>0</v>
      </c>
      <c r="LVM22" s="1902">
        <f t="shared" si="139"/>
        <v>0</v>
      </c>
      <c r="LVN22" s="1902">
        <f t="shared" si="139"/>
        <v>0</v>
      </c>
      <c r="LVO22" s="1902">
        <f t="shared" si="139"/>
        <v>0</v>
      </c>
      <c r="LVP22" s="1902">
        <f t="shared" si="139"/>
        <v>0</v>
      </c>
      <c r="LVQ22" s="1902">
        <f t="shared" si="139"/>
        <v>0</v>
      </c>
      <c r="LVR22" s="1902">
        <f t="shared" si="139"/>
        <v>0</v>
      </c>
      <c r="LVS22" s="1902">
        <f t="shared" si="139"/>
        <v>0</v>
      </c>
      <c r="LVT22" s="1902">
        <f t="shared" si="139"/>
        <v>0</v>
      </c>
      <c r="LVU22" s="1902">
        <f t="shared" si="139"/>
        <v>0</v>
      </c>
      <c r="LVV22" s="1902">
        <f t="shared" si="139"/>
        <v>0</v>
      </c>
      <c r="LVW22" s="1902">
        <f t="shared" si="139"/>
        <v>0</v>
      </c>
      <c r="LVX22" s="1902">
        <f t="shared" si="139"/>
        <v>0</v>
      </c>
      <c r="LVY22" s="1902">
        <f t="shared" si="139"/>
        <v>0</v>
      </c>
      <c r="LVZ22" s="1902">
        <f t="shared" si="139"/>
        <v>0</v>
      </c>
      <c r="LWA22" s="1902">
        <f t="shared" si="139"/>
        <v>0</v>
      </c>
      <c r="LWB22" s="1902">
        <f t="shared" si="139"/>
        <v>0</v>
      </c>
      <c r="LWC22" s="1902">
        <f t="shared" si="139"/>
        <v>0</v>
      </c>
      <c r="LWD22" s="1902">
        <f t="shared" si="139"/>
        <v>0</v>
      </c>
      <c r="LWE22" s="1902">
        <f t="shared" ref="LWE22:LYP22" si="140">IF(AND(LWE$26="End of period",LWE$25="Revenue"),LWE9,0)</f>
        <v>0</v>
      </c>
      <c r="LWF22" s="1902">
        <f t="shared" si="140"/>
        <v>0</v>
      </c>
      <c r="LWG22" s="1902">
        <f t="shared" si="140"/>
        <v>0</v>
      </c>
      <c r="LWH22" s="1902">
        <f t="shared" si="140"/>
        <v>0</v>
      </c>
      <c r="LWI22" s="1902">
        <f t="shared" si="140"/>
        <v>0</v>
      </c>
      <c r="LWJ22" s="1902">
        <f t="shared" si="140"/>
        <v>0</v>
      </c>
      <c r="LWK22" s="1902">
        <f t="shared" si="140"/>
        <v>0</v>
      </c>
      <c r="LWL22" s="1902">
        <f t="shared" si="140"/>
        <v>0</v>
      </c>
      <c r="LWM22" s="1902">
        <f t="shared" si="140"/>
        <v>0</v>
      </c>
      <c r="LWN22" s="1902">
        <f t="shared" si="140"/>
        <v>0</v>
      </c>
      <c r="LWO22" s="1902">
        <f t="shared" si="140"/>
        <v>0</v>
      </c>
      <c r="LWP22" s="1902">
        <f t="shared" si="140"/>
        <v>0</v>
      </c>
      <c r="LWQ22" s="1902">
        <f t="shared" si="140"/>
        <v>0</v>
      </c>
      <c r="LWR22" s="1902">
        <f t="shared" si="140"/>
        <v>0</v>
      </c>
      <c r="LWS22" s="1902">
        <f t="shared" si="140"/>
        <v>0</v>
      </c>
      <c r="LWT22" s="1902">
        <f t="shared" si="140"/>
        <v>0</v>
      </c>
      <c r="LWU22" s="1902">
        <f t="shared" si="140"/>
        <v>0</v>
      </c>
      <c r="LWV22" s="1902">
        <f t="shared" si="140"/>
        <v>0</v>
      </c>
      <c r="LWW22" s="1902">
        <f t="shared" si="140"/>
        <v>0</v>
      </c>
      <c r="LWX22" s="1902">
        <f t="shared" si="140"/>
        <v>0</v>
      </c>
      <c r="LWY22" s="1902">
        <f t="shared" si="140"/>
        <v>0</v>
      </c>
      <c r="LWZ22" s="1902">
        <f t="shared" si="140"/>
        <v>0</v>
      </c>
      <c r="LXA22" s="1902">
        <f t="shared" si="140"/>
        <v>0</v>
      </c>
      <c r="LXB22" s="1902">
        <f t="shared" si="140"/>
        <v>0</v>
      </c>
      <c r="LXC22" s="1902">
        <f t="shared" si="140"/>
        <v>0</v>
      </c>
      <c r="LXD22" s="1902">
        <f t="shared" si="140"/>
        <v>0</v>
      </c>
      <c r="LXE22" s="1902">
        <f t="shared" si="140"/>
        <v>0</v>
      </c>
      <c r="LXF22" s="1902">
        <f t="shared" si="140"/>
        <v>0</v>
      </c>
      <c r="LXG22" s="1902">
        <f t="shared" si="140"/>
        <v>0</v>
      </c>
      <c r="LXH22" s="1902">
        <f t="shared" si="140"/>
        <v>0</v>
      </c>
      <c r="LXI22" s="1902">
        <f t="shared" si="140"/>
        <v>0</v>
      </c>
      <c r="LXJ22" s="1902">
        <f t="shared" si="140"/>
        <v>0</v>
      </c>
      <c r="LXK22" s="1902">
        <f t="shared" si="140"/>
        <v>0</v>
      </c>
      <c r="LXL22" s="1902">
        <f t="shared" si="140"/>
        <v>0</v>
      </c>
      <c r="LXM22" s="1902">
        <f t="shared" si="140"/>
        <v>0</v>
      </c>
      <c r="LXN22" s="1902">
        <f t="shared" si="140"/>
        <v>0</v>
      </c>
      <c r="LXO22" s="1902">
        <f t="shared" si="140"/>
        <v>0</v>
      </c>
      <c r="LXP22" s="1902">
        <f t="shared" si="140"/>
        <v>0</v>
      </c>
      <c r="LXQ22" s="1902">
        <f t="shared" si="140"/>
        <v>0</v>
      </c>
      <c r="LXR22" s="1902">
        <f t="shared" si="140"/>
        <v>0</v>
      </c>
      <c r="LXS22" s="1902">
        <f t="shared" si="140"/>
        <v>0</v>
      </c>
      <c r="LXT22" s="1902">
        <f t="shared" si="140"/>
        <v>0</v>
      </c>
      <c r="LXU22" s="1902">
        <f t="shared" si="140"/>
        <v>0</v>
      </c>
      <c r="LXV22" s="1902">
        <f t="shared" si="140"/>
        <v>0</v>
      </c>
      <c r="LXW22" s="1902">
        <f t="shared" si="140"/>
        <v>0</v>
      </c>
      <c r="LXX22" s="1902">
        <f t="shared" si="140"/>
        <v>0</v>
      </c>
      <c r="LXY22" s="1902">
        <f t="shared" si="140"/>
        <v>0</v>
      </c>
      <c r="LXZ22" s="1902">
        <f t="shared" si="140"/>
        <v>0</v>
      </c>
      <c r="LYA22" s="1902">
        <f t="shared" si="140"/>
        <v>0</v>
      </c>
      <c r="LYB22" s="1902">
        <f t="shared" si="140"/>
        <v>0</v>
      </c>
      <c r="LYC22" s="1902">
        <f t="shared" si="140"/>
        <v>0</v>
      </c>
      <c r="LYD22" s="1902">
        <f t="shared" si="140"/>
        <v>0</v>
      </c>
      <c r="LYE22" s="1902">
        <f t="shared" si="140"/>
        <v>0</v>
      </c>
      <c r="LYF22" s="1902">
        <f t="shared" si="140"/>
        <v>0</v>
      </c>
      <c r="LYG22" s="1902">
        <f t="shared" si="140"/>
        <v>0</v>
      </c>
      <c r="LYH22" s="1902">
        <f t="shared" si="140"/>
        <v>0</v>
      </c>
      <c r="LYI22" s="1902">
        <f t="shared" si="140"/>
        <v>0</v>
      </c>
      <c r="LYJ22" s="1902">
        <f t="shared" si="140"/>
        <v>0</v>
      </c>
      <c r="LYK22" s="1902">
        <f t="shared" si="140"/>
        <v>0</v>
      </c>
      <c r="LYL22" s="1902">
        <f t="shared" si="140"/>
        <v>0</v>
      </c>
      <c r="LYM22" s="1902">
        <f t="shared" si="140"/>
        <v>0</v>
      </c>
      <c r="LYN22" s="1902">
        <f t="shared" si="140"/>
        <v>0</v>
      </c>
      <c r="LYO22" s="1902">
        <f t="shared" si="140"/>
        <v>0</v>
      </c>
      <c r="LYP22" s="1902">
        <f t="shared" si="140"/>
        <v>0</v>
      </c>
      <c r="LYQ22" s="1902">
        <f t="shared" ref="LYQ22:MBB22" si="141">IF(AND(LYQ$26="End of period",LYQ$25="Revenue"),LYQ9,0)</f>
        <v>0</v>
      </c>
      <c r="LYR22" s="1902">
        <f t="shared" si="141"/>
        <v>0</v>
      </c>
      <c r="LYS22" s="1902">
        <f t="shared" si="141"/>
        <v>0</v>
      </c>
      <c r="LYT22" s="1902">
        <f t="shared" si="141"/>
        <v>0</v>
      </c>
      <c r="LYU22" s="1902">
        <f t="shared" si="141"/>
        <v>0</v>
      </c>
      <c r="LYV22" s="1902">
        <f t="shared" si="141"/>
        <v>0</v>
      </c>
      <c r="LYW22" s="1902">
        <f t="shared" si="141"/>
        <v>0</v>
      </c>
      <c r="LYX22" s="1902">
        <f t="shared" si="141"/>
        <v>0</v>
      </c>
      <c r="LYY22" s="1902">
        <f t="shared" si="141"/>
        <v>0</v>
      </c>
      <c r="LYZ22" s="1902">
        <f t="shared" si="141"/>
        <v>0</v>
      </c>
      <c r="LZA22" s="1902">
        <f t="shared" si="141"/>
        <v>0</v>
      </c>
      <c r="LZB22" s="1902">
        <f t="shared" si="141"/>
        <v>0</v>
      </c>
      <c r="LZC22" s="1902">
        <f t="shared" si="141"/>
        <v>0</v>
      </c>
      <c r="LZD22" s="1902">
        <f t="shared" si="141"/>
        <v>0</v>
      </c>
      <c r="LZE22" s="1902">
        <f t="shared" si="141"/>
        <v>0</v>
      </c>
      <c r="LZF22" s="1902">
        <f t="shared" si="141"/>
        <v>0</v>
      </c>
      <c r="LZG22" s="1902">
        <f t="shared" si="141"/>
        <v>0</v>
      </c>
      <c r="LZH22" s="1902">
        <f t="shared" si="141"/>
        <v>0</v>
      </c>
      <c r="LZI22" s="1902">
        <f t="shared" si="141"/>
        <v>0</v>
      </c>
      <c r="LZJ22" s="1902">
        <f t="shared" si="141"/>
        <v>0</v>
      </c>
      <c r="LZK22" s="1902">
        <f t="shared" si="141"/>
        <v>0</v>
      </c>
      <c r="LZL22" s="1902">
        <f t="shared" si="141"/>
        <v>0</v>
      </c>
      <c r="LZM22" s="1902">
        <f t="shared" si="141"/>
        <v>0</v>
      </c>
      <c r="LZN22" s="1902">
        <f t="shared" si="141"/>
        <v>0</v>
      </c>
      <c r="LZO22" s="1902">
        <f t="shared" si="141"/>
        <v>0</v>
      </c>
      <c r="LZP22" s="1902">
        <f t="shared" si="141"/>
        <v>0</v>
      </c>
      <c r="LZQ22" s="1902">
        <f t="shared" si="141"/>
        <v>0</v>
      </c>
      <c r="LZR22" s="1902">
        <f t="shared" si="141"/>
        <v>0</v>
      </c>
      <c r="LZS22" s="1902">
        <f t="shared" si="141"/>
        <v>0</v>
      </c>
      <c r="LZT22" s="1902">
        <f t="shared" si="141"/>
        <v>0</v>
      </c>
      <c r="LZU22" s="1902">
        <f t="shared" si="141"/>
        <v>0</v>
      </c>
      <c r="LZV22" s="1902">
        <f t="shared" si="141"/>
        <v>0</v>
      </c>
      <c r="LZW22" s="1902">
        <f t="shared" si="141"/>
        <v>0</v>
      </c>
      <c r="LZX22" s="1902">
        <f t="shared" si="141"/>
        <v>0</v>
      </c>
      <c r="LZY22" s="1902">
        <f t="shared" si="141"/>
        <v>0</v>
      </c>
      <c r="LZZ22" s="1902">
        <f t="shared" si="141"/>
        <v>0</v>
      </c>
      <c r="MAA22" s="1902">
        <f t="shared" si="141"/>
        <v>0</v>
      </c>
      <c r="MAB22" s="1902">
        <f t="shared" si="141"/>
        <v>0</v>
      </c>
      <c r="MAC22" s="1902">
        <f t="shared" si="141"/>
        <v>0</v>
      </c>
      <c r="MAD22" s="1902">
        <f t="shared" si="141"/>
        <v>0</v>
      </c>
      <c r="MAE22" s="1902">
        <f t="shared" si="141"/>
        <v>0</v>
      </c>
      <c r="MAF22" s="1902">
        <f t="shared" si="141"/>
        <v>0</v>
      </c>
      <c r="MAG22" s="1902">
        <f t="shared" si="141"/>
        <v>0</v>
      </c>
      <c r="MAH22" s="1902">
        <f t="shared" si="141"/>
        <v>0</v>
      </c>
      <c r="MAI22" s="1902">
        <f t="shared" si="141"/>
        <v>0</v>
      </c>
      <c r="MAJ22" s="1902">
        <f t="shared" si="141"/>
        <v>0</v>
      </c>
      <c r="MAK22" s="1902">
        <f t="shared" si="141"/>
        <v>0</v>
      </c>
      <c r="MAL22" s="1902">
        <f t="shared" si="141"/>
        <v>0</v>
      </c>
      <c r="MAM22" s="1902">
        <f t="shared" si="141"/>
        <v>0</v>
      </c>
      <c r="MAN22" s="1902">
        <f t="shared" si="141"/>
        <v>0</v>
      </c>
      <c r="MAO22" s="1902">
        <f t="shared" si="141"/>
        <v>0</v>
      </c>
      <c r="MAP22" s="1902">
        <f t="shared" si="141"/>
        <v>0</v>
      </c>
      <c r="MAQ22" s="1902">
        <f t="shared" si="141"/>
        <v>0</v>
      </c>
      <c r="MAR22" s="1902">
        <f t="shared" si="141"/>
        <v>0</v>
      </c>
      <c r="MAS22" s="1902">
        <f t="shared" si="141"/>
        <v>0</v>
      </c>
      <c r="MAT22" s="1902">
        <f t="shared" si="141"/>
        <v>0</v>
      </c>
      <c r="MAU22" s="1902">
        <f t="shared" si="141"/>
        <v>0</v>
      </c>
      <c r="MAV22" s="1902">
        <f t="shared" si="141"/>
        <v>0</v>
      </c>
      <c r="MAW22" s="1902">
        <f t="shared" si="141"/>
        <v>0</v>
      </c>
      <c r="MAX22" s="1902">
        <f t="shared" si="141"/>
        <v>0</v>
      </c>
      <c r="MAY22" s="1902">
        <f t="shared" si="141"/>
        <v>0</v>
      </c>
      <c r="MAZ22" s="1902">
        <f t="shared" si="141"/>
        <v>0</v>
      </c>
      <c r="MBA22" s="1902">
        <f t="shared" si="141"/>
        <v>0</v>
      </c>
      <c r="MBB22" s="1902">
        <f t="shared" si="141"/>
        <v>0</v>
      </c>
      <c r="MBC22" s="1902">
        <f t="shared" ref="MBC22:MDN22" si="142">IF(AND(MBC$26="End of period",MBC$25="Revenue"),MBC9,0)</f>
        <v>0</v>
      </c>
      <c r="MBD22" s="1902">
        <f t="shared" si="142"/>
        <v>0</v>
      </c>
      <c r="MBE22" s="1902">
        <f t="shared" si="142"/>
        <v>0</v>
      </c>
      <c r="MBF22" s="1902">
        <f t="shared" si="142"/>
        <v>0</v>
      </c>
      <c r="MBG22" s="1902">
        <f t="shared" si="142"/>
        <v>0</v>
      </c>
      <c r="MBH22" s="1902">
        <f t="shared" si="142"/>
        <v>0</v>
      </c>
      <c r="MBI22" s="1902">
        <f t="shared" si="142"/>
        <v>0</v>
      </c>
      <c r="MBJ22" s="1902">
        <f t="shared" si="142"/>
        <v>0</v>
      </c>
      <c r="MBK22" s="1902">
        <f t="shared" si="142"/>
        <v>0</v>
      </c>
      <c r="MBL22" s="1902">
        <f t="shared" si="142"/>
        <v>0</v>
      </c>
      <c r="MBM22" s="1902">
        <f t="shared" si="142"/>
        <v>0</v>
      </c>
      <c r="MBN22" s="1902">
        <f t="shared" si="142"/>
        <v>0</v>
      </c>
      <c r="MBO22" s="1902">
        <f t="shared" si="142"/>
        <v>0</v>
      </c>
      <c r="MBP22" s="1902">
        <f t="shared" si="142"/>
        <v>0</v>
      </c>
      <c r="MBQ22" s="1902">
        <f t="shared" si="142"/>
        <v>0</v>
      </c>
      <c r="MBR22" s="1902">
        <f t="shared" si="142"/>
        <v>0</v>
      </c>
      <c r="MBS22" s="1902">
        <f t="shared" si="142"/>
        <v>0</v>
      </c>
      <c r="MBT22" s="1902">
        <f t="shared" si="142"/>
        <v>0</v>
      </c>
      <c r="MBU22" s="1902">
        <f t="shared" si="142"/>
        <v>0</v>
      </c>
      <c r="MBV22" s="1902">
        <f t="shared" si="142"/>
        <v>0</v>
      </c>
      <c r="MBW22" s="1902">
        <f t="shared" si="142"/>
        <v>0</v>
      </c>
      <c r="MBX22" s="1902">
        <f t="shared" si="142"/>
        <v>0</v>
      </c>
      <c r="MBY22" s="1902">
        <f t="shared" si="142"/>
        <v>0</v>
      </c>
      <c r="MBZ22" s="1902">
        <f t="shared" si="142"/>
        <v>0</v>
      </c>
      <c r="MCA22" s="1902">
        <f t="shared" si="142"/>
        <v>0</v>
      </c>
      <c r="MCB22" s="1902">
        <f t="shared" si="142"/>
        <v>0</v>
      </c>
      <c r="MCC22" s="1902">
        <f t="shared" si="142"/>
        <v>0</v>
      </c>
      <c r="MCD22" s="1902">
        <f t="shared" si="142"/>
        <v>0</v>
      </c>
      <c r="MCE22" s="1902">
        <f t="shared" si="142"/>
        <v>0</v>
      </c>
      <c r="MCF22" s="1902">
        <f t="shared" si="142"/>
        <v>0</v>
      </c>
      <c r="MCG22" s="1902">
        <f t="shared" si="142"/>
        <v>0</v>
      </c>
      <c r="MCH22" s="1902">
        <f t="shared" si="142"/>
        <v>0</v>
      </c>
      <c r="MCI22" s="1902">
        <f t="shared" si="142"/>
        <v>0</v>
      </c>
      <c r="MCJ22" s="1902">
        <f t="shared" si="142"/>
        <v>0</v>
      </c>
      <c r="MCK22" s="1902">
        <f t="shared" si="142"/>
        <v>0</v>
      </c>
      <c r="MCL22" s="1902">
        <f t="shared" si="142"/>
        <v>0</v>
      </c>
      <c r="MCM22" s="1902">
        <f t="shared" si="142"/>
        <v>0</v>
      </c>
      <c r="MCN22" s="1902">
        <f t="shared" si="142"/>
        <v>0</v>
      </c>
      <c r="MCO22" s="1902">
        <f t="shared" si="142"/>
        <v>0</v>
      </c>
      <c r="MCP22" s="1902">
        <f t="shared" si="142"/>
        <v>0</v>
      </c>
      <c r="MCQ22" s="1902">
        <f t="shared" si="142"/>
        <v>0</v>
      </c>
      <c r="MCR22" s="1902">
        <f t="shared" si="142"/>
        <v>0</v>
      </c>
      <c r="MCS22" s="1902">
        <f t="shared" si="142"/>
        <v>0</v>
      </c>
      <c r="MCT22" s="1902">
        <f t="shared" si="142"/>
        <v>0</v>
      </c>
      <c r="MCU22" s="1902">
        <f t="shared" si="142"/>
        <v>0</v>
      </c>
      <c r="MCV22" s="1902">
        <f t="shared" si="142"/>
        <v>0</v>
      </c>
      <c r="MCW22" s="1902">
        <f t="shared" si="142"/>
        <v>0</v>
      </c>
      <c r="MCX22" s="1902">
        <f t="shared" si="142"/>
        <v>0</v>
      </c>
      <c r="MCY22" s="1902">
        <f t="shared" si="142"/>
        <v>0</v>
      </c>
      <c r="MCZ22" s="1902">
        <f t="shared" si="142"/>
        <v>0</v>
      </c>
      <c r="MDA22" s="1902">
        <f t="shared" si="142"/>
        <v>0</v>
      </c>
      <c r="MDB22" s="1902">
        <f t="shared" si="142"/>
        <v>0</v>
      </c>
      <c r="MDC22" s="1902">
        <f t="shared" si="142"/>
        <v>0</v>
      </c>
      <c r="MDD22" s="1902">
        <f t="shared" si="142"/>
        <v>0</v>
      </c>
      <c r="MDE22" s="1902">
        <f t="shared" si="142"/>
        <v>0</v>
      </c>
      <c r="MDF22" s="1902">
        <f t="shared" si="142"/>
        <v>0</v>
      </c>
      <c r="MDG22" s="1902">
        <f t="shared" si="142"/>
        <v>0</v>
      </c>
      <c r="MDH22" s="1902">
        <f t="shared" si="142"/>
        <v>0</v>
      </c>
      <c r="MDI22" s="1902">
        <f t="shared" si="142"/>
        <v>0</v>
      </c>
      <c r="MDJ22" s="1902">
        <f t="shared" si="142"/>
        <v>0</v>
      </c>
      <c r="MDK22" s="1902">
        <f t="shared" si="142"/>
        <v>0</v>
      </c>
      <c r="MDL22" s="1902">
        <f t="shared" si="142"/>
        <v>0</v>
      </c>
      <c r="MDM22" s="1902">
        <f t="shared" si="142"/>
        <v>0</v>
      </c>
      <c r="MDN22" s="1902">
        <f t="shared" si="142"/>
        <v>0</v>
      </c>
      <c r="MDO22" s="1902">
        <f t="shared" ref="MDO22:MFZ22" si="143">IF(AND(MDO$26="End of period",MDO$25="Revenue"),MDO9,0)</f>
        <v>0</v>
      </c>
      <c r="MDP22" s="1902">
        <f t="shared" si="143"/>
        <v>0</v>
      </c>
      <c r="MDQ22" s="1902">
        <f t="shared" si="143"/>
        <v>0</v>
      </c>
      <c r="MDR22" s="1902">
        <f t="shared" si="143"/>
        <v>0</v>
      </c>
      <c r="MDS22" s="1902">
        <f t="shared" si="143"/>
        <v>0</v>
      </c>
      <c r="MDT22" s="1902">
        <f t="shared" si="143"/>
        <v>0</v>
      </c>
      <c r="MDU22" s="1902">
        <f t="shared" si="143"/>
        <v>0</v>
      </c>
      <c r="MDV22" s="1902">
        <f t="shared" si="143"/>
        <v>0</v>
      </c>
      <c r="MDW22" s="1902">
        <f t="shared" si="143"/>
        <v>0</v>
      </c>
      <c r="MDX22" s="1902">
        <f t="shared" si="143"/>
        <v>0</v>
      </c>
      <c r="MDY22" s="1902">
        <f t="shared" si="143"/>
        <v>0</v>
      </c>
      <c r="MDZ22" s="1902">
        <f t="shared" si="143"/>
        <v>0</v>
      </c>
      <c r="MEA22" s="1902">
        <f t="shared" si="143"/>
        <v>0</v>
      </c>
      <c r="MEB22" s="1902">
        <f t="shared" si="143"/>
        <v>0</v>
      </c>
      <c r="MEC22" s="1902">
        <f t="shared" si="143"/>
        <v>0</v>
      </c>
      <c r="MED22" s="1902">
        <f t="shared" si="143"/>
        <v>0</v>
      </c>
      <c r="MEE22" s="1902">
        <f t="shared" si="143"/>
        <v>0</v>
      </c>
      <c r="MEF22" s="1902">
        <f t="shared" si="143"/>
        <v>0</v>
      </c>
      <c r="MEG22" s="1902">
        <f t="shared" si="143"/>
        <v>0</v>
      </c>
      <c r="MEH22" s="1902">
        <f t="shared" si="143"/>
        <v>0</v>
      </c>
      <c r="MEI22" s="1902">
        <f t="shared" si="143"/>
        <v>0</v>
      </c>
      <c r="MEJ22" s="1902">
        <f t="shared" si="143"/>
        <v>0</v>
      </c>
      <c r="MEK22" s="1902">
        <f t="shared" si="143"/>
        <v>0</v>
      </c>
      <c r="MEL22" s="1902">
        <f t="shared" si="143"/>
        <v>0</v>
      </c>
      <c r="MEM22" s="1902">
        <f t="shared" si="143"/>
        <v>0</v>
      </c>
      <c r="MEN22" s="1902">
        <f t="shared" si="143"/>
        <v>0</v>
      </c>
      <c r="MEO22" s="1902">
        <f t="shared" si="143"/>
        <v>0</v>
      </c>
      <c r="MEP22" s="1902">
        <f t="shared" si="143"/>
        <v>0</v>
      </c>
      <c r="MEQ22" s="1902">
        <f t="shared" si="143"/>
        <v>0</v>
      </c>
      <c r="MER22" s="1902">
        <f t="shared" si="143"/>
        <v>0</v>
      </c>
      <c r="MES22" s="1902">
        <f t="shared" si="143"/>
        <v>0</v>
      </c>
      <c r="MET22" s="1902">
        <f t="shared" si="143"/>
        <v>0</v>
      </c>
      <c r="MEU22" s="1902">
        <f t="shared" si="143"/>
        <v>0</v>
      </c>
      <c r="MEV22" s="1902">
        <f t="shared" si="143"/>
        <v>0</v>
      </c>
      <c r="MEW22" s="1902">
        <f t="shared" si="143"/>
        <v>0</v>
      </c>
      <c r="MEX22" s="1902">
        <f t="shared" si="143"/>
        <v>0</v>
      </c>
      <c r="MEY22" s="1902">
        <f t="shared" si="143"/>
        <v>0</v>
      </c>
      <c r="MEZ22" s="1902">
        <f t="shared" si="143"/>
        <v>0</v>
      </c>
      <c r="MFA22" s="1902">
        <f t="shared" si="143"/>
        <v>0</v>
      </c>
      <c r="MFB22" s="1902">
        <f t="shared" si="143"/>
        <v>0</v>
      </c>
      <c r="MFC22" s="1902">
        <f t="shared" si="143"/>
        <v>0</v>
      </c>
      <c r="MFD22" s="1902">
        <f t="shared" si="143"/>
        <v>0</v>
      </c>
      <c r="MFE22" s="1902">
        <f t="shared" si="143"/>
        <v>0</v>
      </c>
      <c r="MFF22" s="1902">
        <f t="shared" si="143"/>
        <v>0</v>
      </c>
      <c r="MFG22" s="1902">
        <f t="shared" si="143"/>
        <v>0</v>
      </c>
      <c r="MFH22" s="1902">
        <f t="shared" si="143"/>
        <v>0</v>
      </c>
      <c r="MFI22" s="1902">
        <f t="shared" si="143"/>
        <v>0</v>
      </c>
      <c r="MFJ22" s="1902">
        <f t="shared" si="143"/>
        <v>0</v>
      </c>
      <c r="MFK22" s="1902">
        <f t="shared" si="143"/>
        <v>0</v>
      </c>
      <c r="MFL22" s="1902">
        <f t="shared" si="143"/>
        <v>0</v>
      </c>
      <c r="MFM22" s="1902">
        <f t="shared" si="143"/>
        <v>0</v>
      </c>
      <c r="MFN22" s="1902">
        <f t="shared" si="143"/>
        <v>0</v>
      </c>
      <c r="MFO22" s="1902">
        <f t="shared" si="143"/>
        <v>0</v>
      </c>
      <c r="MFP22" s="1902">
        <f t="shared" si="143"/>
        <v>0</v>
      </c>
      <c r="MFQ22" s="1902">
        <f t="shared" si="143"/>
        <v>0</v>
      </c>
      <c r="MFR22" s="1902">
        <f t="shared" si="143"/>
        <v>0</v>
      </c>
      <c r="MFS22" s="1902">
        <f t="shared" si="143"/>
        <v>0</v>
      </c>
      <c r="MFT22" s="1902">
        <f t="shared" si="143"/>
        <v>0</v>
      </c>
      <c r="MFU22" s="1902">
        <f t="shared" si="143"/>
        <v>0</v>
      </c>
      <c r="MFV22" s="1902">
        <f t="shared" si="143"/>
        <v>0</v>
      </c>
      <c r="MFW22" s="1902">
        <f t="shared" si="143"/>
        <v>0</v>
      </c>
      <c r="MFX22" s="1902">
        <f t="shared" si="143"/>
        <v>0</v>
      </c>
      <c r="MFY22" s="1902">
        <f t="shared" si="143"/>
        <v>0</v>
      </c>
      <c r="MFZ22" s="1902">
        <f t="shared" si="143"/>
        <v>0</v>
      </c>
      <c r="MGA22" s="1902">
        <f t="shared" ref="MGA22:MIL22" si="144">IF(AND(MGA$26="End of period",MGA$25="Revenue"),MGA9,0)</f>
        <v>0</v>
      </c>
      <c r="MGB22" s="1902">
        <f t="shared" si="144"/>
        <v>0</v>
      </c>
      <c r="MGC22" s="1902">
        <f t="shared" si="144"/>
        <v>0</v>
      </c>
      <c r="MGD22" s="1902">
        <f t="shared" si="144"/>
        <v>0</v>
      </c>
      <c r="MGE22" s="1902">
        <f t="shared" si="144"/>
        <v>0</v>
      </c>
      <c r="MGF22" s="1902">
        <f t="shared" si="144"/>
        <v>0</v>
      </c>
      <c r="MGG22" s="1902">
        <f t="shared" si="144"/>
        <v>0</v>
      </c>
      <c r="MGH22" s="1902">
        <f t="shared" si="144"/>
        <v>0</v>
      </c>
      <c r="MGI22" s="1902">
        <f t="shared" si="144"/>
        <v>0</v>
      </c>
      <c r="MGJ22" s="1902">
        <f t="shared" si="144"/>
        <v>0</v>
      </c>
      <c r="MGK22" s="1902">
        <f t="shared" si="144"/>
        <v>0</v>
      </c>
      <c r="MGL22" s="1902">
        <f t="shared" si="144"/>
        <v>0</v>
      </c>
      <c r="MGM22" s="1902">
        <f t="shared" si="144"/>
        <v>0</v>
      </c>
      <c r="MGN22" s="1902">
        <f t="shared" si="144"/>
        <v>0</v>
      </c>
      <c r="MGO22" s="1902">
        <f t="shared" si="144"/>
        <v>0</v>
      </c>
      <c r="MGP22" s="1902">
        <f t="shared" si="144"/>
        <v>0</v>
      </c>
      <c r="MGQ22" s="1902">
        <f t="shared" si="144"/>
        <v>0</v>
      </c>
      <c r="MGR22" s="1902">
        <f t="shared" si="144"/>
        <v>0</v>
      </c>
      <c r="MGS22" s="1902">
        <f t="shared" si="144"/>
        <v>0</v>
      </c>
      <c r="MGT22" s="1902">
        <f t="shared" si="144"/>
        <v>0</v>
      </c>
      <c r="MGU22" s="1902">
        <f t="shared" si="144"/>
        <v>0</v>
      </c>
      <c r="MGV22" s="1902">
        <f t="shared" si="144"/>
        <v>0</v>
      </c>
      <c r="MGW22" s="1902">
        <f t="shared" si="144"/>
        <v>0</v>
      </c>
      <c r="MGX22" s="1902">
        <f t="shared" si="144"/>
        <v>0</v>
      </c>
      <c r="MGY22" s="1902">
        <f t="shared" si="144"/>
        <v>0</v>
      </c>
      <c r="MGZ22" s="1902">
        <f t="shared" si="144"/>
        <v>0</v>
      </c>
      <c r="MHA22" s="1902">
        <f t="shared" si="144"/>
        <v>0</v>
      </c>
      <c r="MHB22" s="1902">
        <f t="shared" si="144"/>
        <v>0</v>
      </c>
      <c r="MHC22" s="1902">
        <f t="shared" si="144"/>
        <v>0</v>
      </c>
      <c r="MHD22" s="1902">
        <f t="shared" si="144"/>
        <v>0</v>
      </c>
      <c r="MHE22" s="1902">
        <f t="shared" si="144"/>
        <v>0</v>
      </c>
      <c r="MHF22" s="1902">
        <f t="shared" si="144"/>
        <v>0</v>
      </c>
      <c r="MHG22" s="1902">
        <f t="shared" si="144"/>
        <v>0</v>
      </c>
      <c r="MHH22" s="1902">
        <f t="shared" si="144"/>
        <v>0</v>
      </c>
      <c r="MHI22" s="1902">
        <f t="shared" si="144"/>
        <v>0</v>
      </c>
      <c r="MHJ22" s="1902">
        <f t="shared" si="144"/>
        <v>0</v>
      </c>
      <c r="MHK22" s="1902">
        <f t="shared" si="144"/>
        <v>0</v>
      </c>
      <c r="MHL22" s="1902">
        <f t="shared" si="144"/>
        <v>0</v>
      </c>
      <c r="MHM22" s="1902">
        <f t="shared" si="144"/>
        <v>0</v>
      </c>
      <c r="MHN22" s="1902">
        <f t="shared" si="144"/>
        <v>0</v>
      </c>
      <c r="MHO22" s="1902">
        <f t="shared" si="144"/>
        <v>0</v>
      </c>
      <c r="MHP22" s="1902">
        <f t="shared" si="144"/>
        <v>0</v>
      </c>
      <c r="MHQ22" s="1902">
        <f t="shared" si="144"/>
        <v>0</v>
      </c>
      <c r="MHR22" s="1902">
        <f t="shared" si="144"/>
        <v>0</v>
      </c>
      <c r="MHS22" s="1902">
        <f t="shared" si="144"/>
        <v>0</v>
      </c>
      <c r="MHT22" s="1902">
        <f t="shared" si="144"/>
        <v>0</v>
      </c>
      <c r="MHU22" s="1902">
        <f t="shared" si="144"/>
        <v>0</v>
      </c>
      <c r="MHV22" s="1902">
        <f t="shared" si="144"/>
        <v>0</v>
      </c>
      <c r="MHW22" s="1902">
        <f t="shared" si="144"/>
        <v>0</v>
      </c>
      <c r="MHX22" s="1902">
        <f t="shared" si="144"/>
        <v>0</v>
      </c>
      <c r="MHY22" s="1902">
        <f t="shared" si="144"/>
        <v>0</v>
      </c>
      <c r="MHZ22" s="1902">
        <f t="shared" si="144"/>
        <v>0</v>
      </c>
      <c r="MIA22" s="1902">
        <f t="shared" si="144"/>
        <v>0</v>
      </c>
      <c r="MIB22" s="1902">
        <f t="shared" si="144"/>
        <v>0</v>
      </c>
      <c r="MIC22" s="1902">
        <f t="shared" si="144"/>
        <v>0</v>
      </c>
      <c r="MID22" s="1902">
        <f t="shared" si="144"/>
        <v>0</v>
      </c>
      <c r="MIE22" s="1902">
        <f t="shared" si="144"/>
        <v>0</v>
      </c>
      <c r="MIF22" s="1902">
        <f t="shared" si="144"/>
        <v>0</v>
      </c>
      <c r="MIG22" s="1902">
        <f t="shared" si="144"/>
        <v>0</v>
      </c>
      <c r="MIH22" s="1902">
        <f t="shared" si="144"/>
        <v>0</v>
      </c>
      <c r="MII22" s="1902">
        <f t="shared" si="144"/>
        <v>0</v>
      </c>
      <c r="MIJ22" s="1902">
        <f t="shared" si="144"/>
        <v>0</v>
      </c>
      <c r="MIK22" s="1902">
        <f t="shared" si="144"/>
        <v>0</v>
      </c>
      <c r="MIL22" s="1902">
        <f t="shared" si="144"/>
        <v>0</v>
      </c>
      <c r="MIM22" s="1902">
        <f t="shared" ref="MIM22:MKX22" si="145">IF(AND(MIM$26="End of period",MIM$25="Revenue"),MIM9,0)</f>
        <v>0</v>
      </c>
      <c r="MIN22" s="1902">
        <f t="shared" si="145"/>
        <v>0</v>
      </c>
      <c r="MIO22" s="1902">
        <f t="shared" si="145"/>
        <v>0</v>
      </c>
      <c r="MIP22" s="1902">
        <f t="shared" si="145"/>
        <v>0</v>
      </c>
      <c r="MIQ22" s="1902">
        <f t="shared" si="145"/>
        <v>0</v>
      </c>
      <c r="MIR22" s="1902">
        <f t="shared" si="145"/>
        <v>0</v>
      </c>
      <c r="MIS22" s="1902">
        <f t="shared" si="145"/>
        <v>0</v>
      </c>
      <c r="MIT22" s="1902">
        <f t="shared" si="145"/>
        <v>0</v>
      </c>
      <c r="MIU22" s="1902">
        <f t="shared" si="145"/>
        <v>0</v>
      </c>
      <c r="MIV22" s="1902">
        <f t="shared" si="145"/>
        <v>0</v>
      </c>
      <c r="MIW22" s="1902">
        <f t="shared" si="145"/>
        <v>0</v>
      </c>
      <c r="MIX22" s="1902">
        <f t="shared" si="145"/>
        <v>0</v>
      </c>
      <c r="MIY22" s="1902">
        <f t="shared" si="145"/>
        <v>0</v>
      </c>
      <c r="MIZ22" s="1902">
        <f t="shared" si="145"/>
        <v>0</v>
      </c>
      <c r="MJA22" s="1902">
        <f t="shared" si="145"/>
        <v>0</v>
      </c>
      <c r="MJB22" s="1902">
        <f t="shared" si="145"/>
        <v>0</v>
      </c>
      <c r="MJC22" s="1902">
        <f t="shared" si="145"/>
        <v>0</v>
      </c>
      <c r="MJD22" s="1902">
        <f t="shared" si="145"/>
        <v>0</v>
      </c>
      <c r="MJE22" s="1902">
        <f t="shared" si="145"/>
        <v>0</v>
      </c>
      <c r="MJF22" s="1902">
        <f t="shared" si="145"/>
        <v>0</v>
      </c>
      <c r="MJG22" s="1902">
        <f t="shared" si="145"/>
        <v>0</v>
      </c>
      <c r="MJH22" s="1902">
        <f t="shared" si="145"/>
        <v>0</v>
      </c>
      <c r="MJI22" s="1902">
        <f t="shared" si="145"/>
        <v>0</v>
      </c>
      <c r="MJJ22" s="1902">
        <f t="shared" si="145"/>
        <v>0</v>
      </c>
      <c r="MJK22" s="1902">
        <f t="shared" si="145"/>
        <v>0</v>
      </c>
      <c r="MJL22" s="1902">
        <f t="shared" si="145"/>
        <v>0</v>
      </c>
      <c r="MJM22" s="1902">
        <f t="shared" si="145"/>
        <v>0</v>
      </c>
      <c r="MJN22" s="1902">
        <f t="shared" si="145"/>
        <v>0</v>
      </c>
      <c r="MJO22" s="1902">
        <f t="shared" si="145"/>
        <v>0</v>
      </c>
      <c r="MJP22" s="1902">
        <f t="shared" si="145"/>
        <v>0</v>
      </c>
      <c r="MJQ22" s="1902">
        <f t="shared" si="145"/>
        <v>0</v>
      </c>
      <c r="MJR22" s="1902">
        <f t="shared" si="145"/>
        <v>0</v>
      </c>
      <c r="MJS22" s="1902">
        <f t="shared" si="145"/>
        <v>0</v>
      </c>
      <c r="MJT22" s="1902">
        <f t="shared" si="145"/>
        <v>0</v>
      </c>
      <c r="MJU22" s="1902">
        <f t="shared" si="145"/>
        <v>0</v>
      </c>
      <c r="MJV22" s="1902">
        <f t="shared" si="145"/>
        <v>0</v>
      </c>
      <c r="MJW22" s="1902">
        <f t="shared" si="145"/>
        <v>0</v>
      </c>
      <c r="MJX22" s="1902">
        <f t="shared" si="145"/>
        <v>0</v>
      </c>
      <c r="MJY22" s="1902">
        <f t="shared" si="145"/>
        <v>0</v>
      </c>
      <c r="MJZ22" s="1902">
        <f t="shared" si="145"/>
        <v>0</v>
      </c>
      <c r="MKA22" s="1902">
        <f t="shared" si="145"/>
        <v>0</v>
      </c>
      <c r="MKB22" s="1902">
        <f t="shared" si="145"/>
        <v>0</v>
      </c>
      <c r="MKC22" s="1902">
        <f t="shared" si="145"/>
        <v>0</v>
      </c>
      <c r="MKD22" s="1902">
        <f t="shared" si="145"/>
        <v>0</v>
      </c>
      <c r="MKE22" s="1902">
        <f t="shared" si="145"/>
        <v>0</v>
      </c>
      <c r="MKF22" s="1902">
        <f t="shared" si="145"/>
        <v>0</v>
      </c>
      <c r="MKG22" s="1902">
        <f t="shared" si="145"/>
        <v>0</v>
      </c>
      <c r="MKH22" s="1902">
        <f t="shared" si="145"/>
        <v>0</v>
      </c>
      <c r="MKI22" s="1902">
        <f t="shared" si="145"/>
        <v>0</v>
      </c>
      <c r="MKJ22" s="1902">
        <f t="shared" si="145"/>
        <v>0</v>
      </c>
      <c r="MKK22" s="1902">
        <f t="shared" si="145"/>
        <v>0</v>
      </c>
      <c r="MKL22" s="1902">
        <f t="shared" si="145"/>
        <v>0</v>
      </c>
      <c r="MKM22" s="1902">
        <f t="shared" si="145"/>
        <v>0</v>
      </c>
      <c r="MKN22" s="1902">
        <f t="shared" si="145"/>
        <v>0</v>
      </c>
      <c r="MKO22" s="1902">
        <f t="shared" si="145"/>
        <v>0</v>
      </c>
      <c r="MKP22" s="1902">
        <f t="shared" si="145"/>
        <v>0</v>
      </c>
      <c r="MKQ22" s="1902">
        <f t="shared" si="145"/>
        <v>0</v>
      </c>
      <c r="MKR22" s="1902">
        <f t="shared" si="145"/>
        <v>0</v>
      </c>
      <c r="MKS22" s="1902">
        <f t="shared" si="145"/>
        <v>0</v>
      </c>
      <c r="MKT22" s="1902">
        <f t="shared" si="145"/>
        <v>0</v>
      </c>
      <c r="MKU22" s="1902">
        <f t="shared" si="145"/>
        <v>0</v>
      </c>
      <c r="MKV22" s="1902">
        <f t="shared" si="145"/>
        <v>0</v>
      </c>
      <c r="MKW22" s="1902">
        <f t="shared" si="145"/>
        <v>0</v>
      </c>
      <c r="MKX22" s="1902">
        <f t="shared" si="145"/>
        <v>0</v>
      </c>
      <c r="MKY22" s="1902">
        <f t="shared" ref="MKY22:MNJ22" si="146">IF(AND(MKY$26="End of period",MKY$25="Revenue"),MKY9,0)</f>
        <v>0</v>
      </c>
      <c r="MKZ22" s="1902">
        <f t="shared" si="146"/>
        <v>0</v>
      </c>
      <c r="MLA22" s="1902">
        <f t="shared" si="146"/>
        <v>0</v>
      </c>
      <c r="MLB22" s="1902">
        <f t="shared" si="146"/>
        <v>0</v>
      </c>
      <c r="MLC22" s="1902">
        <f t="shared" si="146"/>
        <v>0</v>
      </c>
      <c r="MLD22" s="1902">
        <f t="shared" si="146"/>
        <v>0</v>
      </c>
      <c r="MLE22" s="1902">
        <f t="shared" si="146"/>
        <v>0</v>
      </c>
      <c r="MLF22" s="1902">
        <f t="shared" si="146"/>
        <v>0</v>
      </c>
      <c r="MLG22" s="1902">
        <f t="shared" si="146"/>
        <v>0</v>
      </c>
      <c r="MLH22" s="1902">
        <f t="shared" si="146"/>
        <v>0</v>
      </c>
      <c r="MLI22" s="1902">
        <f t="shared" si="146"/>
        <v>0</v>
      </c>
      <c r="MLJ22" s="1902">
        <f t="shared" si="146"/>
        <v>0</v>
      </c>
      <c r="MLK22" s="1902">
        <f t="shared" si="146"/>
        <v>0</v>
      </c>
      <c r="MLL22" s="1902">
        <f t="shared" si="146"/>
        <v>0</v>
      </c>
      <c r="MLM22" s="1902">
        <f t="shared" si="146"/>
        <v>0</v>
      </c>
      <c r="MLN22" s="1902">
        <f t="shared" si="146"/>
        <v>0</v>
      </c>
      <c r="MLO22" s="1902">
        <f t="shared" si="146"/>
        <v>0</v>
      </c>
      <c r="MLP22" s="1902">
        <f t="shared" si="146"/>
        <v>0</v>
      </c>
      <c r="MLQ22" s="1902">
        <f t="shared" si="146"/>
        <v>0</v>
      </c>
      <c r="MLR22" s="1902">
        <f t="shared" si="146"/>
        <v>0</v>
      </c>
      <c r="MLS22" s="1902">
        <f t="shared" si="146"/>
        <v>0</v>
      </c>
      <c r="MLT22" s="1902">
        <f t="shared" si="146"/>
        <v>0</v>
      </c>
      <c r="MLU22" s="1902">
        <f t="shared" si="146"/>
        <v>0</v>
      </c>
      <c r="MLV22" s="1902">
        <f t="shared" si="146"/>
        <v>0</v>
      </c>
      <c r="MLW22" s="1902">
        <f t="shared" si="146"/>
        <v>0</v>
      </c>
      <c r="MLX22" s="1902">
        <f t="shared" si="146"/>
        <v>0</v>
      </c>
      <c r="MLY22" s="1902">
        <f t="shared" si="146"/>
        <v>0</v>
      </c>
      <c r="MLZ22" s="1902">
        <f t="shared" si="146"/>
        <v>0</v>
      </c>
      <c r="MMA22" s="1902">
        <f t="shared" si="146"/>
        <v>0</v>
      </c>
      <c r="MMB22" s="1902">
        <f t="shared" si="146"/>
        <v>0</v>
      </c>
      <c r="MMC22" s="1902">
        <f t="shared" si="146"/>
        <v>0</v>
      </c>
      <c r="MMD22" s="1902">
        <f t="shared" si="146"/>
        <v>0</v>
      </c>
      <c r="MME22" s="1902">
        <f t="shared" si="146"/>
        <v>0</v>
      </c>
      <c r="MMF22" s="1902">
        <f t="shared" si="146"/>
        <v>0</v>
      </c>
      <c r="MMG22" s="1902">
        <f t="shared" si="146"/>
        <v>0</v>
      </c>
      <c r="MMH22" s="1902">
        <f t="shared" si="146"/>
        <v>0</v>
      </c>
      <c r="MMI22" s="1902">
        <f t="shared" si="146"/>
        <v>0</v>
      </c>
      <c r="MMJ22" s="1902">
        <f t="shared" si="146"/>
        <v>0</v>
      </c>
      <c r="MMK22" s="1902">
        <f t="shared" si="146"/>
        <v>0</v>
      </c>
      <c r="MML22" s="1902">
        <f t="shared" si="146"/>
        <v>0</v>
      </c>
      <c r="MMM22" s="1902">
        <f t="shared" si="146"/>
        <v>0</v>
      </c>
      <c r="MMN22" s="1902">
        <f t="shared" si="146"/>
        <v>0</v>
      </c>
      <c r="MMO22" s="1902">
        <f t="shared" si="146"/>
        <v>0</v>
      </c>
      <c r="MMP22" s="1902">
        <f t="shared" si="146"/>
        <v>0</v>
      </c>
      <c r="MMQ22" s="1902">
        <f t="shared" si="146"/>
        <v>0</v>
      </c>
      <c r="MMR22" s="1902">
        <f t="shared" si="146"/>
        <v>0</v>
      </c>
      <c r="MMS22" s="1902">
        <f t="shared" si="146"/>
        <v>0</v>
      </c>
      <c r="MMT22" s="1902">
        <f t="shared" si="146"/>
        <v>0</v>
      </c>
      <c r="MMU22" s="1902">
        <f t="shared" si="146"/>
        <v>0</v>
      </c>
      <c r="MMV22" s="1902">
        <f t="shared" si="146"/>
        <v>0</v>
      </c>
      <c r="MMW22" s="1902">
        <f t="shared" si="146"/>
        <v>0</v>
      </c>
      <c r="MMX22" s="1902">
        <f t="shared" si="146"/>
        <v>0</v>
      </c>
      <c r="MMY22" s="1902">
        <f t="shared" si="146"/>
        <v>0</v>
      </c>
      <c r="MMZ22" s="1902">
        <f t="shared" si="146"/>
        <v>0</v>
      </c>
      <c r="MNA22" s="1902">
        <f t="shared" si="146"/>
        <v>0</v>
      </c>
      <c r="MNB22" s="1902">
        <f t="shared" si="146"/>
        <v>0</v>
      </c>
      <c r="MNC22" s="1902">
        <f t="shared" si="146"/>
        <v>0</v>
      </c>
      <c r="MND22" s="1902">
        <f t="shared" si="146"/>
        <v>0</v>
      </c>
      <c r="MNE22" s="1902">
        <f t="shared" si="146"/>
        <v>0</v>
      </c>
      <c r="MNF22" s="1902">
        <f t="shared" si="146"/>
        <v>0</v>
      </c>
      <c r="MNG22" s="1902">
        <f t="shared" si="146"/>
        <v>0</v>
      </c>
      <c r="MNH22" s="1902">
        <f t="shared" si="146"/>
        <v>0</v>
      </c>
      <c r="MNI22" s="1902">
        <f t="shared" si="146"/>
        <v>0</v>
      </c>
      <c r="MNJ22" s="1902">
        <f t="shared" si="146"/>
        <v>0</v>
      </c>
      <c r="MNK22" s="1902">
        <f t="shared" ref="MNK22:MPV22" si="147">IF(AND(MNK$26="End of period",MNK$25="Revenue"),MNK9,0)</f>
        <v>0</v>
      </c>
      <c r="MNL22" s="1902">
        <f t="shared" si="147"/>
        <v>0</v>
      </c>
      <c r="MNM22" s="1902">
        <f t="shared" si="147"/>
        <v>0</v>
      </c>
      <c r="MNN22" s="1902">
        <f t="shared" si="147"/>
        <v>0</v>
      </c>
      <c r="MNO22" s="1902">
        <f t="shared" si="147"/>
        <v>0</v>
      </c>
      <c r="MNP22" s="1902">
        <f t="shared" si="147"/>
        <v>0</v>
      </c>
      <c r="MNQ22" s="1902">
        <f t="shared" si="147"/>
        <v>0</v>
      </c>
      <c r="MNR22" s="1902">
        <f t="shared" si="147"/>
        <v>0</v>
      </c>
      <c r="MNS22" s="1902">
        <f t="shared" si="147"/>
        <v>0</v>
      </c>
      <c r="MNT22" s="1902">
        <f t="shared" si="147"/>
        <v>0</v>
      </c>
      <c r="MNU22" s="1902">
        <f t="shared" si="147"/>
        <v>0</v>
      </c>
      <c r="MNV22" s="1902">
        <f t="shared" si="147"/>
        <v>0</v>
      </c>
      <c r="MNW22" s="1902">
        <f t="shared" si="147"/>
        <v>0</v>
      </c>
      <c r="MNX22" s="1902">
        <f t="shared" si="147"/>
        <v>0</v>
      </c>
      <c r="MNY22" s="1902">
        <f t="shared" si="147"/>
        <v>0</v>
      </c>
      <c r="MNZ22" s="1902">
        <f t="shared" si="147"/>
        <v>0</v>
      </c>
      <c r="MOA22" s="1902">
        <f t="shared" si="147"/>
        <v>0</v>
      </c>
      <c r="MOB22" s="1902">
        <f t="shared" si="147"/>
        <v>0</v>
      </c>
      <c r="MOC22" s="1902">
        <f t="shared" si="147"/>
        <v>0</v>
      </c>
      <c r="MOD22" s="1902">
        <f t="shared" si="147"/>
        <v>0</v>
      </c>
      <c r="MOE22" s="1902">
        <f t="shared" si="147"/>
        <v>0</v>
      </c>
      <c r="MOF22" s="1902">
        <f t="shared" si="147"/>
        <v>0</v>
      </c>
      <c r="MOG22" s="1902">
        <f t="shared" si="147"/>
        <v>0</v>
      </c>
      <c r="MOH22" s="1902">
        <f t="shared" si="147"/>
        <v>0</v>
      </c>
      <c r="MOI22" s="1902">
        <f t="shared" si="147"/>
        <v>0</v>
      </c>
      <c r="MOJ22" s="1902">
        <f t="shared" si="147"/>
        <v>0</v>
      </c>
      <c r="MOK22" s="1902">
        <f t="shared" si="147"/>
        <v>0</v>
      </c>
      <c r="MOL22" s="1902">
        <f t="shared" si="147"/>
        <v>0</v>
      </c>
      <c r="MOM22" s="1902">
        <f t="shared" si="147"/>
        <v>0</v>
      </c>
      <c r="MON22" s="1902">
        <f t="shared" si="147"/>
        <v>0</v>
      </c>
      <c r="MOO22" s="1902">
        <f t="shared" si="147"/>
        <v>0</v>
      </c>
      <c r="MOP22" s="1902">
        <f t="shared" si="147"/>
        <v>0</v>
      </c>
      <c r="MOQ22" s="1902">
        <f t="shared" si="147"/>
        <v>0</v>
      </c>
      <c r="MOR22" s="1902">
        <f t="shared" si="147"/>
        <v>0</v>
      </c>
      <c r="MOS22" s="1902">
        <f t="shared" si="147"/>
        <v>0</v>
      </c>
      <c r="MOT22" s="1902">
        <f t="shared" si="147"/>
        <v>0</v>
      </c>
      <c r="MOU22" s="1902">
        <f t="shared" si="147"/>
        <v>0</v>
      </c>
      <c r="MOV22" s="1902">
        <f t="shared" si="147"/>
        <v>0</v>
      </c>
      <c r="MOW22" s="1902">
        <f t="shared" si="147"/>
        <v>0</v>
      </c>
      <c r="MOX22" s="1902">
        <f t="shared" si="147"/>
        <v>0</v>
      </c>
      <c r="MOY22" s="1902">
        <f t="shared" si="147"/>
        <v>0</v>
      </c>
      <c r="MOZ22" s="1902">
        <f t="shared" si="147"/>
        <v>0</v>
      </c>
      <c r="MPA22" s="1902">
        <f t="shared" si="147"/>
        <v>0</v>
      </c>
      <c r="MPB22" s="1902">
        <f t="shared" si="147"/>
        <v>0</v>
      </c>
      <c r="MPC22" s="1902">
        <f t="shared" si="147"/>
        <v>0</v>
      </c>
      <c r="MPD22" s="1902">
        <f t="shared" si="147"/>
        <v>0</v>
      </c>
      <c r="MPE22" s="1902">
        <f t="shared" si="147"/>
        <v>0</v>
      </c>
      <c r="MPF22" s="1902">
        <f t="shared" si="147"/>
        <v>0</v>
      </c>
      <c r="MPG22" s="1902">
        <f t="shared" si="147"/>
        <v>0</v>
      </c>
      <c r="MPH22" s="1902">
        <f t="shared" si="147"/>
        <v>0</v>
      </c>
      <c r="MPI22" s="1902">
        <f t="shared" si="147"/>
        <v>0</v>
      </c>
      <c r="MPJ22" s="1902">
        <f t="shared" si="147"/>
        <v>0</v>
      </c>
      <c r="MPK22" s="1902">
        <f t="shared" si="147"/>
        <v>0</v>
      </c>
      <c r="MPL22" s="1902">
        <f t="shared" si="147"/>
        <v>0</v>
      </c>
      <c r="MPM22" s="1902">
        <f t="shared" si="147"/>
        <v>0</v>
      </c>
      <c r="MPN22" s="1902">
        <f t="shared" si="147"/>
        <v>0</v>
      </c>
      <c r="MPO22" s="1902">
        <f t="shared" si="147"/>
        <v>0</v>
      </c>
      <c r="MPP22" s="1902">
        <f t="shared" si="147"/>
        <v>0</v>
      </c>
      <c r="MPQ22" s="1902">
        <f t="shared" si="147"/>
        <v>0</v>
      </c>
      <c r="MPR22" s="1902">
        <f t="shared" si="147"/>
        <v>0</v>
      </c>
      <c r="MPS22" s="1902">
        <f t="shared" si="147"/>
        <v>0</v>
      </c>
      <c r="MPT22" s="1902">
        <f t="shared" si="147"/>
        <v>0</v>
      </c>
      <c r="MPU22" s="1902">
        <f t="shared" si="147"/>
        <v>0</v>
      </c>
      <c r="MPV22" s="1902">
        <f t="shared" si="147"/>
        <v>0</v>
      </c>
      <c r="MPW22" s="1902">
        <f t="shared" ref="MPW22:MSH22" si="148">IF(AND(MPW$26="End of period",MPW$25="Revenue"),MPW9,0)</f>
        <v>0</v>
      </c>
      <c r="MPX22" s="1902">
        <f t="shared" si="148"/>
        <v>0</v>
      </c>
      <c r="MPY22" s="1902">
        <f t="shared" si="148"/>
        <v>0</v>
      </c>
      <c r="MPZ22" s="1902">
        <f t="shared" si="148"/>
        <v>0</v>
      </c>
      <c r="MQA22" s="1902">
        <f t="shared" si="148"/>
        <v>0</v>
      </c>
      <c r="MQB22" s="1902">
        <f t="shared" si="148"/>
        <v>0</v>
      </c>
      <c r="MQC22" s="1902">
        <f t="shared" si="148"/>
        <v>0</v>
      </c>
      <c r="MQD22" s="1902">
        <f t="shared" si="148"/>
        <v>0</v>
      </c>
      <c r="MQE22" s="1902">
        <f t="shared" si="148"/>
        <v>0</v>
      </c>
      <c r="MQF22" s="1902">
        <f t="shared" si="148"/>
        <v>0</v>
      </c>
      <c r="MQG22" s="1902">
        <f t="shared" si="148"/>
        <v>0</v>
      </c>
      <c r="MQH22" s="1902">
        <f t="shared" si="148"/>
        <v>0</v>
      </c>
      <c r="MQI22" s="1902">
        <f t="shared" si="148"/>
        <v>0</v>
      </c>
      <c r="MQJ22" s="1902">
        <f t="shared" si="148"/>
        <v>0</v>
      </c>
      <c r="MQK22" s="1902">
        <f t="shared" si="148"/>
        <v>0</v>
      </c>
      <c r="MQL22" s="1902">
        <f t="shared" si="148"/>
        <v>0</v>
      </c>
      <c r="MQM22" s="1902">
        <f t="shared" si="148"/>
        <v>0</v>
      </c>
      <c r="MQN22" s="1902">
        <f t="shared" si="148"/>
        <v>0</v>
      </c>
      <c r="MQO22" s="1902">
        <f t="shared" si="148"/>
        <v>0</v>
      </c>
      <c r="MQP22" s="1902">
        <f t="shared" si="148"/>
        <v>0</v>
      </c>
      <c r="MQQ22" s="1902">
        <f t="shared" si="148"/>
        <v>0</v>
      </c>
      <c r="MQR22" s="1902">
        <f t="shared" si="148"/>
        <v>0</v>
      </c>
      <c r="MQS22" s="1902">
        <f t="shared" si="148"/>
        <v>0</v>
      </c>
      <c r="MQT22" s="1902">
        <f t="shared" si="148"/>
        <v>0</v>
      </c>
      <c r="MQU22" s="1902">
        <f t="shared" si="148"/>
        <v>0</v>
      </c>
      <c r="MQV22" s="1902">
        <f t="shared" si="148"/>
        <v>0</v>
      </c>
      <c r="MQW22" s="1902">
        <f t="shared" si="148"/>
        <v>0</v>
      </c>
      <c r="MQX22" s="1902">
        <f t="shared" si="148"/>
        <v>0</v>
      </c>
      <c r="MQY22" s="1902">
        <f t="shared" si="148"/>
        <v>0</v>
      </c>
      <c r="MQZ22" s="1902">
        <f t="shared" si="148"/>
        <v>0</v>
      </c>
      <c r="MRA22" s="1902">
        <f t="shared" si="148"/>
        <v>0</v>
      </c>
      <c r="MRB22" s="1902">
        <f t="shared" si="148"/>
        <v>0</v>
      </c>
      <c r="MRC22" s="1902">
        <f t="shared" si="148"/>
        <v>0</v>
      </c>
      <c r="MRD22" s="1902">
        <f t="shared" si="148"/>
        <v>0</v>
      </c>
      <c r="MRE22" s="1902">
        <f t="shared" si="148"/>
        <v>0</v>
      </c>
      <c r="MRF22" s="1902">
        <f t="shared" si="148"/>
        <v>0</v>
      </c>
      <c r="MRG22" s="1902">
        <f t="shared" si="148"/>
        <v>0</v>
      </c>
      <c r="MRH22" s="1902">
        <f t="shared" si="148"/>
        <v>0</v>
      </c>
      <c r="MRI22" s="1902">
        <f t="shared" si="148"/>
        <v>0</v>
      </c>
      <c r="MRJ22" s="1902">
        <f t="shared" si="148"/>
        <v>0</v>
      </c>
      <c r="MRK22" s="1902">
        <f t="shared" si="148"/>
        <v>0</v>
      </c>
      <c r="MRL22" s="1902">
        <f t="shared" si="148"/>
        <v>0</v>
      </c>
      <c r="MRM22" s="1902">
        <f t="shared" si="148"/>
        <v>0</v>
      </c>
      <c r="MRN22" s="1902">
        <f t="shared" si="148"/>
        <v>0</v>
      </c>
      <c r="MRO22" s="1902">
        <f t="shared" si="148"/>
        <v>0</v>
      </c>
      <c r="MRP22" s="1902">
        <f t="shared" si="148"/>
        <v>0</v>
      </c>
      <c r="MRQ22" s="1902">
        <f t="shared" si="148"/>
        <v>0</v>
      </c>
      <c r="MRR22" s="1902">
        <f t="shared" si="148"/>
        <v>0</v>
      </c>
      <c r="MRS22" s="1902">
        <f t="shared" si="148"/>
        <v>0</v>
      </c>
      <c r="MRT22" s="1902">
        <f t="shared" si="148"/>
        <v>0</v>
      </c>
      <c r="MRU22" s="1902">
        <f t="shared" si="148"/>
        <v>0</v>
      </c>
      <c r="MRV22" s="1902">
        <f t="shared" si="148"/>
        <v>0</v>
      </c>
      <c r="MRW22" s="1902">
        <f t="shared" si="148"/>
        <v>0</v>
      </c>
      <c r="MRX22" s="1902">
        <f t="shared" si="148"/>
        <v>0</v>
      </c>
      <c r="MRY22" s="1902">
        <f t="shared" si="148"/>
        <v>0</v>
      </c>
      <c r="MRZ22" s="1902">
        <f t="shared" si="148"/>
        <v>0</v>
      </c>
      <c r="MSA22" s="1902">
        <f t="shared" si="148"/>
        <v>0</v>
      </c>
      <c r="MSB22" s="1902">
        <f t="shared" si="148"/>
        <v>0</v>
      </c>
      <c r="MSC22" s="1902">
        <f t="shared" si="148"/>
        <v>0</v>
      </c>
      <c r="MSD22" s="1902">
        <f t="shared" si="148"/>
        <v>0</v>
      </c>
      <c r="MSE22" s="1902">
        <f t="shared" si="148"/>
        <v>0</v>
      </c>
      <c r="MSF22" s="1902">
        <f t="shared" si="148"/>
        <v>0</v>
      </c>
      <c r="MSG22" s="1902">
        <f t="shared" si="148"/>
        <v>0</v>
      </c>
      <c r="MSH22" s="1902">
        <f t="shared" si="148"/>
        <v>0</v>
      </c>
      <c r="MSI22" s="1902">
        <f t="shared" ref="MSI22:MUT22" si="149">IF(AND(MSI$26="End of period",MSI$25="Revenue"),MSI9,0)</f>
        <v>0</v>
      </c>
      <c r="MSJ22" s="1902">
        <f t="shared" si="149"/>
        <v>0</v>
      </c>
      <c r="MSK22" s="1902">
        <f t="shared" si="149"/>
        <v>0</v>
      </c>
      <c r="MSL22" s="1902">
        <f t="shared" si="149"/>
        <v>0</v>
      </c>
      <c r="MSM22" s="1902">
        <f t="shared" si="149"/>
        <v>0</v>
      </c>
      <c r="MSN22" s="1902">
        <f t="shared" si="149"/>
        <v>0</v>
      </c>
      <c r="MSO22" s="1902">
        <f t="shared" si="149"/>
        <v>0</v>
      </c>
      <c r="MSP22" s="1902">
        <f t="shared" si="149"/>
        <v>0</v>
      </c>
      <c r="MSQ22" s="1902">
        <f t="shared" si="149"/>
        <v>0</v>
      </c>
      <c r="MSR22" s="1902">
        <f t="shared" si="149"/>
        <v>0</v>
      </c>
      <c r="MSS22" s="1902">
        <f t="shared" si="149"/>
        <v>0</v>
      </c>
      <c r="MST22" s="1902">
        <f t="shared" si="149"/>
        <v>0</v>
      </c>
      <c r="MSU22" s="1902">
        <f t="shared" si="149"/>
        <v>0</v>
      </c>
      <c r="MSV22" s="1902">
        <f t="shared" si="149"/>
        <v>0</v>
      </c>
      <c r="MSW22" s="1902">
        <f t="shared" si="149"/>
        <v>0</v>
      </c>
      <c r="MSX22" s="1902">
        <f t="shared" si="149"/>
        <v>0</v>
      </c>
      <c r="MSY22" s="1902">
        <f t="shared" si="149"/>
        <v>0</v>
      </c>
      <c r="MSZ22" s="1902">
        <f t="shared" si="149"/>
        <v>0</v>
      </c>
      <c r="MTA22" s="1902">
        <f t="shared" si="149"/>
        <v>0</v>
      </c>
      <c r="MTB22" s="1902">
        <f t="shared" si="149"/>
        <v>0</v>
      </c>
      <c r="MTC22" s="1902">
        <f t="shared" si="149"/>
        <v>0</v>
      </c>
      <c r="MTD22" s="1902">
        <f t="shared" si="149"/>
        <v>0</v>
      </c>
      <c r="MTE22" s="1902">
        <f t="shared" si="149"/>
        <v>0</v>
      </c>
      <c r="MTF22" s="1902">
        <f t="shared" si="149"/>
        <v>0</v>
      </c>
      <c r="MTG22" s="1902">
        <f t="shared" si="149"/>
        <v>0</v>
      </c>
      <c r="MTH22" s="1902">
        <f t="shared" si="149"/>
        <v>0</v>
      </c>
      <c r="MTI22" s="1902">
        <f t="shared" si="149"/>
        <v>0</v>
      </c>
      <c r="MTJ22" s="1902">
        <f t="shared" si="149"/>
        <v>0</v>
      </c>
      <c r="MTK22" s="1902">
        <f t="shared" si="149"/>
        <v>0</v>
      </c>
      <c r="MTL22" s="1902">
        <f t="shared" si="149"/>
        <v>0</v>
      </c>
      <c r="MTM22" s="1902">
        <f t="shared" si="149"/>
        <v>0</v>
      </c>
      <c r="MTN22" s="1902">
        <f t="shared" si="149"/>
        <v>0</v>
      </c>
      <c r="MTO22" s="1902">
        <f t="shared" si="149"/>
        <v>0</v>
      </c>
      <c r="MTP22" s="1902">
        <f t="shared" si="149"/>
        <v>0</v>
      </c>
      <c r="MTQ22" s="1902">
        <f t="shared" si="149"/>
        <v>0</v>
      </c>
      <c r="MTR22" s="1902">
        <f t="shared" si="149"/>
        <v>0</v>
      </c>
      <c r="MTS22" s="1902">
        <f t="shared" si="149"/>
        <v>0</v>
      </c>
      <c r="MTT22" s="1902">
        <f t="shared" si="149"/>
        <v>0</v>
      </c>
      <c r="MTU22" s="1902">
        <f t="shared" si="149"/>
        <v>0</v>
      </c>
      <c r="MTV22" s="1902">
        <f t="shared" si="149"/>
        <v>0</v>
      </c>
      <c r="MTW22" s="1902">
        <f t="shared" si="149"/>
        <v>0</v>
      </c>
      <c r="MTX22" s="1902">
        <f t="shared" si="149"/>
        <v>0</v>
      </c>
      <c r="MTY22" s="1902">
        <f t="shared" si="149"/>
        <v>0</v>
      </c>
      <c r="MTZ22" s="1902">
        <f t="shared" si="149"/>
        <v>0</v>
      </c>
      <c r="MUA22" s="1902">
        <f t="shared" si="149"/>
        <v>0</v>
      </c>
      <c r="MUB22" s="1902">
        <f t="shared" si="149"/>
        <v>0</v>
      </c>
      <c r="MUC22" s="1902">
        <f t="shared" si="149"/>
        <v>0</v>
      </c>
      <c r="MUD22" s="1902">
        <f t="shared" si="149"/>
        <v>0</v>
      </c>
      <c r="MUE22" s="1902">
        <f t="shared" si="149"/>
        <v>0</v>
      </c>
      <c r="MUF22" s="1902">
        <f t="shared" si="149"/>
        <v>0</v>
      </c>
      <c r="MUG22" s="1902">
        <f t="shared" si="149"/>
        <v>0</v>
      </c>
      <c r="MUH22" s="1902">
        <f t="shared" si="149"/>
        <v>0</v>
      </c>
      <c r="MUI22" s="1902">
        <f t="shared" si="149"/>
        <v>0</v>
      </c>
      <c r="MUJ22" s="1902">
        <f t="shared" si="149"/>
        <v>0</v>
      </c>
      <c r="MUK22" s="1902">
        <f t="shared" si="149"/>
        <v>0</v>
      </c>
      <c r="MUL22" s="1902">
        <f t="shared" si="149"/>
        <v>0</v>
      </c>
      <c r="MUM22" s="1902">
        <f t="shared" si="149"/>
        <v>0</v>
      </c>
      <c r="MUN22" s="1902">
        <f t="shared" si="149"/>
        <v>0</v>
      </c>
      <c r="MUO22" s="1902">
        <f t="shared" si="149"/>
        <v>0</v>
      </c>
      <c r="MUP22" s="1902">
        <f t="shared" si="149"/>
        <v>0</v>
      </c>
      <c r="MUQ22" s="1902">
        <f t="shared" si="149"/>
        <v>0</v>
      </c>
      <c r="MUR22" s="1902">
        <f t="shared" si="149"/>
        <v>0</v>
      </c>
      <c r="MUS22" s="1902">
        <f t="shared" si="149"/>
        <v>0</v>
      </c>
      <c r="MUT22" s="1902">
        <f t="shared" si="149"/>
        <v>0</v>
      </c>
      <c r="MUU22" s="1902">
        <f t="shared" ref="MUU22:MXF22" si="150">IF(AND(MUU$26="End of period",MUU$25="Revenue"),MUU9,0)</f>
        <v>0</v>
      </c>
      <c r="MUV22" s="1902">
        <f t="shared" si="150"/>
        <v>0</v>
      </c>
      <c r="MUW22" s="1902">
        <f t="shared" si="150"/>
        <v>0</v>
      </c>
      <c r="MUX22" s="1902">
        <f t="shared" si="150"/>
        <v>0</v>
      </c>
      <c r="MUY22" s="1902">
        <f t="shared" si="150"/>
        <v>0</v>
      </c>
      <c r="MUZ22" s="1902">
        <f t="shared" si="150"/>
        <v>0</v>
      </c>
      <c r="MVA22" s="1902">
        <f t="shared" si="150"/>
        <v>0</v>
      </c>
      <c r="MVB22" s="1902">
        <f t="shared" si="150"/>
        <v>0</v>
      </c>
      <c r="MVC22" s="1902">
        <f t="shared" si="150"/>
        <v>0</v>
      </c>
      <c r="MVD22" s="1902">
        <f t="shared" si="150"/>
        <v>0</v>
      </c>
      <c r="MVE22" s="1902">
        <f t="shared" si="150"/>
        <v>0</v>
      </c>
      <c r="MVF22" s="1902">
        <f t="shared" si="150"/>
        <v>0</v>
      </c>
      <c r="MVG22" s="1902">
        <f t="shared" si="150"/>
        <v>0</v>
      </c>
      <c r="MVH22" s="1902">
        <f t="shared" si="150"/>
        <v>0</v>
      </c>
      <c r="MVI22" s="1902">
        <f t="shared" si="150"/>
        <v>0</v>
      </c>
      <c r="MVJ22" s="1902">
        <f t="shared" si="150"/>
        <v>0</v>
      </c>
      <c r="MVK22" s="1902">
        <f t="shared" si="150"/>
        <v>0</v>
      </c>
      <c r="MVL22" s="1902">
        <f t="shared" si="150"/>
        <v>0</v>
      </c>
      <c r="MVM22" s="1902">
        <f t="shared" si="150"/>
        <v>0</v>
      </c>
      <c r="MVN22" s="1902">
        <f t="shared" si="150"/>
        <v>0</v>
      </c>
      <c r="MVO22" s="1902">
        <f t="shared" si="150"/>
        <v>0</v>
      </c>
      <c r="MVP22" s="1902">
        <f t="shared" si="150"/>
        <v>0</v>
      </c>
      <c r="MVQ22" s="1902">
        <f t="shared" si="150"/>
        <v>0</v>
      </c>
      <c r="MVR22" s="1902">
        <f t="shared" si="150"/>
        <v>0</v>
      </c>
      <c r="MVS22" s="1902">
        <f t="shared" si="150"/>
        <v>0</v>
      </c>
      <c r="MVT22" s="1902">
        <f t="shared" si="150"/>
        <v>0</v>
      </c>
      <c r="MVU22" s="1902">
        <f t="shared" si="150"/>
        <v>0</v>
      </c>
      <c r="MVV22" s="1902">
        <f t="shared" si="150"/>
        <v>0</v>
      </c>
      <c r="MVW22" s="1902">
        <f t="shared" si="150"/>
        <v>0</v>
      </c>
      <c r="MVX22" s="1902">
        <f t="shared" si="150"/>
        <v>0</v>
      </c>
      <c r="MVY22" s="1902">
        <f t="shared" si="150"/>
        <v>0</v>
      </c>
      <c r="MVZ22" s="1902">
        <f t="shared" si="150"/>
        <v>0</v>
      </c>
      <c r="MWA22" s="1902">
        <f t="shared" si="150"/>
        <v>0</v>
      </c>
      <c r="MWB22" s="1902">
        <f t="shared" si="150"/>
        <v>0</v>
      </c>
      <c r="MWC22" s="1902">
        <f t="shared" si="150"/>
        <v>0</v>
      </c>
      <c r="MWD22" s="1902">
        <f t="shared" si="150"/>
        <v>0</v>
      </c>
      <c r="MWE22" s="1902">
        <f t="shared" si="150"/>
        <v>0</v>
      </c>
      <c r="MWF22" s="1902">
        <f t="shared" si="150"/>
        <v>0</v>
      </c>
      <c r="MWG22" s="1902">
        <f t="shared" si="150"/>
        <v>0</v>
      </c>
      <c r="MWH22" s="1902">
        <f t="shared" si="150"/>
        <v>0</v>
      </c>
      <c r="MWI22" s="1902">
        <f t="shared" si="150"/>
        <v>0</v>
      </c>
      <c r="MWJ22" s="1902">
        <f t="shared" si="150"/>
        <v>0</v>
      </c>
      <c r="MWK22" s="1902">
        <f t="shared" si="150"/>
        <v>0</v>
      </c>
      <c r="MWL22" s="1902">
        <f t="shared" si="150"/>
        <v>0</v>
      </c>
      <c r="MWM22" s="1902">
        <f t="shared" si="150"/>
        <v>0</v>
      </c>
      <c r="MWN22" s="1902">
        <f t="shared" si="150"/>
        <v>0</v>
      </c>
      <c r="MWO22" s="1902">
        <f t="shared" si="150"/>
        <v>0</v>
      </c>
      <c r="MWP22" s="1902">
        <f t="shared" si="150"/>
        <v>0</v>
      </c>
      <c r="MWQ22" s="1902">
        <f t="shared" si="150"/>
        <v>0</v>
      </c>
      <c r="MWR22" s="1902">
        <f t="shared" si="150"/>
        <v>0</v>
      </c>
      <c r="MWS22" s="1902">
        <f t="shared" si="150"/>
        <v>0</v>
      </c>
      <c r="MWT22" s="1902">
        <f t="shared" si="150"/>
        <v>0</v>
      </c>
      <c r="MWU22" s="1902">
        <f t="shared" si="150"/>
        <v>0</v>
      </c>
      <c r="MWV22" s="1902">
        <f t="shared" si="150"/>
        <v>0</v>
      </c>
      <c r="MWW22" s="1902">
        <f t="shared" si="150"/>
        <v>0</v>
      </c>
      <c r="MWX22" s="1902">
        <f t="shared" si="150"/>
        <v>0</v>
      </c>
      <c r="MWY22" s="1902">
        <f t="shared" si="150"/>
        <v>0</v>
      </c>
      <c r="MWZ22" s="1902">
        <f t="shared" si="150"/>
        <v>0</v>
      </c>
      <c r="MXA22" s="1902">
        <f t="shared" si="150"/>
        <v>0</v>
      </c>
      <c r="MXB22" s="1902">
        <f t="shared" si="150"/>
        <v>0</v>
      </c>
      <c r="MXC22" s="1902">
        <f t="shared" si="150"/>
        <v>0</v>
      </c>
      <c r="MXD22" s="1902">
        <f t="shared" si="150"/>
        <v>0</v>
      </c>
      <c r="MXE22" s="1902">
        <f t="shared" si="150"/>
        <v>0</v>
      </c>
      <c r="MXF22" s="1902">
        <f t="shared" si="150"/>
        <v>0</v>
      </c>
      <c r="MXG22" s="1902">
        <f t="shared" ref="MXG22:MZR22" si="151">IF(AND(MXG$26="End of period",MXG$25="Revenue"),MXG9,0)</f>
        <v>0</v>
      </c>
      <c r="MXH22" s="1902">
        <f t="shared" si="151"/>
        <v>0</v>
      </c>
      <c r="MXI22" s="1902">
        <f t="shared" si="151"/>
        <v>0</v>
      </c>
      <c r="MXJ22" s="1902">
        <f t="shared" si="151"/>
        <v>0</v>
      </c>
      <c r="MXK22" s="1902">
        <f t="shared" si="151"/>
        <v>0</v>
      </c>
      <c r="MXL22" s="1902">
        <f t="shared" si="151"/>
        <v>0</v>
      </c>
      <c r="MXM22" s="1902">
        <f t="shared" si="151"/>
        <v>0</v>
      </c>
      <c r="MXN22" s="1902">
        <f t="shared" si="151"/>
        <v>0</v>
      </c>
      <c r="MXO22" s="1902">
        <f t="shared" si="151"/>
        <v>0</v>
      </c>
      <c r="MXP22" s="1902">
        <f t="shared" si="151"/>
        <v>0</v>
      </c>
      <c r="MXQ22" s="1902">
        <f t="shared" si="151"/>
        <v>0</v>
      </c>
      <c r="MXR22" s="1902">
        <f t="shared" si="151"/>
        <v>0</v>
      </c>
      <c r="MXS22" s="1902">
        <f t="shared" si="151"/>
        <v>0</v>
      </c>
      <c r="MXT22" s="1902">
        <f t="shared" si="151"/>
        <v>0</v>
      </c>
      <c r="MXU22" s="1902">
        <f t="shared" si="151"/>
        <v>0</v>
      </c>
      <c r="MXV22" s="1902">
        <f t="shared" si="151"/>
        <v>0</v>
      </c>
      <c r="MXW22" s="1902">
        <f t="shared" si="151"/>
        <v>0</v>
      </c>
      <c r="MXX22" s="1902">
        <f t="shared" si="151"/>
        <v>0</v>
      </c>
      <c r="MXY22" s="1902">
        <f t="shared" si="151"/>
        <v>0</v>
      </c>
      <c r="MXZ22" s="1902">
        <f t="shared" si="151"/>
        <v>0</v>
      </c>
      <c r="MYA22" s="1902">
        <f t="shared" si="151"/>
        <v>0</v>
      </c>
      <c r="MYB22" s="1902">
        <f t="shared" si="151"/>
        <v>0</v>
      </c>
      <c r="MYC22" s="1902">
        <f t="shared" si="151"/>
        <v>0</v>
      </c>
      <c r="MYD22" s="1902">
        <f t="shared" si="151"/>
        <v>0</v>
      </c>
      <c r="MYE22" s="1902">
        <f t="shared" si="151"/>
        <v>0</v>
      </c>
      <c r="MYF22" s="1902">
        <f t="shared" si="151"/>
        <v>0</v>
      </c>
      <c r="MYG22" s="1902">
        <f t="shared" si="151"/>
        <v>0</v>
      </c>
      <c r="MYH22" s="1902">
        <f t="shared" si="151"/>
        <v>0</v>
      </c>
      <c r="MYI22" s="1902">
        <f t="shared" si="151"/>
        <v>0</v>
      </c>
      <c r="MYJ22" s="1902">
        <f t="shared" si="151"/>
        <v>0</v>
      </c>
      <c r="MYK22" s="1902">
        <f t="shared" si="151"/>
        <v>0</v>
      </c>
      <c r="MYL22" s="1902">
        <f t="shared" si="151"/>
        <v>0</v>
      </c>
      <c r="MYM22" s="1902">
        <f t="shared" si="151"/>
        <v>0</v>
      </c>
      <c r="MYN22" s="1902">
        <f t="shared" si="151"/>
        <v>0</v>
      </c>
      <c r="MYO22" s="1902">
        <f t="shared" si="151"/>
        <v>0</v>
      </c>
      <c r="MYP22" s="1902">
        <f t="shared" si="151"/>
        <v>0</v>
      </c>
      <c r="MYQ22" s="1902">
        <f t="shared" si="151"/>
        <v>0</v>
      </c>
      <c r="MYR22" s="1902">
        <f t="shared" si="151"/>
        <v>0</v>
      </c>
      <c r="MYS22" s="1902">
        <f t="shared" si="151"/>
        <v>0</v>
      </c>
      <c r="MYT22" s="1902">
        <f t="shared" si="151"/>
        <v>0</v>
      </c>
      <c r="MYU22" s="1902">
        <f t="shared" si="151"/>
        <v>0</v>
      </c>
      <c r="MYV22" s="1902">
        <f t="shared" si="151"/>
        <v>0</v>
      </c>
      <c r="MYW22" s="1902">
        <f t="shared" si="151"/>
        <v>0</v>
      </c>
      <c r="MYX22" s="1902">
        <f t="shared" si="151"/>
        <v>0</v>
      </c>
      <c r="MYY22" s="1902">
        <f t="shared" si="151"/>
        <v>0</v>
      </c>
      <c r="MYZ22" s="1902">
        <f t="shared" si="151"/>
        <v>0</v>
      </c>
      <c r="MZA22" s="1902">
        <f t="shared" si="151"/>
        <v>0</v>
      </c>
      <c r="MZB22" s="1902">
        <f t="shared" si="151"/>
        <v>0</v>
      </c>
      <c r="MZC22" s="1902">
        <f t="shared" si="151"/>
        <v>0</v>
      </c>
      <c r="MZD22" s="1902">
        <f t="shared" si="151"/>
        <v>0</v>
      </c>
      <c r="MZE22" s="1902">
        <f t="shared" si="151"/>
        <v>0</v>
      </c>
      <c r="MZF22" s="1902">
        <f t="shared" si="151"/>
        <v>0</v>
      </c>
      <c r="MZG22" s="1902">
        <f t="shared" si="151"/>
        <v>0</v>
      </c>
      <c r="MZH22" s="1902">
        <f t="shared" si="151"/>
        <v>0</v>
      </c>
      <c r="MZI22" s="1902">
        <f t="shared" si="151"/>
        <v>0</v>
      </c>
      <c r="MZJ22" s="1902">
        <f t="shared" si="151"/>
        <v>0</v>
      </c>
      <c r="MZK22" s="1902">
        <f t="shared" si="151"/>
        <v>0</v>
      </c>
      <c r="MZL22" s="1902">
        <f t="shared" si="151"/>
        <v>0</v>
      </c>
      <c r="MZM22" s="1902">
        <f t="shared" si="151"/>
        <v>0</v>
      </c>
      <c r="MZN22" s="1902">
        <f t="shared" si="151"/>
        <v>0</v>
      </c>
      <c r="MZO22" s="1902">
        <f t="shared" si="151"/>
        <v>0</v>
      </c>
      <c r="MZP22" s="1902">
        <f t="shared" si="151"/>
        <v>0</v>
      </c>
      <c r="MZQ22" s="1902">
        <f t="shared" si="151"/>
        <v>0</v>
      </c>
      <c r="MZR22" s="1902">
        <f t="shared" si="151"/>
        <v>0</v>
      </c>
      <c r="MZS22" s="1902">
        <f t="shared" ref="MZS22:NCD22" si="152">IF(AND(MZS$26="End of period",MZS$25="Revenue"),MZS9,0)</f>
        <v>0</v>
      </c>
      <c r="MZT22" s="1902">
        <f t="shared" si="152"/>
        <v>0</v>
      </c>
      <c r="MZU22" s="1902">
        <f t="shared" si="152"/>
        <v>0</v>
      </c>
      <c r="MZV22" s="1902">
        <f t="shared" si="152"/>
        <v>0</v>
      </c>
      <c r="MZW22" s="1902">
        <f t="shared" si="152"/>
        <v>0</v>
      </c>
      <c r="MZX22" s="1902">
        <f t="shared" si="152"/>
        <v>0</v>
      </c>
      <c r="MZY22" s="1902">
        <f t="shared" si="152"/>
        <v>0</v>
      </c>
      <c r="MZZ22" s="1902">
        <f t="shared" si="152"/>
        <v>0</v>
      </c>
      <c r="NAA22" s="1902">
        <f t="shared" si="152"/>
        <v>0</v>
      </c>
      <c r="NAB22" s="1902">
        <f t="shared" si="152"/>
        <v>0</v>
      </c>
      <c r="NAC22" s="1902">
        <f t="shared" si="152"/>
        <v>0</v>
      </c>
      <c r="NAD22" s="1902">
        <f t="shared" si="152"/>
        <v>0</v>
      </c>
      <c r="NAE22" s="1902">
        <f t="shared" si="152"/>
        <v>0</v>
      </c>
      <c r="NAF22" s="1902">
        <f t="shared" si="152"/>
        <v>0</v>
      </c>
      <c r="NAG22" s="1902">
        <f t="shared" si="152"/>
        <v>0</v>
      </c>
      <c r="NAH22" s="1902">
        <f t="shared" si="152"/>
        <v>0</v>
      </c>
      <c r="NAI22" s="1902">
        <f t="shared" si="152"/>
        <v>0</v>
      </c>
      <c r="NAJ22" s="1902">
        <f t="shared" si="152"/>
        <v>0</v>
      </c>
      <c r="NAK22" s="1902">
        <f t="shared" si="152"/>
        <v>0</v>
      </c>
      <c r="NAL22" s="1902">
        <f t="shared" si="152"/>
        <v>0</v>
      </c>
      <c r="NAM22" s="1902">
        <f t="shared" si="152"/>
        <v>0</v>
      </c>
      <c r="NAN22" s="1902">
        <f t="shared" si="152"/>
        <v>0</v>
      </c>
      <c r="NAO22" s="1902">
        <f t="shared" si="152"/>
        <v>0</v>
      </c>
      <c r="NAP22" s="1902">
        <f t="shared" si="152"/>
        <v>0</v>
      </c>
      <c r="NAQ22" s="1902">
        <f t="shared" si="152"/>
        <v>0</v>
      </c>
      <c r="NAR22" s="1902">
        <f t="shared" si="152"/>
        <v>0</v>
      </c>
      <c r="NAS22" s="1902">
        <f t="shared" si="152"/>
        <v>0</v>
      </c>
      <c r="NAT22" s="1902">
        <f t="shared" si="152"/>
        <v>0</v>
      </c>
      <c r="NAU22" s="1902">
        <f t="shared" si="152"/>
        <v>0</v>
      </c>
      <c r="NAV22" s="1902">
        <f t="shared" si="152"/>
        <v>0</v>
      </c>
      <c r="NAW22" s="1902">
        <f t="shared" si="152"/>
        <v>0</v>
      </c>
      <c r="NAX22" s="1902">
        <f t="shared" si="152"/>
        <v>0</v>
      </c>
      <c r="NAY22" s="1902">
        <f t="shared" si="152"/>
        <v>0</v>
      </c>
      <c r="NAZ22" s="1902">
        <f t="shared" si="152"/>
        <v>0</v>
      </c>
      <c r="NBA22" s="1902">
        <f t="shared" si="152"/>
        <v>0</v>
      </c>
      <c r="NBB22" s="1902">
        <f t="shared" si="152"/>
        <v>0</v>
      </c>
      <c r="NBC22" s="1902">
        <f t="shared" si="152"/>
        <v>0</v>
      </c>
      <c r="NBD22" s="1902">
        <f t="shared" si="152"/>
        <v>0</v>
      </c>
      <c r="NBE22" s="1902">
        <f t="shared" si="152"/>
        <v>0</v>
      </c>
      <c r="NBF22" s="1902">
        <f t="shared" si="152"/>
        <v>0</v>
      </c>
      <c r="NBG22" s="1902">
        <f t="shared" si="152"/>
        <v>0</v>
      </c>
      <c r="NBH22" s="1902">
        <f t="shared" si="152"/>
        <v>0</v>
      </c>
      <c r="NBI22" s="1902">
        <f t="shared" si="152"/>
        <v>0</v>
      </c>
      <c r="NBJ22" s="1902">
        <f t="shared" si="152"/>
        <v>0</v>
      </c>
      <c r="NBK22" s="1902">
        <f t="shared" si="152"/>
        <v>0</v>
      </c>
      <c r="NBL22" s="1902">
        <f t="shared" si="152"/>
        <v>0</v>
      </c>
      <c r="NBM22" s="1902">
        <f t="shared" si="152"/>
        <v>0</v>
      </c>
      <c r="NBN22" s="1902">
        <f t="shared" si="152"/>
        <v>0</v>
      </c>
      <c r="NBO22" s="1902">
        <f t="shared" si="152"/>
        <v>0</v>
      </c>
      <c r="NBP22" s="1902">
        <f t="shared" si="152"/>
        <v>0</v>
      </c>
      <c r="NBQ22" s="1902">
        <f t="shared" si="152"/>
        <v>0</v>
      </c>
      <c r="NBR22" s="1902">
        <f t="shared" si="152"/>
        <v>0</v>
      </c>
      <c r="NBS22" s="1902">
        <f t="shared" si="152"/>
        <v>0</v>
      </c>
      <c r="NBT22" s="1902">
        <f t="shared" si="152"/>
        <v>0</v>
      </c>
      <c r="NBU22" s="1902">
        <f t="shared" si="152"/>
        <v>0</v>
      </c>
      <c r="NBV22" s="1902">
        <f t="shared" si="152"/>
        <v>0</v>
      </c>
      <c r="NBW22" s="1902">
        <f t="shared" si="152"/>
        <v>0</v>
      </c>
      <c r="NBX22" s="1902">
        <f t="shared" si="152"/>
        <v>0</v>
      </c>
      <c r="NBY22" s="1902">
        <f t="shared" si="152"/>
        <v>0</v>
      </c>
      <c r="NBZ22" s="1902">
        <f t="shared" si="152"/>
        <v>0</v>
      </c>
      <c r="NCA22" s="1902">
        <f t="shared" si="152"/>
        <v>0</v>
      </c>
      <c r="NCB22" s="1902">
        <f t="shared" si="152"/>
        <v>0</v>
      </c>
      <c r="NCC22" s="1902">
        <f t="shared" si="152"/>
        <v>0</v>
      </c>
      <c r="NCD22" s="1902">
        <f t="shared" si="152"/>
        <v>0</v>
      </c>
      <c r="NCE22" s="1902">
        <f t="shared" ref="NCE22:NEP22" si="153">IF(AND(NCE$26="End of period",NCE$25="Revenue"),NCE9,0)</f>
        <v>0</v>
      </c>
      <c r="NCF22" s="1902">
        <f t="shared" si="153"/>
        <v>0</v>
      </c>
      <c r="NCG22" s="1902">
        <f t="shared" si="153"/>
        <v>0</v>
      </c>
      <c r="NCH22" s="1902">
        <f t="shared" si="153"/>
        <v>0</v>
      </c>
      <c r="NCI22" s="1902">
        <f t="shared" si="153"/>
        <v>0</v>
      </c>
      <c r="NCJ22" s="1902">
        <f t="shared" si="153"/>
        <v>0</v>
      </c>
      <c r="NCK22" s="1902">
        <f t="shared" si="153"/>
        <v>0</v>
      </c>
      <c r="NCL22" s="1902">
        <f t="shared" si="153"/>
        <v>0</v>
      </c>
      <c r="NCM22" s="1902">
        <f t="shared" si="153"/>
        <v>0</v>
      </c>
      <c r="NCN22" s="1902">
        <f t="shared" si="153"/>
        <v>0</v>
      </c>
      <c r="NCO22" s="1902">
        <f t="shared" si="153"/>
        <v>0</v>
      </c>
      <c r="NCP22" s="1902">
        <f t="shared" si="153"/>
        <v>0</v>
      </c>
      <c r="NCQ22" s="1902">
        <f t="shared" si="153"/>
        <v>0</v>
      </c>
      <c r="NCR22" s="1902">
        <f t="shared" si="153"/>
        <v>0</v>
      </c>
      <c r="NCS22" s="1902">
        <f t="shared" si="153"/>
        <v>0</v>
      </c>
      <c r="NCT22" s="1902">
        <f t="shared" si="153"/>
        <v>0</v>
      </c>
      <c r="NCU22" s="1902">
        <f t="shared" si="153"/>
        <v>0</v>
      </c>
      <c r="NCV22" s="1902">
        <f t="shared" si="153"/>
        <v>0</v>
      </c>
      <c r="NCW22" s="1902">
        <f t="shared" si="153"/>
        <v>0</v>
      </c>
      <c r="NCX22" s="1902">
        <f t="shared" si="153"/>
        <v>0</v>
      </c>
      <c r="NCY22" s="1902">
        <f t="shared" si="153"/>
        <v>0</v>
      </c>
      <c r="NCZ22" s="1902">
        <f t="shared" si="153"/>
        <v>0</v>
      </c>
      <c r="NDA22" s="1902">
        <f t="shared" si="153"/>
        <v>0</v>
      </c>
      <c r="NDB22" s="1902">
        <f t="shared" si="153"/>
        <v>0</v>
      </c>
      <c r="NDC22" s="1902">
        <f t="shared" si="153"/>
        <v>0</v>
      </c>
      <c r="NDD22" s="1902">
        <f t="shared" si="153"/>
        <v>0</v>
      </c>
      <c r="NDE22" s="1902">
        <f t="shared" si="153"/>
        <v>0</v>
      </c>
      <c r="NDF22" s="1902">
        <f t="shared" si="153"/>
        <v>0</v>
      </c>
      <c r="NDG22" s="1902">
        <f t="shared" si="153"/>
        <v>0</v>
      </c>
      <c r="NDH22" s="1902">
        <f t="shared" si="153"/>
        <v>0</v>
      </c>
      <c r="NDI22" s="1902">
        <f t="shared" si="153"/>
        <v>0</v>
      </c>
      <c r="NDJ22" s="1902">
        <f t="shared" si="153"/>
        <v>0</v>
      </c>
      <c r="NDK22" s="1902">
        <f t="shared" si="153"/>
        <v>0</v>
      </c>
      <c r="NDL22" s="1902">
        <f t="shared" si="153"/>
        <v>0</v>
      </c>
      <c r="NDM22" s="1902">
        <f t="shared" si="153"/>
        <v>0</v>
      </c>
      <c r="NDN22" s="1902">
        <f t="shared" si="153"/>
        <v>0</v>
      </c>
      <c r="NDO22" s="1902">
        <f t="shared" si="153"/>
        <v>0</v>
      </c>
      <c r="NDP22" s="1902">
        <f t="shared" si="153"/>
        <v>0</v>
      </c>
      <c r="NDQ22" s="1902">
        <f t="shared" si="153"/>
        <v>0</v>
      </c>
      <c r="NDR22" s="1902">
        <f t="shared" si="153"/>
        <v>0</v>
      </c>
      <c r="NDS22" s="1902">
        <f t="shared" si="153"/>
        <v>0</v>
      </c>
      <c r="NDT22" s="1902">
        <f t="shared" si="153"/>
        <v>0</v>
      </c>
      <c r="NDU22" s="1902">
        <f t="shared" si="153"/>
        <v>0</v>
      </c>
      <c r="NDV22" s="1902">
        <f t="shared" si="153"/>
        <v>0</v>
      </c>
      <c r="NDW22" s="1902">
        <f t="shared" si="153"/>
        <v>0</v>
      </c>
      <c r="NDX22" s="1902">
        <f t="shared" si="153"/>
        <v>0</v>
      </c>
      <c r="NDY22" s="1902">
        <f t="shared" si="153"/>
        <v>0</v>
      </c>
      <c r="NDZ22" s="1902">
        <f t="shared" si="153"/>
        <v>0</v>
      </c>
      <c r="NEA22" s="1902">
        <f t="shared" si="153"/>
        <v>0</v>
      </c>
      <c r="NEB22" s="1902">
        <f t="shared" si="153"/>
        <v>0</v>
      </c>
      <c r="NEC22" s="1902">
        <f t="shared" si="153"/>
        <v>0</v>
      </c>
      <c r="NED22" s="1902">
        <f t="shared" si="153"/>
        <v>0</v>
      </c>
      <c r="NEE22" s="1902">
        <f t="shared" si="153"/>
        <v>0</v>
      </c>
      <c r="NEF22" s="1902">
        <f t="shared" si="153"/>
        <v>0</v>
      </c>
      <c r="NEG22" s="1902">
        <f t="shared" si="153"/>
        <v>0</v>
      </c>
      <c r="NEH22" s="1902">
        <f t="shared" si="153"/>
        <v>0</v>
      </c>
      <c r="NEI22" s="1902">
        <f t="shared" si="153"/>
        <v>0</v>
      </c>
      <c r="NEJ22" s="1902">
        <f t="shared" si="153"/>
        <v>0</v>
      </c>
      <c r="NEK22" s="1902">
        <f t="shared" si="153"/>
        <v>0</v>
      </c>
      <c r="NEL22" s="1902">
        <f t="shared" si="153"/>
        <v>0</v>
      </c>
      <c r="NEM22" s="1902">
        <f t="shared" si="153"/>
        <v>0</v>
      </c>
      <c r="NEN22" s="1902">
        <f t="shared" si="153"/>
        <v>0</v>
      </c>
      <c r="NEO22" s="1902">
        <f t="shared" si="153"/>
        <v>0</v>
      </c>
      <c r="NEP22" s="1902">
        <f t="shared" si="153"/>
        <v>0</v>
      </c>
      <c r="NEQ22" s="1902">
        <f t="shared" ref="NEQ22:NHB22" si="154">IF(AND(NEQ$26="End of period",NEQ$25="Revenue"),NEQ9,0)</f>
        <v>0</v>
      </c>
      <c r="NER22" s="1902">
        <f t="shared" si="154"/>
        <v>0</v>
      </c>
      <c r="NES22" s="1902">
        <f t="shared" si="154"/>
        <v>0</v>
      </c>
      <c r="NET22" s="1902">
        <f t="shared" si="154"/>
        <v>0</v>
      </c>
      <c r="NEU22" s="1902">
        <f t="shared" si="154"/>
        <v>0</v>
      </c>
      <c r="NEV22" s="1902">
        <f t="shared" si="154"/>
        <v>0</v>
      </c>
      <c r="NEW22" s="1902">
        <f t="shared" si="154"/>
        <v>0</v>
      </c>
      <c r="NEX22" s="1902">
        <f t="shared" si="154"/>
        <v>0</v>
      </c>
      <c r="NEY22" s="1902">
        <f t="shared" si="154"/>
        <v>0</v>
      </c>
      <c r="NEZ22" s="1902">
        <f t="shared" si="154"/>
        <v>0</v>
      </c>
      <c r="NFA22" s="1902">
        <f t="shared" si="154"/>
        <v>0</v>
      </c>
      <c r="NFB22" s="1902">
        <f t="shared" si="154"/>
        <v>0</v>
      </c>
      <c r="NFC22" s="1902">
        <f t="shared" si="154"/>
        <v>0</v>
      </c>
      <c r="NFD22" s="1902">
        <f t="shared" si="154"/>
        <v>0</v>
      </c>
      <c r="NFE22" s="1902">
        <f t="shared" si="154"/>
        <v>0</v>
      </c>
      <c r="NFF22" s="1902">
        <f t="shared" si="154"/>
        <v>0</v>
      </c>
      <c r="NFG22" s="1902">
        <f t="shared" si="154"/>
        <v>0</v>
      </c>
      <c r="NFH22" s="1902">
        <f t="shared" si="154"/>
        <v>0</v>
      </c>
      <c r="NFI22" s="1902">
        <f t="shared" si="154"/>
        <v>0</v>
      </c>
      <c r="NFJ22" s="1902">
        <f t="shared" si="154"/>
        <v>0</v>
      </c>
      <c r="NFK22" s="1902">
        <f t="shared" si="154"/>
        <v>0</v>
      </c>
      <c r="NFL22" s="1902">
        <f t="shared" si="154"/>
        <v>0</v>
      </c>
      <c r="NFM22" s="1902">
        <f t="shared" si="154"/>
        <v>0</v>
      </c>
      <c r="NFN22" s="1902">
        <f t="shared" si="154"/>
        <v>0</v>
      </c>
      <c r="NFO22" s="1902">
        <f t="shared" si="154"/>
        <v>0</v>
      </c>
      <c r="NFP22" s="1902">
        <f t="shared" si="154"/>
        <v>0</v>
      </c>
      <c r="NFQ22" s="1902">
        <f t="shared" si="154"/>
        <v>0</v>
      </c>
      <c r="NFR22" s="1902">
        <f t="shared" si="154"/>
        <v>0</v>
      </c>
      <c r="NFS22" s="1902">
        <f t="shared" si="154"/>
        <v>0</v>
      </c>
      <c r="NFT22" s="1902">
        <f t="shared" si="154"/>
        <v>0</v>
      </c>
      <c r="NFU22" s="1902">
        <f t="shared" si="154"/>
        <v>0</v>
      </c>
      <c r="NFV22" s="1902">
        <f t="shared" si="154"/>
        <v>0</v>
      </c>
      <c r="NFW22" s="1902">
        <f t="shared" si="154"/>
        <v>0</v>
      </c>
      <c r="NFX22" s="1902">
        <f t="shared" si="154"/>
        <v>0</v>
      </c>
      <c r="NFY22" s="1902">
        <f t="shared" si="154"/>
        <v>0</v>
      </c>
      <c r="NFZ22" s="1902">
        <f t="shared" si="154"/>
        <v>0</v>
      </c>
      <c r="NGA22" s="1902">
        <f t="shared" si="154"/>
        <v>0</v>
      </c>
      <c r="NGB22" s="1902">
        <f t="shared" si="154"/>
        <v>0</v>
      </c>
      <c r="NGC22" s="1902">
        <f t="shared" si="154"/>
        <v>0</v>
      </c>
      <c r="NGD22" s="1902">
        <f t="shared" si="154"/>
        <v>0</v>
      </c>
      <c r="NGE22" s="1902">
        <f t="shared" si="154"/>
        <v>0</v>
      </c>
      <c r="NGF22" s="1902">
        <f t="shared" si="154"/>
        <v>0</v>
      </c>
      <c r="NGG22" s="1902">
        <f t="shared" si="154"/>
        <v>0</v>
      </c>
      <c r="NGH22" s="1902">
        <f t="shared" si="154"/>
        <v>0</v>
      </c>
      <c r="NGI22" s="1902">
        <f t="shared" si="154"/>
        <v>0</v>
      </c>
      <c r="NGJ22" s="1902">
        <f t="shared" si="154"/>
        <v>0</v>
      </c>
      <c r="NGK22" s="1902">
        <f t="shared" si="154"/>
        <v>0</v>
      </c>
      <c r="NGL22" s="1902">
        <f t="shared" si="154"/>
        <v>0</v>
      </c>
      <c r="NGM22" s="1902">
        <f t="shared" si="154"/>
        <v>0</v>
      </c>
      <c r="NGN22" s="1902">
        <f t="shared" si="154"/>
        <v>0</v>
      </c>
      <c r="NGO22" s="1902">
        <f t="shared" si="154"/>
        <v>0</v>
      </c>
      <c r="NGP22" s="1902">
        <f t="shared" si="154"/>
        <v>0</v>
      </c>
      <c r="NGQ22" s="1902">
        <f t="shared" si="154"/>
        <v>0</v>
      </c>
      <c r="NGR22" s="1902">
        <f t="shared" si="154"/>
        <v>0</v>
      </c>
      <c r="NGS22" s="1902">
        <f t="shared" si="154"/>
        <v>0</v>
      </c>
      <c r="NGT22" s="1902">
        <f t="shared" si="154"/>
        <v>0</v>
      </c>
      <c r="NGU22" s="1902">
        <f t="shared" si="154"/>
        <v>0</v>
      </c>
      <c r="NGV22" s="1902">
        <f t="shared" si="154"/>
        <v>0</v>
      </c>
      <c r="NGW22" s="1902">
        <f t="shared" si="154"/>
        <v>0</v>
      </c>
      <c r="NGX22" s="1902">
        <f t="shared" si="154"/>
        <v>0</v>
      </c>
      <c r="NGY22" s="1902">
        <f t="shared" si="154"/>
        <v>0</v>
      </c>
      <c r="NGZ22" s="1902">
        <f t="shared" si="154"/>
        <v>0</v>
      </c>
      <c r="NHA22" s="1902">
        <f t="shared" si="154"/>
        <v>0</v>
      </c>
      <c r="NHB22" s="1902">
        <f t="shared" si="154"/>
        <v>0</v>
      </c>
      <c r="NHC22" s="1902">
        <f t="shared" ref="NHC22:NJN22" si="155">IF(AND(NHC$26="End of period",NHC$25="Revenue"),NHC9,0)</f>
        <v>0</v>
      </c>
      <c r="NHD22" s="1902">
        <f t="shared" si="155"/>
        <v>0</v>
      </c>
      <c r="NHE22" s="1902">
        <f t="shared" si="155"/>
        <v>0</v>
      </c>
      <c r="NHF22" s="1902">
        <f t="shared" si="155"/>
        <v>0</v>
      </c>
      <c r="NHG22" s="1902">
        <f t="shared" si="155"/>
        <v>0</v>
      </c>
      <c r="NHH22" s="1902">
        <f t="shared" si="155"/>
        <v>0</v>
      </c>
      <c r="NHI22" s="1902">
        <f t="shared" si="155"/>
        <v>0</v>
      </c>
      <c r="NHJ22" s="1902">
        <f t="shared" si="155"/>
        <v>0</v>
      </c>
      <c r="NHK22" s="1902">
        <f t="shared" si="155"/>
        <v>0</v>
      </c>
      <c r="NHL22" s="1902">
        <f t="shared" si="155"/>
        <v>0</v>
      </c>
      <c r="NHM22" s="1902">
        <f t="shared" si="155"/>
        <v>0</v>
      </c>
      <c r="NHN22" s="1902">
        <f t="shared" si="155"/>
        <v>0</v>
      </c>
      <c r="NHO22" s="1902">
        <f t="shared" si="155"/>
        <v>0</v>
      </c>
      <c r="NHP22" s="1902">
        <f t="shared" si="155"/>
        <v>0</v>
      </c>
      <c r="NHQ22" s="1902">
        <f t="shared" si="155"/>
        <v>0</v>
      </c>
      <c r="NHR22" s="1902">
        <f t="shared" si="155"/>
        <v>0</v>
      </c>
      <c r="NHS22" s="1902">
        <f t="shared" si="155"/>
        <v>0</v>
      </c>
      <c r="NHT22" s="1902">
        <f t="shared" si="155"/>
        <v>0</v>
      </c>
      <c r="NHU22" s="1902">
        <f t="shared" si="155"/>
        <v>0</v>
      </c>
      <c r="NHV22" s="1902">
        <f t="shared" si="155"/>
        <v>0</v>
      </c>
      <c r="NHW22" s="1902">
        <f t="shared" si="155"/>
        <v>0</v>
      </c>
      <c r="NHX22" s="1902">
        <f t="shared" si="155"/>
        <v>0</v>
      </c>
      <c r="NHY22" s="1902">
        <f t="shared" si="155"/>
        <v>0</v>
      </c>
      <c r="NHZ22" s="1902">
        <f t="shared" si="155"/>
        <v>0</v>
      </c>
      <c r="NIA22" s="1902">
        <f t="shared" si="155"/>
        <v>0</v>
      </c>
      <c r="NIB22" s="1902">
        <f t="shared" si="155"/>
        <v>0</v>
      </c>
      <c r="NIC22" s="1902">
        <f t="shared" si="155"/>
        <v>0</v>
      </c>
      <c r="NID22" s="1902">
        <f t="shared" si="155"/>
        <v>0</v>
      </c>
      <c r="NIE22" s="1902">
        <f t="shared" si="155"/>
        <v>0</v>
      </c>
      <c r="NIF22" s="1902">
        <f t="shared" si="155"/>
        <v>0</v>
      </c>
      <c r="NIG22" s="1902">
        <f t="shared" si="155"/>
        <v>0</v>
      </c>
      <c r="NIH22" s="1902">
        <f t="shared" si="155"/>
        <v>0</v>
      </c>
      <c r="NII22" s="1902">
        <f t="shared" si="155"/>
        <v>0</v>
      </c>
      <c r="NIJ22" s="1902">
        <f t="shared" si="155"/>
        <v>0</v>
      </c>
      <c r="NIK22" s="1902">
        <f t="shared" si="155"/>
        <v>0</v>
      </c>
      <c r="NIL22" s="1902">
        <f t="shared" si="155"/>
        <v>0</v>
      </c>
      <c r="NIM22" s="1902">
        <f t="shared" si="155"/>
        <v>0</v>
      </c>
      <c r="NIN22" s="1902">
        <f t="shared" si="155"/>
        <v>0</v>
      </c>
      <c r="NIO22" s="1902">
        <f t="shared" si="155"/>
        <v>0</v>
      </c>
      <c r="NIP22" s="1902">
        <f t="shared" si="155"/>
        <v>0</v>
      </c>
      <c r="NIQ22" s="1902">
        <f t="shared" si="155"/>
        <v>0</v>
      </c>
      <c r="NIR22" s="1902">
        <f t="shared" si="155"/>
        <v>0</v>
      </c>
      <c r="NIS22" s="1902">
        <f t="shared" si="155"/>
        <v>0</v>
      </c>
      <c r="NIT22" s="1902">
        <f t="shared" si="155"/>
        <v>0</v>
      </c>
      <c r="NIU22" s="1902">
        <f t="shared" si="155"/>
        <v>0</v>
      </c>
      <c r="NIV22" s="1902">
        <f t="shared" si="155"/>
        <v>0</v>
      </c>
      <c r="NIW22" s="1902">
        <f t="shared" si="155"/>
        <v>0</v>
      </c>
      <c r="NIX22" s="1902">
        <f t="shared" si="155"/>
        <v>0</v>
      </c>
      <c r="NIY22" s="1902">
        <f t="shared" si="155"/>
        <v>0</v>
      </c>
      <c r="NIZ22" s="1902">
        <f t="shared" si="155"/>
        <v>0</v>
      </c>
      <c r="NJA22" s="1902">
        <f t="shared" si="155"/>
        <v>0</v>
      </c>
      <c r="NJB22" s="1902">
        <f t="shared" si="155"/>
        <v>0</v>
      </c>
      <c r="NJC22" s="1902">
        <f t="shared" si="155"/>
        <v>0</v>
      </c>
      <c r="NJD22" s="1902">
        <f t="shared" si="155"/>
        <v>0</v>
      </c>
      <c r="NJE22" s="1902">
        <f t="shared" si="155"/>
        <v>0</v>
      </c>
      <c r="NJF22" s="1902">
        <f t="shared" si="155"/>
        <v>0</v>
      </c>
      <c r="NJG22" s="1902">
        <f t="shared" si="155"/>
        <v>0</v>
      </c>
      <c r="NJH22" s="1902">
        <f t="shared" si="155"/>
        <v>0</v>
      </c>
      <c r="NJI22" s="1902">
        <f t="shared" si="155"/>
        <v>0</v>
      </c>
      <c r="NJJ22" s="1902">
        <f t="shared" si="155"/>
        <v>0</v>
      </c>
      <c r="NJK22" s="1902">
        <f t="shared" si="155"/>
        <v>0</v>
      </c>
      <c r="NJL22" s="1902">
        <f t="shared" si="155"/>
        <v>0</v>
      </c>
      <c r="NJM22" s="1902">
        <f t="shared" si="155"/>
        <v>0</v>
      </c>
      <c r="NJN22" s="1902">
        <f t="shared" si="155"/>
        <v>0</v>
      </c>
      <c r="NJO22" s="1902">
        <f t="shared" ref="NJO22:NLZ22" si="156">IF(AND(NJO$26="End of period",NJO$25="Revenue"),NJO9,0)</f>
        <v>0</v>
      </c>
      <c r="NJP22" s="1902">
        <f t="shared" si="156"/>
        <v>0</v>
      </c>
      <c r="NJQ22" s="1902">
        <f t="shared" si="156"/>
        <v>0</v>
      </c>
      <c r="NJR22" s="1902">
        <f t="shared" si="156"/>
        <v>0</v>
      </c>
      <c r="NJS22" s="1902">
        <f t="shared" si="156"/>
        <v>0</v>
      </c>
      <c r="NJT22" s="1902">
        <f t="shared" si="156"/>
        <v>0</v>
      </c>
      <c r="NJU22" s="1902">
        <f t="shared" si="156"/>
        <v>0</v>
      </c>
      <c r="NJV22" s="1902">
        <f t="shared" si="156"/>
        <v>0</v>
      </c>
      <c r="NJW22" s="1902">
        <f t="shared" si="156"/>
        <v>0</v>
      </c>
      <c r="NJX22" s="1902">
        <f t="shared" si="156"/>
        <v>0</v>
      </c>
      <c r="NJY22" s="1902">
        <f t="shared" si="156"/>
        <v>0</v>
      </c>
      <c r="NJZ22" s="1902">
        <f t="shared" si="156"/>
        <v>0</v>
      </c>
      <c r="NKA22" s="1902">
        <f t="shared" si="156"/>
        <v>0</v>
      </c>
      <c r="NKB22" s="1902">
        <f t="shared" si="156"/>
        <v>0</v>
      </c>
      <c r="NKC22" s="1902">
        <f t="shared" si="156"/>
        <v>0</v>
      </c>
      <c r="NKD22" s="1902">
        <f t="shared" si="156"/>
        <v>0</v>
      </c>
      <c r="NKE22" s="1902">
        <f t="shared" si="156"/>
        <v>0</v>
      </c>
      <c r="NKF22" s="1902">
        <f t="shared" si="156"/>
        <v>0</v>
      </c>
      <c r="NKG22" s="1902">
        <f t="shared" si="156"/>
        <v>0</v>
      </c>
      <c r="NKH22" s="1902">
        <f t="shared" si="156"/>
        <v>0</v>
      </c>
      <c r="NKI22" s="1902">
        <f t="shared" si="156"/>
        <v>0</v>
      </c>
      <c r="NKJ22" s="1902">
        <f t="shared" si="156"/>
        <v>0</v>
      </c>
      <c r="NKK22" s="1902">
        <f t="shared" si="156"/>
        <v>0</v>
      </c>
      <c r="NKL22" s="1902">
        <f t="shared" si="156"/>
        <v>0</v>
      </c>
      <c r="NKM22" s="1902">
        <f t="shared" si="156"/>
        <v>0</v>
      </c>
      <c r="NKN22" s="1902">
        <f t="shared" si="156"/>
        <v>0</v>
      </c>
      <c r="NKO22" s="1902">
        <f t="shared" si="156"/>
        <v>0</v>
      </c>
      <c r="NKP22" s="1902">
        <f t="shared" si="156"/>
        <v>0</v>
      </c>
      <c r="NKQ22" s="1902">
        <f t="shared" si="156"/>
        <v>0</v>
      </c>
      <c r="NKR22" s="1902">
        <f t="shared" si="156"/>
        <v>0</v>
      </c>
      <c r="NKS22" s="1902">
        <f t="shared" si="156"/>
        <v>0</v>
      </c>
      <c r="NKT22" s="1902">
        <f t="shared" si="156"/>
        <v>0</v>
      </c>
      <c r="NKU22" s="1902">
        <f t="shared" si="156"/>
        <v>0</v>
      </c>
      <c r="NKV22" s="1902">
        <f t="shared" si="156"/>
        <v>0</v>
      </c>
      <c r="NKW22" s="1902">
        <f t="shared" si="156"/>
        <v>0</v>
      </c>
      <c r="NKX22" s="1902">
        <f t="shared" si="156"/>
        <v>0</v>
      </c>
      <c r="NKY22" s="1902">
        <f t="shared" si="156"/>
        <v>0</v>
      </c>
      <c r="NKZ22" s="1902">
        <f t="shared" si="156"/>
        <v>0</v>
      </c>
      <c r="NLA22" s="1902">
        <f t="shared" si="156"/>
        <v>0</v>
      </c>
      <c r="NLB22" s="1902">
        <f t="shared" si="156"/>
        <v>0</v>
      </c>
      <c r="NLC22" s="1902">
        <f t="shared" si="156"/>
        <v>0</v>
      </c>
      <c r="NLD22" s="1902">
        <f t="shared" si="156"/>
        <v>0</v>
      </c>
      <c r="NLE22" s="1902">
        <f t="shared" si="156"/>
        <v>0</v>
      </c>
      <c r="NLF22" s="1902">
        <f t="shared" si="156"/>
        <v>0</v>
      </c>
      <c r="NLG22" s="1902">
        <f t="shared" si="156"/>
        <v>0</v>
      </c>
      <c r="NLH22" s="1902">
        <f t="shared" si="156"/>
        <v>0</v>
      </c>
      <c r="NLI22" s="1902">
        <f t="shared" si="156"/>
        <v>0</v>
      </c>
      <c r="NLJ22" s="1902">
        <f t="shared" si="156"/>
        <v>0</v>
      </c>
      <c r="NLK22" s="1902">
        <f t="shared" si="156"/>
        <v>0</v>
      </c>
      <c r="NLL22" s="1902">
        <f t="shared" si="156"/>
        <v>0</v>
      </c>
      <c r="NLM22" s="1902">
        <f t="shared" si="156"/>
        <v>0</v>
      </c>
      <c r="NLN22" s="1902">
        <f t="shared" si="156"/>
        <v>0</v>
      </c>
      <c r="NLO22" s="1902">
        <f t="shared" si="156"/>
        <v>0</v>
      </c>
      <c r="NLP22" s="1902">
        <f t="shared" si="156"/>
        <v>0</v>
      </c>
      <c r="NLQ22" s="1902">
        <f t="shared" si="156"/>
        <v>0</v>
      </c>
      <c r="NLR22" s="1902">
        <f t="shared" si="156"/>
        <v>0</v>
      </c>
      <c r="NLS22" s="1902">
        <f t="shared" si="156"/>
        <v>0</v>
      </c>
      <c r="NLT22" s="1902">
        <f t="shared" si="156"/>
        <v>0</v>
      </c>
      <c r="NLU22" s="1902">
        <f t="shared" si="156"/>
        <v>0</v>
      </c>
      <c r="NLV22" s="1902">
        <f t="shared" si="156"/>
        <v>0</v>
      </c>
      <c r="NLW22" s="1902">
        <f t="shared" si="156"/>
        <v>0</v>
      </c>
      <c r="NLX22" s="1902">
        <f t="shared" si="156"/>
        <v>0</v>
      </c>
      <c r="NLY22" s="1902">
        <f t="shared" si="156"/>
        <v>0</v>
      </c>
      <c r="NLZ22" s="1902">
        <f t="shared" si="156"/>
        <v>0</v>
      </c>
      <c r="NMA22" s="1902">
        <f t="shared" ref="NMA22:NOL22" si="157">IF(AND(NMA$26="End of period",NMA$25="Revenue"),NMA9,0)</f>
        <v>0</v>
      </c>
      <c r="NMB22" s="1902">
        <f t="shared" si="157"/>
        <v>0</v>
      </c>
      <c r="NMC22" s="1902">
        <f t="shared" si="157"/>
        <v>0</v>
      </c>
      <c r="NMD22" s="1902">
        <f t="shared" si="157"/>
        <v>0</v>
      </c>
      <c r="NME22" s="1902">
        <f t="shared" si="157"/>
        <v>0</v>
      </c>
      <c r="NMF22" s="1902">
        <f t="shared" si="157"/>
        <v>0</v>
      </c>
      <c r="NMG22" s="1902">
        <f t="shared" si="157"/>
        <v>0</v>
      </c>
      <c r="NMH22" s="1902">
        <f t="shared" si="157"/>
        <v>0</v>
      </c>
      <c r="NMI22" s="1902">
        <f t="shared" si="157"/>
        <v>0</v>
      </c>
      <c r="NMJ22" s="1902">
        <f t="shared" si="157"/>
        <v>0</v>
      </c>
      <c r="NMK22" s="1902">
        <f t="shared" si="157"/>
        <v>0</v>
      </c>
      <c r="NML22" s="1902">
        <f t="shared" si="157"/>
        <v>0</v>
      </c>
      <c r="NMM22" s="1902">
        <f t="shared" si="157"/>
        <v>0</v>
      </c>
      <c r="NMN22" s="1902">
        <f t="shared" si="157"/>
        <v>0</v>
      </c>
      <c r="NMO22" s="1902">
        <f t="shared" si="157"/>
        <v>0</v>
      </c>
      <c r="NMP22" s="1902">
        <f t="shared" si="157"/>
        <v>0</v>
      </c>
      <c r="NMQ22" s="1902">
        <f t="shared" si="157"/>
        <v>0</v>
      </c>
      <c r="NMR22" s="1902">
        <f t="shared" si="157"/>
        <v>0</v>
      </c>
      <c r="NMS22" s="1902">
        <f t="shared" si="157"/>
        <v>0</v>
      </c>
      <c r="NMT22" s="1902">
        <f t="shared" si="157"/>
        <v>0</v>
      </c>
      <c r="NMU22" s="1902">
        <f t="shared" si="157"/>
        <v>0</v>
      </c>
      <c r="NMV22" s="1902">
        <f t="shared" si="157"/>
        <v>0</v>
      </c>
      <c r="NMW22" s="1902">
        <f t="shared" si="157"/>
        <v>0</v>
      </c>
      <c r="NMX22" s="1902">
        <f t="shared" si="157"/>
        <v>0</v>
      </c>
      <c r="NMY22" s="1902">
        <f t="shared" si="157"/>
        <v>0</v>
      </c>
      <c r="NMZ22" s="1902">
        <f t="shared" si="157"/>
        <v>0</v>
      </c>
      <c r="NNA22" s="1902">
        <f t="shared" si="157"/>
        <v>0</v>
      </c>
      <c r="NNB22" s="1902">
        <f t="shared" si="157"/>
        <v>0</v>
      </c>
      <c r="NNC22" s="1902">
        <f t="shared" si="157"/>
        <v>0</v>
      </c>
      <c r="NND22" s="1902">
        <f t="shared" si="157"/>
        <v>0</v>
      </c>
      <c r="NNE22" s="1902">
        <f t="shared" si="157"/>
        <v>0</v>
      </c>
      <c r="NNF22" s="1902">
        <f t="shared" si="157"/>
        <v>0</v>
      </c>
      <c r="NNG22" s="1902">
        <f t="shared" si="157"/>
        <v>0</v>
      </c>
      <c r="NNH22" s="1902">
        <f t="shared" si="157"/>
        <v>0</v>
      </c>
      <c r="NNI22" s="1902">
        <f t="shared" si="157"/>
        <v>0</v>
      </c>
      <c r="NNJ22" s="1902">
        <f t="shared" si="157"/>
        <v>0</v>
      </c>
      <c r="NNK22" s="1902">
        <f t="shared" si="157"/>
        <v>0</v>
      </c>
      <c r="NNL22" s="1902">
        <f t="shared" si="157"/>
        <v>0</v>
      </c>
      <c r="NNM22" s="1902">
        <f t="shared" si="157"/>
        <v>0</v>
      </c>
      <c r="NNN22" s="1902">
        <f t="shared" si="157"/>
        <v>0</v>
      </c>
      <c r="NNO22" s="1902">
        <f t="shared" si="157"/>
        <v>0</v>
      </c>
      <c r="NNP22" s="1902">
        <f t="shared" si="157"/>
        <v>0</v>
      </c>
      <c r="NNQ22" s="1902">
        <f t="shared" si="157"/>
        <v>0</v>
      </c>
      <c r="NNR22" s="1902">
        <f t="shared" si="157"/>
        <v>0</v>
      </c>
      <c r="NNS22" s="1902">
        <f t="shared" si="157"/>
        <v>0</v>
      </c>
      <c r="NNT22" s="1902">
        <f t="shared" si="157"/>
        <v>0</v>
      </c>
      <c r="NNU22" s="1902">
        <f t="shared" si="157"/>
        <v>0</v>
      </c>
      <c r="NNV22" s="1902">
        <f t="shared" si="157"/>
        <v>0</v>
      </c>
      <c r="NNW22" s="1902">
        <f t="shared" si="157"/>
        <v>0</v>
      </c>
      <c r="NNX22" s="1902">
        <f t="shared" si="157"/>
        <v>0</v>
      </c>
      <c r="NNY22" s="1902">
        <f t="shared" si="157"/>
        <v>0</v>
      </c>
      <c r="NNZ22" s="1902">
        <f t="shared" si="157"/>
        <v>0</v>
      </c>
      <c r="NOA22" s="1902">
        <f t="shared" si="157"/>
        <v>0</v>
      </c>
      <c r="NOB22" s="1902">
        <f t="shared" si="157"/>
        <v>0</v>
      </c>
      <c r="NOC22" s="1902">
        <f t="shared" si="157"/>
        <v>0</v>
      </c>
      <c r="NOD22" s="1902">
        <f t="shared" si="157"/>
        <v>0</v>
      </c>
      <c r="NOE22" s="1902">
        <f t="shared" si="157"/>
        <v>0</v>
      </c>
      <c r="NOF22" s="1902">
        <f t="shared" si="157"/>
        <v>0</v>
      </c>
      <c r="NOG22" s="1902">
        <f t="shared" si="157"/>
        <v>0</v>
      </c>
      <c r="NOH22" s="1902">
        <f t="shared" si="157"/>
        <v>0</v>
      </c>
      <c r="NOI22" s="1902">
        <f t="shared" si="157"/>
        <v>0</v>
      </c>
      <c r="NOJ22" s="1902">
        <f t="shared" si="157"/>
        <v>0</v>
      </c>
      <c r="NOK22" s="1902">
        <f t="shared" si="157"/>
        <v>0</v>
      </c>
      <c r="NOL22" s="1902">
        <f t="shared" si="157"/>
        <v>0</v>
      </c>
      <c r="NOM22" s="1902">
        <f t="shared" ref="NOM22:NQX22" si="158">IF(AND(NOM$26="End of period",NOM$25="Revenue"),NOM9,0)</f>
        <v>0</v>
      </c>
      <c r="NON22" s="1902">
        <f t="shared" si="158"/>
        <v>0</v>
      </c>
      <c r="NOO22" s="1902">
        <f t="shared" si="158"/>
        <v>0</v>
      </c>
      <c r="NOP22" s="1902">
        <f t="shared" si="158"/>
        <v>0</v>
      </c>
      <c r="NOQ22" s="1902">
        <f t="shared" si="158"/>
        <v>0</v>
      </c>
      <c r="NOR22" s="1902">
        <f t="shared" si="158"/>
        <v>0</v>
      </c>
      <c r="NOS22" s="1902">
        <f t="shared" si="158"/>
        <v>0</v>
      </c>
      <c r="NOT22" s="1902">
        <f t="shared" si="158"/>
        <v>0</v>
      </c>
      <c r="NOU22" s="1902">
        <f t="shared" si="158"/>
        <v>0</v>
      </c>
      <c r="NOV22" s="1902">
        <f t="shared" si="158"/>
        <v>0</v>
      </c>
      <c r="NOW22" s="1902">
        <f t="shared" si="158"/>
        <v>0</v>
      </c>
      <c r="NOX22" s="1902">
        <f t="shared" si="158"/>
        <v>0</v>
      </c>
      <c r="NOY22" s="1902">
        <f t="shared" si="158"/>
        <v>0</v>
      </c>
      <c r="NOZ22" s="1902">
        <f t="shared" si="158"/>
        <v>0</v>
      </c>
      <c r="NPA22" s="1902">
        <f t="shared" si="158"/>
        <v>0</v>
      </c>
      <c r="NPB22" s="1902">
        <f t="shared" si="158"/>
        <v>0</v>
      </c>
      <c r="NPC22" s="1902">
        <f t="shared" si="158"/>
        <v>0</v>
      </c>
      <c r="NPD22" s="1902">
        <f t="shared" si="158"/>
        <v>0</v>
      </c>
      <c r="NPE22" s="1902">
        <f t="shared" si="158"/>
        <v>0</v>
      </c>
      <c r="NPF22" s="1902">
        <f t="shared" si="158"/>
        <v>0</v>
      </c>
      <c r="NPG22" s="1902">
        <f t="shared" si="158"/>
        <v>0</v>
      </c>
      <c r="NPH22" s="1902">
        <f t="shared" si="158"/>
        <v>0</v>
      </c>
      <c r="NPI22" s="1902">
        <f t="shared" si="158"/>
        <v>0</v>
      </c>
      <c r="NPJ22" s="1902">
        <f t="shared" si="158"/>
        <v>0</v>
      </c>
      <c r="NPK22" s="1902">
        <f t="shared" si="158"/>
        <v>0</v>
      </c>
      <c r="NPL22" s="1902">
        <f t="shared" si="158"/>
        <v>0</v>
      </c>
      <c r="NPM22" s="1902">
        <f t="shared" si="158"/>
        <v>0</v>
      </c>
      <c r="NPN22" s="1902">
        <f t="shared" si="158"/>
        <v>0</v>
      </c>
      <c r="NPO22" s="1902">
        <f t="shared" si="158"/>
        <v>0</v>
      </c>
      <c r="NPP22" s="1902">
        <f t="shared" si="158"/>
        <v>0</v>
      </c>
      <c r="NPQ22" s="1902">
        <f t="shared" si="158"/>
        <v>0</v>
      </c>
      <c r="NPR22" s="1902">
        <f t="shared" si="158"/>
        <v>0</v>
      </c>
      <c r="NPS22" s="1902">
        <f t="shared" si="158"/>
        <v>0</v>
      </c>
      <c r="NPT22" s="1902">
        <f t="shared" si="158"/>
        <v>0</v>
      </c>
      <c r="NPU22" s="1902">
        <f t="shared" si="158"/>
        <v>0</v>
      </c>
      <c r="NPV22" s="1902">
        <f t="shared" si="158"/>
        <v>0</v>
      </c>
      <c r="NPW22" s="1902">
        <f t="shared" si="158"/>
        <v>0</v>
      </c>
      <c r="NPX22" s="1902">
        <f t="shared" si="158"/>
        <v>0</v>
      </c>
      <c r="NPY22" s="1902">
        <f t="shared" si="158"/>
        <v>0</v>
      </c>
      <c r="NPZ22" s="1902">
        <f t="shared" si="158"/>
        <v>0</v>
      </c>
      <c r="NQA22" s="1902">
        <f t="shared" si="158"/>
        <v>0</v>
      </c>
      <c r="NQB22" s="1902">
        <f t="shared" si="158"/>
        <v>0</v>
      </c>
      <c r="NQC22" s="1902">
        <f t="shared" si="158"/>
        <v>0</v>
      </c>
      <c r="NQD22" s="1902">
        <f t="shared" si="158"/>
        <v>0</v>
      </c>
      <c r="NQE22" s="1902">
        <f t="shared" si="158"/>
        <v>0</v>
      </c>
      <c r="NQF22" s="1902">
        <f t="shared" si="158"/>
        <v>0</v>
      </c>
      <c r="NQG22" s="1902">
        <f t="shared" si="158"/>
        <v>0</v>
      </c>
      <c r="NQH22" s="1902">
        <f t="shared" si="158"/>
        <v>0</v>
      </c>
      <c r="NQI22" s="1902">
        <f t="shared" si="158"/>
        <v>0</v>
      </c>
      <c r="NQJ22" s="1902">
        <f t="shared" si="158"/>
        <v>0</v>
      </c>
      <c r="NQK22" s="1902">
        <f t="shared" si="158"/>
        <v>0</v>
      </c>
      <c r="NQL22" s="1902">
        <f t="shared" si="158"/>
        <v>0</v>
      </c>
      <c r="NQM22" s="1902">
        <f t="shared" si="158"/>
        <v>0</v>
      </c>
      <c r="NQN22" s="1902">
        <f t="shared" si="158"/>
        <v>0</v>
      </c>
      <c r="NQO22" s="1902">
        <f t="shared" si="158"/>
        <v>0</v>
      </c>
      <c r="NQP22" s="1902">
        <f t="shared" si="158"/>
        <v>0</v>
      </c>
      <c r="NQQ22" s="1902">
        <f t="shared" si="158"/>
        <v>0</v>
      </c>
      <c r="NQR22" s="1902">
        <f t="shared" si="158"/>
        <v>0</v>
      </c>
      <c r="NQS22" s="1902">
        <f t="shared" si="158"/>
        <v>0</v>
      </c>
      <c r="NQT22" s="1902">
        <f t="shared" si="158"/>
        <v>0</v>
      </c>
      <c r="NQU22" s="1902">
        <f t="shared" si="158"/>
        <v>0</v>
      </c>
      <c r="NQV22" s="1902">
        <f t="shared" si="158"/>
        <v>0</v>
      </c>
      <c r="NQW22" s="1902">
        <f t="shared" si="158"/>
        <v>0</v>
      </c>
      <c r="NQX22" s="1902">
        <f t="shared" si="158"/>
        <v>0</v>
      </c>
      <c r="NQY22" s="1902">
        <f t="shared" ref="NQY22:NTJ22" si="159">IF(AND(NQY$26="End of period",NQY$25="Revenue"),NQY9,0)</f>
        <v>0</v>
      </c>
      <c r="NQZ22" s="1902">
        <f t="shared" si="159"/>
        <v>0</v>
      </c>
      <c r="NRA22" s="1902">
        <f t="shared" si="159"/>
        <v>0</v>
      </c>
      <c r="NRB22" s="1902">
        <f t="shared" si="159"/>
        <v>0</v>
      </c>
      <c r="NRC22" s="1902">
        <f t="shared" si="159"/>
        <v>0</v>
      </c>
      <c r="NRD22" s="1902">
        <f t="shared" si="159"/>
        <v>0</v>
      </c>
      <c r="NRE22" s="1902">
        <f t="shared" si="159"/>
        <v>0</v>
      </c>
      <c r="NRF22" s="1902">
        <f t="shared" si="159"/>
        <v>0</v>
      </c>
      <c r="NRG22" s="1902">
        <f t="shared" si="159"/>
        <v>0</v>
      </c>
      <c r="NRH22" s="1902">
        <f t="shared" si="159"/>
        <v>0</v>
      </c>
      <c r="NRI22" s="1902">
        <f t="shared" si="159"/>
        <v>0</v>
      </c>
      <c r="NRJ22" s="1902">
        <f t="shared" si="159"/>
        <v>0</v>
      </c>
      <c r="NRK22" s="1902">
        <f t="shared" si="159"/>
        <v>0</v>
      </c>
      <c r="NRL22" s="1902">
        <f t="shared" si="159"/>
        <v>0</v>
      </c>
      <c r="NRM22" s="1902">
        <f t="shared" si="159"/>
        <v>0</v>
      </c>
      <c r="NRN22" s="1902">
        <f t="shared" si="159"/>
        <v>0</v>
      </c>
      <c r="NRO22" s="1902">
        <f t="shared" si="159"/>
        <v>0</v>
      </c>
      <c r="NRP22" s="1902">
        <f t="shared" si="159"/>
        <v>0</v>
      </c>
      <c r="NRQ22" s="1902">
        <f t="shared" si="159"/>
        <v>0</v>
      </c>
      <c r="NRR22" s="1902">
        <f t="shared" si="159"/>
        <v>0</v>
      </c>
      <c r="NRS22" s="1902">
        <f t="shared" si="159"/>
        <v>0</v>
      </c>
      <c r="NRT22" s="1902">
        <f t="shared" si="159"/>
        <v>0</v>
      </c>
      <c r="NRU22" s="1902">
        <f t="shared" si="159"/>
        <v>0</v>
      </c>
      <c r="NRV22" s="1902">
        <f t="shared" si="159"/>
        <v>0</v>
      </c>
      <c r="NRW22" s="1902">
        <f t="shared" si="159"/>
        <v>0</v>
      </c>
      <c r="NRX22" s="1902">
        <f t="shared" si="159"/>
        <v>0</v>
      </c>
      <c r="NRY22" s="1902">
        <f t="shared" si="159"/>
        <v>0</v>
      </c>
      <c r="NRZ22" s="1902">
        <f t="shared" si="159"/>
        <v>0</v>
      </c>
      <c r="NSA22" s="1902">
        <f t="shared" si="159"/>
        <v>0</v>
      </c>
      <c r="NSB22" s="1902">
        <f t="shared" si="159"/>
        <v>0</v>
      </c>
      <c r="NSC22" s="1902">
        <f t="shared" si="159"/>
        <v>0</v>
      </c>
      <c r="NSD22" s="1902">
        <f t="shared" si="159"/>
        <v>0</v>
      </c>
      <c r="NSE22" s="1902">
        <f t="shared" si="159"/>
        <v>0</v>
      </c>
      <c r="NSF22" s="1902">
        <f t="shared" si="159"/>
        <v>0</v>
      </c>
      <c r="NSG22" s="1902">
        <f t="shared" si="159"/>
        <v>0</v>
      </c>
      <c r="NSH22" s="1902">
        <f t="shared" si="159"/>
        <v>0</v>
      </c>
      <c r="NSI22" s="1902">
        <f t="shared" si="159"/>
        <v>0</v>
      </c>
      <c r="NSJ22" s="1902">
        <f t="shared" si="159"/>
        <v>0</v>
      </c>
      <c r="NSK22" s="1902">
        <f t="shared" si="159"/>
        <v>0</v>
      </c>
      <c r="NSL22" s="1902">
        <f t="shared" si="159"/>
        <v>0</v>
      </c>
      <c r="NSM22" s="1902">
        <f t="shared" si="159"/>
        <v>0</v>
      </c>
      <c r="NSN22" s="1902">
        <f t="shared" si="159"/>
        <v>0</v>
      </c>
      <c r="NSO22" s="1902">
        <f t="shared" si="159"/>
        <v>0</v>
      </c>
      <c r="NSP22" s="1902">
        <f t="shared" si="159"/>
        <v>0</v>
      </c>
      <c r="NSQ22" s="1902">
        <f t="shared" si="159"/>
        <v>0</v>
      </c>
      <c r="NSR22" s="1902">
        <f t="shared" si="159"/>
        <v>0</v>
      </c>
      <c r="NSS22" s="1902">
        <f t="shared" si="159"/>
        <v>0</v>
      </c>
      <c r="NST22" s="1902">
        <f t="shared" si="159"/>
        <v>0</v>
      </c>
      <c r="NSU22" s="1902">
        <f t="shared" si="159"/>
        <v>0</v>
      </c>
      <c r="NSV22" s="1902">
        <f t="shared" si="159"/>
        <v>0</v>
      </c>
      <c r="NSW22" s="1902">
        <f t="shared" si="159"/>
        <v>0</v>
      </c>
      <c r="NSX22" s="1902">
        <f t="shared" si="159"/>
        <v>0</v>
      </c>
      <c r="NSY22" s="1902">
        <f t="shared" si="159"/>
        <v>0</v>
      </c>
      <c r="NSZ22" s="1902">
        <f t="shared" si="159"/>
        <v>0</v>
      </c>
      <c r="NTA22" s="1902">
        <f t="shared" si="159"/>
        <v>0</v>
      </c>
      <c r="NTB22" s="1902">
        <f t="shared" si="159"/>
        <v>0</v>
      </c>
      <c r="NTC22" s="1902">
        <f t="shared" si="159"/>
        <v>0</v>
      </c>
      <c r="NTD22" s="1902">
        <f t="shared" si="159"/>
        <v>0</v>
      </c>
      <c r="NTE22" s="1902">
        <f t="shared" si="159"/>
        <v>0</v>
      </c>
      <c r="NTF22" s="1902">
        <f t="shared" si="159"/>
        <v>0</v>
      </c>
      <c r="NTG22" s="1902">
        <f t="shared" si="159"/>
        <v>0</v>
      </c>
      <c r="NTH22" s="1902">
        <f t="shared" si="159"/>
        <v>0</v>
      </c>
      <c r="NTI22" s="1902">
        <f t="shared" si="159"/>
        <v>0</v>
      </c>
      <c r="NTJ22" s="1902">
        <f t="shared" si="159"/>
        <v>0</v>
      </c>
      <c r="NTK22" s="1902">
        <f t="shared" ref="NTK22:NVV22" si="160">IF(AND(NTK$26="End of period",NTK$25="Revenue"),NTK9,0)</f>
        <v>0</v>
      </c>
      <c r="NTL22" s="1902">
        <f t="shared" si="160"/>
        <v>0</v>
      </c>
      <c r="NTM22" s="1902">
        <f t="shared" si="160"/>
        <v>0</v>
      </c>
      <c r="NTN22" s="1902">
        <f t="shared" si="160"/>
        <v>0</v>
      </c>
      <c r="NTO22" s="1902">
        <f t="shared" si="160"/>
        <v>0</v>
      </c>
      <c r="NTP22" s="1902">
        <f t="shared" si="160"/>
        <v>0</v>
      </c>
      <c r="NTQ22" s="1902">
        <f t="shared" si="160"/>
        <v>0</v>
      </c>
      <c r="NTR22" s="1902">
        <f t="shared" si="160"/>
        <v>0</v>
      </c>
      <c r="NTS22" s="1902">
        <f t="shared" si="160"/>
        <v>0</v>
      </c>
      <c r="NTT22" s="1902">
        <f t="shared" si="160"/>
        <v>0</v>
      </c>
      <c r="NTU22" s="1902">
        <f t="shared" si="160"/>
        <v>0</v>
      </c>
      <c r="NTV22" s="1902">
        <f t="shared" si="160"/>
        <v>0</v>
      </c>
      <c r="NTW22" s="1902">
        <f t="shared" si="160"/>
        <v>0</v>
      </c>
      <c r="NTX22" s="1902">
        <f t="shared" si="160"/>
        <v>0</v>
      </c>
      <c r="NTY22" s="1902">
        <f t="shared" si="160"/>
        <v>0</v>
      </c>
      <c r="NTZ22" s="1902">
        <f t="shared" si="160"/>
        <v>0</v>
      </c>
      <c r="NUA22" s="1902">
        <f t="shared" si="160"/>
        <v>0</v>
      </c>
      <c r="NUB22" s="1902">
        <f t="shared" si="160"/>
        <v>0</v>
      </c>
      <c r="NUC22" s="1902">
        <f t="shared" si="160"/>
        <v>0</v>
      </c>
      <c r="NUD22" s="1902">
        <f t="shared" si="160"/>
        <v>0</v>
      </c>
      <c r="NUE22" s="1902">
        <f t="shared" si="160"/>
        <v>0</v>
      </c>
      <c r="NUF22" s="1902">
        <f t="shared" si="160"/>
        <v>0</v>
      </c>
      <c r="NUG22" s="1902">
        <f t="shared" si="160"/>
        <v>0</v>
      </c>
      <c r="NUH22" s="1902">
        <f t="shared" si="160"/>
        <v>0</v>
      </c>
      <c r="NUI22" s="1902">
        <f t="shared" si="160"/>
        <v>0</v>
      </c>
      <c r="NUJ22" s="1902">
        <f t="shared" si="160"/>
        <v>0</v>
      </c>
      <c r="NUK22" s="1902">
        <f t="shared" si="160"/>
        <v>0</v>
      </c>
      <c r="NUL22" s="1902">
        <f t="shared" si="160"/>
        <v>0</v>
      </c>
      <c r="NUM22" s="1902">
        <f t="shared" si="160"/>
        <v>0</v>
      </c>
      <c r="NUN22" s="1902">
        <f t="shared" si="160"/>
        <v>0</v>
      </c>
      <c r="NUO22" s="1902">
        <f t="shared" si="160"/>
        <v>0</v>
      </c>
      <c r="NUP22" s="1902">
        <f t="shared" si="160"/>
        <v>0</v>
      </c>
      <c r="NUQ22" s="1902">
        <f t="shared" si="160"/>
        <v>0</v>
      </c>
      <c r="NUR22" s="1902">
        <f t="shared" si="160"/>
        <v>0</v>
      </c>
      <c r="NUS22" s="1902">
        <f t="shared" si="160"/>
        <v>0</v>
      </c>
      <c r="NUT22" s="1902">
        <f t="shared" si="160"/>
        <v>0</v>
      </c>
      <c r="NUU22" s="1902">
        <f t="shared" si="160"/>
        <v>0</v>
      </c>
      <c r="NUV22" s="1902">
        <f t="shared" si="160"/>
        <v>0</v>
      </c>
      <c r="NUW22" s="1902">
        <f t="shared" si="160"/>
        <v>0</v>
      </c>
      <c r="NUX22" s="1902">
        <f t="shared" si="160"/>
        <v>0</v>
      </c>
      <c r="NUY22" s="1902">
        <f t="shared" si="160"/>
        <v>0</v>
      </c>
      <c r="NUZ22" s="1902">
        <f t="shared" si="160"/>
        <v>0</v>
      </c>
      <c r="NVA22" s="1902">
        <f t="shared" si="160"/>
        <v>0</v>
      </c>
      <c r="NVB22" s="1902">
        <f t="shared" si="160"/>
        <v>0</v>
      </c>
      <c r="NVC22" s="1902">
        <f t="shared" si="160"/>
        <v>0</v>
      </c>
      <c r="NVD22" s="1902">
        <f t="shared" si="160"/>
        <v>0</v>
      </c>
      <c r="NVE22" s="1902">
        <f t="shared" si="160"/>
        <v>0</v>
      </c>
      <c r="NVF22" s="1902">
        <f t="shared" si="160"/>
        <v>0</v>
      </c>
      <c r="NVG22" s="1902">
        <f t="shared" si="160"/>
        <v>0</v>
      </c>
      <c r="NVH22" s="1902">
        <f t="shared" si="160"/>
        <v>0</v>
      </c>
      <c r="NVI22" s="1902">
        <f t="shared" si="160"/>
        <v>0</v>
      </c>
      <c r="NVJ22" s="1902">
        <f t="shared" si="160"/>
        <v>0</v>
      </c>
      <c r="NVK22" s="1902">
        <f t="shared" si="160"/>
        <v>0</v>
      </c>
      <c r="NVL22" s="1902">
        <f t="shared" si="160"/>
        <v>0</v>
      </c>
      <c r="NVM22" s="1902">
        <f t="shared" si="160"/>
        <v>0</v>
      </c>
      <c r="NVN22" s="1902">
        <f t="shared" si="160"/>
        <v>0</v>
      </c>
      <c r="NVO22" s="1902">
        <f t="shared" si="160"/>
        <v>0</v>
      </c>
      <c r="NVP22" s="1902">
        <f t="shared" si="160"/>
        <v>0</v>
      </c>
      <c r="NVQ22" s="1902">
        <f t="shared" si="160"/>
        <v>0</v>
      </c>
      <c r="NVR22" s="1902">
        <f t="shared" si="160"/>
        <v>0</v>
      </c>
      <c r="NVS22" s="1902">
        <f t="shared" si="160"/>
        <v>0</v>
      </c>
      <c r="NVT22" s="1902">
        <f t="shared" si="160"/>
        <v>0</v>
      </c>
      <c r="NVU22" s="1902">
        <f t="shared" si="160"/>
        <v>0</v>
      </c>
      <c r="NVV22" s="1902">
        <f t="shared" si="160"/>
        <v>0</v>
      </c>
      <c r="NVW22" s="1902">
        <f t="shared" ref="NVW22:NYH22" si="161">IF(AND(NVW$26="End of period",NVW$25="Revenue"),NVW9,0)</f>
        <v>0</v>
      </c>
      <c r="NVX22" s="1902">
        <f t="shared" si="161"/>
        <v>0</v>
      </c>
      <c r="NVY22" s="1902">
        <f t="shared" si="161"/>
        <v>0</v>
      </c>
      <c r="NVZ22" s="1902">
        <f t="shared" si="161"/>
        <v>0</v>
      </c>
      <c r="NWA22" s="1902">
        <f t="shared" si="161"/>
        <v>0</v>
      </c>
      <c r="NWB22" s="1902">
        <f t="shared" si="161"/>
        <v>0</v>
      </c>
      <c r="NWC22" s="1902">
        <f t="shared" si="161"/>
        <v>0</v>
      </c>
      <c r="NWD22" s="1902">
        <f t="shared" si="161"/>
        <v>0</v>
      </c>
      <c r="NWE22" s="1902">
        <f t="shared" si="161"/>
        <v>0</v>
      </c>
      <c r="NWF22" s="1902">
        <f t="shared" si="161"/>
        <v>0</v>
      </c>
      <c r="NWG22" s="1902">
        <f t="shared" si="161"/>
        <v>0</v>
      </c>
      <c r="NWH22" s="1902">
        <f t="shared" si="161"/>
        <v>0</v>
      </c>
      <c r="NWI22" s="1902">
        <f t="shared" si="161"/>
        <v>0</v>
      </c>
      <c r="NWJ22" s="1902">
        <f t="shared" si="161"/>
        <v>0</v>
      </c>
      <c r="NWK22" s="1902">
        <f t="shared" si="161"/>
        <v>0</v>
      </c>
      <c r="NWL22" s="1902">
        <f t="shared" si="161"/>
        <v>0</v>
      </c>
      <c r="NWM22" s="1902">
        <f t="shared" si="161"/>
        <v>0</v>
      </c>
      <c r="NWN22" s="1902">
        <f t="shared" si="161"/>
        <v>0</v>
      </c>
      <c r="NWO22" s="1902">
        <f t="shared" si="161"/>
        <v>0</v>
      </c>
      <c r="NWP22" s="1902">
        <f t="shared" si="161"/>
        <v>0</v>
      </c>
      <c r="NWQ22" s="1902">
        <f t="shared" si="161"/>
        <v>0</v>
      </c>
      <c r="NWR22" s="1902">
        <f t="shared" si="161"/>
        <v>0</v>
      </c>
      <c r="NWS22" s="1902">
        <f t="shared" si="161"/>
        <v>0</v>
      </c>
      <c r="NWT22" s="1902">
        <f t="shared" si="161"/>
        <v>0</v>
      </c>
      <c r="NWU22" s="1902">
        <f t="shared" si="161"/>
        <v>0</v>
      </c>
      <c r="NWV22" s="1902">
        <f t="shared" si="161"/>
        <v>0</v>
      </c>
      <c r="NWW22" s="1902">
        <f t="shared" si="161"/>
        <v>0</v>
      </c>
      <c r="NWX22" s="1902">
        <f t="shared" si="161"/>
        <v>0</v>
      </c>
      <c r="NWY22" s="1902">
        <f t="shared" si="161"/>
        <v>0</v>
      </c>
      <c r="NWZ22" s="1902">
        <f t="shared" si="161"/>
        <v>0</v>
      </c>
      <c r="NXA22" s="1902">
        <f t="shared" si="161"/>
        <v>0</v>
      </c>
      <c r="NXB22" s="1902">
        <f t="shared" si="161"/>
        <v>0</v>
      </c>
      <c r="NXC22" s="1902">
        <f t="shared" si="161"/>
        <v>0</v>
      </c>
      <c r="NXD22" s="1902">
        <f t="shared" si="161"/>
        <v>0</v>
      </c>
      <c r="NXE22" s="1902">
        <f t="shared" si="161"/>
        <v>0</v>
      </c>
      <c r="NXF22" s="1902">
        <f t="shared" si="161"/>
        <v>0</v>
      </c>
      <c r="NXG22" s="1902">
        <f t="shared" si="161"/>
        <v>0</v>
      </c>
      <c r="NXH22" s="1902">
        <f t="shared" si="161"/>
        <v>0</v>
      </c>
      <c r="NXI22" s="1902">
        <f t="shared" si="161"/>
        <v>0</v>
      </c>
      <c r="NXJ22" s="1902">
        <f t="shared" si="161"/>
        <v>0</v>
      </c>
      <c r="NXK22" s="1902">
        <f t="shared" si="161"/>
        <v>0</v>
      </c>
      <c r="NXL22" s="1902">
        <f t="shared" si="161"/>
        <v>0</v>
      </c>
      <c r="NXM22" s="1902">
        <f t="shared" si="161"/>
        <v>0</v>
      </c>
      <c r="NXN22" s="1902">
        <f t="shared" si="161"/>
        <v>0</v>
      </c>
      <c r="NXO22" s="1902">
        <f t="shared" si="161"/>
        <v>0</v>
      </c>
      <c r="NXP22" s="1902">
        <f t="shared" si="161"/>
        <v>0</v>
      </c>
      <c r="NXQ22" s="1902">
        <f t="shared" si="161"/>
        <v>0</v>
      </c>
      <c r="NXR22" s="1902">
        <f t="shared" si="161"/>
        <v>0</v>
      </c>
      <c r="NXS22" s="1902">
        <f t="shared" si="161"/>
        <v>0</v>
      </c>
      <c r="NXT22" s="1902">
        <f t="shared" si="161"/>
        <v>0</v>
      </c>
      <c r="NXU22" s="1902">
        <f t="shared" si="161"/>
        <v>0</v>
      </c>
      <c r="NXV22" s="1902">
        <f t="shared" si="161"/>
        <v>0</v>
      </c>
      <c r="NXW22" s="1902">
        <f t="shared" si="161"/>
        <v>0</v>
      </c>
      <c r="NXX22" s="1902">
        <f t="shared" si="161"/>
        <v>0</v>
      </c>
      <c r="NXY22" s="1902">
        <f t="shared" si="161"/>
        <v>0</v>
      </c>
      <c r="NXZ22" s="1902">
        <f t="shared" si="161"/>
        <v>0</v>
      </c>
      <c r="NYA22" s="1902">
        <f t="shared" si="161"/>
        <v>0</v>
      </c>
      <c r="NYB22" s="1902">
        <f t="shared" si="161"/>
        <v>0</v>
      </c>
      <c r="NYC22" s="1902">
        <f t="shared" si="161"/>
        <v>0</v>
      </c>
      <c r="NYD22" s="1902">
        <f t="shared" si="161"/>
        <v>0</v>
      </c>
      <c r="NYE22" s="1902">
        <f t="shared" si="161"/>
        <v>0</v>
      </c>
      <c r="NYF22" s="1902">
        <f t="shared" si="161"/>
        <v>0</v>
      </c>
      <c r="NYG22" s="1902">
        <f t="shared" si="161"/>
        <v>0</v>
      </c>
      <c r="NYH22" s="1902">
        <f t="shared" si="161"/>
        <v>0</v>
      </c>
      <c r="NYI22" s="1902">
        <f t="shared" ref="NYI22:OAT22" si="162">IF(AND(NYI$26="End of period",NYI$25="Revenue"),NYI9,0)</f>
        <v>0</v>
      </c>
      <c r="NYJ22" s="1902">
        <f t="shared" si="162"/>
        <v>0</v>
      </c>
      <c r="NYK22" s="1902">
        <f t="shared" si="162"/>
        <v>0</v>
      </c>
      <c r="NYL22" s="1902">
        <f t="shared" si="162"/>
        <v>0</v>
      </c>
      <c r="NYM22" s="1902">
        <f t="shared" si="162"/>
        <v>0</v>
      </c>
      <c r="NYN22" s="1902">
        <f t="shared" si="162"/>
        <v>0</v>
      </c>
      <c r="NYO22" s="1902">
        <f t="shared" si="162"/>
        <v>0</v>
      </c>
      <c r="NYP22" s="1902">
        <f t="shared" si="162"/>
        <v>0</v>
      </c>
      <c r="NYQ22" s="1902">
        <f t="shared" si="162"/>
        <v>0</v>
      </c>
      <c r="NYR22" s="1902">
        <f t="shared" si="162"/>
        <v>0</v>
      </c>
      <c r="NYS22" s="1902">
        <f t="shared" si="162"/>
        <v>0</v>
      </c>
      <c r="NYT22" s="1902">
        <f t="shared" si="162"/>
        <v>0</v>
      </c>
      <c r="NYU22" s="1902">
        <f t="shared" si="162"/>
        <v>0</v>
      </c>
      <c r="NYV22" s="1902">
        <f t="shared" si="162"/>
        <v>0</v>
      </c>
      <c r="NYW22" s="1902">
        <f t="shared" si="162"/>
        <v>0</v>
      </c>
      <c r="NYX22" s="1902">
        <f t="shared" si="162"/>
        <v>0</v>
      </c>
      <c r="NYY22" s="1902">
        <f t="shared" si="162"/>
        <v>0</v>
      </c>
      <c r="NYZ22" s="1902">
        <f t="shared" si="162"/>
        <v>0</v>
      </c>
      <c r="NZA22" s="1902">
        <f t="shared" si="162"/>
        <v>0</v>
      </c>
      <c r="NZB22" s="1902">
        <f t="shared" si="162"/>
        <v>0</v>
      </c>
      <c r="NZC22" s="1902">
        <f t="shared" si="162"/>
        <v>0</v>
      </c>
      <c r="NZD22" s="1902">
        <f t="shared" si="162"/>
        <v>0</v>
      </c>
      <c r="NZE22" s="1902">
        <f t="shared" si="162"/>
        <v>0</v>
      </c>
      <c r="NZF22" s="1902">
        <f t="shared" si="162"/>
        <v>0</v>
      </c>
      <c r="NZG22" s="1902">
        <f t="shared" si="162"/>
        <v>0</v>
      </c>
      <c r="NZH22" s="1902">
        <f t="shared" si="162"/>
        <v>0</v>
      </c>
      <c r="NZI22" s="1902">
        <f t="shared" si="162"/>
        <v>0</v>
      </c>
      <c r="NZJ22" s="1902">
        <f t="shared" si="162"/>
        <v>0</v>
      </c>
      <c r="NZK22" s="1902">
        <f t="shared" si="162"/>
        <v>0</v>
      </c>
      <c r="NZL22" s="1902">
        <f t="shared" si="162"/>
        <v>0</v>
      </c>
      <c r="NZM22" s="1902">
        <f t="shared" si="162"/>
        <v>0</v>
      </c>
      <c r="NZN22" s="1902">
        <f t="shared" si="162"/>
        <v>0</v>
      </c>
      <c r="NZO22" s="1902">
        <f t="shared" si="162"/>
        <v>0</v>
      </c>
      <c r="NZP22" s="1902">
        <f t="shared" si="162"/>
        <v>0</v>
      </c>
      <c r="NZQ22" s="1902">
        <f t="shared" si="162"/>
        <v>0</v>
      </c>
      <c r="NZR22" s="1902">
        <f t="shared" si="162"/>
        <v>0</v>
      </c>
      <c r="NZS22" s="1902">
        <f t="shared" si="162"/>
        <v>0</v>
      </c>
      <c r="NZT22" s="1902">
        <f t="shared" si="162"/>
        <v>0</v>
      </c>
      <c r="NZU22" s="1902">
        <f t="shared" si="162"/>
        <v>0</v>
      </c>
      <c r="NZV22" s="1902">
        <f t="shared" si="162"/>
        <v>0</v>
      </c>
      <c r="NZW22" s="1902">
        <f t="shared" si="162"/>
        <v>0</v>
      </c>
      <c r="NZX22" s="1902">
        <f t="shared" si="162"/>
        <v>0</v>
      </c>
      <c r="NZY22" s="1902">
        <f t="shared" si="162"/>
        <v>0</v>
      </c>
      <c r="NZZ22" s="1902">
        <f t="shared" si="162"/>
        <v>0</v>
      </c>
      <c r="OAA22" s="1902">
        <f t="shared" si="162"/>
        <v>0</v>
      </c>
      <c r="OAB22" s="1902">
        <f t="shared" si="162"/>
        <v>0</v>
      </c>
      <c r="OAC22" s="1902">
        <f t="shared" si="162"/>
        <v>0</v>
      </c>
      <c r="OAD22" s="1902">
        <f t="shared" si="162"/>
        <v>0</v>
      </c>
      <c r="OAE22" s="1902">
        <f t="shared" si="162"/>
        <v>0</v>
      </c>
      <c r="OAF22" s="1902">
        <f t="shared" si="162"/>
        <v>0</v>
      </c>
      <c r="OAG22" s="1902">
        <f t="shared" si="162"/>
        <v>0</v>
      </c>
      <c r="OAH22" s="1902">
        <f t="shared" si="162"/>
        <v>0</v>
      </c>
      <c r="OAI22" s="1902">
        <f t="shared" si="162"/>
        <v>0</v>
      </c>
      <c r="OAJ22" s="1902">
        <f t="shared" si="162"/>
        <v>0</v>
      </c>
      <c r="OAK22" s="1902">
        <f t="shared" si="162"/>
        <v>0</v>
      </c>
      <c r="OAL22" s="1902">
        <f t="shared" si="162"/>
        <v>0</v>
      </c>
      <c r="OAM22" s="1902">
        <f t="shared" si="162"/>
        <v>0</v>
      </c>
      <c r="OAN22" s="1902">
        <f t="shared" si="162"/>
        <v>0</v>
      </c>
      <c r="OAO22" s="1902">
        <f t="shared" si="162"/>
        <v>0</v>
      </c>
      <c r="OAP22" s="1902">
        <f t="shared" si="162"/>
        <v>0</v>
      </c>
      <c r="OAQ22" s="1902">
        <f t="shared" si="162"/>
        <v>0</v>
      </c>
      <c r="OAR22" s="1902">
        <f t="shared" si="162"/>
        <v>0</v>
      </c>
      <c r="OAS22" s="1902">
        <f t="shared" si="162"/>
        <v>0</v>
      </c>
      <c r="OAT22" s="1902">
        <f t="shared" si="162"/>
        <v>0</v>
      </c>
      <c r="OAU22" s="1902">
        <f t="shared" ref="OAU22:ODF22" si="163">IF(AND(OAU$26="End of period",OAU$25="Revenue"),OAU9,0)</f>
        <v>0</v>
      </c>
      <c r="OAV22" s="1902">
        <f t="shared" si="163"/>
        <v>0</v>
      </c>
      <c r="OAW22" s="1902">
        <f t="shared" si="163"/>
        <v>0</v>
      </c>
      <c r="OAX22" s="1902">
        <f t="shared" si="163"/>
        <v>0</v>
      </c>
      <c r="OAY22" s="1902">
        <f t="shared" si="163"/>
        <v>0</v>
      </c>
      <c r="OAZ22" s="1902">
        <f t="shared" si="163"/>
        <v>0</v>
      </c>
      <c r="OBA22" s="1902">
        <f t="shared" si="163"/>
        <v>0</v>
      </c>
      <c r="OBB22" s="1902">
        <f t="shared" si="163"/>
        <v>0</v>
      </c>
      <c r="OBC22" s="1902">
        <f t="shared" si="163"/>
        <v>0</v>
      </c>
      <c r="OBD22" s="1902">
        <f t="shared" si="163"/>
        <v>0</v>
      </c>
      <c r="OBE22" s="1902">
        <f t="shared" si="163"/>
        <v>0</v>
      </c>
      <c r="OBF22" s="1902">
        <f t="shared" si="163"/>
        <v>0</v>
      </c>
      <c r="OBG22" s="1902">
        <f t="shared" si="163"/>
        <v>0</v>
      </c>
      <c r="OBH22" s="1902">
        <f t="shared" si="163"/>
        <v>0</v>
      </c>
      <c r="OBI22" s="1902">
        <f t="shared" si="163"/>
        <v>0</v>
      </c>
      <c r="OBJ22" s="1902">
        <f t="shared" si="163"/>
        <v>0</v>
      </c>
      <c r="OBK22" s="1902">
        <f t="shared" si="163"/>
        <v>0</v>
      </c>
      <c r="OBL22" s="1902">
        <f t="shared" si="163"/>
        <v>0</v>
      </c>
      <c r="OBM22" s="1902">
        <f t="shared" si="163"/>
        <v>0</v>
      </c>
      <c r="OBN22" s="1902">
        <f t="shared" si="163"/>
        <v>0</v>
      </c>
      <c r="OBO22" s="1902">
        <f t="shared" si="163"/>
        <v>0</v>
      </c>
      <c r="OBP22" s="1902">
        <f t="shared" si="163"/>
        <v>0</v>
      </c>
      <c r="OBQ22" s="1902">
        <f t="shared" si="163"/>
        <v>0</v>
      </c>
      <c r="OBR22" s="1902">
        <f t="shared" si="163"/>
        <v>0</v>
      </c>
      <c r="OBS22" s="1902">
        <f t="shared" si="163"/>
        <v>0</v>
      </c>
      <c r="OBT22" s="1902">
        <f t="shared" si="163"/>
        <v>0</v>
      </c>
      <c r="OBU22" s="1902">
        <f t="shared" si="163"/>
        <v>0</v>
      </c>
      <c r="OBV22" s="1902">
        <f t="shared" si="163"/>
        <v>0</v>
      </c>
      <c r="OBW22" s="1902">
        <f t="shared" si="163"/>
        <v>0</v>
      </c>
      <c r="OBX22" s="1902">
        <f t="shared" si="163"/>
        <v>0</v>
      </c>
      <c r="OBY22" s="1902">
        <f t="shared" si="163"/>
        <v>0</v>
      </c>
      <c r="OBZ22" s="1902">
        <f t="shared" si="163"/>
        <v>0</v>
      </c>
      <c r="OCA22" s="1902">
        <f t="shared" si="163"/>
        <v>0</v>
      </c>
      <c r="OCB22" s="1902">
        <f t="shared" si="163"/>
        <v>0</v>
      </c>
      <c r="OCC22" s="1902">
        <f t="shared" si="163"/>
        <v>0</v>
      </c>
      <c r="OCD22" s="1902">
        <f t="shared" si="163"/>
        <v>0</v>
      </c>
      <c r="OCE22" s="1902">
        <f t="shared" si="163"/>
        <v>0</v>
      </c>
      <c r="OCF22" s="1902">
        <f t="shared" si="163"/>
        <v>0</v>
      </c>
      <c r="OCG22" s="1902">
        <f t="shared" si="163"/>
        <v>0</v>
      </c>
      <c r="OCH22" s="1902">
        <f t="shared" si="163"/>
        <v>0</v>
      </c>
      <c r="OCI22" s="1902">
        <f t="shared" si="163"/>
        <v>0</v>
      </c>
      <c r="OCJ22" s="1902">
        <f t="shared" si="163"/>
        <v>0</v>
      </c>
      <c r="OCK22" s="1902">
        <f t="shared" si="163"/>
        <v>0</v>
      </c>
      <c r="OCL22" s="1902">
        <f t="shared" si="163"/>
        <v>0</v>
      </c>
      <c r="OCM22" s="1902">
        <f t="shared" si="163"/>
        <v>0</v>
      </c>
      <c r="OCN22" s="1902">
        <f t="shared" si="163"/>
        <v>0</v>
      </c>
      <c r="OCO22" s="1902">
        <f t="shared" si="163"/>
        <v>0</v>
      </c>
      <c r="OCP22" s="1902">
        <f t="shared" si="163"/>
        <v>0</v>
      </c>
      <c r="OCQ22" s="1902">
        <f t="shared" si="163"/>
        <v>0</v>
      </c>
      <c r="OCR22" s="1902">
        <f t="shared" si="163"/>
        <v>0</v>
      </c>
      <c r="OCS22" s="1902">
        <f t="shared" si="163"/>
        <v>0</v>
      </c>
      <c r="OCT22" s="1902">
        <f t="shared" si="163"/>
        <v>0</v>
      </c>
      <c r="OCU22" s="1902">
        <f t="shared" si="163"/>
        <v>0</v>
      </c>
      <c r="OCV22" s="1902">
        <f t="shared" si="163"/>
        <v>0</v>
      </c>
      <c r="OCW22" s="1902">
        <f t="shared" si="163"/>
        <v>0</v>
      </c>
      <c r="OCX22" s="1902">
        <f t="shared" si="163"/>
        <v>0</v>
      </c>
      <c r="OCY22" s="1902">
        <f t="shared" si="163"/>
        <v>0</v>
      </c>
      <c r="OCZ22" s="1902">
        <f t="shared" si="163"/>
        <v>0</v>
      </c>
      <c r="ODA22" s="1902">
        <f t="shared" si="163"/>
        <v>0</v>
      </c>
      <c r="ODB22" s="1902">
        <f t="shared" si="163"/>
        <v>0</v>
      </c>
      <c r="ODC22" s="1902">
        <f t="shared" si="163"/>
        <v>0</v>
      </c>
      <c r="ODD22" s="1902">
        <f t="shared" si="163"/>
        <v>0</v>
      </c>
      <c r="ODE22" s="1902">
        <f t="shared" si="163"/>
        <v>0</v>
      </c>
      <c r="ODF22" s="1902">
        <f t="shared" si="163"/>
        <v>0</v>
      </c>
      <c r="ODG22" s="1902">
        <f t="shared" ref="ODG22:OFR22" si="164">IF(AND(ODG$26="End of period",ODG$25="Revenue"),ODG9,0)</f>
        <v>0</v>
      </c>
      <c r="ODH22" s="1902">
        <f t="shared" si="164"/>
        <v>0</v>
      </c>
      <c r="ODI22" s="1902">
        <f t="shared" si="164"/>
        <v>0</v>
      </c>
      <c r="ODJ22" s="1902">
        <f t="shared" si="164"/>
        <v>0</v>
      </c>
      <c r="ODK22" s="1902">
        <f t="shared" si="164"/>
        <v>0</v>
      </c>
      <c r="ODL22" s="1902">
        <f t="shared" si="164"/>
        <v>0</v>
      </c>
      <c r="ODM22" s="1902">
        <f t="shared" si="164"/>
        <v>0</v>
      </c>
      <c r="ODN22" s="1902">
        <f t="shared" si="164"/>
        <v>0</v>
      </c>
      <c r="ODO22" s="1902">
        <f t="shared" si="164"/>
        <v>0</v>
      </c>
      <c r="ODP22" s="1902">
        <f t="shared" si="164"/>
        <v>0</v>
      </c>
      <c r="ODQ22" s="1902">
        <f t="shared" si="164"/>
        <v>0</v>
      </c>
      <c r="ODR22" s="1902">
        <f t="shared" si="164"/>
        <v>0</v>
      </c>
      <c r="ODS22" s="1902">
        <f t="shared" si="164"/>
        <v>0</v>
      </c>
      <c r="ODT22" s="1902">
        <f t="shared" si="164"/>
        <v>0</v>
      </c>
      <c r="ODU22" s="1902">
        <f t="shared" si="164"/>
        <v>0</v>
      </c>
      <c r="ODV22" s="1902">
        <f t="shared" si="164"/>
        <v>0</v>
      </c>
      <c r="ODW22" s="1902">
        <f t="shared" si="164"/>
        <v>0</v>
      </c>
      <c r="ODX22" s="1902">
        <f t="shared" si="164"/>
        <v>0</v>
      </c>
      <c r="ODY22" s="1902">
        <f t="shared" si="164"/>
        <v>0</v>
      </c>
      <c r="ODZ22" s="1902">
        <f t="shared" si="164"/>
        <v>0</v>
      </c>
      <c r="OEA22" s="1902">
        <f t="shared" si="164"/>
        <v>0</v>
      </c>
      <c r="OEB22" s="1902">
        <f t="shared" si="164"/>
        <v>0</v>
      </c>
      <c r="OEC22" s="1902">
        <f t="shared" si="164"/>
        <v>0</v>
      </c>
      <c r="OED22" s="1902">
        <f t="shared" si="164"/>
        <v>0</v>
      </c>
      <c r="OEE22" s="1902">
        <f t="shared" si="164"/>
        <v>0</v>
      </c>
      <c r="OEF22" s="1902">
        <f t="shared" si="164"/>
        <v>0</v>
      </c>
      <c r="OEG22" s="1902">
        <f t="shared" si="164"/>
        <v>0</v>
      </c>
      <c r="OEH22" s="1902">
        <f t="shared" si="164"/>
        <v>0</v>
      </c>
      <c r="OEI22" s="1902">
        <f t="shared" si="164"/>
        <v>0</v>
      </c>
      <c r="OEJ22" s="1902">
        <f t="shared" si="164"/>
        <v>0</v>
      </c>
      <c r="OEK22" s="1902">
        <f t="shared" si="164"/>
        <v>0</v>
      </c>
      <c r="OEL22" s="1902">
        <f t="shared" si="164"/>
        <v>0</v>
      </c>
      <c r="OEM22" s="1902">
        <f t="shared" si="164"/>
        <v>0</v>
      </c>
      <c r="OEN22" s="1902">
        <f t="shared" si="164"/>
        <v>0</v>
      </c>
      <c r="OEO22" s="1902">
        <f t="shared" si="164"/>
        <v>0</v>
      </c>
      <c r="OEP22" s="1902">
        <f t="shared" si="164"/>
        <v>0</v>
      </c>
      <c r="OEQ22" s="1902">
        <f t="shared" si="164"/>
        <v>0</v>
      </c>
      <c r="OER22" s="1902">
        <f t="shared" si="164"/>
        <v>0</v>
      </c>
      <c r="OES22" s="1902">
        <f t="shared" si="164"/>
        <v>0</v>
      </c>
      <c r="OET22" s="1902">
        <f t="shared" si="164"/>
        <v>0</v>
      </c>
      <c r="OEU22" s="1902">
        <f t="shared" si="164"/>
        <v>0</v>
      </c>
      <c r="OEV22" s="1902">
        <f t="shared" si="164"/>
        <v>0</v>
      </c>
      <c r="OEW22" s="1902">
        <f t="shared" si="164"/>
        <v>0</v>
      </c>
      <c r="OEX22" s="1902">
        <f t="shared" si="164"/>
        <v>0</v>
      </c>
      <c r="OEY22" s="1902">
        <f t="shared" si="164"/>
        <v>0</v>
      </c>
      <c r="OEZ22" s="1902">
        <f t="shared" si="164"/>
        <v>0</v>
      </c>
      <c r="OFA22" s="1902">
        <f t="shared" si="164"/>
        <v>0</v>
      </c>
      <c r="OFB22" s="1902">
        <f t="shared" si="164"/>
        <v>0</v>
      </c>
      <c r="OFC22" s="1902">
        <f t="shared" si="164"/>
        <v>0</v>
      </c>
      <c r="OFD22" s="1902">
        <f t="shared" si="164"/>
        <v>0</v>
      </c>
      <c r="OFE22" s="1902">
        <f t="shared" si="164"/>
        <v>0</v>
      </c>
      <c r="OFF22" s="1902">
        <f t="shared" si="164"/>
        <v>0</v>
      </c>
      <c r="OFG22" s="1902">
        <f t="shared" si="164"/>
        <v>0</v>
      </c>
      <c r="OFH22" s="1902">
        <f t="shared" si="164"/>
        <v>0</v>
      </c>
      <c r="OFI22" s="1902">
        <f t="shared" si="164"/>
        <v>0</v>
      </c>
      <c r="OFJ22" s="1902">
        <f t="shared" si="164"/>
        <v>0</v>
      </c>
      <c r="OFK22" s="1902">
        <f t="shared" si="164"/>
        <v>0</v>
      </c>
      <c r="OFL22" s="1902">
        <f t="shared" si="164"/>
        <v>0</v>
      </c>
      <c r="OFM22" s="1902">
        <f t="shared" si="164"/>
        <v>0</v>
      </c>
      <c r="OFN22" s="1902">
        <f t="shared" si="164"/>
        <v>0</v>
      </c>
      <c r="OFO22" s="1902">
        <f t="shared" si="164"/>
        <v>0</v>
      </c>
      <c r="OFP22" s="1902">
        <f t="shared" si="164"/>
        <v>0</v>
      </c>
      <c r="OFQ22" s="1902">
        <f t="shared" si="164"/>
        <v>0</v>
      </c>
      <c r="OFR22" s="1902">
        <f t="shared" si="164"/>
        <v>0</v>
      </c>
      <c r="OFS22" s="1902">
        <f t="shared" ref="OFS22:OID22" si="165">IF(AND(OFS$26="End of period",OFS$25="Revenue"),OFS9,0)</f>
        <v>0</v>
      </c>
      <c r="OFT22" s="1902">
        <f t="shared" si="165"/>
        <v>0</v>
      </c>
      <c r="OFU22" s="1902">
        <f t="shared" si="165"/>
        <v>0</v>
      </c>
      <c r="OFV22" s="1902">
        <f t="shared" si="165"/>
        <v>0</v>
      </c>
      <c r="OFW22" s="1902">
        <f t="shared" si="165"/>
        <v>0</v>
      </c>
      <c r="OFX22" s="1902">
        <f t="shared" si="165"/>
        <v>0</v>
      </c>
      <c r="OFY22" s="1902">
        <f t="shared" si="165"/>
        <v>0</v>
      </c>
      <c r="OFZ22" s="1902">
        <f t="shared" si="165"/>
        <v>0</v>
      </c>
      <c r="OGA22" s="1902">
        <f t="shared" si="165"/>
        <v>0</v>
      </c>
      <c r="OGB22" s="1902">
        <f t="shared" si="165"/>
        <v>0</v>
      </c>
      <c r="OGC22" s="1902">
        <f t="shared" si="165"/>
        <v>0</v>
      </c>
      <c r="OGD22" s="1902">
        <f t="shared" si="165"/>
        <v>0</v>
      </c>
      <c r="OGE22" s="1902">
        <f t="shared" si="165"/>
        <v>0</v>
      </c>
      <c r="OGF22" s="1902">
        <f t="shared" si="165"/>
        <v>0</v>
      </c>
      <c r="OGG22" s="1902">
        <f t="shared" si="165"/>
        <v>0</v>
      </c>
      <c r="OGH22" s="1902">
        <f t="shared" si="165"/>
        <v>0</v>
      </c>
      <c r="OGI22" s="1902">
        <f t="shared" si="165"/>
        <v>0</v>
      </c>
      <c r="OGJ22" s="1902">
        <f t="shared" si="165"/>
        <v>0</v>
      </c>
      <c r="OGK22" s="1902">
        <f t="shared" si="165"/>
        <v>0</v>
      </c>
      <c r="OGL22" s="1902">
        <f t="shared" si="165"/>
        <v>0</v>
      </c>
      <c r="OGM22" s="1902">
        <f t="shared" si="165"/>
        <v>0</v>
      </c>
      <c r="OGN22" s="1902">
        <f t="shared" si="165"/>
        <v>0</v>
      </c>
      <c r="OGO22" s="1902">
        <f t="shared" si="165"/>
        <v>0</v>
      </c>
      <c r="OGP22" s="1902">
        <f t="shared" si="165"/>
        <v>0</v>
      </c>
      <c r="OGQ22" s="1902">
        <f t="shared" si="165"/>
        <v>0</v>
      </c>
      <c r="OGR22" s="1902">
        <f t="shared" si="165"/>
        <v>0</v>
      </c>
      <c r="OGS22" s="1902">
        <f t="shared" si="165"/>
        <v>0</v>
      </c>
      <c r="OGT22" s="1902">
        <f t="shared" si="165"/>
        <v>0</v>
      </c>
      <c r="OGU22" s="1902">
        <f t="shared" si="165"/>
        <v>0</v>
      </c>
      <c r="OGV22" s="1902">
        <f t="shared" si="165"/>
        <v>0</v>
      </c>
      <c r="OGW22" s="1902">
        <f t="shared" si="165"/>
        <v>0</v>
      </c>
      <c r="OGX22" s="1902">
        <f t="shared" si="165"/>
        <v>0</v>
      </c>
      <c r="OGY22" s="1902">
        <f t="shared" si="165"/>
        <v>0</v>
      </c>
      <c r="OGZ22" s="1902">
        <f t="shared" si="165"/>
        <v>0</v>
      </c>
      <c r="OHA22" s="1902">
        <f t="shared" si="165"/>
        <v>0</v>
      </c>
      <c r="OHB22" s="1902">
        <f t="shared" si="165"/>
        <v>0</v>
      </c>
      <c r="OHC22" s="1902">
        <f t="shared" si="165"/>
        <v>0</v>
      </c>
      <c r="OHD22" s="1902">
        <f t="shared" si="165"/>
        <v>0</v>
      </c>
      <c r="OHE22" s="1902">
        <f t="shared" si="165"/>
        <v>0</v>
      </c>
      <c r="OHF22" s="1902">
        <f t="shared" si="165"/>
        <v>0</v>
      </c>
      <c r="OHG22" s="1902">
        <f t="shared" si="165"/>
        <v>0</v>
      </c>
      <c r="OHH22" s="1902">
        <f t="shared" si="165"/>
        <v>0</v>
      </c>
      <c r="OHI22" s="1902">
        <f t="shared" si="165"/>
        <v>0</v>
      </c>
      <c r="OHJ22" s="1902">
        <f t="shared" si="165"/>
        <v>0</v>
      </c>
      <c r="OHK22" s="1902">
        <f t="shared" si="165"/>
        <v>0</v>
      </c>
      <c r="OHL22" s="1902">
        <f t="shared" si="165"/>
        <v>0</v>
      </c>
      <c r="OHM22" s="1902">
        <f t="shared" si="165"/>
        <v>0</v>
      </c>
      <c r="OHN22" s="1902">
        <f t="shared" si="165"/>
        <v>0</v>
      </c>
      <c r="OHO22" s="1902">
        <f t="shared" si="165"/>
        <v>0</v>
      </c>
      <c r="OHP22" s="1902">
        <f t="shared" si="165"/>
        <v>0</v>
      </c>
      <c r="OHQ22" s="1902">
        <f t="shared" si="165"/>
        <v>0</v>
      </c>
      <c r="OHR22" s="1902">
        <f t="shared" si="165"/>
        <v>0</v>
      </c>
      <c r="OHS22" s="1902">
        <f t="shared" si="165"/>
        <v>0</v>
      </c>
      <c r="OHT22" s="1902">
        <f t="shared" si="165"/>
        <v>0</v>
      </c>
      <c r="OHU22" s="1902">
        <f t="shared" si="165"/>
        <v>0</v>
      </c>
      <c r="OHV22" s="1902">
        <f t="shared" si="165"/>
        <v>0</v>
      </c>
      <c r="OHW22" s="1902">
        <f t="shared" si="165"/>
        <v>0</v>
      </c>
      <c r="OHX22" s="1902">
        <f t="shared" si="165"/>
        <v>0</v>
      </c>
      <c r="OHY22" s="1902">
        <f t="shared" si="165"/>
        <v>0</v>
      </c>
      <c r="OHZ22" s="1902">
        <f t="shared" si="165"/>
        <v>0</v>
      </c>
      <c r="OIA22" s="1902">
        <f t="shared" si="165"/>
        <v>0</v>
      </c>
      <c r="OIB22" s="1902">
        <f t="shared" si="165"/>
        <v>0</v>
      </c>
      <c r="OIC22" s="1902">
        <f t="shared" si="165"/>
        <v>0</v>
      </c>
      <c r="OID22" s="1902">
        <f t="shared" si="165"/>
        <v>0</v>
      </c>
      <c r="OIE22" s="1902">
        <f t="shared" ref="OIE22:OKP22" si="166">IF(AND(OIE$26="End of period",OIE$25="Revenue"),OIE9,0)</f>
        <v>0</v>
      </c>
      <c r="OIF22" s="1902">
        <f t="shared" si="166"/>
        <v>0</v>
      </c>
      <c r="OIG22" s="1902">
        <f t="shared" si="166"/>
        <v>0</v>
      </c>
      <c r="OIH22" s="1902">
        <f t="shared" si="166"/>
        <v>0</v>
      </c>
      <c r="OII22" s="1902">
        <f t="shared" si="166"/>
        <v>0</v>
      </c>
      <c r="OIJ22" s="1902">
        <f t="shared" si="166"/>
        <v>0</v>
      </c>
      <c r="OIK22" s="1902">
        <f t="shared" si="166"/>
        <v>0</v>
      </c>
      <c r="OIL22" s="1902">
        <f t="shared" si="166"/>
        <v>0</v>
      </c>
      <c r="OIM22" s="1902">
        <f t="shared" si="166"/>
        <v>0</v>
      </c>
      <c r="OIN22" s="1902">
        <f t="shared" si="166"/>
        <v>0</v>
      </c>
      <c r="OIO22" s="1902">
        <f t="shared" si="166"/>
        <v>0</v>
      </c>
      <c r="OIP22" s="1902">
        <f t="shared" si="166"/>
        <v>0</v>
      </c>
      <c r="OIQ22" s="1902">
        <f t="shared" si="166"/>
        <v>0</v>
      </c>
      <c r="OIR22" s="1902">
        <f t="shared" si="166"/>
        <v>0</v>
      </c>
      <c r="OIS22" s="1902">
        <f t="shared" si="166"/>
        <v>0</v>
      </c>
      <c r="OIT22" s="1902">
        <f t="shared" si="166"/>
        <v>0</v>
      </c>
      <c r="OIU22" s="1902">
        <f t="shared" si="166"/>
        <v>0</v>
      </c>
      <c r="OIV22" s="1902">
        <f t="shared" si="166"/>
        <v>0</v>
      </c>
      <c r="OIW22" s="1902">
        <f t="shared" si="166"/>
        <v>0</v>
      </c>
      <c r="OIX22" s="1902">
        <f t="shared" si="166"/>
        <v>0</v>
      </c>
      <c r="OIY22" s="1902">
        <f t="shared" si="166"/>
        <v>0</v>
      </c>
      <c r="OIZ22" s="1902">
        <f t="shared" si="166"/>
        <v>0</v>
      </c>
      <c r="OJA22" s="1902">
        <f t="shared" si="166"/>
        <v>0</v>
      </c>
      <c r="OJB22" s="1902">
        <f t="shared" si="166"/>
        <v>0</v>
      </c>
      <c r="OJC22" s="1902">
        <f t="shared" si="166"/>
        <v>0</v>
      </c>
      <c r="OJD22" s="1902">
        <f t="shared" si="166"/>
        <v>0</v>
      </c>
      <c r="OJE22" s="1902">
        <f t="shared" si="166"/>
        <v>0</v>
      </c>
      <c r="OJF22" s="1902">
        <f t="shared" si="166"/>
        <v>0</v>
      </c>
      <c r="OJG22" s="1902">
        <f t="shared" si="166"/>
        <v>0</v>
      </c>
      <c r="OJH22" s="1902">
        <f t="shared" si="166"/>
        <v>0</v>
      </c>
      <c r="OJI22" s="1902">
        <f t="shared" si="166"/>
        <v>0</v>
      </c>
      <c r="OJJ22" s="1902">
        <f t="shared" si="166"/>
        <v>0</v>
      </c>
      <c r="OJK22" s="1902">
        <f t="shared" si="166"/>
        <v>0</v>
      </c>
      <c r="OJL22" s="1902">
        <f t="shared" si="166"/>
        <v>0</v>
      </c>
      <c r="OJM22" s="1902">
        <f t="shared" si="166"/>
        <v>0</v>
      </c>
      <c r="OJN22" s="1902">
        <f t="shared" si="166"/>
        <v>0</v>
      </c>
      <c r="OJO22" s="1902">
        <f t="shared" si="166"/>
        <v>0</v>
      </c>
      <c r="OJP22" s="1902">
        <f t="shared" si="166"/>
        <v>0</v>
      </c>
      <c r="OJQ22" s="1902">
        <f t="shared" si="166"/>
        <v>0</v>
      </c>
      <c r="OJR22" s="1902">
        <f t="shared" si="166"/>
        <v>0</v>
      </c>
      <c r="OJS22" s="1902">
        <f t="shared" si="166"/>
        <v>0</v>
      </c>
      <c r="OJT22" s="1902">
        <f t="shared" si="166"/>
        <v>0</v>
      </c>
      <c r="OJU22" s="1902">
        <f t="shared" si="166"/>
        <v>0</v>
      </c>
      <c r="OJV22" s="1902">
        <f t="shared" si="166"/>
        <v>0</v>
      </c>
      <c r="OJW22" s="1902">
        <f t="shared" si="166"/>
        <v>0</v>
      </c>
      <c r="OJX22" s="1902">
        <f t="shared" si="166"/>
        <v>0</v>
      </c>
      <c r="OJY22" s="1902">
        <f t="shared" si="166"/>
        <v>0</v>
      </c>
      <c r="OJZ22" s="1902">
        <f t="shared" si="166"/>
        <v>0</v>
      </c>
      <c r="OKA22" s="1902">
        <f t="shared" si="166"/>
        <v>0</v>
      </c>
      <c r="OKB22" s="1902">
        <f t="shared" si="166"/>
        <v>0</v>
      </c>
      <c r="OKC22" s="1902">
        <f t="shared" si="166"/>
        <v>0</v>
      </c>
      <c r="OKD22" s="1902">
        <f t="shared" si="166"/>
        <v>0</v>
      </c>
      <c r="OKE22" s="1902">
        <f t="shared" si="166"/>
        <v>0</v>
      </c>
      <c r="OKF22" s="1902">
        <f t="shared" si="166"/>
        <v>0</v>
      </c>
      <c r="OKG22" s="1902">
        <f t="shared" si="166"/>
        <v>0</v>
      </c>
      <c r="OKH22" s="1902">
        <f t="shared" si="166"/>
        <v>0</v>
      </c>
      <c r="OKI22" s="1902">
        <f t="shared" si="166"/>
        <v>0</v>
      </c>
      <c r="OKJ22" s="1902">
        <f t="shared" si="166"/>
        <v>0</v>
      </c>
      <c r="OKK22" s="1902">
        <f t="shared" si="166"/>
        <v>0</v>
      </c>
      <c r="OKL22" s="1902">
        <f t="shared" si="166"/>
        <v>0</v>
      </c>
      <c r="OKM22" s="1902">
        <f t="shared" si="166"/>
        <v>0</v>
      </c>
      <c r="OKN22" s="1902">
        <f t="shared" si="166"/>
        <v>0</v>
      </c>
      <c r="OKO22" s="1902">
        <f t="shared" si="166"/>
        <v>0</v>
      </c>
      <c r="OKP22" s="1902">
        <f t="shared" si="166"/>
        <v>0</v>
      </c>
      <c r="OKQ22" s="1902">
        <f t="shared" ref="OKQ22:ONB22" si="167">IF(AND(OKQ$26="End of period",OKQ$25="Revenue"),OKQ9,0)</f>
        <v>0</v>
      </c>
      <c r="OKR22" s="1902">
        <f t="shared" si="167"/>
        <v>0</v>
      </c>
      <c r="OKS22" s="1902">
        <f t="shared" si="167"/>
        <v>0</v>
      </c>
      <c r="OKT22" s="1902">
        <f t="shared" si="167"/>
        <v>0</v>
      </c>
      <c r="OKU22" s="1902">
        <f t="shared" si="167"/>
        <v>0</v>
      </c>
      <c r="OKV22" s="1902">
        <f t="shared" si="167"/>
        <v>0</v>
      </c>
      <c r="OKW22" s="1902">
        <f t="shared" si="167"/>
        <v>0</v>
      </c>
      <c r="OKX22" s="1902">
        <f t="shared" si="167"/>
        <v>0</v>
      </c>
      <c r="OKY22" s="1902">
        <f t="shared" si="167"/>
        <v>0</v>
      </c>
      <c r="OKZ22" s="1902">
        <f t="shared" si="167"/>
        <v>0</v>
      </c>
      <c r="OLA22" s="1902">
        <f t="shared" si="167"/>
        <v>0</v>
      </c>
      <c r="OLB22" s="1902">
        <f t="shared" si="167"/>
        <v>0</v>
      </c>
      <c r="OLC22" s="1902">
        <f t="shared" si="167"/>
        <v>0</v>
      </c>
      <c r="OLD22" s="1902">
        <f t="shared" si="167"/>
        <v>0</v>
      </c>
      <c r="OLE22" s="1902">
        <f t="shared" si="167"/>
        <v>0</v>
      </c>
      <c r="OLF22" s="1902">
        <f t="shared" si="167"/>
        <v>0</v>
      </c>
      <c r="OLG22" s="1902">
        <f t="shared" si="167"/>
        <v>0</v>
      </c>
      <c r="OLH22" s="1902">
        <f t="shared" si="167"/>
        <v>0</v>
      </c>
      <c r="OLI22" s="1902">
        <f t="shared" si="167"/>
        <v>0</v>
      </c>
      <c r="OLJ22" s="1902">
        <f t="shared" si="167"/>
        <v>0</v>
      </c>
      <c r="OLK22" s="1902">
        <f t="shared" si="167"/>
        <v>0</v>
      </c>
      <c r="OLL22" s="1902">
        <f t="shared" si="167"/>
        <v>0</v>
      </c>
      <c r="OLM22" s="1902">
        <f t="shared" si="167"/>
        <v>0</v>
      </c>
      <c r="OLN22" s="1902">
        <f t="shared" si="167"/>
        <v>0</v>
      </c>
      <c r="OLO22" s="1902">
        <f t="shared" si="167"/>
        <v>0</v>
      </c>
      <c r="OLP22" s="1902">
        <f t="shared" si="167"/>
        <v>0</v>
      </c>
      <c r="OLQ22" s="1902">
        <f t="shared" si="167"/>
        <v>0</v>
      </c>
      <c r="OLR22" s="1902">
        <f t="shared" si="167"/>
        <v>0</v>
      </c>
      <c r="OLS22" s="1902">
        <f t="shared" si="167"/>
        <v>0</v>
      </c>
      <c r="OLT22" s="1902">
        <f t="shared" si="167"/>
        <v>0</v>
      </c>
      <c r="OLU22" s="1902">
        <f t="shared" si="167"/>
        <v>0</v>
      </c>
      <c r="OLV22" s="1902">
        <f t="shared" si="167"/>
        <v>0</v>
      </c>
      <c r="OLW22" s="1902">
        <f t="shared" si="167"/>
        <v>0</v>
      </c>
      <c r="OLX22" s="1902">
        <f t="shared" si="167"/>
        <v>0</v>
      </c>
      <c r="OLY22" s="1902">
        <f t="shared" si="167"/>
        <v>0</v>
      </c>
      <c r="OLZ22" s="1902">
        <f t="shared" si="167"/>
        <v>0</v>
      </c>
      <c r="OMA22" s="1902">
        <f t="shared" si="167"/>
        <v>0</v>
      </c>
      <c r="OMB22" s="1902">
        <f t="shared" si="167"/>
        <v>0</v>
      </c>
      <c r="OMC22" s="1902">
        <f t="shared" si="167"/>
        <v>0</v>
      </c>
      <c r="OMD22" s="1902">
        <f t="shared" si="167"/>
        <v>0</v>
      </c>
      <c r="OME22" s="1902">
        <f t="shared" si="167"/>
        <v>0</v>
      </c>
      <c r="OMF22" s="1902">
        <f t="shared" si="167"/>
        <v>0</v>
      </c>
      <c r="OMG22" s="1902">
        <f t="shared" si="167"/>
        <v>0</v>
      </c>
      <c r="OMH22" s="1902">
        <f t="shared" si="167"/>
        <v>0</v>
      </c>
      <c r="OMI22" s="1902">
        <f t="shared" si="167"/>
        <v>0</v>
      </c>
      <c r="OMJ22" s="1902">
        <f t="shared" si="167"/>
        <v>0</v>
      </c>
      <c r="OMK22" s="1902">
        <f t="shared" si="167"/>
        <v>0</v>
      </c>
      <c r="OML22" s="1902">
        <f t="shared" si="167"/>
        <v>0</v>
      </c>
      <c r="OMM22" s="1902">
        <f t="shared" si="167"/>
        <v>0</v>
      </c>
      <c r="OMN22" s="1902">
        <f t="shared" si="167"/>
        <v>0</v>
      </c>
      <c r="OMO22" s="1902">
        <f t="shared" si="167"/>
        <v>0</v>
      </c>
      <c r="OMP22" s="1902">
        <f t="shared" si="167"/>
        <v>0</v>
      </c>
      <c r="OMQ22" s="1902">
        <f t="shared" si="167"/>
        <v>0</v>
      </c>
      <c r="OMR22" s="1902">
        <f t="shared" si="167"/>
        <v>0</v>
      </c>
      <c r="OMS22" s="1902">
        <f t="shared" si="167"/>
        <v>0</v>
      </c>
      <c r="OMT22" s="1902">
        <f t="shared" si="167"/>
        <v>0</v>
      </c>
      <c r="OMU22" s="1902">
        <f t="shared" si="167"/>
        <v>0</v>
      </c>
      <c r="OMV22" s="1902">
        <f t="shared" si="167"/>
        <v>0</v>
      </c>
      <c r="OMW22" s="1902">
        <f t="shared" si="167"/>
        <v>0</v>
      </c>
      <c r="OMX22" s="1902">
        <f t="shared" si="167"/>
        <v>0</v>
      </c>
      <c r="OMY22" s="1902">
        <f t="shared" si="167"/>
        <v>0</v>
      </c>
      <c r="OMZ22" s="1902">
        <f t="shared" si="167"/>
        <v>0</v>
      </c>
      <c r="ONA22" s="1902">
        <f t="shared" si="167"/>
        <v>0</v>
      </c>
      <c r="ONB22" s="1902">
        <f t="shared" si="167"/>
        <v>0</v>
      </c>
      <c r="ONC22" s="1902">
        <f t="shared" ref="ONC22:OPN22" si="168">IF(AND(ONC$26="End of period",ONC$25="Revenue"),ONC9,0)</f>
        <v>0</v>
      </c>
      <c r="OND22" s="1902">
        <f t="shared" si="168"/>
        <v>0</v>
      </c>
      <c r="ONE22" s="1902">
        <f t="shared" si="168"/>
        <v>0</v>
      </c>
      <c r="ONF22" s="1902">
        <f t="shared" si="168"/>
        <v>0</v>
      </c>
      <c r="ONG22" s="1902">
        <f t="shared" si="168"/>
        <v>0</v>
      </c>
      <c r="ONH22" s="1902">
        <f t="shared" si="168"/>
        <v>0</v>
      </c>
      <c r="ONI22" s="1902">
        <f t="shared" si="168"/>
        <v>0</v>
      </c>
      <c r="ONJ22" s="1902">
        <f t="shared" si="168"/>
        <v>0</v>
      </c>
      <c r="ONK22" s="1902">
        <f t="shared" si="168"/>
        <v>0</v>
      </c>
      <c r="ONL22" s="1902">
        <f t="shared" si="168"/>
        <v>0</v>
      </c>
      <c r="ONM22" s="1902">
        <f t="shared" si="168"/>
        <v>0</v>
      </c>
      <c r="ONN22" s="1902">
        <f t="shared" si="168"/>
        <v>0</v>
      </c>
      <c r="ONO22" s="1902">
        <f t="shared" si="168"/>
        <v>0</v>
      </c>
      <c r="ONP22" s="1902">
        <f t="shared" si="168"/>
        <v>0</v>
      </c>
      <c r="ONQ22" s="1902">
        <f t="shared" si="168"/>
        <v>0</v>
      </c>
      <c r="ONR22" s="1902">
        <f t="shared" si="168"/>
        <v>0</v>
      </c>
      <c r="ONS22" s="1902">
        <f t="shared" si="168"/>
        <v>0</v>
      </c>
      <c r="ONT22" s="1902">
        <f t="shared" si="168"/>
        <v>0</v>
      </c>
      <c r="ONU22" s="1902">
        <f t="shared" si="168"/>
        <v>0</v>
      </c>
      <c r="ONV22" s="1902">
        <f t="shared" si="168"/>
        <v>0</v>
      </c>
      <c r="ONW22" s="1902">
        <f t="shared" si="168"/>
        <v>0</v>
      </c>
      <c r="ONX22" s="1902">
        <f t="shared" si="168"/>
        <v>0</v>
      </c>
      <c r="ONY22" s="1902">
        <f t="shared" si="168"/>
        <v>0</v>
      </c>
      <c r="ONZ22" s="1902">
        <f t="shared" si="168"/>
        <v>0</v>
      </c>
      <c r="OOA22" s="1902">
        <f t="shared" si="168"/>
        <v>0</v>
      </c>
      <c r="OOB22" s="1902">
        <f t="shared" si="168"/>
        <v>0</v>
      </c>
      <c r="OOC22" s="1902">
        <f t="shared" si="168"/>
        <v>0</v>
      </c>
      <c r="OOD22" s="1902">
        <f t="shared" si="168"/>
        <v>0</v>
      </c>
      <c r="OOE22" s="1902">
        <f t="shared" si="168"/>
        <v>0</v>
      </c>
      <c r="OOF22" s="1902">
        <f t="shared" si="168"/>
        <v>0</v>
      </c>
      <c r="OOG22" s="1902">
        <f t="shared" si="168"/>
        <v>0</v>
      </c>
      <c r="OOH22" s="1902">
        <f t="shared" si="168"/>
        <v>0</v>
      </c>
      <c r="OOI22" s="1902">
        <f t="shared" si="168"/>
        <v>0</v>
      </c>
      <c r="OOJ22" s="1902">
        <f t="shared" si="168"/>
        <v>0</v>
      </c>
      <c r="OOK22" s="1902">
        <f t="shared" si="168"/>
        <v>0</v>
      </c>
      <c r="OOL22" s="1902">
        <f t="shared" si="168"/>
        <v>0</v>
      </c>
      <c r="OOM22" s="1902">
        <f t="shared" si="168"/>
        <v>0</v>
      </c>
      <c r="OON22" s="1902">
        <f t="shared" si="168"/>
        <v>0</v>
      </c>
      <c r="OOO22" s="1902">
        <f t="shared" si="168"/>
        <v>0</v>
      </c>
      <c r="OOP22" s="1902">
        <f t="shared" si="168"/>
        <v>0</v>
      </c>
      <c r="OOQ22" s="1902">
        <f t="shared" si="168"/>
        <v>0</v>
      </c>
      <c r="OOR22" s="1902">
        <f t="shared" si="168"/>
        <v>0</v>
      </c>
      <c r="OOS22" s="1902">
        <f t="shared" si="168"/>
        <v>0</v>
      </c>
      <c r="OOT22" s="1902">
        <f t="shared" si="168"/>
        <v>0</v>
      </c>
      <c r="OOU22" s="1902">
        <f t="shared" si="168"/>
        <v>0</v>
      </c>
      <c r="OOV22" s="1902">
        <f t="shared" si="168"/>
        <v>0</v>
      </c>
      <c r="OOW22" s="1902">
        <f t="shared" si="168"/>
        <v>0</v>
      </c>
      <c r="OOX22" s="1902">
        <f t="shared" si="168"/>
        <v>0</v>
      </c>
      <c r="OOY22" s="1902">
        <f t="shared" si="168"/>
        <v>0</v>
      </c>
      <c r="OOZ22" s="1902">
        <f t="shared" si="168"/>
        <v>0</v>
      </c>
      <c r="OPA22" s="1902">
        <f t="shared" si="168"/>
        <v>0</v>
      </c>
      <c r="OPB22" s="1902">
        <f t="shared" si="168"/>
        <v>0</v>
      </c>
      <c r="OPC22" s="1902">
        <f t="shared" si="168"/>
        <v>0</v>
      </c>
      <c r="OPD22" s="1902">
        <f t="shared" si="168"/>
        <v>0</v>
      </c>
      <c r="OPE22" s="1902">
        <f t="shared" si="168"/>
        <v>0</v>
      </c>
      <c r="OPF22" s="1902">
        <f t="shared" si="168"/>
        <v>0</v>
      </c>
      <c r="OPG22" s="1902">
        <f t="shared" si="168"/>
        <v>0</v>
      </c>
      <c r="OPH22" s="1902">
        <f t="shared" si="168"/>
        <v>0</v>
      </c>
      <c r="OPI22" s="1902">
        <f t="shared" si="168"/>
        <v>0</v>
      </c>
      <c r="OPJ22" s="1902">
        <f t="shared" si="168"/>
        <v>0</v>
      </c>
      <c r="OPK22" s="1902">
        <f t="shared" si="168"/>
        <v>0</v>
      </c>
      <c r="OPL22" s="1902">
        <f t="shared" si="168"/>
        <v>0</v>
      </c>
      <c r="OPM22" s="1902">
        <f t="shared" si="168"/>
        <v>0</v>
      </c>
      <c r="OPN22" s="1902">
        <f t="shared" si="168"/>
        <v>0</v>
      </c>
      <c r="OPO22" s="1902">
        <f t="shared" ref="OPO22:ORZ22" si="169">IF(AND(OPO$26="End of period",OPO$25="Revenue"),OPO9,0)</f>
        <v>0</v>
      </c>
      <c r="OPP22" s="1902">
        <f t="shared" si="169"/>
        <v>0</v>
      </c>
      <c r="OPQ22" s="1902">
        <f t="shared" si="169"/>
        <v>0</v>
      </c>
      <c r="OPR22" s="1902">
        <f t="shared" si="169"/>
        <v>0</v>
      </c>
      <c r="OPS22" s="1902">
        <f t="shared" si="169"/>
        <v>0</v>
      </c>
      <c r="OPT22" s="1902">
        <f t="shared" si="169"/>
        <v>0</v>
      </c>
      <c r="OPU22" s="1902">
        <f t="shared" si="169"/>
        <v>0</v>
      </c>
      <c r="OPV22" s="1902">
        <f t="shared" si="169"/>
        <v>0</v>
      </c>
      <c r="OPW22" s="1902">
        <f t="shared" si="169"/>
        <v>0</v>
      </c>
      <c r="OPX22" s="1902">
        <f t="shared" si="169"/>
        <v>0</v>
      </c>
      <c r="OPY22" s="1902">
        <f t="shared" si="169"/>
        <v>0</v>
      </c>
      <c r="OPZ22" s="1902">
        <f t="shared" si="169"/>
        <v>0</v>
      </c>
      <c r="OQA22" s="1902">
        <f t="shared" si="169"/>
        <v>0</v>
      </c>
      <c r="OQB22" s="1902">
        <f t="shared" si="169"/>
        <v>0</v>
      </c>
      <c r="OQC22" s="1902">
        <f t="shared" si="169"/>
        <v>0</v>
      </c>
      <c r="OQD22" s="1902">
        <f t="shared" si="169"/>
        <v>0</v>
      </c>
      <c r="OQE22" s="1902">
        <f t="shared" si="169"/>
        <v>0</v>
      </c>
      <c r="OQF22" s="1902">
        <f t="shared" si="169"/>
        <v>0</v>
      </c>
      <c r="OQG22" s="1902">
        <f t="shared" si="169"/>
        <v>0</v>
      </c>
      <c r="OQH22" s="1902">
        <f t="shared" si="169"/>
        <v>0</v>
      </c>
      <c r="OQI22" s="1902">
        <f t="shared" si="169"/>
        <v>0</v>
      </c>
      <c r="OQJ22" s="1902">
        <f t="shared" si="169"/>
        <v>0</v>
      </c>
      <c r="OQK22" s="1902">
        <f t="shared" si="169"/>
        <v>0</v>
      </c>
      <c r="OQL22" s="1902">
        <f t="shared" si="169"/>
        <v>0</v>
      </c>
      <c r="OQM22" s="1902">
        <f t="shared" si="169"/>
        <v>0</v>
      </c>
      <c r="OQN22" s="1902">
        <f t="shared" si="169"/>
        <v>0</v>
      </c>
      <c r="OQO22" s="1902">
        <f t="shared" si="169"/>
        <v>0</v>
      </c>
      <c r="OQP22" s="1902">
        <f t="shared" si="169"/>
        <v>0</v>
      </c>
      <c r="OQQ22" s="1902">
        <f t="shared" si="169"/>
        <v>0</v>
      </c>
      <c r="OQR22" s="1902">
        <f t="shared" si="169"/>
        <v>0</v>
      </c>
      <c r="OQS22" s="1902">
        <f t="shared" si="169"/>
        <v>0</v>
      </c>
      <c r="OQT22" s="1902">
        <f t="shared" si="169"/>
        <v>0</v>
      </c>
      <c r="OQU22" s="1902">
        <f t="shared" si="169"/>
        <v>0</v>
      </c>
      <c r="OQV22" s="1902">
        <f t="shared" si="169"/>
        <v>0</v>
      </c>
      <c r="OQW22" s="1902">
        <f t="shared" si="169"/>
        <v>0</v>
      </c>
      <c r="OQX22" s="1902">
        <f t="shared" si="169"/>
        <v>0</v>
      </c>
      <c r="OQY22" s="1902">
        <f t="shared" si="169"/>
        <v>0</v>
      </c>
      <c r="OQZ22" s="1902">
        <f t="shared" si="169"/>
        <v>0</v>
      </c>
      <c r="ORA22" s="1902">
        <f t="shared" si="169"/>
        <v>0</v>
      </c>
      <c r="ORB22" s="1902">
        <f t="shared" si="169"/>
        <v>0</v>
      </c>
      <c r="ORC22" s="1902">
        <f t="shared" si="169"/>
        <v>0</v>
      </c>
      <c r="ORD22" s="1902">
        <f t="shared" si="169"/>
        <v>0</v>
      </c>
      <c r="ORE22" s="1902">
        <f t="shared" si="169"/>
        <v>0</v>
      </c>
      <c r="ORF22" s="1902">
        <f t="shared" si="169"/>
        <v>0</v>
      </c>
      <c r="ORG22" s="1902">
        <f t="shared" si="169"/>
        <v>0</v>
      </c>
      <c r="ORH22" s="1902">
        <f t="shared" si="169"/>
        <v>0</v>
      </c>
      <c r="ORI22" s="1902">
        <f t="shared" si="169"/>
        <v>0</v>
      </c>
      <c r="ORJ22" s="1902">
        <f t="shared" si="169"/>
        <v>0</v>
      </c>
      <c r="ORK22" s="1902">
        <f t="shared" si="169"/>
        <v>0</v>
      </c>
      <c r="ORL22" s="1902">
        <f t="shared" si="169"/>
        <v>0</v>
      </c>
      <c r="ORM22" s="1902">
        <f t="shared" si="169"/>
        <v>0</v>
      </c>
      <c r="ORN22" s="1902">
        <f t="shared" si="169"/>
        <v>0</v>
      </c>
      <c r="ORO22" s="1902">
        <f t="shared" si="169"/>
        <v>0</v>
      </c>
      <c r="ORP22" s="1902">
        <f t="shared" si="169"/>
        <v>0</v>
      </c>
      <c r="ORQ22" s="1902">
        <f t="shared" si="169"/>
        <v>0</v>
      </c>
      <c r="ORR22" s="1902">
        <f t="shared" si="169"/>
        <v>0</v>
      </c>
      <c r="ORS22" s="1902">
        <f t="shared" si="169"/>
        <v>0</v>
      </c>
      <c r="ORT22" s="1902">
        <f t="shared" si="169"/>
        <v>0</v>
      </c>
      <c r="ORU22" s="1902">
        <f t="shared" si="169"/>
        <v>0</v>
      </c>
      <c r="ORV22" s="1902">
        <f t="shared" si="169"/>
        <v>0</v>
      </c>
      <c r="ORW22" s="1902">
        <f t="shared" si="169"/>
        <v>0</v>
      </c>
      <c r="ORX22" s="1902">
        <f t="shared" si="169"/>
        <v>0</v>
      </c>
      <c r="ORY22" s="1902">
        <f t="shared" si="169"/>
        <v>0</v>
      </c>
      <c r="ORZ22" s="1902">
        <f t="shared" si="169"/>
        <v>0</v>
      </c>
      <c r="OSA22" s="1902">
        <f t="shared" ref="OSA22:OUL22" si="170">IF(AND(OSA$26="End of period",OSA$25="Revenue"),OSA9,0)</f>
        <v>0</v>
      </c>
      <c r="OSB22" s="1902">
        <f t="shared" si="170"/>
        <v>0</v>
      </c>
      <c r="OSC22" s="1902">
        <f t="shared" si="170"/>
        <v>0</v>
      </c>
      <c r="OSD22" s="1902">
        <f t="shared" si="170"/>
        <v>0</v>
      </c>
      <c r="OSE22" s="1902">
        <f t="shared" si="170"/>
        <v>0</v>
      </c>
      <c r="OSF22" s="1902">
        <f t="shared" si="170"/>
        <v>0</v>
      </c>
      <c r="OSG22" s="1902">
        <f t="shared" si="170"/>
        <v>0</v>
      </c>
      <c r="OSH22" s="1902">
        <f t="shared" si="170"/>
        <v>0</v>
      </c>
      <c r="OSI22" s="1902">
        <f t="shared" si="170"/>
        <v>0</v>
      </c>
      <c r="OSJ22" s="1902">
        <f t="shared" si="170"/>
        <v>0</v>
      </c>
      <c r="OSK22" s="1902">
        <f t="shared" si="170"/>
        <v>0</v>
      </c>
      <c r="OSL22" s="1902">
        <f t="shared" si="170"/>
        <v>0</v>
      </c>
      <c r="OSM22" s="1902">
        <f t="shared" si="170"/>
        <v>0</v>
      </c>
      <c r="OSN22" s="1902">
        <f t="shared" si="170"/>
        <v>0</v>
      </c>
      <c r="OSO22" s="1902">
        <f t="shared" si="170"/>
        <v>0</v>
      </c>
      <c r="OSP22" s="1902">
        <f t="shared" si="170"/>
        <v>0</v>
      </c>
      <c r="OSQ22" s="1902">
        <f t="shared" si="170"/>
        <v>0</v>
      </c>
      <c r="OSR22" s="1902">
        <f t="shared" si="170"/>
        <v>0</v>
      </c>
      <c r="OSS22" s="1902">
        <f t="shared" si="170"/>
        <v>0</v>
      </c>
      <c r="OST22" s="1902">
        <f t="shared" si="170"/>
        <v>0</v>
      </c>
      <c r="OSU22" s="1902">
        <f t="shared" si="170"/>
        <v>0</v>
      </c>
      <c r="OSV22" s="1902">
        <f t="shared" si="170"/>
        <v>0</v>
      </c>
      <c r="OSW22" s="1902">
        <f t="shared" si="170"/>
        <v>0</v>
      </c>
      <c r="OSX22" s="1902">
        <f t="shared" si="170"/>
        <v>0</v>
      </c>
      <c r="OSY22" s="1902">
        <f t="shared" si="170"/>
        <v>0</v>
      </c>
      <c r="OSZ22" s="1902">
        <f t="shared" si="170"/>
        <v>0</v>
      </c>
      <c r="OTA22" s="1902">
        <f t="shared" si="170"/>
        <v>0</v>
      </c>
      <c r="OTB22" s="1902">
        <f t="shared" si="170"/>
        <v>0</v>
      </c>
      <c r="OTC22" s="1902">
        <f t="shared" si="170"/>
        <v>0</v>
      </c>
      <c r="OTD22" s="1902">
        <f t="shared" si="170"/>
        <v>0</v>
      </c>
      <c r="OTE22" s="1902">
        <f t="shared" si="170"/>
        <v>0</v>
      </c>
      <c r="OTF22" s="1902">
        <f t="shared" si="170"/>
        <v>0</v>
      </c>
      <c r="OTG22" s="1902">
        <f t="shared" si="170"/>
        <v>0</v>
      </c>
      <c r="OTH22" s="1902">
        <f t="shared" si="170"/>
        <v>0</v>
      </c>
      <c r="OTI22" s="1902">
        <f t="shared" si="170"/>
        <v>0</v>
      </c>
      <c r="OTJ22" s="1902">
        <f t="shared" si="170"/>
        <v>0</v>
      </c>
      <c r="OTK22" s="1902">
        <f t="shared" si="170"/>
        <v>0</v>
      </c>
      <c r="OTL22" s="1902">
        <f t="shared" si="170"/>
        <v>0</v>
      </c>
      <c r="OTM22" s="1902">
        <f t="shared" si="170"/>
        <v>0</v>
      </c>
      <c r="OTN22" s="1902">
        <f t="shared" si="170"/>
        <v>0</v>
      </c>
      <c r="OTO22" s="1902">
        <f t="shared" si="170"/>
        <v>0</v>
      </c>
      <c r="OTP22" s="1902">
        <f t="shared" si="170"/>
        <v>0</v>
      </c>
      <c r="OTQ22" s="1902">
        <f t="shared" si="170"/>
        <v>0</v>
      </c>
      <c r="OTR22" s="1902">
        <f t="shared" si="170"/>
        <v>0</v>
      </c>
      <c r="OTS22" s="1902">
        <f t="shared" si="170"/>
        <v>0</v>
      </c>
      <c r="OTT22" s="1902">
        <f t="shared" si="170"/>
        <v>0</v>
      </c>
      <c r="OTU22" s="1902">
        <f t="shared" si="170"/>
        <v>0</v>
      </c>
      <c r="OTV22" s="1902">
        <f t="shared" si="170"/>
        <v>0</v>
      </c>
      <c r="OTW22" s="1902">
        <f t="shared" si="170"/>
        <v>0</v>
      </c>
      <c r="OTX22" s="1902">
        <f t="shared" si="170"/>
        <v>0</v>
      </c>
      <c r="OTY22" s="1902">
        <f t="shared" si="170"/>
        <v>0</v>
      </c>
      <c r="OTZ22" s="1902">
        <f t="shared" si="170"/>
        <v>0</v>
      </c>
      <c r="OUA22" s="1902">
        <f t="shared" si="170"/>
        <v>0</v>
      </c>
      <c r="OUB22" s="1902">
        <f t="shared" si="170"/>
        <v>0</v>
      </c>
      <c r="OUC22" s="1902">
        <f t="shared" si="170"/>
        <v>0</v>
      </c>
      <c r="OUD22" s="1902">
        <f t="shared" si="170"/>
        <v>0</v>
      </c>
      <c r="OUE22" s="1902">
        <f t="shared" si="170"/>
        <v>0</v>
      </c>
      <c r="OUF22" s="1902">
        <f t="shared" si="170"/>
        <v>0</v>
      </c>
      <c r="OUG22" s="1902">
        <f t="shared" si="170"/>
        <v>0</v>
      </c>
      <c r="OUH22" s="1902">
        <f t="shared" si="170"/>
        <v>0</v>
      </c>
      <c r="OUI22" s="1902">
        <f t="shared" si="170"/>
        <v>0</v>
      </c>
      <c r="OUJ22" s="1902">
        <f t="shared" si="170"/>
        <v>0</v>
      </c>
      <c r="OUK22" s="1902">
        <f t="shared" si="170"/>
        <v>0</v>
      </c>
      <c r="OUL22" s="1902">
        <f t="shared" si="170"/>
        <v>0</v>
      </c>
      <c r="OUM22" s="1902">
        <f t="shared" ref="OUM22:OWX22" si="171">IF(AND(OUM$26="End of period",OUM$25="Revenue"),OUM9,0)</f>
        <v>0</v>
      </c>
      <c r="OUN22" s="1902">
        <f t="shared" si="171"/>
        <v>0</v>
      </c>
      <c r="OUO22" s="1902">
        <f t="shared" si="171"/>
        <v>0</v>
      </c>
      <c r="OUP22" s="1902">
        <f t="shared" si="171"/>
        <v>0</v>
      </c>
      <c r="OUQ22" s="1902">
        <f t="shared" si="171"/>
        <v>0</v>
      </c>
      <c r="OUR22" s="1902">
        <f t="shared" si="171"/>
        <v>0</v>
      </c>
      <c r="OUS22" s="1902">
        <f t="shared" si="171"/>
        <v>0</v>
      </c>
      <c r="OUT22" s="1902">
        <f t="shared" si="171"/>
        <v>0</v>
      </c>
      <c r="OUU22" s="1902">
        <f t="shared" si="171"/>
        <v>0</v>
      </c>
      <c r="OUV22" s="1902">
        <f t="shared" si="171"/>
        <v>0</v>
      </c>
      <c r="OUW22" s="1902">
        <f t="shared" si="171"/>
        <v>0</v>
      </c>
      <c r="OUX22" s="1902">
        <f t="shared" si="171"/>
        <v>0</v>
      </c>
      <c r="OUY22" s="1902">
        <f t="shared" si="171"/>
        <v>0</v>
      </c>
      <c r="OUZ22" s="1902">
        <f t="shared" si="171"/>
        <v>0</v>
      </c>
      <c r="OVA22" s="1902">
        <f t="shared" si="171"/>
        <v>0</v>
      </c>
      <c r="OVB22" s="1902">
        <f t="shared" si="171"/>
        <v>0</v>
      </c>
      <c r="OVC22" s="1902">
        <f t="shared" si="171"/>
        <v>0</v>
      </c>
      <c r="OVD22" s="1902">
        <f t="shared" si="171"/>
        <v>0</v>
      </c>
      <c r="OVE22" s="1902">
        <f t="shared" si="171"/>
        <v>0</v>
      </c>
      <c r="OVF22" s="1902">
        <f t="shared" si="171"/>
        <v>0</v>
      </c>
      <c r="OVG22" s="1902">
        <f t="shared" si="171"/>
        <v>0</v>
      </c>
      <c r="OVH22" s="1902">
        <f t="shared" si="171"/>
        <v>0</v>
      </c>
      <c r="OVI22" s="1902">
        <f t="shared" si="171"/>
        <v>0</v>
      </c>
      <c r="OVJ22" s="1902">
        <f t="shared" si="171"/>
        <v>0</v>
      </c>
      <c r="OVK22" s="1902">
        <f t="shared" si="171"/>
        <v>0</v>
      </c>
      <c r="OVL22" s="1902">
        <f t="shared" si="171"/>
        <v>0</v>
      </c>
      <c r="OVM22" s="1902">
        <f t="shared" si="171"/>
        <v>0</v>
      </c>
      <c r="OVN22" s="1902">
        <f t="shared" si="171"/>
        <v>0</v>
      </c>
      <c r="OVO22" s="1902">
        <f t="shared" si="171"/>
        <v>0</v>
      </c>
      <c r="OVP22" s="1902">
        <f t="shared" si="171"/>
        <v>0</v>
      </c>
      <c r="OVQ22" s="1902">
        <f t="shared" si="171"/>
        <v>0</v>
      </c>
      <c r="OVR22" s="1902">
        <f t="shared" si="171"/>
        <v>0</v>
      </c>
      <c r="OVS22" s="1902">
        <f t="shared" si="171"/>
        <v>0</v>
      </c>
      <c r="OVT22" s="1902">
        <f t="shared" si="171"/>
        <v>0</v>
      </c>
      <c r="OVU22" s="1902">
        <f t="shared" si="171"/>
        <v>0</v>
      </c>
      <c r="OVV22" s="1902">
        <f t="shared" si="171"/>
        <v>0</v>
      </c>
      <c r="OVW22" s="1902">
        <f t="shared" si="171"/>
        <v>0</v>
      </c>
      <c r="OVX22" s="1902">
        <f t="shared" si="171"/>
        <v>0</v>
      </c>
      <c r="OVY22" s="1902">
        <f t="shared" si="171"/>
        <v>0</v>
      </c>
      <c r="OVZ22" s="1902">
        <f t="shared" si="171"/>
        <v>0</v>
      </c>
      <c r="OWA22" s="1902">
        <f t="shared" si="171"/>
        <v>0</v>
      </c>
      <c r="OWB22" s="1902">
        <f t="shared" si="171"/>
        <v>0</v>
      </c>
      <c r="OWC22" s="1902">
        <f t="shared" si="171"/>
        <v>0</v>
      </c>
      <c r="OWD22" s="1902">
        <f t="shared" si="171"/>
        <v>0</v>
      </c>
      <c r="OWE22" s="1902">
        <f t="shared" si="171"/>
        <v>0</v>
      </c>
      <c r="OWF22" s="1902">
        <f t="shared" si="171"/>
        <v>0</v>
      </c>
      <c r="OWG22" s="1902">
        <f t="shared" si="171"/>
        <v>0</v>
      </c>
      <c r="OWH22" s="1902">
        <f t="shared" si="171"/>
        <v>0</v>
      </c>
      <c r="OWI22" s="1902">
        <f t="shared" si="171"/>
        <v>0</v>
      </c>
      <c r="OWJ22" s="1902">
        <f t="shared" si="171"/>
        <v>0</v>
      </c>
      <c r="OWK22" s="1902">
        <f t="shared" si="171"/>
        <v>0</v>
      </c>
      <c r="OWL22" s="1902">
        <f t="shared" si="171"/>
        <v>0</v>
      </c>
      <c r="OWM22" s="1902">
        <f t="shared" si="171"/>
        <v>0</v>
      </c>
      <c r="OWN22" s="1902">
        <f t="shared" si="171"/>
        <v>0</v>
      </c>
      <c r="OWO22" s="1902">
        <f t="shared" si="171"/>
        <v>0</v>
      </c>
      <c r="OWP22" s="1902">
        <f t="shared" si="171"/>
        <v>0</v>
      </c>
      <c r="OWQ22" s="1902">
        <f t="shared" si="171"/>
        <v>0</v>
      </c>
      <c r="OWR22" s="1902">
        <f t="shared" si="171"/>
        <v>0</v>
      </c>
      <c r="OWS22" s="1902">
        <f t="shared" si="171"/>
        <v>0</v>
      </c>
      <c r="OWT22" s="1902">
        <f t="shared" si="171"/>
        <v>0</v>
      </c>
      <c r="OWU22" s="1902">
        <f t="shared" si="171"/>
        <v>0</v>
      </c>
      <c r="OWV22" s="1902">
        <f t="shared" si="171"/>
        <v>0</v>
      </c>
      <c r="OWW22" s="1902">
        <f t="shared" si="171"/>
        <v>0</v>
      </c>
      <c r="OWX22" s="1902">
        <f t="shared" si="171"/>
        <v>0</v>
      </c>
      <c r="OWY22" s="1902">
        <f t="shared" ref="OWY22:OZJ22" si="172">IF(AND(OWY$26="End of period",OWY$25="Revenue"),OWY9,0)</f>
        <v>0</v>
      </c>
      <c r="OWZ22" s="1902">
        <f t="shared" si="172"/>
        <v>0</v>
      </c>
      <c r="OXA22" s="1902">
        <f t="shared" si="172"/>
        <v>0</v>
      </c>
      <c r="OXB22" s="1902">
        <f t="shared" si="172"/>
        <v>0</v>
      </c>
      <c r="OXC22" s="1902">
        <f t="shared" si="172"/>
        <v>0</v>
      </c>
      <c r="OXD22" s="1902">
        <f t="shared" si="172"/>
        <v>0</v>
      </c>
      <c r="OXE22" s="1902">
        <f t="shared" si="172"/>
        <v>0</v>
      </c>
      <c r="OXF22" s="1902">
        <f t="shared" si="172"/>
        <v>0</v>
      </c>
      <c r="OXG22" s="1902">
        <f t="shared" si="172"/>
        <v>0</v>
      </c>
      <c r="OXH22" s="1902">
        <f t="shared" si="172"/>
        <v>0</v>
      </c>
      <c r="OXI22" s="1902">
        <f t="shared" si="172"/>
        <v>0</v>
      </c>
      <c r="OXJ22" s="1902">
        <f t="shared" si="172"/>
        <v>0</v>
      </c>
      <c r="OXK22" s="1902">
        <f t="shared" si="172"/>
        <v>0</v>
      </c>
      <c r="OXL22" s="1902">
        <f t="shared" si="172"/>
        <v>0</v>
      </c>
      <c r="OXM22" s="1902">
        <f t="shared" si="172"/>
        <v>0</v>
      </c>
      <c r="OXN22" s="1902">
        <f t="shared" si="172"/>
        <v>0</v>
      </c>
      <c r="OXO22" s="1902">
        <f t="shared" si="172"/>
        <v>0</v>
      </c>
      <c r="OXP22" s="1902">
        <f t="shared" si="172"/>
        <v>0</v>
      </c>
      <c r="OXQ22" s="1902">
        <f t="shared" si="172"/>
        <v>0</v>
      </c>
      <c r="OXR22" s="1902">
        <f t="shared" si="172"/>
        <v>0</v>
      </c>
      <c r="OXS22" s="1902">
        <f t="shared" si="172"/>
        <v>0</v>
      </c>
      <c r="OXT22" s="1902">
        <f t="shared" si="172"/>
        <v>0</v>
      </c>
      <c r="OXU22" s="1902">
        <f t="shared" si="172"/>
        <v>0</v>
      </c>
      <c r="OXV22" s="1902">
        <f t="shared" si="172"/>
        <v>0</v>
      </c>
      <c r="OXW22" s="1902">
        <f t="shared" si="172"/>
        <v>0</v>
      </c>
      <c r="OXX22" s="1902">
        <f t="shared" si="172"/>
        <v>0</v>
      </c>
      <c r="OXY22" s="1902">
        <f t="shared" si="172"/>
        <v>0</v>
      </c>
      <c r="OXZ22" s="1902">
        <f t="shared" si="172"/>
        <v>0</v>
      </c>
      <c r="OYA22" s="1902">
        <f t="shared" si="172"/>
        <v>0</v>
      </c>
      <c r="OYB22" s="1902">
        <f t="shared" si="172"/>
        <v>0</v>
      </c>
      <c r="OYC22" s="1902">
        <f t="shared" si="172"/>
        <v>0</v>
      </c>
      <c r="OYD22" s="1902">
        <f t="shared" si="172"/>
        <v>0</v>
      </c>
      <c r="OYE22" s="1902">
        <f t="shared" si="172"/>
        <v>0</v>
      </c>
      <c r="OYF22" s="1902">
        <f t="shared" si="172"/>
        <v>0</v>
      </c>
      <c r="OYG22" s="1902">
        <f t="shared" si="172"/>
        <v>0</v>
      </c>
      <c r="OYH22" s="1902">
        <f t="shared" si="172"/>
        <v>0</v>
      </c>
      <c r="OYI22" s="1902">
        <f t="shared" si="172"/>
        <v>0</v>
      </c>
      <c r="OYJ22" s="1902">
        <f t="shared" si="172"/>
        <v>0</v>
      </c>
      <c r="OYK22" s="1902">
        <f t="shared" si="172"/>
        <v>0</v>
      </c>
      <c r="OYL22" s="1902">
        <f t="shared" si="172"/>
        <v>0</v>
      </c>
      <c r="OYM22" s="1902">
        <f t="shared" si="172"/>
        <v>0</v>
      </c>
      <c r="OYN22" s="1902">
        <f t="shared" si="172"/>
        <v>0</v>
      </c>
      <c r="OYO22" s="1902">
        <f t="shared" si="172"/>
        <v>0</v>
      </c>
      <c r="OYP22" s="1902">
        <f t="shared" si="172"/>
        <v>0</v>
      </c>
      <c r="OYQ22" s="1902">
        <f t="shared" si="172"/>
        <v>0</v>
      </c>
      <c r="OYR22" s="1902">
        <f t="shared" si="172"/>
        <v>0</v>
      </c>
      <c r="OYS22" s="1902">
        <f t="shared" si="172"/>
        <v>0</v>
      </c>
      <c r="OYT22" s="1902">
        <f t="shared" si="172"/>
        <v>0</v>
      </c>
      <c r="OYU22" s="1902">
        <f t="shared" si="172"/>
        <v>0</v>
      </c>
      <c r="OYV22" s="1902">
        <f t="shared" si="172"/>
        <v>0</v>
      </c>
      <c r="OYW22" s="1902">
        <f t="shared" si="172"/>
        <v>0</v>
      </c>
      <c r="OYX22" s="1902">
        <f t="shared" si="172"/>
        <v>0</v>
      </c>
      <c r="OYY22" s="1902">
        <f t="shared" si="172"/>
        <v>0</v>
      </c>
      <c r="OYZ22" s="1902">
        <f t="shared" si="172"/>
        <v>0</v>
      </c>
      <c r="OZA22" s="1902">
        <f t="shared" si="172"/>
        <v>0</v>
      </c>
      <c r="OZB22" s="1902">
        <f t="shared" si="172"/>
        <v>0</v>
      </c>
      <c r="OZC22" s="1902">
        <f t="shared" si="172"/>
        <v>0</v>
      </c>
      <c r="OZD22" s="1902">
        <f t="shared" si="172"/>
        <v>0</v>
      </c>
      <c r="OZE22" s="1902">
        <f t="shared" si="172"/>
        <v>0</v>
      </c>
      <c r="OZF22" s="1902">
        <f t="shared" si="172"/>
        <v>0</v>
      </c>
      <c r="OZG22" s="1902">
        <f t="shared" si="172"/>
        <v>0</v>
      </c>
      <c r="OZH22" s="1902">
        <f t="shared" si="172"/>
        <v>0</v>
      </c>
      <c r="OZI22" s="1902">
        <f t="shared" si="172"/>
        <v>0</v>
      </c>
      <c r="OZJ22" s="1902">
        <f t="shared" si="172"/>
        <v>0</v>
      </c>
      <c r="OZK22" s="1902">
        <f t="shared" ref="OZK22:PBV22" si="173">IF(AND(OZK$26="End of period",OZK$25="Revenue"),OZK9,0)</f>
        <v>0</v>
      </c>
      <c r="OZL22" s="1902">
        <f t="shared" si="173"/>
        <v>0</v>
      </c>
      <c r="OZM22" s="1902">
        <f t="shared" si="173"/>
        <v>0</v>
      </c>
      <c r="OZN22" s="1902">
        <f t="shared" si="173"/>
        <v>0</v>
      </c>
      <c r="OZO22" s="1902">
        <f t="shared" si="173"/>
        <v>0</v>
      </c>
      <c r="OZP22" s="1902">
        <f t="shared" si="173"/>
        <v>0</v>
      </c>
      <c r="OZQ22" s="1902">
        <f t="shared" si="173"/>
        <v>0</v>
      </c>
      <c r="OZR22" s="1902">
        <f t="shared" si="173"/>
        <v>0</v>
      </c>
      <c r="OZS22" s="1902">
        <f t="shared" si="173"/>
        <v>0</v>
      </c>
      <c r="OZT22" s="1902">
        <f t="shared" si="173"/>
        <v>0</v>
      </c>
      <c r="OZU22" s="1902">
        <f t="shared" si="173"/>
        <v>0</v>
      </c>
      <c r="OZV22" s="1902">
        <f t="shared" si="173"/>
        <v>0</v>
      </c>
      <c r="OZW22" s="1902">
        <f t="shared" si="173"/>
        <v>0</v>
      </c>
      <c r="OZX22" s="1902">
        <f t="shared" si="173"/>
        <v>0</v>
      </c>
      <c r="OZY22" s="1902">
        <f t="shared" si="173"/>
        <v>0</v>
      </c>
      <c r="OZZ22" s="1902">
        <f t="shared" si="173"/>
        <v>0</v>
      </c>
      <c r="PAA22" s="1902">
        <f t="shared" si="173"/>
        <v>0</v>
      </c>
      <c r="PAB22" s="1902">
        <f t="shared" si="173"/>
        <v>0</v>
      </c>
      <c r="PAC22" s="1902">
        <f t="shared" si="173"/>
        <v>0</v>
      </c>
      <c r="PAD22" s="1902">
        <f t="shared" si="173"/>
        <v>0</v>
      </c>
      <c r="PAE22" s="1902">
        <f t="shared" si="173"/>
        <v>0</v>
      </c>
      <c r="PAF22" s="1902">
        <f t="shared" si="173"/>
        <v>0</v>
      </c>
      <c r="PAG22" s="1902">
        <f t="shared" si="173"/>
        <v>0</v>
      </c>
      <c r="PAH22" s="1902">
        <f t="shared" si="173"/>
        <v>0</v>
      </c>
      <c r="PAI22" s="1902">
        <f t="shared" si="173"/>
        <v>0</v>
      </c>
      <c r="PAJ22" s="1902">
        <f t="shared" si="173"/>
        <v>0</v>
      </c>
      <c r="PAK22" s="1902">
        <f t="shared" si="173"/>
        <v>0</v>
      </c>
      <c r="PAL22" s="1902">
        <f t="shared" si="173"/>
        <v>0</v>
      </c>
      <c r="PAM22" s="1902">
        <f t="shared" si="173"/>
        <v>0</v>
      </c>
      <c r="PAN22" s="1902">
        <f t="shared" si="173"/>
        <v>0</v>
      </c>
      <c r="PAO22" s="1902">
        <f t="shared" si="173"/>
        <v>0</v>
      </c>
      <c r="PAP22" s="1902">
        <f t="shared" si="173"/>
        <v>0</v>
      </c>
      <c r="PAQ22" s="1902">
        <f t="shared" si="173"/>
        <v>0</v>
      </c>
      <c r="PAR22" s="1902">
        <f t="shared" si="173"/>
        <v>0</v>
      </c>
      <c r="PAS22" s="1902">
        <f t="shared" si="173"/>
        <v>0</v>
      </c>
      <c r="PAT22" s="1902">
        <f t="shared" si="173"/>
        <v>0</v>
      </c>
      <c r="PAU22" s="1902">
        <f t="shared" si="173"/>
        <v>0</v>
      </c>
      <c r="PAV22" s="1902">
        <f t="shared" si="173"/>
        <v>0</v>
      </c>
      <c r="PAW22" s="1902">
        <f t="shared" si="173"/>
        <v>0</v>
      </c>
      <c r="PAX22" s="1902">
        <f t="shared" si="173"/>
        <v>0</v>
      </c>
      <c r="PAY22" s="1902">
        <f t="shared" si="173"/>
        <v>0</v>
      </c>
      <c r="PAZ22" s="1902">
        <f t="shared" si="173"/>
        <v>0</v>
      </c>
      <c r="PBA22" s="1902">
        <f t="shared" si="173"/>
        <v>0</v>
      </c>
      <c r="PBB22" s="1902">
        <f t="shared" si="173"/>
        <v>0</v>
      </c>
      <c r="PBC22" s="1902">
        <f t="shared" si="173"/>
        <v>0</v>
      </c>
      <c r="PBD22" s="1902">
        <f t="shared" si="173"/>
        <v>0</v>
      </c>
      <c r="PBE22" s="1902">
        <f t="shared" si="173"/>
        <v>0</v>
      </c>
      <c r="PBF22" s="1902">
        <f t="shared" si="173"/>
        <v>0</v>
      </c>
      <c r="PBG22" s="1902">
        <f t="shared" si="173"/>
        <v>0</v>
      </c>
      <c r="PBH22" s="1902">
        <f t="shared" si="173"/>
        <v>0</v>
      </c>
      <c r="PBI22" s="1902">
        <f t="shared" si="173"/>
        <v>0</v>
      </c>
      <c r="PBJ22" s="1902">
        <f t="shared" si="173"/>
        <v>0</v>
      </c>
      <c r="PBK22" s="1902">
        <f t="shared" si="173"/>
        <v>0</v>
      </c>
      <c r="PBL22" s="1902">
        <f t="shared" si="173"/>
        <v>0</v>
      </c>
      <c r="PBM22" s="1902">
        <f t="shared" si="173"/>
        <v>0</v>
      </c>
      <c r="PBN22" s="1902">
        <f t="shared" si="173"/>
        <v>0</v>
      </c>
      <c r="PBO22" s="1902">
        <f t="shared" si="173"/>
        <v>0</v>
      </c>
      <c r="PBP22" s="1902">
        <f t="shared" si="173"/>
        <v>0</v>
      </c>
      <c r="PBQ22" s="1902">
        <f t="shared" si="173"/>
        <v>0</v>
      </c>
      <c r="PBR22" s="1902">
        <f t="shared" si="173"/>
        <v>0</v>
      </c>
      <c r="PBS22" s="1902">
        <f t="shared" si="173"/>
        <v>0</v>
      </c>
      <c r="PBT22" s="1902">
        <f t="shared" si="173"/>
        <v>0</v>
      </c>
      <c r="PBU22" s="1902">
        <f t="shared" si="173"/>
        <v>0</v>
      </c>
      <c r="PBV22" s="1902">
        <f t="shared" si="173"/>
        <v>0</v>
      </c>
      <c r="PBW22" s="1902">
        <f t="shared" ref="PBW22:PEH22" si="174">IF(AND(PBW$26="End of period",PBW$25="Revenue"),PBW9,0)</f>
        <v>0</v>
      </c>
      <c r="PBX22" s="1902">
        <f t="shared" si="174"/>
        <v>0</v>
      </c>
      <c r="PBY22" s="1902">
        <f t="shared" si="174"/>
        <v>0</v>
      </c>
      <c r="PBZ22" s="1902">
        <f t="shared" si="174"/>
        <v>0</v>
      </c>
      <c r="PCA22" s="1902">
        <f t="shared" si="174"/>
        <v>0</v>
      </c>
      <c r="PCB22" s="1902">
        <f t="shared" si="174"/>
        <v>0</v>
      </c>
      <c r="PCC22" s="1902">
        <f t="shared" si="174"/>
        <v>0</v>
      </c>
      <c r="PCD22" s="1902">
        <f t="shared" si="174"/>
        <v>0</v>
      </c>
      <c r="PCE22" s="1902">
        <f t="shared" si="174"/>
        <v>0</v>
      </c>
      <c r="PCF22" s="1902">
        <f t="shared" si="174"/>
        <v>0</v>
      </c>
      <c r="PCG22" s="1902">
        <f t="shared" si="174"/>
        <v>0</v>
      </c>
      <c r="PCH22" s="1902">
        <f t="shared" si="174"/>
        <v>0</v>
      </c>
      <c r="PCI22" s="1902">
        <f t="shared" si="174"/>
        <v>0</v>
      </c>
      <c r="PCJ22" s="1902">
        <f t="shared" si="174"/>
        <v>0</v>
      </c>
      <c r="PCK22" s="1902">
        <f t="shared" si="174"/>
        <v>0</v>
      </c>
      <c r="PCL22" s="1902">
        <f t="shared" si="174"/>
        <v>0</v>
      </c>
      <c r="PCM22" s="1902">
        <f t="shared" si="174"/>
        <v>0</v>
      </c>
      <c r="PCN22" s="1902">
        <f t="shared" si="174"/>
        <v>0</v>
      </c>
      <c r="PCO22" s="1902">
        <f t="shared" si="174"/>
        <v>0</v>
      </c>
      <c r="PCP22" s="1902">
        <f t="shared" si="174"/>
        <v>0</v>
      </c>
      <c r="PCQ22" s="1902">
        <f t="shared" si="174"/>
        <v>0</v>
      </c>
      <c r="PCR22" s="1902">
        <f t="shared" si="174"/>
        <v>0</v>
      </c>
      <c r="PCS22" s="1902">
        <f t="shared" si="174"/>
        <v>0</v>
      </c>
      <c r="PCT22" s="1902">
        <f t="shared" si="174"/>
        <v>0</v>
      </c>
      <c r="PCU22" s="1902">
        <f t="shared" si="174"/>
        <v>0</v>
      </c>
      <c r="PCV22" s="1902">
        <f t="shared" si="174"/>
        <v>0</v>
      </c>
      <c r="PCW22" s="1902">
        <f t="shared" si="174"/>
        <v>0</v>
      </c>
      <c r="PCX22" s="1902">
        <f t="shared" si="174"/>
        <v>0</v>
      </c>
      <c r="PCY22" s="1902">
        <f t="shared" si="174"/>
        <v>0</v>
      </c>
      <c r="PCZ22" s="1902">
        <f t="shared" si="174"/>
        <v>0</v>
      </c>
      <c r="PDA22" s="1902">
        <f t="shared" si="174"/>
        <v>0</v>
      </c>
      <c r="PDB22" s="1902">
        <f t="shared" si="174"/>
        <v>0</v>
      </c>
      <c r="PDC22" s="1902">
        <f t="shared" si="174"/>
        <v>0</v>
      </c>
      <c r="PDD22" s="1902">
        <f t="shared" si="174"/>
        <v>0</v>
      </c>
      <c r="PDE22" s="1902">
        <f t="shared" si="174"/>
        <v>0</v>
      </c>
      <c r="PDF22" s="1902">
        <f t="shared" si="174"/>
        <v>0</v>
      </c>
      <c r="PDG22" s="1902">
        <f t="shared" si="174"/>
        <v>0</v>
      </c>
      <c r="PDH22" s="1902">
        <f t="shared" si="174"/>
        <v>0</v>
      </c>
      <c r="PDI22" s="1902">
        <f t="shared" si="174"/>
        <v>0</v>
      </c>
      <c r="PDJ22" s="1902">
        <f t="shared" si="174"/>
        <v>0</v>
      </c>
      <c r="PDK22" s="1902">
        <f t="shared" si="174"/>
        <v>0</v>
      </c>
      <c r="PDL22" s="1902">
        <f t="shared" si="174"/>
        <v>0</v>
      </c>
      <c r="PDM22" s="1902">
        <f t="shared" si="174"/>
        <v>0</v>
      </c>
      <c r="PDN22" s="1902">
        <f t="shared" si="174"/>
        <v>0</v>
      </c>
      <c r="PDO22" s="1902">
        <f t="shared" si="174"/>
        <v>0</v>
      </c>
      <c r="PDP22" s="1902">
        <f t="shared" si="174"/>
        <v>0</v>
      </c>
      <c r="PDQ22" s="1902">
        <f t="shared" si="174"/>
        <v>0</v>
      </c>
      <c r="PDR22" s="1902">
        <f t="shared" si="174"/>
        <v>0</v>
      </c>
      <c r="PDS22" s="1902">
        <f t="shared" si="174"/>
        <v>0</v>
      </c>
      <c r="PDT22" s="1902">
        <f t="shared" si="174"/>
        <v>0</v>
      </c>
      <c r="PDU22" s="1902">
        <f t="shared" si="174"/>
        <v>0</v>
      </c>
      <c r="PDV22" s="1902">
        <f t="shared" si="174"/>
        <v>0</v>
      </c>
      <c r="PDW22" s="1902">
        <f t="shared" si="174"/>
        <v>0</v>
      </c>
      <c r="PDX22" s="1902">
        <f t="shared" si="174"/>
        <v>0</v>
      </c>
      <c r="PDY22" s="1902">
        <f t="shared" si="174"/>
        <v>0</v>
      </c>
      <c r="PDZ22" s="1902">
        <f t="shared" si="174"/>
        <v>0</v>
      </c>
      <c r="PEA22" s="1902">
        <f t="shared" si="174"/>
        <v>0</v>
      </c>
      <c r="PEB22" s="1902">
        <f t="shared" si="174"/>
        <v>0</v>
      </c>
      <c r="PEC22" s="1902">
        <f t="shared" si="174"/>
        <v>0</v>
      </c>
      <c r="PED22" s="1902">
        <f t="shared" si="174"/>
        <v>0</v>
      </c>
      <c r="PEE22" s="1902">
        <f t="shared" si="174"/>
        <v>0</v>
      </c>
      <c r="PEF22" s="1902">
        <f t="shared" si="174"/>
        <v>0</v>
      </c>
      <c r="PEG22" s="1902">
        <f t="shared" si="174"/>
        <v>0</v>
      </c>
      <c r="PEH22" s="1902">
        <f t="shared" si="174"/>
        <v>0</v>
      </c>
      <c r="PEI22" s="1902">
        <f t="shared" ref="PEI22:PGT22" si="175">IF(AND(PEI$26="End of period",PEI$25="Revenue"),PEI9,0)</f>
        <v>0</v>
      </c>
      <c r="PEJ22" s="1902">
        <f t="shared" si="175"/>
        <v>0</v>
      </c>
      <c r="PEK22" s="1902">
        <f t="shared" si="175"/>
        <v>0</v>
      </c>
      <c r="PEL22" s="1902">
        <f t="shared" si="175"/>
        <v>0</v>
      </c>
      <c r="PEM22" s="1902">
        <f t="shared" si="175"/>
        <v>0</v>
      </c>
      <c r="PEN22" s="1902">
        <f t="shared" si="175"/>
        <v>0</v>
      </c>
      <c r="PEO22" s="1902">
        <f t="shared" si="175"/>
        <v>0</v>
      </c>
      <c r="PEP22" s="1902">
        <f t="shared" si="175"/>
        <v>0</v>
      </c>
      <c r="PEQ22" s="1902">
        <f t="shared" si="175"/>
        <v>0</v>
      </c>
      <c r="PER22" s="1902">
        <f t="shared" si="175"/>
        <v>0</v>
      </c>
      <c r="PES22" s="1902">
        <f t="shared" si="175"/>
        <v>0</v>
      </c>
      <c r="PET22" s="1902">
        <f t="shared" si="175"/>
        <v>0</v>
      </c>
      <c r="PEU22" s="1902">
        <f t="shared" si="175"/>
        <v>0</v>
      </c>
      <c r="PEV22" s="1902">
        <f t="shared" si="175"/>
        <v>0</v>
      </c>
      <c r="PEW22" s="1902">
        <f t="shared" si="175"/>
        <v>0</v>
      </c>
      <c r="PEX22" s="1902">
        <f t="shared" si="175"/>
        <v>0</v>
      </c>
      <c r="PEY22" s="1902">
        <f t="shared" si="175"/>
        <v>0</v>
      </c>
      <c r="PEZ22" s="1902">
        <f t="shared" si="175"/>
        <v>0</v>
      </c>
      <c r="PFA22" s="1902">
        <f t="shared" si="175"/>
        <v>0</v>
      </c>
      <c r="PFB22" s="1902">
        <f t="shared" si="175"/>
        <v>0</v>
      </c>
      <c r="PFC22" s="1902">
        <f t="shared" si="175"/>
        <v>0</v>
      </c>
      <c r="PFD22" s="1902">
        <f t="shared" si="175"/>
        <v>0</v>
      </c>
      <c r="PFE22" s="1902">
        <f t="shared" si="175"/>
        <v>0</v>
      </c>
      <c r="PFF22" s="1902">
        <f t="shared" si="175"/>
        <v>0</v>
      </c>
      <c r="PFG22" s="1902">
        <f t="shared" si="175"/>
        <v>0</v>
      </c>
      <c r="PFH22" s="1902">
        <f t="shared" si="175"/>
        <v>0</v>
      </c>
      <c r="PFI22" s="1902">
        <f t="shared" si="175"/>
        <v>0</v>
      </c>
      <c r="PFJ22" s="1902">
        <f t="shared" si="175"/>
        <v>0</v>
      </c>
      <c r="PFK22" s="1902">
        <f t="shared" si="175"/>
        <v>0</v>
      </c>
      <c r="PFL22" s="1902">
        <f t="shared" si="175"/>
        <v>0</v>
      </c>
      <c r="PFM22" s="1902">
        <f t="shared" si="175"/>
        <v>0</v>
      </c>
      <c r="PFN22" s="1902">
        <f t="shared" si="175"/>
        <v>0</v>
      </c>
      <c r="PFO22" s="1902">
        <f t="shared" si="175"/>
        <v>0</v>
      </c>
      <c r="PFP22" s="1902">
        <f t="shared" si="175"/>
        <v>0</v>
      </c>
      <c r="PFQ22" s="1902">
        <f t="shared" si="175"/>
        <v>0</v>
      </c>
      <c r="PFR22" s="1902">
        <f t="shared" si="175"/>
        <v>0</v>
      </c>
      <c r="PFS22" s="1902">
        <f t="shared" si="175"/>
        <v>0</v>
      </c>
      <c r="PFT22" s="1902">
        <f t="shared" si="175"/>
        <v>0</v>
      </c>
      <c r="PFU22" s="1902">
        <f t="shared" si="175"/>
        <v>0</v>
      </c>
      <c r="PFV22" s="1902">
        <f t="shared" si="175"/>
        <v>0</v>
      </c>
      <c r="PFW22" s="1902">
        <f t="shared" si="175"/>
        <v>0</v>
      </c>
      <c r="PFX22" s="1902">
        <f t="shared" si="175"/>
        <v>0</v>
      </c>
      <c r="PFY22" s="1902">
        <f t="shared" si="175"/>
        <v>0</v>
      </c>
      <c r="PFZ22" s="1902">
        <f t="shared" si="175"/>
        <v>0</v>
      </c>
      <c r="PGA22" s="1902">
        <f t="shared" si="175"/>
        <v>0</v>
      </c>
      <c r="PGB22" s="1902">
        <f t="shared" si="175"/>
        <v>0</v>
      </c>
      <c r="PGC22" s="1902">
        <f t="shared" si="175"/>
        <v>0</v>
      </c>
      <c r="PGD22" s="1902">
        <f t="shared" si="175"/>
        <v>0</v>
      </c>
      <c r="PGE22" s="1902">
        <f t="shared" si="175"/>
        <v>0</v>
      </c>
      <c r="PGF22" s="1902">
        <f t="shared" si="175"/>
        <v>0</v>
      </c>
      <c r="PGG22" s="1902">
        <f t="shared" si="175"/>
        <v>0</v>
      </c>
      <c r="PGH22" s="1902">
        <f t="shared" si="175"/>
        <v>0</v>
      </c>
      <c r="PGI22" s="1902">
        <f t="shared" si="175"/>
        <v>0</v>
      </c>
      <c r="PGJ22" s="1902">
        <f t="shared" si="175"/>
        <v>0</v>
      </c>
      <c r="PGK22" s="1902">
        <f t="shared" si="175"/>
        <v>0</v>
      </c>
      <c r="PGL22" s="1902">
        <f t="shared" si="175"/>
        <v>0</v>
      </c>
      <c r="PGM22" s="1902">
        <f t="shared" si="175"/>
        <v>0</v>
      </c>
      <c r="PGN22" s="1902">
        <f t="shared" si="175"/>
        <v>0</v>
      </c>
      <c r="PGO22" s="1902">
        <f t="shared" si="175"/>
        <v>0</v>
      </c>
      <c r="PGP22" s="1902">
        <f t="shared" si="175"/>
        <v>0</v>
      </c>
      <c r="PGQ22" s="1902">
        <f t="shared" si="175"/>
        <v>0</v>
      </c>
      <c r="PGR22" s="1902">
        <f t="shared" si="175"/>
        <v>0</v>
      </c>
      <c r="PGS22" s="1902">
        <f t="shared" si="175"/>
        <v>0</v>
      </c>
      <c r="PGT22" s="1902">
        <f t="shared" si="175"/>
        <v>0</v>
      </c>
      <c r="PGU22" s="1902">
        <f t="shared" ref="PGU22:PJF22" si="176">IF(AND(PGU$26="End of period",PGU$25="Revenue"),PGU9,0)</f>
        <v>0</v>
      </c>
      <c r="PGV22" s="1902">
        <f t="shared" si="176"/>
        <v>0</v>
      </c>
      <c r="PGW22" s="1902">
        <f t="shared" si="176"/>
        <v>0</v>
      </c>
      <c r="PGX22" s="1902">
        <f t="shared" si="176"/>
        <v>0</v>
      </c>
      <c r="PGY22" s="1902">
        <f t="shared" si="176"/>
        <v>0</v>
      </c>
      <c r="PGZ22" s="1902">
        <f t="shared" si="176"/>
        <v>0</v>
      </c>
      <c r="PHA22" s="1902">
        <f t="shared" si="176"/>
        <v>0</v>
      </c>
      <c r="PHB22" s="1902">
        <f t="shared" si="176"/>
        <v>0</v>
      </c>
      <c r="PHC22" s="1902">
        <f t="shared" si="176"/>
        <v>0</v>
      </c>
      <c r="PHD22" s="1902">
        <f t="shared" si="176"/>
        <v>0</v>
      </c>
      <c r="PHE22" s="1902">
        <f t="shared" si="176"/>
        <v>0</v>
      </c>
      <c r="PHF22" s="1902">
        <f t="shared" si="176"/>
        <v>0</v>
      </c>
      <c r="PHG22" s="1902">
        <f t="shared" si="176"/>
        <v>0</v>
      </c>
      <c r="PHH22" s="1902">
        <f t="shared" si="176"/>
        <v>0</v>
      </c>
      <c r="PHI22" s="1902">
        <f t="shared" si="176"/>
        <v>0</v>
      </c>
      <c r="PHJ22" s="1902">
        <f t="shared" si="176"/>
        <v>0</v>
      </c>
      <c r="PHK22" s="1902">
        <f t="shared" si="176"/>
        <v>0</v>
      </c>
      <c r="PHL22" s="1902">
        <f t="shared" si="176"/>
        <v>0</v>
      </c>
      <c r="PHM22" s="1902">
        <f t="shared" si="176"/>
        <v>0</v>
      </c>
      <c r="PHN22" s="1902">
        <f t="shared" si="176"/>
        <v>0</v>
      </c>
      <c r="PHO22" s="1902">
        <f t="shared" si="176"/>
        <v>0</v>
      </c>
      <c r="PHP22" s="1902">
        <f t="shared" si="176"/>
        <v>0</v>
      </c>
      <c r="PHQ22" s="1902">
        <f t="shared" si="176"/>
        <v>0</v>
      </c>
      <c r="PHR22" s="1902">
        <f t="shared" si="176"/>
        <v>0</v>
      </c>
      <c r="PHS22" s="1902">
        <f t="shared" si="176"/>
        <v>0</v>
      </c>
      <c r="PHT22" s="1902">
        <f t="shared" si="176"/>
        <v>0</v>
      </c>
      <c r="PHU22" s="1902">
        <f t="shared" si="176"/>
        <v>0</v>
      </c>
      <c r="PHV22" s="1902">
        <f t="shared" si="176"/>
        <v>0</v>
      </c>
      <c r="PHW22" s="1902">
        <f t="shared" si="176"/>
        <v>0</v>
      </c>
      <c r="PHX22" s="1902">
        <f t="shared" si="176"/>
        <v>0</v>
      </c>
      <c r="PHY22" s="1902">
        <f t="shared" si="176"/>
        <v>0</v>
      </c>
      <c r="PHZ22" s="1902">
        <f t="shared" si="176"/>
        <v>0</v>
      </c>
      <c r="PIA22" s="1902">
        <f t="shared" si="176"/>
        <v>0</v>
      </c>
      <c r="PIB22" s="1902">
        <f t="shared" si="176"/>
        <v>0</v>
      </c>
      <c r="PIC22" s="1902">
        <f t="shared" si="176"/>
        <v>0</v>
      </c>
      <c r="PID22" s="1902">
        <f t="shared" si="176"/>
        <v>0</v>
      </c>
      <c r="PIE22" s="1902">
        <f t="shared" si="176"/>
        <v>0</v>
      </c>
      <c r="PIF22" s="1902">
        <f t="shared" si="176"/>
        <v>0</v>
      </c>
      <c r="PIG22" s="1902">
        <f t="shared" si="176"/>
        <v>0</v>
      </c>
      <c r="PIH22" s="1902">
        <f t="shared" si="176"/>
        <v>0</v>
      </c>
      <c r="PII22" s="1902">
        <f t="shared" si="176"/>
        <v>0</v>
      </c>
      <c r="PIJ22" s="1902">
        <f t="shared" si="176"/>
        <v>0</v>
      </c>
      <c r="PIK22" s="1902">
        <f t="shared" si="176"/>
        <v>0</v>
      </c>
      <c r="PIL22" s="1902">
        <f t="shared" si="176"/>
        <v>0</v>
      </c>
      <c r="PIM22" s="1902">
        <f t="shared" si="176"/>
        <v>0</v>
      </c>
      <c r="PIN22" s="1902">
        <f t="shared" si="176"/>
        <v>0</v>
      </c>
      <c r="PIO22" s="1902">
        <f t="shared" si="176"/>
        <v>0</v>
      </c>
      <c r="PIP22" s="1902">
        <f t="shared" si="176"/>
        <v>0</v>
      </c>
      <c r="PIQ22" s="1902">
        <f t="shared" si="176"/>
        <v>0</v>
      </c>
      <c r="PIR22" s="1902">
        <f t="shared" si="176"/>
        <v>0</v>
      </c>
      <c r="PIS22" s="1902">
        <f t="shared" si="176"/>
        <v>0</v>
      </c>
      <c r="PIT22" s="1902">
        <f t="shared" si="176"/>
        <v>0</v>
      </c>
      <c r="PIU22" s="1902">
        <f t="shared" si="176"/>
        <v>0</v>
      </c>
      <c r="PIV22" s="1902">
        <f t="shared" si="176"/>
        <v>0</v>
      </c>
      <c r="PIW22" s="1902">
        <f t="shared" si="176"/>
        <v>0</v>
      </c>
      <c r="PIX22" s="1902">
        <f t="shared" si="176"/>
        <v>0</v>
      </c>
      <c r="PIY22" s="1902">
        <f t="shared" si="176"/>
        <v>0</v>
      </c>
      <c r="PIZ22" s="1902">
        <f t="shared" si="176"/>
        <v>0</v>
      </c>
      <c r="PJA22" s="1902">
        <f t="shared" si="176"/>
        <v>0</v>
      </c>
      <c r="PJB22" s="1902">
        <f t="shared" si="176"/>
        <v>0</v>
      </c>
      <c r="PJC22" s="1902">
        <f t="shared" si="176"/>
        <v>0</v>
      </c>
      <c r="PJD22" s="1902">
        <f t="shared" si="176"/>
        <v>0</v>
      </c>
      <c r="PJE22" s="1902">
        <f t="shared" si="176"/>
        <v>0</v>
      </c>
      <c r="PJF22" s="1902">
        <f t="shared" si="176"/>
        <v>0</v>
      </c>
      <c r="PJG22" s="1902">
        <f t="shared" ref="PJG22:PLR22" si="177">IF(AND(PJG$26="End of period",PJG$25="Revenue"),PJG9,0)</f>
        <v>0</v>
      </c>
      <c r="PJH22" s="1902">
        <f t="shared" si="177"/>
        <v>0</v>
      </c>
      <c r="PJI22" s="1902">
        <f t="shared" si="177"/>
        <v>0</v>
      </c>
      <c r="PJJ22" s="1902">
        <f t="shared" si="177"/>
        <v>0</v>
      </c>
      <c r="PJK22" s="1902">
        <f t="shared" si="177"/>
        <v>0</v>
      </c>
      <c r="PJL22" s="1902">
        <f t="shared" si="177"/>
        <v>0</v>
      </c>
      <c r="PJM22" s="1902">
        <f t="shared" si="177"/>
        <v>0</v>
      </c>
      <c r="PJN22" s="1902">
        <f t="shared" si="177"/>
        <v>0</v>
      </c>
      <c r="PJO22" s="1902">
        <f t="shared" si="177"/>
        <v>0</v>
      </c>
      <c r="PJP22" s="1902">
        <f t="shared" si="177"/>
        <v>0</v>
      </c>
      <c r="PJQ22" s="1902">
        <f t="shared" si="177"/>
        <v>0</v>
      </c>
      <c r="PJR22" s="1902">
        <f t="shared" si="177"/>
        <v>0</v>
      </c>
      <c r="PJS22" s="1902">
        <f t="shared" si="177"/>
        <v>0</v>
      </c>
      <c r="PJT22" s="1902">
        <f t="shared" si="177"/>
        <v>0</v>
      </c>
      <c r="PJU22" s="1902">
        <f t="shared" si="177"/>
        <v>0</v>
      </c>
      <c r="PJV22" s="1902">
        <f t="shared" si="177"/>
        <v>0</v>
      </c>
      <c r="PJW22" s="1902">
        <f t="shared" si="177"/>
        <v>0</v>
      </c>
      <c r="PJX22" s="1902">
        <f t="shared" si="177"/>
        <v>0</v>
      </c>
      <c r="PJY22" s="1902">
        <f t="shared" si="177"/>
        <v>0</v>
      </c>
      <c r="PJZ22" s="1902">
        <f t="shared" si="177"/>
        <v>0</v>
      </c>
      <c r="PKA22" s="1902">
        <f t="shared" si="177"/>
        <v>0</v>
      </c>
      <c r="PKB22" s="1902">
        <f t="shared" si="177"/>
        <v>0</v>
      </c>
      <c r="PKC22" s="1902">
        <f t="shared" si="177"/>
        <v>0</v>
      </c>
      <c r="PKD22" s="1902">
        <f t="shared" si="177"/>
        <v>0</v>
      </c>
      <c r="PKE22" s="1902">
        <f t="shared" si="177"/>
        <v>0</v>
      </c>
      <c r="PKF22" s="1902">
        <f t="shared" si="177"/>
        <v>0</v>
      </c>
      <c r="PKG22" s="1902">
        <f t="shared" si="177"/>
        <v>0</v>
      </c>
      <c r="PKH22" s="1902">
        <f t="shared" si="177"/>
        <v>0</v>
      </c>
      <c r="PKI22" s="1902">
        <f t="shared" si="177"/>
        <v>0</v>
      </c>
      <c r="PKJ22" s="1902">
        <f t="shared" si="177"/>
        <v>0</v>
      </c>
      <c r="PKK22" s="1902">
        <f t="shared" si="177"/>
        <v>0</v>
      </c>
      <c r="PKL22" s="1902">
        <f t="shared" si="177"/>
        <v>0</v>
      </c>
      <c r="PKM22" s="1902">
        <f t="shared" si="177"/>
        <v>0</v>
      </c>
      <c r="PKN22" s="1902">
        <f t="shared" si="177"/>
        <v>0</v>
      </c>
      <c r="PKO22" s="1902">
        <f t="shared" si="177"/>
        <v>0</v>
      </c>
      <c r="PKP22" s="1902">
        <f t="shared" si="177"/>
        <v>0</v>
      </c>
      <c r="PKQ22" s="1902">
        <f t="shared" si="177"/>
        <v>0</v>
      </c>
      <c r="PKR22" s="1902">
        <f t="shared" si="177"/>
        <v>0</v>
      </c>
      <c r="PKS22" s="1902">
        <f t="shared" si="177"/>
        <v>0</v>
      </c>
      <c r="PKT22" s="1902">
        <f t="shared" si="177"/>
        <v>0</v>
      </c>
      <c r="PKU22" s="1902">
        <f t="shared" si="177"/>
        <v>0</v>
      </c>
      <c r="PKV22" s="1902">
        <f t="shared" si="177"/>
        <v>0</v>
      </c>
      <c r="PKW22" s="1902">
        <f t="shared" si="177"/>
        <v>0</v>
      </c>
      <c r="PKX22" s="1902">
        <f t="shared" si="177"/>
        <v>0</v>
      </c>
      <c r="PKY22" s="1902">
        <f t="shared" si="177"/>
        <v>0</v>
      </c>
      <c r="PKZ22" s="1902">
        <f t="shared" si="177"/>
        <v>0</v>
      </c>
      <c r="PLA22" s="1902">
        <f t="shared" si="177"/>
        <v>0</v>
      </c>
      <c r="PLB22" s="1902">
        <f t="shared" si="177"/>
        <v>0</v>
      </c>
      <c r="PLC22" s="1902">
        <f t="shared" si="177"/>
        <v>0</v>
      </c>
      <c r="PLD22" s="1902">
        <f t="shared" si="177"/>
        <v>0</v>
      </c>
      <c r="PLE22" s="1902">
        <f t="shared" si="177"/>
        <v>0</v>
      </c>
      <c r="PLF22" s="1902">
        <f t="shared" si="177"/>
        <v>0</v>
      </c>
      <c r="PLG22" s="1902">
        <f t="shared" si="177"/>
        <v>0</v>
      </c>
      <c r="PLH22" s="1902">
        <f t="shared" si="177"/>
        <v>0</v>
      </c>
      <c r="PLI22" s="1902">
        <f t="shared" si="177"/>
        <v>0</v>
      </c>
      <c r="PLJ22" s="1902">
        <f t="shared" si="177"/>
        <v>0</v>
      </c>
      <c r="PLK22" s="1902">
        <f t="shared" si="177"/>
        <v>0</v>
      </c>
      <c r="PLL22" s="1902">
        <f t="shared" si="177"/>
        <v>0</v>
      </c>
      <c r="PLM22" s="1902">
        <f t="shared" si="177"/>
        <v>0</v>
      </c>
      <c r="PLN22" s="1902">
        <f t="shared" si="177"/>
        <v>0</v>
      </c>
      <c r="PLO22" s="1902">
        <f t="shared" si="177"/>
        <v>0</v>
      </c>
      <c r="PLP22" s="1902">
        <f t="shared" si="177"/>
        <v>0</v>
      </c>
      <c r="PLQ22" s="1902">
        <f t="shared" si="177"/>
        <v>0</v>
      </c>
      <c r="PLR22" s="1902">
        <f t="shared" si="177"/>
        <v>0</v>
      </c>
      <c r="PLS22" s="1902">
        <f t="shared" ref="PLS22:POD22" si="178">IF(AND(PLS$26="End of period",PLS$25="Revenue"),PLS9,0)</f>
        <v>0</v>
      </c>
      <c r="PLT22" s="1902">
        <f t="shared" si="178"/>
        <v>0</v>
      </c>
      <c r="PLU22" s="1902">
        <f t="shared" si="178"/>
        <v>0</v>
      </c>
      <c r="PLV22" s="1902">
        <f t="shared" si="178"/>
        <v>0</v>
      </c>
      <c r="PLW22" s="1902">
        <f t="shared" si="178"/>
        <v>0</v>
      </c>
      <c r="PLX22" s="1902">
        <f t="shared" si="178"/>
        <v>0</v>
      </c>
      <c r="PLY22" s="1902">
        <f t="shared" si="178"/>
        <v>0</v>
      </c>
      <c r="PLZ22" s="1902">
        <f t="shared" si="178"/>
        <v>0</v>
      </c>
      <c r="PMA22" s="1902">
        <f t="shared" si="178"/>
        <v>0</v>
      </c>
      <c r="PMB22" s="1902">
        <f t="shared" si="178"/>
        <v>0</v>
      </c>
      <c r="PMC22" s="1902">
        <f t="shared" si="178"/>
        <v>0</v>
      </c>
      <c r="PMD22" s="1902">
        <f t="shared" si="178"/>
        <v>0</v>
      </c>
      <c r="PME22" s="1902">
        <f t="shared" si="178"/>
        <v>0</v>
      </c>
      <c r="PMF22" s="1902">
        <f t="shared" si="178"/>
        <v>0</v>
      </c>
      <c r="PMG22" s="1902">
        <f t="shared" si="178"/>
        <v>0</v>
      </c>
      <c r="PMH22" s="1902">
        <f t="shared" si="178"/>
        <v>0</v>
      </c>
      <c r="PMI22" s="1902">
        <f t="shared" si="178"/>
        <v>0</v>
      </c>
      <c r="PMJ22" s="1902">
        <f t="shared" si="178"/>
        <v>0</v>
      </c>
      <c r="PMK22" s="1902">
        <f t="shared" si="178"/>
        <v>0</v>
      </c>
      <c r="PML22" s="1902">
        <f t="shared" si="178"/>
        <v>0</v>
      </c>
      <c r="PMM22" s="1902">
        <f t="shared" si="178"/>
        <v>0</v>
      </c>
      <c r="PMN22" s="1902">
        <f t="shared" si="178"/>
        <v>0</v>
      </c>
      <c r="PMO22" s="1902">
        <f t="shared" si="178"/>
        <v>0</v>
      </c>
      <c r="PMP22" s="1902">
        <f t="shared" si="178"/>
        <v>0</v>
      </c>
      <c r="PMQ22" s="1902">
        <f t="shared" si="178"/>
        <v>0</v>
      </c>
      <c r="PMR22" s="1902">
        <f t="shared" si="178"/>
        <v>0</v>
      </c>
      <c r="PMS22" s="1902">
        <f t="shared" si="178"/>
        <v>0</v>
      </c>
      <c r="PMT22" s="1902">
        <f t="shared" si="178"/>
        <v>0</v>
      </c>
      <c r="PMU22" s="1902">
        <f t="shared" si="178"/>
        <v>0</v>
      </c>
      <c r="PMV22" s="1902">
        <f t="shared" si="178"/>
        <v>0</v>
      </c>
      <c r="PMW22" s="1902">
        <f t="shared" si="178"/>
        <v>0</v>
      </c>
      <c r="PMX22" s="1902">
        <f t="shared" si="178"/>
        <v>0</v>
      </c>
      <c r="PMY22" s="1902">
        <f t="shared" si="178"/>
        <v>0</v>
      </c>
      <c r="PMZ22" s="1902">
        <f t="shared" si="178"/>
        <v>0</v>
      </c>
      <c r="PNA22" s="1902">
        <f t="shared" si="178"/>
        <v>0</v>
      </c>
      <c r="PNB22" s="1902">
        <f t="shared" si="178"/>
        <v>0</v>
      </c>
      <c r="PNC22" s="1902">
        <f t="shared" si="178"/>
        <v>0</v>
      </c>
      <c r="PND22" s="1902">
        <f t="shared" si="178"/>
        <v>0</v>
      </c>
      <c r="PNE22" s="1902">
        <f t="shared" si="178"/>
        <v>0</v>
      </c>
      <c r="PNF22" s="1902">
        <f t="shared" si="178"/>
        <v>0</v>
      </c>
      <c r="PNG22" s="1902">
        <f t="shared" si="178"/>
        <v>0</v>
      </c>
      <c r="PNH22" s="1902">
        <f t="shared" si="178"/>
        <v>0</v>
      </c>
      <c r="PNI22" s="1902">
        <f t="shared" si="178"/>
        <v>0</v>
      </c>
      <c r="PNJ22" s="1902">
        <f t="shared" si="178"/>
        <v>0</v>
      </c>
      <c r="PNK22" s="1902">
        <f t="shared" si="178"/>
        <v>0</v>
      </c>
      <c r="PNL22" s="1902">
        <f t="shared" si="178"/>
        <v>0</v>
      </c>
      <c r="PNM22" s="1902">
        <f t="shared" si="178"/>
        <v>0</v>
      </c>
      <c r="PNN22" s="1902">
        <f t="shared" si="178"/>
        <v>0</v>
      </c>
      <c r="PNO22" s="1902">
        <f t="shared" si="178"/>
        <v>0</v>
      </c>
      <c r="PNP22" s="1902">
        <f t="shared" si="178"/>
        <v>0</v>
      </c>
      <c r="PNQ22" s="1902">
        <f t="shared" si="178"/>
        <v>0</v>
      </c>
      <c r="PNR22" s="1902">
        <f t="shared" si="178"/>
        <v>0</v>
      </c>
      <c r="PNS22" s="1902">
        <f t="shared" si="178"/>
        <v>0</v>
      </c>
      <c r="PNT22" s="1902">
        <f t="shared" si="178"/>
        <v>0</v>
      </c>
      <c r="PNU22" s="1902">
        <f t="shared" si="178"/>
        <v>0</v>
      </c>
      <c r="PNV22" s="1902">
        <f t="shared" si="178"/>
        <v>0</v>
      </c>
      <c r="PNW22" s="1902">
        <f t="shared" si="178"/>
        <v>0</v>
      </c>
      <c r="PNX22" s="1902">
        <f t="shared" si="178"/>
        <v>0</v>
      </c>
      <c r="PNY22" s="1902">
        <f t="shared" si="178"/>
        <v>0</v>
      </c>
      <c r="PNZ22" s="1902">
        <f t="shared" si="178"/>
        <v>0</v>
      </c>
      <c r="POA22" s="1902">
        <f t="shared" si="178"/>
        <v>0</v>
      </c>
      <c r="POB22" s="1902">
        <f t="shared" si="178"/>
        <v>0</v>
      </c>
      <c r="POC22" s="1902">
        <f t="shared" si="178"/>
        <v>0</v>
      </c>
      <c r="POD22" s="1902">
        <f t="shared" si="178"/>
        <v>0</v>
      </c>
      <c r="POE22" s="1902">
        <f t="shared" ref="POE22:PQP22" si="179">IF(AND(POE$26="End of period",POE$25="Revenue"),POE9,0)</f>
        <v>0</v>
      </c>
      <c r="POF22" s="1902">
        <f t="shared" si="179"/>
        <v>0</v>
      </c>
      <c r="POG22" s="1902">
        <f t="shared" si="179"/>
        <v>0</v>
      </c>
      <c r="POH22" s="1902">
        <f t="shared" si="179"/>
        <v>0</v>
      </c>
      <c r="POI22" s="1902">
        <f t="shared" si="179"/>
        <v>0</v>
      </c>
      <c r="POJ22" s="1902">
        <f t="shared" si="179"/>
        <v>0</v>
      </c>
      <c r="POK22" s="1902">
        <f t="shared" si="179"/>
        <v>0</v>
      </c>
      <c r="POL22" s="1902">
        <f t="shared" si="179"/>
        <v>0</v>
      </c>
      <c r="POM22" s="1902">
        <f t="shared" si="179"/>
        <v>0</v>
      </c>
      <c r="PON22" s="1902">
        <f t="shared" si="179"/>
        <v>0</v>
      </c>
      <c r="POO22" s="1902">
        <f t="shared" si="179"/>
        <v>0</v>
      </c>
      <c r="POP22" s="1902">
        <f t="shared" si="179"/>
        <v>0</v>
      </c>
      <c r="POQ22" s="1902">
        <f t="shared" si="179"/>
        <v>0</v>
      </c>
      <c r="POR22" s="1902">
        <f t="shared" si="179"/>
        <v>0</v>
      </c>
      <c r="POS22" s="1902">
        <f t="shared" si="179"/>
        <v>0</v>
      </c>
      <c r="POT22" s="1902">
        <f t="shared" si="179"/>
        <v>0</v>
      </c>
      <c r="POU22" s="1902">
        <f t="shared" si="179"/>
        <v>0</v>
      </c>
      <c r="POV22" s="1902">
        <f t="shared" si="179"/>
        <v>0</v>
      </c>
      <c r="POW22" s="1902">
        <f t="shared" si="179"/>
        <v>0</v>
      </c>
      <c r="POX22" s="1902">
        <f t="shared" si="179"/>
        <v>0</v>
      </c>
      <c r="POY22" s="1902">
        <f t="shared" si="179"/>
        <v>0</v>
      </c>
      <c r="POZ22" s="1902">
        <f t="shared" si="179"/>
        <v>0</v>
      </c>
      <c r="PPA22" s="1902">
        <f t="shared" si="179"/>
        <v>0</v>
      </c>
      <c r="PPB22" s="1902">
        <f t="shared" si="179"/>
        <v>0</v>
      </c>
      <c r="PPC22" s="1902">
        <f t="shared" si="179"/>
        <v>0</v>
      </c>
      <c r="PPD22" s="1902">
        <f t="shared" si="179"/>
        <v>0</v>
      </c>
      <c r="PPE22" s="1902">
        <f t="shared" si="179"/>
        <v>0</v>
      </c>
      <c r="PPF22" s="1902">
        <f t="shared" si="179"/>
        <v>0</v>
      </c>
      <c r="PPG22" s="1902">
        <f t="shared" si="179"/>
        <v>0</v>
      </c>
      <c r="PPH22" s="1902">
        <f t="shared" si="179"/>
        <v>0</v>
      </c>
      <c r="PPI22" s="1902">
        <f t="shared" si="179"/>
        <v>0</v>
      </c>
      <c r="PPJ22" s="1902">
        <f t="shared" si="179"/>
        <v>0</v>
      </c>
      <c r="PPK22" s="1902">
        <f t="shared" si="179"/>
        <v>0</v>
      </c>
      <c r="PPL22" s="1902">
        <f t="shared" si="179"/>
        <v>0</v>
      </c>
      <c r="PPM22" s="1902">
        <f t="shared" si="179"/>
        <v>0</v>
      </c>
      <c r="PPN22" s="1902">
        <f t="shared" si="179"/>
        <v>0</v>
      </c>
      <c r="PPO22" s="1902">
        <f t="shared" si="179"/>
        <v>0</v>
      </c>
      <c r="PPP22" s="1902">
        <f t="shared" si="179"/>
        <v>0</v>
      </c>
      <c r="PPQ22" s="1902">
        <f t="shared" si="179"/>
        <v>0</v>
      </c>
      <c r="PPR22" s="1902">
        <f t="shared" si="179"/>
        <v>0</v>
      </c>
      <c r="PPS22" s="1902">
        <f t="shared" si="179"/>
        <v>0</v>
      </c>
      <c r="PPT22" s="1902">
        <f t="shared" si="179"/>
        <v>0</v>
      </c>
      <c r="PPU22" s="1902">
        <f t="shared" si="179"/>
        <v>0</v>
      </c>
      <c r="PPV22" s="1902">
        <f t="shared" si="179"/>
        <v>0</v>
      </c>
      <c r="PPW22" s="1902">
        <f t="shared" si="179"/>
        <v>0</v>
      </c>
      <c r="PPX22" s="1902">
        <f t="shared" si="179"/>
        <v>0</v>
      </c>
      <c r="PPY22" s="1902">
        <f t="shared" si="179"/>
        <v>0</v>
      </c>
      <c r="PPZ22" s="1902">
        <f t="shared" si="179"/>
        <v>0</v>
      </c>
      <c r="PQA22" s="1902">
        <f t="shared" si="179"/>
        <v>0</v>
      </c>
      <c r="PQB22" s="1902">
        <f t="shared" si="179"/>
        <v>0</v>
      </c>
      <c r="PQC22" s="1902">
        <f t="shared" si="179"/>
        <v>0</v>
      </c>
      <c r="PQD22" s="1902">
        <f t="shared" si="179"/>
        <v>0</v>
      </c>
      <c r="PQE22" s="1902">
        <f t="shared" si="179"/>
        <v>0</v>
      </c>
      <c r="PQF22" s="1902">
        <f t="shared" si="179"/>
        <v>0</v>
      </c>
      <c r="PQG22" s="1902">
        <f t="shared" si="179"/>
        <v>0</v>
      </c>
      <c r="PQH22" s="1902">
        <f t="shared" si="179"/>
        <v>0</v>
      </c>
      <c r="PQI22" s="1902">
        <f t="shared" si="179"/>
        <v>0</v>
      </c>
      <c r="PQJ22" s="1902">
        <f t="shared" si="179"/>
        <v>0</v>
      </c>
      <c r="PQK22" s="1902">
        <f t="shared" si="179"/>
        <v>0</v>
      </c>
      <c r="PQL22" s="1902">
        <f t="shared" si="179"/>
        <v>0</v>
      </c>
      <c r="PQM22" s="1902">
        <f t="shared" si="179"/>
        <v>0</v>
      </c>
      <c r="PQN22" s="1902">
        <f t="shared" si="179"/>
        <v>0</v>
      </c>
      <c r="PQO22" s="1902">
        <f t="shared" si="179"/>
        <v>0</v>
      </c>
      <c r="PQP22" s="1902">
        <f t="shared" si="179"/>
        <v>0</v>
      </c>
      <c r="PQQ22" s="1902">
        <f t="shared" ref="PQQ22:PTB22" si="180">IF(AND(PQQ$26="End of period",PQQ$25="Revenue"),PQQ9,0)</f>
        <v>0</v>
      </c>
      <c r="PQR22" s="1902">
        <f t="shared" si="180"/>
        <v>0</v>
      </c>
      <c r="PQS22" s="1902">
        <f t="shared" si="180"/>
        <v>0</v>
      </c>
      <c r="PQT22" s="1902">
        <f t="shared" si="180"/>
        <v>0</v>
      </c>
      <c r="PQU22" s="1902">
        <f t="shared" si="180"/>
        <v>0</v>
      </c>
      <c r="PQV22" s="1902">
        <f t="shared" si="180"/>
        <v>0</v>
      </c>
      <c r="PQW22" s="1902">
        <f t="shared" si="180"/>
        <v>0</v>
      </c>
      <c r="PQX22" s="1902">
        <f t="shared" si="180"/>
        <v>0</v>
      </c>
      <c r="PQY22" s="1902">
        <f t="shared" si="180"/>
        <v>0</v>
      </c>
      <c r="PQZ22" s="1902">
        <f t="shared" si="180"/>
        <v>0</v>
      </c>
      <c r="PRA22" s="1902">
        <f t="shared" si="180"/>
        <v>0</v>
      </c>
      <c r="PRB22" s="1902">
        <f t="shared" si="180"/>
        <v>0</v>
      </c>
      <c r="PRC22" s="1902">
        <f t="shared" si="180"/>
        <v>0</v>
      </c>
      <c r="PRD22" s="1902">
        <f t="shared" si="180"/>
        <v>0</v>
      </c>
      <c r="PRE22" s="1902">
        <f t="shared" si="180"/>
        <v>0</v>
      </c>
      <c r="PRF22" s="1902">
        <f t="shared" si="180"/>
        <v>0</v>
      </c>
      <c r="PRG22" s="1902">
        <f t="shared" si="180"/>
        <v>0</v>
      </c>
      <c r="PRH22" s="1902">
        <f t="shared" si="180"/>
        <v>0</v>
      </c>
      <c r="PRI22" s="1902">
        <f t="shared" si="180"/>
        <v>0</v>
      </c>
      <c r="PRJ22" s="1902">
        <f t="shared" si="180"/>
        <v>0</v>
      </c>
      <c r="PRK22" s="1902">
        <f t="shared" si="180"/>
        <v>0</v>
      </c>
      <c r="PRL22" s="1902">
        <f t="shared" si="180"/>
        <v>0</v>
      </c>
      <c r="PRM22" s="1902">
        <f t="shared" si="180"/>
        <v>0</v>
      </c>
      <c r="PRN22" s="1902">
        <f t="shared" si="180"/>
        <v>0</v>
      </c>
      <c r="PRO22" s="1902">
        <f t="shared" si="180"/>
        <v>0</v>
      </c>
      <c r="PRP22" s="1902">
        <f t="shared" si="180"/>
        <v>0</v>
      </c>
      <c r="PRQ22" s="1902">
        <f t="shared" si="180"/>
        <v>0</v>
      </c>
      <c r="PRR22" s="1902">
        <f t="shared" si="180"/>
        <v>0</v>
      </c>
      <c r="PRS22" s="1902">
        <f t="shared" si="180"/>
        <v>0</v>
      </c>
      <c r="PRT22" s="1902">
        <f t="shared" si="180"/>
        <v>0</v>
      </c>
      <c r="PRU22" s="1902">
        <f t="shared" si="180"/>
        <v>0</v>
      </c>
      <c r="PRV22" s="1902">
        <f t="shared" si="180"/>
        <v>0</v>
      </c>
      <c r="PRW22" s="1902">
        <f t="shared" si="180"/>
        <v>0</v>
      </c>
      <c r="PRX22" s="1902">
        <f t="shared" si="180"/>
        <v>0</v>
      </c>
      <c r="PRY22" s="1902">
        <f t="shared" si="180"/>
        <v>0</v>
      </c>
      <c r="PRZ22" s="1902">
        <f t="shared" si="180"/>
        <v>0</v>
      </c>
      <c r="PSA22" s="1902">
        <f t="shared" si="180"/>
        <v>0</v>
      </c>
      <c r="PSB22" s="1902">
        <f t="shared" si="180"/>
        <v>0</v>
      </c>
      <c r="PSC22" s="1902">
        <f t="shared" si="180"/>
        <v>0</v>
      </c>
      <c r="PSD22" s="1902">
        <f t="shared" si="180"/>
        <v>0</v>
      </c>
      <c r="PSE22" s="1902">
        <f t="shared" si="180"/>
        <v>0</v>
      </c>
      <c r="PSF22" s="1902">
        <f t="shared" si="180"/>
        <v>0</v>
      </c>
      <c r="PSG22" s="1902">
        <f t="shared" si="180"/>
        <v>0</v>
      </c>
      <c r="PSH22" s="1902">
        <f t="shared" si="180"/>
        <v>0</v>
      </c>
      <c r="PSI22" s="1902">
        <f t="shared" si="180"/>
        <v>0</v>
      </c>
      <c r="PSJ22" s="1902">
        <f t="shared" si="180"/>
        <v>0</v>
      </c>
      <c r="PSK22" s="1902">
        <f t="shared" si="180"/>
        <v>0</v>
      </c>
      <c r="PSL22" s="1902">
        <f t="shared" si="180"/>
        <v>0</v>
      </c>
      <c r="PSM22" s="1902">
        <f t="shared" si="180"/>
        <v>0</v>
      </c>
      <c r="PSN22" s="1902">
        <f t="shared" si="180"/>
        <v>0</v>
      </c>
      <c r="PSO22" s="1902">
        <f t="shared" si="180"/>
        <v>0</v>
      </c>
      <c r="PSP22" s="1902">
        <f t="shared" si="180"/>
        <v>0</v>
      </c>
      <c r="PSQ22" s="1902">
        <f t="shared" si="180"/>
        <v>0</v>
      </c>
      <c r="PSR22" s="1902">
        <f t="shared" si="180"/>
        <v>0</v>
      </c>
      <c r="PSS22" s="1902">
        <f t="shared" si="180"/>
        <v>0</v>
      </c>
      <c r="PST22" s="1902">
        <f t="shared" si="180"/>
        <v>0</v>
      </c>
      <c r="PSU22" s="1902">
        <f t="shared" si="180"/>
        <v>0</v>
      </c>
      <c r="PSV22" s="1902">
        <f t="shared" si="180"/>
        <v>0</v>
      </c>
      <c r="PSW22" s="1902">
        <f t="shared" si="180"/>
        <v>0</v>
      </c>
      <c r="PSX22" s="1902">
        <f t="shared" si="180"/>
        <v>0</v>
      </c>
      <c r="PSY22" s="1902">
        <f t="shared" si="180"/>
        <v>0</v>
      </c>
      <c r="PSZ22" s="1902">
        <f t="shared" si="180"/>
        <v>0</v>
      </c>
      <c r="PTA22" s="1902">
        <f t="shared" si="180"/>
        <v>0</v>
      </c>
      <c r="PTB22" s="1902">
        <f t="shared" si="180"/>
        <v>0</v>
      </c>
      <c r="PTC22" s="1902">
        <f t="shared" ref="PTC22:PVN22" si="181">IF(AND(PTC$26="End of period",PTC$25="Revenue"),PTC9,0)</f>
        <v>0</v>
      </c>
      <c r="PTD22" s="1902">
        <f t="shared" si="181"/>
        <v>0</v>
      </c>
      <c r="PTE22" s="1902">
        <f t="shared" si="181"/>
        <v>0</v>
      </c>
      <c r="PTF22" s="1902">
        <f t="shared" si="181"/>
        <v>0</v>
      </c>
      <c r="PTG22" s="1902">
        <f t="shared" si="181"/>
        <v>0</v>
      </c>
      <c r="PTH22" s="1902">
        <f t="shared" si="181"/>
        <v>0</v>
      </c>
      <c r="PTI22" s="1902">
        <f t="shared" si="181"/>
        <v>0</v>
      </c>
      <c r="PTJ22" s="1902">
        <f t="shared" si="181"/>
        <v>0</v>
      </c>
      <c r="PTK22" s="1902">
        <f t="shared" si="181"/>
        <v>0</v>
      </c>
      <c r="PTL22" s="1902">
        <f t="shared" si="181"/>
        <v>0</v>
      </c>
      <c r="PTM22" s="1902">
        <f t="shared" si="181"/>
        <v>0</v>
      </c>
      <c r="PTN22" s="1902">
        <f t="shared" si="181"/>
        <v>0</v>
      </c>
      <c r="PTO22" s="1902">
        <f t="shared" si="181"/>
        <v>0</v>
      </c>
      <c r="PTP22" s="1902">
        <f t="shared" si="181"/>
        <v>0</v>
      </c>
      <c r="PTQ22" s="1902">
        <f t="shared" si="181"/>
        <v>0</v>
      </c>
      <c r="PTR22" s="1902">
        <f t="shared" si="181"/>
        <v>0</v>
      </c>
      <c r="PTS22" s="1902">
        <f t="shared" si="181"/>
        <v>0</v>
      </c>
      <c r="PTT22" s="1902">
        <f t="shared" si="181"/>
        <v>0</v>
      </c>
      <c r="PTU22" s="1902">
        <f t="shared" si="181"/>
        <v>0</v>
      </c>
      <c r="PTV22" s="1902">
        <f t="shared" si="181"/>
        <v>0</v>
      </c>
      <c r="PTW22" s="1902">
        <f t="shared" si="181"/>
        <v>0</v>
      </c>
      <c r="PTX22" s="1902">
        <f t="shared" si="181"/>
        <v>0</v>
      </c>
      <c r="PTY22" s="1902">
        <f t="shared" si="181"/>
        <v>0</v>
      </c>
      <c r="PTZ22" s="1902">
        <f t="shared" si="181"/>
        <v>0</v>
      </c>
      <c r="PUA22" s="1902">
        <f t="shared" si="181"/>
        <v>0</v>
      </c>
      <c r="PUB22" s="1902">
        <f t="shared" si="181"/>
        <v>0</v>
      </c>
      <c r="PUC22" s="1902">
        <f t="shared" si="181"/>
        <v>0</v>
      </c>
      <c r="PUD22" s="1902">
        <f t="shared" si="181"/>
        <v>0</v>
      </c>
      <c r="PUE22" s="1902">
        <f t="shared" si="181"/>
        <v>0</v>
      </c>
      <c r="PUF22" s="1902">
        <f t="shared" si="181"/>
        <v>0</v>
      </c>
      <c r="PUG22" s="1902">
        <f t="shared" si="181"/>
        <v>0</v>
      </c>
      <c r="PUH22" s="1902">
        <f t="shared" si="181"/>
        <v>0</v>
      </c>
      <c r="PUI22" s="1902">
        <f t="shared" si="181"/>
        <v>0</v>
      </c>
      <c r="PUJ22" s="1902">
        <f t="shared" si="181"/>
        <v>0</v>
      </c>
      <c r="PUK22" s="1902">
        <f t="shared" si="181"/>
        <v>0</v>
      </c>
      <c r="PUL22" s="1902">
        <f t="shared" si="181"/>
        <v>0</v>
      </c>
      <c r="PUM22" s="1902">
        <f t="shared" si="181"/>
        <v>0</v>
      </c>
      <c r="PUN22" s="1902">
        <f t="shared" si="181"/>
        <v>0</v>
      </c>
      <c r="PUO22" s="1902">
        <f t="shared" si="181"/>
        <v>0</v>
      </c>
      <c r="PUP22" s="1902">
        <f t="shared" si="181"/>
        <v>0</v>
      </c>
      <c r="PUQ22" s="1902">
        <f t="shared" si="181"/>
        <v>0</v>
      </c>
      <c r="PUR22" s="1902">
        <f t="shared" si="181"/>
        <v>0</v>
      </c>
      <c r="PUS22" s="1902">
        <f t="shared" si="181"/>
        <v>0</v>
      </c>
      <c r="PUT22" s="1902">
        <f t="shared" si="181"/>
        <v>0</v>
      </c>
      <c r="PUU22" s="1902">
        <f t="shared" si="181"/>
        <v>0</v>
      </c>
      <c r="PUV22" s="1902">
        <f t="shared" si="181"/>
        <v>0</v>
      </c>
      <c r="PUW22" s="1902">
        <f t="shared" si="181"/>
        <v>0</v>
      </c>
      <c r="PUX22" s="1902">
        <f t="shared" si="181"/>
        <v>0</v>
      </c>
      <c r="PUY22" s="1902">
        <f t="shared" si="181"/>
        <v>0</v>
      </c>
      <c r="PUZ22" s="1902">
        <f t="shared" si="181"/>
        <v>0</v>
      </c>
      <c r="PVA22" s="1902">
        <f t="shared" si="181"/>
        <v>0</v>
      </c>
      <c r="PVB22" s="1902">
        <f t="shared" si="181"/>
        <v>0</v>
      </c>
      <c r="PVC22" s="1902">
        <f t="shared" si="181"/>
        <v>0</v>
      </c>
      <c r="PVD22" s="1902">
        <f t="shared" si="181"/>
        <v>0</v>
      </c>
      <c r="PVE22" s="1902">
        <f t="shared" si="181"/>
        <v>0</v>
      </c>
      <c r="PVF22" s="1902">
        <f t="shared" si="181"/>
        <v>0</v>
      </c>
      <c r="PVG22" s="1902">
        <f t="shared" si="181"/>
        <v>0</v>
      </c>
      <c r="PVH22" s="1902">
        <f t="shared" si="181"/>
        <v>0</v>
      </c>
      <c r="PVI22" s="1902">
        <f t="shared" si="181"/>
        <v>0</v>
      </c>
      <c r="PVJ22" s="1902">
        <f t="shared" si="181"/>
        <v>0</v>
      </c>
      <c r="PVK22" s="1902">
        <f t="shared" si="181"/>
        <v>0</v>
      </c>
      <c r="PVL22" s="1902">
        <f t="shared" si="181"/>
        <v>0</v>
      </c>
      <c r="PVM22" s="1902">
        <f t="shared" si="181"/>
        <v>0</v>
      </c>
      <c r="PVN22" s="1902">
        <f t="shared" si="181"/>
        <v>0</v>
      </c>
      <c r="PVO22" s="1902">
        <f t="shared" ref="PVO22:PXZ22" si="182">IF(AND(PVO$26="End of period",PVO$25="Revenue"),PVO9,0)</f>
        <v>0</v>
      </c>
      <c r="PVP22" s="1902">
        <f t="shared" si="182"/>
        <v>0</v>
      </c>
      <c r="PVQ22" s="1902">
        <f t="shared" si="182"/>
        <v>0</v>
      </c>
      <c r="PVR22" s="1902">
        <f t="shared" si="182"/>
        <v>0</v>
      </c>
      <c r="PVS22" s="1902">
        <f t="shared" si="182"/>
        <v>0</v>
      </c>
      <c r="PVT22" s="1902">
        <f t="shared" si="182"/>
        <v>0</v>
      </c>
      <c r="PVU22" s="1902">
        <f t="shared" si="182"/>
        <v>0</v>
      </c>
      <c r="PVV22" s="1902">
        <f t="shared" si="182"/>
        <v>0</v>
      </c>
      <c r="PVW22" s="1902">
        <f t="shared" si="182"/>
        <v>0</v>
      </c>
      <c r="PVX22" s="1902">
        <f t="shared" si="182"/>
        <v>0</v>
      </c>
      <c r="PVY22" s="1902">
        <f t="shared" si="182"/>
        <v>0</v>
      </c>
      <c r="PVZ22" s="1902">
        <f t="shared" si="182"/>
        <v>0</v>
      </c>
      <c r="PWA22" s="1902">
        <f t="shared" si="182"/>
        <v>0</v>
      </c>
      <c r="PWB22" s="1902">
        <f t="shared" si="182"/>
        <v>0</v>
      </c>
      <c r="PWC22" s="1902">
        <f t="shared" si="182"/>
        <v>0</v>
      </c>
      <c r="PWD22" s="1902">
        <f t="shared" si="182"/>
        <v>0</v>
      </c>
      <c r="PWE22" s="1902">
        <f t="shared" si="182"/>
        <v>0</v>
      </c>
      <c r="PWF22" s="1902">
        <f t="shared" si="182"/>
        <v>0</v>
      </c>
      <c r="PWG22" s="1902">
        <f t="shared" si="182"/>
        <v>0</v>
      </c>
      <c r="PWH22" s="1902">
        <f t="shared" si="182"/>
        <v>0</v>
      </c>
      <c r="PWI22" s="1902">
        <f t="shared" si="182"/>
        <v>0</v>
      </c>
      <c r="PWJ22" s="1902">
        <f t="shared" si="182"/>
        <v>0</v>
      </c>
      <c r="PWK22" s="1902">
        <f t="shared" si="182"/>
        <v>0</v>
      </c>
      <c r="PWL22" s="1902">
        <f t="shared" si="182"/>
        <v>0</v>
      </c>
      <c r="PWM22" s="1902">
        <f t="shared" si="182"/>
        <v>0</v>
      </c>
      <c r="PWN22" s="1902">
        <f t="shared" si="182"/>
        <v>0</v>
      </c>
      <c r="PWO22" s="1902">
        <f t="shared" si="182"/>
        <v>0</v>
      </c>
      <c r="PWP22" s="1902">
        <f t="shared" si="182"/>
        <v>0</v>
      </c>
      <c r="PWQ22" s="1902">
        <f t="shared" si="182"/>
        <v>0</v>
      </c>
      <c r="PWR22" s="1902">
        <f t="shared" si="182"/>
        <v>0</v>
      </c>
      <c r="PWS22" s="1902">
        <f t="shared" si="182"/>
        <v>0</v>
      </c>
      <c r="PWT22" s="1902">
        <f t="shared" si="182"/>
        <v>0</v>
      </c>
      <c r="PWU22" s="1902">
        <f t="shared" si="182"/>
        <v>0</v>
      </c>
      <c r="PWV22" s="1902">
        <f t="shared" si="182"/>
        <v>0</v>
      </c>
      <c r="PWW22" s="1902">
        <f t="shared" si="182"/>
        <v>0</v>
      </c>
      <c r="PWX22" s="1902">
        <f t="shared" si="182"/>
        <v>0</v>
      </c>
      <c r="PWY22" s="1902">
        <f t="shared" si="182"/>
        <v>0</v>
      </c>
      <c r="PWZ22" s="1902">
        <f t="shared" si="182"/>
        <v>0</v>
      </c>
      <c r="PXA22" s="1902">
        <f t="shared" si="182"/>
        <v>0</v>
      </c>
      <c r="PXB22" s="1902">
        <f t="shared" si="182"/>
        <v>0</v>
      </c>
      <c r="PXC22" s="1902">
        <f t="shared" si="182"/>
        <v>0</v>
      </c>
      <c r="PXD22" s="1902">
        <f t="shared" si="182"/>
        <v>0</v>
      </c>
      <c r="PXE22" s="1902">
        <f t="shared" si="182"/>
        <v>0</v>
      </c>
      <c r="PXF22" s="1902">
        <f t="shared" si="182"/>
        <v>0</v>
      </c>
      <c r="PXG22" s="1902">
        <f t="shared" si="182"/>
        <v>0</v>
      </c>
      <c r="PXH22" s="1902">
        <f t="shared" si="182"/>
        <v>0</v>
      </c>
      <c r="PXI22" s="1902">
        <f t="shared" si="182"/>
        <v>0</v>
      </c>
      <c r="PXJ22" s="1902">
        <f t="shared" si="182"/>
        <v>0</v>
      </c>
      <c r="PXK22" s="1902">
        <f t="shared" si="182"/>
        <v>0</v>
      </c>
      <c r="PXL22" s="1902">
        <f t="shared" si="182"/>
        <v>0</v>
      </c>
      <c r="PXM22" s="1902">
        <f t="shared" si="182"/>
        <v>0</v>
      </c>
      <c r="PXN22" s="1902">
        <f t="shared" si="182"/>
        <v>0</v>
      </c>
      <c r="PXO22" s="1902">
        <f t="shared" si="182"/>
        <v>0</v>
      </c>
      <c r="PXP22" s="1902">
        <f t="shared" si="182"/>
        <v>0</v>
      </c>
      <c r="PXQ22" s="1902">
        <f t="shared" si="182"/>
        <v>0</v>
      </c>
      <c r="PXR22" s="1902">
        <f t="shared" si="182"/>
        <v>0</v>
      </c>
      <c r="PXS22" s="1902">
        <f t="shared" si="182"/>
        <v>0</v>
      </c>
      <c r="PXT22" s="1902">
        <f t="shared" si="182"/>
        <v>0</v>
      </c>
      <c r="PXU22" s="1902">
        <f t="shared" si="182"/>
        <v>0</v>
      </c>
      <c r="PXV22" s="1902">
        <f t="shared" si="182"/>
        <v>0</v>
      </c>
      <c r="PXW22" s="1902">
        <f t="shared" si="182"/>
        <v>0</v>
      </c>
      <c r="PXX22" s="1902">
        <f t="shared" si="182"/>
        <v>0</v>
      </c>
      <c r="PXY22" s="1902">
        <f t="shared" si="182"/>
        <v>0</v>
      </c>
      <c r="PXZ22" s="1902">
        <f t="shared" si="182"/>
        <v>0</v>
      </c>
      <c r="PYA22" s="1902">
        <f t="shared" ref="PYA22:QAL22" si="183">IF(AND(PYA$26="End of period",PYA$25="Revenue"),PYA9,0)</f>
        <v>0</v>
      </c>
      <c r="PYB22" s="1902">
        <f t="shared" si="183"/>
        <v>0</v>
      </c>
      <c r="PYC22" s="1902">
        <f t="shared" si="183"/>
        <v>0</v>
      </c>
      <c r="PYD22" s="1902">
        <f t="shared" si="183"/>
        <v>0</v>
      </c>
      <c r="PYE22" s="1902">
        <f t="shared" si="183"/>
        <v>0</v>
      </c>
      <c r="PYF22" s="1902">
        <f t="shared" si="183"/>
        <v>0</v>
      </c>
      <c r="PYG22" s="1902">
        <f t="shared" si="183"/>
        <v>0</v>
      </c>
      <c r="PYH22" s="1902">
        <f t="shared" si="183"/>
        <v>0</v>
      </c>
      <c r="PYI22" s="1902">
        <f t="shared" si="183"/>
        <v>0</v>
      </c>
      <c r="PYJ22" s="1902">
        <f t="shared" si="183"/>
        <v>0</v>
      </c>
      <c r="PYK22" s="1902">
        <f t="shared" si="183"/>
        <v>0</v>
      </c>
      <c r="PYL22" s="1902">
        <f t="shared" si="183"/>
        <v>0</v>
      </c>
      <c r="PYM22" s="1902">
        <f t="shared" si="183"/>
        <v>0</v>
      </c>
      <c r="PYN22" s="1902">
        <f t="shared" si="183"/>
        <v>0</v>
      </c>
      <c r="PYO22" s="1902">
        <f t="shared" si="183"/>
        <v>0</v>
      </c>
      <c r="PYP22" s="1902">
        <f t="shared" si="183"/>
        <v>0</v>
      </c>
      <c r="PYQ22" s="1902">
        <f t="shared" si="183"/>
        <v>0</v>
      </c>
      <c r="PYR22" s="1902">
        <f t="shared" si="183"/>
        <v>0</v>
      </c>
      <c r="PYS22" s="1902">
        <f t="shared" si="183"/>
        <v>0</v>
      </c>
      <c r="PYT22" s="1902">
        <f t="shared" si="183"/>
        <v>0</v>
      </c>
      <c r="PYU22" s="1902">
        <f t="shared" si="183"/>
        <v>0</v>
      </c>
      <c r="PYV22" s="1902">
        <f t="shared" si="183"/>
        <v>0</v>
      </c>
      <c r="PYW22" s="1902">
        <f t="shared" si="183"/>
        <v>0</v>
      </c>
      <c r="PYX22" s="1902">
        <f t="shared" si="183"/>
        <v>0</v>
      </c>
      <c r="PYY22" s="1902">
        <f t="shared" si="183"/>
        <v>0</v>
      </c>
      <c r="PYZ22" s="1902">
        <f t="shared" si="183"/>
        <v>0</v>
      </c>
      <c r="PZA22" s="1902">
        <f t="shared" si="183"/>
        <v>0</v>
      </c>
      <c r="PZB22" s="1902">
        <f t="shared" si="183"/>
        <v>0</v>
      </c>
      <c r="PZC22" s="1902">
        <f t="shared" si="183"/>
        <v>0</v>
      </c>
      <c r="PZD22" s="1902">
        <f t="shared" si="183"/>
        <v>0</v>
      </c>
      <c r="PZE22" s="1902">
        <f t="shared" si="183"/>
        <v>0</v>
      </c>
      <c r="PZF22" s="1902">
        <f t="shared" si="183"/>
        <v>0</v>
      </c>
      <c r="PZG22" s="1902">
        <f t="shared" si="183"/>
        <v>0</v>
      </c>
      <c r="PZH22" s="1902">
        <f t="shared" si="183"/>
        <v>0</v>
      </c>
      <c r="PZI22" s="1902">
        <f t="shared" si="183"/>
        <v>0</v>
      </c>
      <c r="PZJ22" s="1902">
        <f t="shared" si="183"/>
        <v>0</v>
      </c>
      <c r="PZK22" s="1902">
        <f t="shared" si="183"/>
        <v>0</v>
      </c>
      <c r="PZL22" s="1902">
        <f t="shared" si="183"/>
        <v>0</v>
      </c>
      <c r="PZM22" s="1902">
        <f t="shared" si="183"/>
        <v>0</v>
      </c>
      <c r="PZN22" s="1902">
        <f t="shared" si="183"/>
        <v>0</v>
      </c>
      <c r="PZO22" s="1902">
        <f t="shared" si="183"/>
        <v>0</v>
      </c>
      <c r="PZP22" s="1902">
        <f t="shared" si="183"/>
        <v>0</v>
      </c>
      <c r="PZQ22" s="1902">
        <f t="shared" si="183"/>
        <v>0</v>
      </c>
      <c r="PZR22" s="1902">
        <f t="shared" si="183"/>
        <v>0</v>
      </c>
      <c r="PZS22" s="1902">
        <f t="shared" si="183"/>
        <v>0</v>
      </c>
      <c r="PZT22" s="1902">
        <f t="shared" si="183"/>
        <v>0</v>
      </c>
      <c r="PZU22" s="1902">
        <f t="shared" si="183"/>
        <v>0</v>
      </c>
      <c r="PZV22" s="1902">
        <f t="shared" si="183"/>
        <v>0</v>
      </c>
      <c r="PZW22" s="1902">
        <f t="shared" si="183"/>
        <v>0</v>
      </c>
      <c r="PZX22" s="1902">
        <f t="shared" si="183"/>
        <v>0</v>
      </c>
      <c r="PZY22" s="1902">
        <f t="shared" si="183"/>
        <v>0</v>
      </c>
      <c r="PZZ22" s="1902">
        <f t="shared" si="183"/>
        <v>0</v>
      </c>
      <c r="QAA22" s="1902">
        <f t="shared" si="183"/>
        <v>0</v>
      </c>
      <c r="QAB22" s="1902">
        <f t="shared" si="183"/>
        <v>0</v>
      </c>
      <c r="QAC22" s="1902">
        <f t="shared" si="183"/>
        <v>0</v>
      </c>
      <c r="QAD22" s="1902">
        <f t="shared" si="183"/>
        <v>0</v>
      </c>
      <c r="QAE22" s="1902">
        <f t="shared" si="183"/>
        <v>0</v>
      </c>
      <c r="QAF22" s="1902">
        <f t="shared" si="183"/>
        <v>0</v>
      </c>
      <c r="QAG22" s="1902">
        <f t="shared" si="183"/>
        <v>0</v>
      </c>
      <c r="QAH22" s="1902">
        <f t="shared" si="183"/>
        <v>0</v>
      </c>
      <c r="QAI22" s="1902">
        <f t="shared" si="183"/>
        <v>0</v>
      </c>
      <c r="QAJ22" s="1902">
        <f t="shared" si="183"/>
        <v>0</v>
      </c>
      <c r="QAK22" s="1902">
        <f t="shared" si="183"/>
        <v>0</v>
      </c>
      <c r="QAL22" s="1902">
        <f t="shared" si="183"/>
        <v>0</v>
      </c>
      <c r="QAM22" s="1902">
        <f t="shared" ref="QAM22:QCX22" si="184">IF(AND(QAM$26="End of period",QAM$25="Revenue"),QAM9,0)</f>
        <v>0</v>
      </c>
      <c r="QAN22" s="1902">
        <f t="shared" si="184"/>
        <v>0</v>
      </c>
      <c r="QAO22" s="1902">
        <f t="shared" si="184"/>
        <v>0</v>
      </c>
      <c r="QAP22" s="1902">
        <f t="shared" si="184"/>
        <v>0</v>
      </c>
      <c r="QAQ22" s="1902">
        <f t="shared" si="184"/>
        <v>0</v>
      </c>
      <c r="QAR22" s="1902">
        <f t="shared" si="184"/>
        <v>0</v>
      </c>
      <c r="QAS22" s="1902">
        <f t="shared" si="184"/>
        <v>0</v>
      </c>
      <c r="QAT22" s="1902">
        <f t="shared" si="184"/>
        <v>0</v>
      </c>
      <c r="QAU22" s="1902">
        <f t="shared" si="184"/>
        <v>0</v>
      </c>
      <c r="QAV22" s="1902">
        <f t="shared" si="184"/>
        <v>0</v>
      </c>
      <c r="QAW22" s="1902">
        <f t="shared" si="184"/>
        <v>0</v>
      </c>
      <c r="QAX22" s="1902">
        <f t="shared" si="184"/>
        <v>0</v>
      </c>
      <c r="QAY22" s="1902">
        <f t="shared" si="184"/>
        <v>0</v>
      </c>
      <c r="QAZ22" s="1902">
        <f t="shared" si="184"/>
        <v>0</v>
      </c>
      <c r="QBA22" s="1902">
        <f t="shared" si="184"/>
        <v>0</v>
      </c>
      <c r="QBB22" s="1902">
        <f t="shared" si="184"/>
        <v>0</v>
      </c>
      <c r="QBC22" s="1902">
        <f t="shared" si="184"/>
        <v>0</v>
      </c>
      <c r="QBD22" s="1902">
        <f t="shared" si="184"/>
        <v>0</v>
      </c>
      <c r="QBE22" s="1902">
        <f t="shared" si="184"/>
        <v>0</v>
      </c>
      <c r="QBF22" s="1902">
        <f t="shared" si="184"/>
        <v>0</v>
      </c>
      <c r="QBG22" s="1902">
        <f t="shared" si="184"/>
        <v>0</v>
      </c>
      <c r="QBH22" s="1902">
        <f t="shared" si="184"/>
        <v>0</v>
      </c>
      <c r="QBI22" s="1902">
        <f t="shared" si="184"/>
        <v>0</v>
      </c>
      <c r="QBJ22" s="1902">
        <f t="shared" si="184"/>
        <v>0</v>
      </c>
      <c r="QBK22" s="1902">
        <f t="shared" si="184"/>
        <v>0</v>
      </c>
      <c r="QBL22" s="1902">
        <f t="shared" si="184"/>
        <v>0</v>
      </c>
      <c r="QBM22" s="1902">
        <f t="shared" si="184"/>
        <v>0</v>
      </c>
      <c r="QBN22" s="1902">
        <f t="shared" si="184"/>
        <v>0</v>
      </c>
      <c r="QBO22" s="1902">
        <f t="shared" si="184"/>
        <v>0</v>
      </c>
      <c r="QBP22" s="1902">
        <f t="shared" si="184"/>
        <v>0</v>
      </c>
      <c r="QBQ22" s="1902">
        <f t="shared" si="184"/>
        <v>0</v>
      </c>
      <c r="QBR22" s="1902">
        <f t="shared" si="184"/>
        <v>0</v>
      </c>
      <c r="QBS22" s="1902">
        <f t="shared" si="184"/>
        <v>0</v>
      </c>
      <c r="QBT22" s="1902">
        <f t="shared" si="184"/>
        <v>0</v>
      </c>
      <c r="QBU22" s="1902">
        <f t="shared" si="184"/>
        <v>0</v>
      </c>
      <c r="QBV22" s="1902">
        <f t="shared" si="184"/>
        <v>0</v>
      </c>
      <c r="QBW22" s="1902">
        <f t="shared" si="184"/>
        <v>0</v>
      </c>
      <c r="QBX22" s="1902">
        <f t="shared" si="184"/>
        <v>0</v>
      </c>
      <c r="QBY22" s="1902">
        <f t="shared" si="184"/>
        <v>0</v>
      </c>
      <c r="QBZ22" s="1902">
        <f t="shared" si="184"/>
        <v>0</v>
      </c>
      <c r="QCA22" s="1902">
        <f t="shared" si="184"/>
        <v>0</v>
      </c>
      <c r="QCB22" s="1902">
        <f t="shared" si="184"/>
        <v>0</v>
      </c>
      <c r="QCC22" s="1902">
        <f t="shared" si="184"/>
        <v>0</v>
      </c>
      <c r="QCD22" s="1902">
        <f t="shared" si="184"/>
        <v>0</v>
      </c>
      <c r="QCE22" s="1902">
        <f t="shared" si="184"/>
        <v>0</v>
      </c>
      <c r="QCF22" s="1902">
        <f t="shared" si="184"/>
        <v>0</v>
      </c>
      <c r="QCG22" s="1902">
        <f t="shared" si="184"/>
        <v>0</v>
      </c>
      <c r="QCH22" s="1902">
        <f t="shared" si="184"/>
        <v>0</v>
      </c>
      <c r="QCI22" s="1902">
        <f t="shared" si="184"/>
        <v>0</v>
      </c>
      <c r="QCJ22" s="1902">
        <f t="shared" si="184"/>
        <v>0</v>
      </c>
      <c r="QCK22" s="1902">
        <f t="shared" si="184"/>
        <v>0</v>
      </c>
      <c r="QCL22" s="1902">
        <f t="shared" si="184"/>
        <v>0</v>
      </c>
      <c r="QCM22" s="1902">
        <f t="shared" si="184"/>
        <v>0</v>
      </c>
      <c r="QCN22" s="1902">
        <f t="shared" si="184"/>
        <v>0</v>
      </c>
      <c r="QCO22" s="1902">
        <f t="shared" si="184"/>
        <v>0</v>
      </c>
      <c r="QCP22" s="1902">
        <f t="shared" si="184"/>
        <v>0</v>
      </c>
      <c r="QCQ22" s="1902">
        <f t="shared" si="184"/>
        <v>0</v>
      </c>
      <c r="QCR22" s="1902">
        <f t="shared" si="184"/>
        <v>0</v>
      </c>
      <c r="QCS22" s="1902">
        <f t="shared" si="184"/>
        <v>0</v>
      </c>
      <c r="QCT22" s="1902">
        <f t="shared" si="184"/>
        <v>0</v>
      </c>
      <c r="QCU22" s="1902">
        <f t="shared" si="184"/>
        <v>0</v>
      </c>
      <c r="QCV22" s="1902">
        <f t="shared" si="184"/>
        <v>0</v>
      </c>
      <c r="QCW22" s="1902">
        <f t="shared" si="184"/>
        <v>0</v>
      </c>
      <c r="QCX22" s="1902">
        <f t="shared" si="184"/>
        <v>0</v>
      </c>
      <c r="QCY22" s="1902">
        <f t="shared" ref="QCY22:QFJ22" si="185">IF(AND(QCY$26="End of period",QCY$25="Revenue"),QCY9,0)</f>
        <v>0</v>
      </c>
      <c r="QCZ22" s="1902">
        <f t="shared" si="185"/>
        <v>0</v>
      </c>
      <c r="QDA22" s="1902">
        <f t="shared" si="185"/>
        <v>0</v>
      </c>
      <c r="QDB22" s="1902">
        <f t="shared" si="185"/>
        <v>0</v>
      </c>
      <c r="QDC22" s="1902">
        <f t="shared" si="185"/>
        <v>0</v>
      </c>
      <c r="QDD22" s="1902">
        <f t="shared" si="185"/>
        <v>0</v>
      </c>
      <c r="QDE22" s="1902">
        <f t="shared" si="185"/>
        <v>0</v>
      </c>
      <c r="QDF22" s="1902">
        <f t="shared" si="185"/>
        <v>0</v>
      </c>
      <c r="QDG22" s="1902">
        <f t="shared" si="185"/>
        <v>0</v>
      </c>
      <c r="QDH22" s="1902">
        <f t="shared" si="185"/>
        <v>0</v>
      </c>
      <c r="QDI22" s="1902">
        <f t="shared" si="185"/>
        <v>0</v>
      </c>
      <c r="QDJ22" s="1902">
        <f t="shared" si="185"/>
        <v>0</v>
      </c>
      <c r="QDK22" s="1902">
        <f t="shared" si="185"/>
        <v>0</v>
      </c>
      <c r="QDL22" s="1902">
        <f t="shared" si="185"/>
        <v>0</v>
      </c>
      <c r="QDM22" s="1902">
        <f t="shared" si="185"/>
        <v>0</v>
      </c>
      <c r="QDN22" s="1902">
        <f t="shared" si="185"/>
        <v>0</v>
      </c>
      <c r="QDO22" s="1902">
        <f t="shared" si="185"/>
        <v>0</v>
      </c>
      <c r="QDP22" s="1902">
        <f t="shared" si="185"/>
        <v>0</v>
      </c>
      <c r="QDQ22" s="1902">
        <f t="shared" si="185"/>
        <v>0</v>
      </c>
      <c r="QDR22" s="1902">
        <f t="shared" si="185"/>
        <v>0</v>
      </c>
      <c r="QDS22" s="1902">
        <f t="shared" si="185"/>
        <v>0</v>
      </c>
      <c r="QDT22" s="1902">
        <f t="shared" si="185"/>
        <v>0</v>
      </c>
      <c r="QDU22" s="1902">
        <f t="shared" si="185"/>
        <v>0</v>
      </c>
      <c r="QDV22" s="1902">
        <f t="shared" si="185"/>
        <v>0</v>
      </c>
      <c r="QDW22" s="1902">
        <f t="shared" si="185"/>
        <v>0</v>
      </c>
      <c r="QDX22" s="1902">
        <f t="shared" si="185"/>
        <v>0</v>
      </c>
      <c r="QDY22" s="1902">
        <f t="shared" si="185"/>
        <v>0</v>
      </c>
      <c r="QDZ22" s="1902">
        <f t="shared" si="185"/>
        <v>0</v>
      </c>
      <c r="QEA22" s="1902">
        <f t="shared" si="185"/>
        <v>0</v>
      </c>
      <c r="QEB22" s="1902">
        <f t="shared" si="185"/>
        <v>0</v>
      </c>
      <c r="QEC22" s="1902">
        <f t="shared" si="185"/>
        <v>0</v>
      </c>
      <c r="QED22" s="1902">
        <f t="shared" si="185"/>
        <v>0</v>
      </c>
      <c r="QEE22" s="1902">
        <f t="shared" si="185"/>
        <v>0</v>
      </c>
      <c r="QEF22" s="1902">
        <f t="shared" si="185"/>
        <v>0</v>
      </c>
      <c r="QEG22" s="1902">
        <f t="shared" si="185"/>
        <v>0</v>
      </c>
      <c r="QEH22" s="1902">
        <f t="shared" si="185"/>
        <v>0</v>
      </c>
      <c r="QEI22" s="1902">
        <f t="shared" si="185"/>
        <v>0</v>
      </c>
      <c r="QEJ22" s="1902">
        <f t="shared" si="185"/>
        <v>0</v>
      </c>
      <c r="QEK22" s="1902">
        <f t="shared" si="185"/>
        <v>0</v>
      </c>
      <c r="QEL22" s="1902">
        <f t="shared" si="185"/>
        <v>0</v>
      </c>
      <c r="QEM22" s="1902">
        <f t="shared" si="185"/>
        <v>0</v>
      </c>
      <c r="QEN22" s="1902">
        <f t="shared" si="185"/>
        <v>0</v>
      </c>
      <c r="QEO22" s="1902">
        <f t="shared" si="185"/>
        <v>0</v>
      </c>
      <c r="QEP22" s="1902">
        <f t="shared" si="185"/>
        <v>0</v>
      </c>
      <c r="QEQ22" s="1902">
        <f t="shared" si="185"/>
        <v>0</v>
      </c>
      <c r="QER22" s="1902">
        <f t="shared" si="185"/>
        <v>0</v>
      </c>
      <c r="QES22" s="1902">
        <f t="shared" si="185"/>
        <v>0</v>
      </c>
      <c r="QET22" s="1902">
        <f t="shared" si="185"/>
        <v>0</v>
      </c>
      <c r="QEU22" s="1902">
        <f t="shared" si="185"/>
        <v>0</v>
      </c>
      <c r="QEV22" s="1902">
        <f t="shared" si="185"/>
        <v>0</v>
      </c>
      <c r="QEW22" s="1902">
        <f t="shared" si="185"/>
        <v>0</v>
      </c>
      <c r="QEX22" s="1902">
        <f t="shared" si="185"/>
        <v>0</v>
      </c>
      <c r="QEY22" s="1902">
        <f t="shared" si="185"/>
        <v>0</v>
      </c>
      <c r="QEZ22" s="1902">
        <f t="shared" si="185"/>
        <v>0</v>
      </c>
      <c r="QFA22" s="1902">
        <f t="shared" si="185"/>
        <v>0</v>
      </c>
      <c r="QFB22" s="1902">
        <f t="shared" si="185"/>
        <v>0</v>
      </c>
      <c r="QFC22" s="1902">
        <f t="shared" si="185"/>
        <v>0</v>
      </c>
      <c r="QFD22" s="1902">
        <f t="shared" si="185"/>
        <v>0</v>
      </c>
      <c r="QFE22" s="1902">
        <f t="shared" si="185"/>
        <v>0</v>
      </c>
      <c r="QFF22" s="1902">
        <f t="shared" si="185"/>
        <v>0</v>
      </c>
      <c r="QFG22" s="1902">
        <f t="shared" si="185"/>
        <v>0</v>
      </c>
      <c r="QFH22" s="1902">
        <f t="shared" si="185"/>
        <v>0</v>
      </c>
      <c r="QFI22" s="1902">
        <f t="shared" si="185"/>
        <v>0</v>
      </c>
      <c r="QFJ22" s="1902">
        <f t="shared" si="185"/>
        <v>0</v>
      </c>
      <c r="QFK22" s="1902">
        <f t="shared" ref="QFK22:QHV22" si="186">IF(AND(QFK$26="End of period",QFK$25="Revenue"),QFK9,0)</f>
        <v>0</v>
      </c>
      <c r="QFL22" s="1902">
        <f t="shared" si="186"/>
        <v>0</v>
      </c>
      <c r="QFM22" s="1902">
        <f t="shared" si="186"/>
        <v>0</v>
      </c>
      <c r="QFN22" s="1902">
        <f t="shared" si="186"/>
        <v>0</v>
      </c>
      <c r="QFO22" s="1902">
        <f t="shared" si="186"/>
        <v>0</v>
      </c>
      <c r="QFP22" s="1902">
        <f t="shared" si="186"/>
        <v>0</v>
      </c>
      <c r="QFQ22" s="1902">
        <f t="shared" si="186"/>
        <v>0</v>
      </c>
      <c r="QFR22" s="1902">
        <f t="shared" si="186"/>
        <v>0</v>
      </c>
      <c r="QFS22" s="1902">
        <f t="shared" si="186"/>
        <v>0</v>
      </c>
      <c r="QFT22" s="1902">
        <f t="shared" si="186"/>
        <v>0</v>
      </c>
      <c r="QFU22" s="1902">
        <f t="shared" si="186"/>
        <v>0</v>
      </c>
      <c r="QFV22" s="1902">
        <f t="shared" si="186"/>
        <v>0</v>
      </c>
      <c r="QFW22" s="1902">
        <f t="shared" si="186"/>
        <v>0</v>
      </c>
      <c r="QFX22" s="1902">
        <f t="shared" si="186"/>
        <v>0</v>
      </c>
      <c r="QFY22" s="1902">
        <f t="shared" si="186"/>
        <v>0</v>
      </c>
      <c r="QFZ22" s="1902">
        <f t="shared" si="186"/>
        <v>0</v>
      </c>
      <c r="QGA22" s="1902">
        <f t="shared" si="186"/>
        <v>0</v>
      </c>
      <c r="QGB22" s="1902">
        <f t="shared" si="186"/>
        <v>0</v>
      </c>
      <c r="QGC22" s="1902">
        <f t="shared" si="186"/>
        <v>0</v>
      </c>
      <c r="QGD22" s="1902">
        <f t="shared" si="186"/>
        <v>0</v>
      </c>
      <c r="QGE22" s="1902">
        <f t="shared" si="186"/>
        <v>0</v>
      </c>
      <c r="QGF22" s="1902">
        <f t="shared" si="186"/>
        <v>0</v>
      </c>
      <c r="QGG22" s="1902">
        <f t="shared" si="186"/>
        <v>0</v>
      </c>
      <c r="QGH22" s="1902">
        <f t="shared" si="186"/>
        <v>0</v>
      </c>
      <c r="QGI22" s="1902">
        <f t="shared" si="186"/>
        <v>0</v>
      </c>
      <c r="QGJ22" s="1902">
        <f t="shared" si="186"/>
        <v>0</v>
      </c>
      <c r="QGK22" s="1902">
        <f t="shared" si="186"/>
        <v>0</v>
      </c>
      <c r="QGL22" s="1902">
        <f t="shared" si="186"/>
        <v>0</v>
      </c>
      <c r="QGM22" s="1902">
        <f t="shared" si="186"/>
        <v>0</v>
      </c>
      <c r="QGN22" s="1902">
        <f t="shared" si="186"/>
        <v>0</v>
      </c>
      <c r="QGO22" s="1902">
        <f t="shared" si="186"/>
        <v>0</v>
      </c>
      <c r="QGP22" s="1902">
        <f t="shared" si="186"/>
        <v>0</v>
      </c>
      <c r="QGQ22" s="1902">
        <f t="shared" si="186"/>
        <v>0</v>
      </c>
      <c r="QGR22" s="1902">
        <f t="shared" si="186"/>
        <v>0</v>
      </c>
      <c r="QGS22" s="1902">
        <f t="shared" si="186"/>
        <v>0</v>
      </c>
      <c r="QGT22" s="1902">
        <f t="shared" si="186"/>
        <v>0</v>
      </c>
      <c r="QGU22" s="1902">
        <f t="shared" si="186"/>
        <v>0</v>
      </c>
      <c r="QGV22" s="1902">
        <f t="shared" si="186"/>
        <v>0</v>
      </c>
      <c r="QGW22" s="1902">
        <f t="shared" si="186"/>
        <v>0</v>
      </c>
      <c r="QGX22" s="1902">
        <f t="shared" si="186"/>
        <v>0</v>
      </c>
      <c r="QGY22" s="1902">
        <f t="shared" si="186"/>
        <v>0</v>
      </c>
      <c r="QGZ22" s="1902">
        <f t="shared" si="186"/>
        <v>0</v>
      </c>
      <c r="QHA22" s="1902">
        <f t="shared" si="186"/>
        <v>0</v>
      </c>
      <c r="QHB22" s="1902">
        <f t="shared" si="186"/>
        <v>0</v>
      </c>
      <c r="QHC22" s="1902">
        <f t="shared" si="186"/>
        <v>0</v>
      </c>
      <c r="QHD22" s="1902">
        <f t="shared" si="186"/>
        <v>0</v>
      </c>
      <c r="QHE22" s="1902">
        <f t="shared" si="186"/>
        <v>0</v>
      </c>
      <c r="QHF22" s="1902">
        <f t="shared" si="186"/>
        <v>0</v>
      </c>
      <c r="QHG22" s="1902">
        <f t="shared" si="186"/>
        <v>0</v>
      </c>
      <c r="QHH22" s="1902">
        <f t="shared" si="186"/>
        <v>0</v>
      </c>
      <c r="QHI22" s="1902">
        <f t="shared" si="186"/>
        <v>0</v>
      </c>
      <c r="QHJ22" s="1902">
        <f t="shared" si="186"/>
        <v>0</v>
      </c>
      <c r="QHK22" s="1902">
        <f t="shared" si="186"/>
        <v>0</v>
      </c>
      <c r="QHL22" s="1902">
        <f t="shared" si="186"/>
        <v>0</v>
      </c>
      <c r="QHM22" s="1902">
        <f t="shared" si="186"/>
        <v>0</v>
      </c>
      <c r="QHN22" s="1902">
        <f t="shared" si="186"/>
        <v>0</v>
      </c>
      <c r="QHO22" s="1902">
        <f t="shared" si="186"/>
        <v>0</v>
      </c>
      <c r="QHP22" s="1902">
        <f t="shared" si="186"/>
        <v>0</v>
      </c>
      <c r="QHQ22" s="1902">
        <f t="shared" si="186"/>
        <v>0</v>
      </c>
      <c r="QHR22" s="1902">
        <f t="shared" si="186"/>
        <v>0</v>
      </c>
      <c r="QHS22" s="1902">
        <f t="shared" si="186"/>
        <v>0</v>
      </c>
      <c r="QHT22" s="1902">
        <f t="shared" si="186"/>
        <v>0</v>
      </c>
      <c r="QHU22" s="1902">
        <f t="shared" si="186"/>
        <v>0</v>
      </c>
      <c r="QHV22" s="1902">
        <f t="shared" si="186"/>
        <v>0</v>
      </c>
      <c r="QHW22" s="1902">
        <f t="shared" ref="QHW22:QKH22" si="187">IF(AND(QHW$26="End of period",QHW$25="Revenue"),QHW9,0)</f>
        <v>0</v>
      </c>
      <c r="QHX22" s="1902">
        <f t="shared" si="187"/>
        <v>0</v>
      </c>
      <c r="QHY22" s="1902">
        <f t="shared" si="187"/>
        <v>0</v>
      </c>
      <c r="QHZ22" s="1902">
        <f t="shared" si="187"/>
        <v>0</v>
      </c>
      <c r="QIA22" s="1902">
        <f t="shared" si="187"/>
        <v>0</v>
      </c>
      <c r="QIB22" s="1902">
        <f t="shared" si="187"/>
        <v>0</v>
      </c>
      <c r="QIC22" s="1902">
        <f t="shared" si="187"/>
        <v>0</v>
      </c>
      <c r="QID22" s="1902">
        <f t="shared" si="187"/>
        <v>0</v>
      </c>
      <c r="QIE22" s="1902">
        <f t="shared" si="187"/>
        <v>0</v>
      </c>
      <c r="QIF22" s="1902">
        <f t="shared" si="187"/>
        <v>0</v>
      </c>
      <c r="QIG22" s="1902">
        <f t="shared" si="187"/>
        <v>0</v>
      </c>
      <c r="QIH22" s="1902">
        <f t="shared" si="187"/>
        <v>0</v>
      </c>
      <c r="QII22" s="1902">
        <f t="shared" si="187"/>
        <v>0</v>
      </c>
      <c r="QIJ22" s="1902">
        <f t="shared" si="187"/>
        <v>0</v>
      </c>
      <c r="QIK22" s="1902">
        <f t="shared" si="187"/>
        <v>0</v>
      </c>
      <c r="QIL22" s="1902">
        <f t="shared" si="187"/>
        <v>0</v>
      </c>
      <c r="QIM22" s="1902">
        <f t="shared" si="187"/>
        <v>0</v>
      </c>
      <c r="QIN22" s="1902">
        <f t="shared" si="187"/>
        <v>0</v>
      </c>
      <c r="QIO22" s="1902">
        <f t="shared" si="187"/>
        <v>0</v>
      </c>
      <c r="QIP22" s="1902">
        <f t="shared" si="187"/>
        <v>0</v>
      </c>
      <c r="QIQ22" s="1902">
        <f t="shared" si="187"/>
        <v>0</v>
      </c>
      <c r="QIR22" s="1902">
        <f t="shared" si="187"/>
        <v>0</v>
      </c>
      <c r="QIS22" s="1902">
        <f t="shared" si="187"/>
        <v>0</v>
      </c>
      <c r="QIT22" s="1902">
        <f t="shared" si="187"/>
        <v>0</v>
      </c>
      <c r="QIU22" s="1902">
        <f t="shared" si="187"/>
        <v>0</v>
      </c>
      <c r="QIV22" s="1902">
        <f t="shared" si="187"/>
        <v>0</v>
      </c>
      <c r="QIW22" s="1902">
        <f t="shared" si="187"/>
        <v>0</v>
      </c>
      <c r="QIX22" s="1902">
        <f t="shared" si="187"/>
        <v>0</v>
      </c>
      <c r="QIY22" s="1902">
        <f t="shared" si="187"/>
        <v>0</v>
      </c>
      <c r="QIZ22" s="1902">
        <f t="shared" si="187"/>
        <v>0</v>
      </c>
      <c r="QJA22" s="1902">
        <f t="shared" si="187"/>
        <v>0</v>
      </c>
      <c r="QJB22" s="1902">
        <f t="shared" si="187"/>
        <v>0</v>
      </c>
      <c r="QJC22" s="1902">
        <f t="shared" si="187"/>
        <v>0</v>
      </c>
      <c r="QJD22" s="1902">
        <f t="shared" si="187"/>
        <v>0</v>
      </c>
      <c r="QJE22" s="1902">
        <f t="shared" si="187"/>
        <v>0</v>
      </c>
      <c r="QJF22" s="1902">
        <f t="shared" si="187"/>
        <v>0</v>
      </c>
      <c r="QJG22" s="1902">
        <f t="shared" si="187"/>
        <v>0</v>
      </c>
      <c r="QJH22" s="1902">
        <f t="shared" si="187"/>
        <v>0</v>
      </c>
      <c r="QJI22" s="1902">
        <f t="shared" si="187"/>
        <v>0</v>
      </c>
      <c r="QJJ22" s="1902">
        <f t="shared" si="187"/>
        <v>0</v>
      </c>
      <c r="QJK22" s="1902">
        <f t="shared" si="187"/>
        <v>0</v>
      </c>
      <c r="QJL22" s="1902">
        <f t="shared" si="187"/>
        <v>0</v>
      </c>
      <c r="QJM22" s="1902">
        <f t="shared" si="187"/>
        <v>0</v>
      </c>
      <c r="QJN22" s="1902">
        <f t="shared" si="187"/>
        <v>0</v>
      </c>
      <c r="QJO22" s="1902">
        <f t="shared" si="187"/>
        <v>0</v>
      </c>
      <c r="QJP22" s="1902">
        <f t="shared" si="187"/>
        <v>0</v>
      </c>
      <c r="QJQ22" s="1902">
        <f t="shared" si="187"/>
        <v>0</v>
      </c>
      <c r="QJR22" s="1902">
        <f t="shared" si="187"/>
        <v>0</v>
      </c>
      <c r="QJS22" s="1902">
        <f t="shared" si="187"/>
        <v>0</v>
      </c>
      <c r="QJT22" s="1902">
        <f t="shared" si="187"/>
        <v>0</v>
      </c>
      <c r="QJU22" s="1902">
        <f t="shared" si="187"/>
        <v>0</v>
      </c>
      <c r="QJV22" s="1902">
        <f t="shared" si="187"/>
        <v>0</v>
      </c>
      <c r="QJW22" s="1902">
        <f t="shared" si="187"/>
        <v>0</v>
      </c>
      <c r="QJX22" s="1902">
        <f t="shared" si="187"/>
        <v>0</v>
      </c>
      <c r="QJY22" s="1902">
        <f t="shared" si="187"/>
        <v>0</v>
      </c>
      <c r="QJZ22" s="1902">
        <f t="shared" si="187"/>
        <v>0</v>
      </c>
      <c r="QKA22" s="1902">
        <f t="shared" si="187"/>
        <v>0</v>
      </c>
      <c r="QKB22" s="1902">
        <f t="shared" si="187"/>
        <v>0</v>
      </c>
      <c r="QKC22" s="1902">
        <f t="shared" si="187"/>
        <v>0</v>
      </c>
      <c r="QKD22" s="1902">
        <f t="shared" si="187"/>
        <v>0</v>
      </c>
      <c r="QKE22" s="1902">
        <f t="shared" si="187"/>
        <v>0</v>
      </c>
      <c r="QKF22" s="1902">
        <f t="shared" si="187"/>
        <v>0</v>
      </c>
      <c r="QKG22" s="1902">
        <f t="shared" si="187"/>
        <v>0</v>
      </c>
      <c r="QKH22" s="1902">
        <f t="shared" si="187"/>
        <v>0</v>
      </c>
      <c r="QKI22" s="1902">
        <f t="shared" ref="QKI22:QMT22" si="188">IF(AND(QKI$26="End of period",QKI$25="Revenue"),QKI9,0)</f>
        <v>0</v>
      </c>
      <c r="QKJ22" s="1902">
        <f t="shared" si="188"/>
        <v>0</v>
      </c>
      <c r="QKK22" s="1902">
        <f t="shared" si="188"/>
        <v>0</v>
      </c>
      <c r="QKL22" s="1902">
        <f t="shared" si="188"/>
        <v>0</v>
      </c>
      <c r="QKM22" s="1902">
        <f t="shared" si="188"/>
        <v>0</v>
      </c>
      <c r="QKN22" s="1902">
        <f t="shared" si="188"/>
        <v>0</v>
      </c>
      <c r="QKO22" s="1902">
        <f t="shared" si="188"/>
        <v>0</v>
      </c>
      <c r="QKP22" s="1902">
        <f t="shared" si="188"/>
        <v>0</v>
      </c>
      <c r="QKQ22" s="1902">
        <f t="shared" si="188"/>
        <v>0</v>
      </c>
      <c r="QKR22" s="1902">
        <f t="shared" si="188"/>
        <v>0</v>
      </c>
      <c r="QKS22" s="1902">
        <f t="shared" si="188"/>
        <v>0</v>
      </c>
      <c r="QKT22" s="1902">
        <f t="shared" si="188"/>
        <v>0</v>
      </c>
      <c r="QKU22" s="1902">
        <f t="shared" si="188"/>
        <v>0</v>
      </c>
      <c r="QKV22" s="1902">
        <f t="shared" si="188"/>
        <v>0</v>
      </c>
      <c r="QKW22" s="1902">
        <f t="shared" si="188"/>
        <v>0</v>
      </c>
      <c r="QKX22" s="1902">
        <f t="shared" si="188"/>
        <v>0</v>
      </c>
      <c r="QKY22" s="1902">
        <f t="shared" si="188"/>
        <v>0</v>
      </c>
      <c r="QKZ22" s="1902">
        <f t="shared" si="188"/>
        <v>0</v>
      </c>
      <c r="QLA22" s="1902">
        <f t="shared" si="188"/>
        <v>0</v>
      </c>
      <c r="QLB22" s="1902">
        <f t="shared" si="188"/>
        <v>0</v>
      </c>
      <c r="QLC22" s="1902">
        <f t="shared" si="188"/>
        <v>0</v>
      </c>
      <c r="QLD22" s="1902">
        <f t="shared" si="188"/>
        <v>0</v>
      </c>
      <c r="QLE22" s="1902">
        <f t="shared" si="188"/>
        <v>0</v>
      </c>
      <c r="QLF22" s="1902">
        <f t="shared" si="188"/>
        <v>0</v>
      </c>
      <c r="QLG22" s="1902">
        <f t="shared" si="188"/>
        <v>0</v>
      </c>
      <c r="QLH22" s="1902">
        <f t="shared" si="188"/>
        <v>0</v>
      </c>
      <c r="QLI22" s="1902">
        <f t="shared" si="188"/>
        <v>0</v>
      </c>
      <c r="QLJ22" s="1902">
        <f t="shared" si="188"/>
        <v>0</v>
      </c>
      <c r="QLK22" s="1902">
        <f t="shared" si="188"/>
        <v>0</v>
      </c>
      <c r="QLL22" s="1902">
        <f t="shared" si="188"/>
        <v>0</v>
      </c>
      <c r="QLM22" s="1902">
        <f t="shared" si="188"/>
        <v>0</v>
      </c>
      <c r="QLN22" s="1902">
        <f t="shared" si="188"/>
        <v>0</v>
      </c>
      <c r="QLO22" s="1902">
        <f t="shared" si="188"/>
        <v>0</v>
      </c>
      <c r="QLP22" s="1902">
        <f t="shared" si="188"/>
        <v>0</v>
      </c>
      <c r="QLQ22" s="1902">
        <f t="shared" si="188"/>
        <v>0</v>
      </c>
      <c r="QLR22" s="1902">
        <f t="shared" si="188"/>
        <v>0</v>
      </c>
      <c r="QLS22" s="1902">
        <f t="shared" si="188"/>
        <v>0</v>
      </c>
      <c r="QLT22" s="1902">
        <f t="shared" si="188"/>
        <v>0</v>
      </c>
      <c r="QLU22" s="1902">
        <f t="shared" si="188"/>
        <v>0</v>
      </c>
      <c r="QLV22" s="1902">
        <f t="shared" si="188"/>
        <v>0</v>
      </c>
      <c r="QLW22" s="1902">
        <f t="shared" si="188"/>
        <v>0</v>
      </c>
      <c r="QLX22" s="1902">
        <f t="shared" si="188"/>
        <v>0</v>
      </c>
      <c r="QLY22" s="1902">
        <f t="shared" si="188"/>
        <v>0</v>
      </c>
      <c r="QLZ22" s="1902">
        <f t="shared" si="188"/>
        <v>0</v>
      </c>
      <c r="QMA22" s="1902">
        <f t="shared" si="188"/>
        <v>0</v>
      </c>
      <c r="QMB22" s="1902">
        <f t="shared" si="188"/>
        <v>0</v>
      </c>
      <c r="QMC22" s="1902">
        <f t="shared" si="188"/>
        <v>0</v>
      </c>
      <c r="QMD22" s="1902">
        <f t="shared" si="188"/>
        <v>0</v>
      </c>
      <c r="QME22" s="1902">
        <f t="shared" si="188"/>
        <v>0</v>
      </c>
      <c r="QMF22" s="1902">
        <f t="shared" si="188"/>
        <v>0</v>
      </c>
      <c r="QMG22" s="1902">
        <f t="shared" si="188"/>
        <v>0</v>
      </c>
      <c r="QMH22" s="1902">
        <f t="shared" si="188"/>
        <v>0</v>
      </c>
      <c r="QMI22" s="1902">
        <f t="shared" si="188"/>
        <v>0</v>
      </c>
      <c r="QMJ22" s="1902">
        <f t="shared" si="188"/>
        <v>0</v>
      </c>
      <c r="QMK22" s="1902">
        <f t="shared" si="188"/>
        <v>0</v>
      </c>
      <c r="QML22" s="1902">
        <f t="shared" si="188"/>
        <v>0</v>
      </c>
      <c r="QMM22" s="1902">
        <f t="shared" si="188"/>
        <v>0</v>
      </c>
      <c r="QMN22" s="1902">
        <f t="shared" si="188"/>
        <v>0</v>
      </c>
      <c r="QMO22" s="1902">
        <f t="shared" si="188"/>
        <v>0</v>
      </c>
      <c r="QMP22" s="1902">
        <f t="shared" si="188"/>
        <v>0</v>
      </c>
      <c r="QMQ22" s="1902">
        <f t="shared" si="188"/>
        <v>0</v>
      </c>
      <c r="QMR22" s="1902">
        <f t="shared" si="188"/>
        <v>0</v>
      </c>
      <c r="QMS22" s="1902">
        <f t="shared" si="188"/>
        <v>0</v>
      </c>
      <c r="QMT22" s="1902">
        <f t="shared" si="188"/>
        <v>0</v>
      </c>
      <c r="QMU22" s="1902">
        <f t="shared" ref="QMU22:QPF22" si="189">IF(AND(QMU$26="End of period",QMU$25="Revenue"),QMU9,0)</f>
        <v>0</v>
      </c>
      <c r="QMV22" s="1902">
        <f t="shared" si="189"/>
        <v>0</v>
      </c>
      <c r="QMW22" s="1902">
        <f t="shared" si="189"/>
        <v>0</v>
      </c>
      <c r="QMX22" s="1902">
        <f t="shared" si="189"/>
        <v>0</v>
      </c>
      <c r="QMY22" s="1902">
        <f t="shared" si="189"/>
        <v>0</v>
      </c>
      <c r="QMZ22" s="1902">
        <f t="shared" si="189"/>
        <v>0</v>
      </c>
      <c r="QNA22" s="1902">
        <f t="shared" si="189"/>
        <v>0</v>
      </c>
      <c r="QNB22" s="1902">
        <f t="shared" si="189"/>
        <v>0</v>
      </c>
      <c r="QNC22" s="1902">
        <f t="shared" si="189"/>
        <v>0</v>
      </c>
      <c r="QND22" s="1902">
        <f t="shared" si="189"/>
        <v>0</v>
      </c>
      <c r="QNE22" s="1902">
        <f t="shared" si="189"/>
        <v>0</v>
      </c>
      <c r="QNF22" s="1902">
        <f t="shared" si="189"/>
        <v>0</v>
      </c>
      <c r="QNG22" s="1902">
        <f t="shared" si="189"/>
        <v>0</v>
      </c>
      <c r="QNH22" s="1902">
        <f t="shared" si="189"/>
        <v>0</v>
      </c>
      <c r="QNI22" s="1902">
        <f t="shared" si="189"/>
        <v>0</v>
      </c>
      <c r="QNJ22" s="1902">
        <f t="shared" si="189"/>
        <v>0</v>
      </c>
      <c r="QNK22" s="1902">
        <f t="shared" si="189"/>
        <v>0</v>
      </c>
      <c r="QNL22" s="1902">
        <f t="shared" si="189"/>
        <v>0</v>
      </c>
      <c r="QNM22" s="1902">
        <f t="shared" si="189"/>
        <v>0</v>
      </c>
      <c r="QNN22" s="1902">
        <f t="shared" si="189"/>
        <v>0</v>
      </c>
      <c r="QNO22" s="1902">
        <f t="shared" si="189"/>
        <v>0</v>
      </c>
      <c r="QNP22" s="1902">
        <f t="shared" si="189"/>
        <v>0</v>
      </c>
      <c r="QNQ22" s="1902">
        <f t="shared" si="189"/>
        <v>0</v>
      </c>
      <c r="QNR22" s="1902">
        <f t="shared" si="189"/>
        <v>0</v>
      </c>
      <c r="QNS22" s="1902">
        <f t="shared" si="189"/>
        <v>0</v>
      </c>
      <c r="QNT22" s="1902">
        <f t="shared" si="189"/>
        <v>0</v>
      </c>
      <c r="QNU22" s="1902">
        <f t="shared" si="189"/>
        <v>0</v>
      </c>
      <c r="QNV22" s="1902">
        <f t="shared" si="189"/>
        <v>0</v>
      </c>
      <c r="QNW22" s="1902">
        <f t="shared" si="189"/>
        <v>0</v>
      </c>
      <c r="QNX22" s="1902">
        <f t="shared" si="189"/>
        <v>0</v>
      </c>
      <c r="QNY22" s="1902">
        <f t="shared" si="189"/>
        <v>0</v>
      </c>
      <c r="QNZ22" s="1902">
        <f t="shared" si="189"/>
        <v>0</v>
      </c>
      <c r="QOA22" s="1902">
        <f t="shared" si="189"/>
        <v>0</v>
      </c>
      <c r="QOB22" s="1902">
        <f t="shared" si="189"/>
        <v>0</v>
      </c>
      <c r="QOC22" s="1902">
        <f t="shared" si="189"/>
        <v>0</v>
      </c>
      <c r="QOD22" s="1902">
        <f t="shared" si="189"/>
        <v>0</v>
      </c>
      <c r="QOE22" s="1902">
        <f t="shared" si="189"/>
        <v>0</v>
      </c>
      <c r="QOF22" s="1902">
        <f t="shared" si="189"/>
        <v>0</v>
      </c>
      <c r="QOG22" s="1902">
        <f t="shared" si="189"/>
        <v>0</v>
      </c>
      <c r="QOH22" s="1902">
        <f t="shared" si="189"/>
        <v>0</v>
      </c>
      <c r="QOI22" s="1902">
        <f t="shared" si="189"/>
        <v>0</v>
      </c>
      <c r="QOJ22" s="1902">
        <f t="shared" si="189"/>
        <v>0</v>
      </c>
      <c r="QOK22" s="1902">
        <f t="shared" si="189"/>
        <v>0</v>
      </c>
      <c r="QOL22" s="1902">
        <f t="shared" si="189"/>
        <v>0</v>
      </c>
      <c r="QOM22" s="1902">
        <f t="shared" si="189"/>
        <v>0</v>
      </c>
      <c r="QON22" s="1902">
        <f t="shared" si="189"/>
        <v>0</v>
      </c>
      <c r="QOO22" s="1902">
        <f t="shared" si="189"/>
        <v>0</v>
      </c>
      <c r="QOP22" s="1902">
        <f t="shared" si="189"/>
        <v>0</v>
      </c>
      <c r="QOQ22" s="1902">
        <f t="shared" si="189"/>
        <v>0</v>
      </c>
      <c r="QOR22" s="1902">
        <f t="shared" si="189"/>
        <v>0</v>
      </c>
      <c r="QOS22" s="1902">
        <f t="shared" si="189"/>
        <v>0</v>
      </c>
      <c r="QOT22" s="1902">
        <f t="shared" si="189"/>
        <v>0</v>
      </c>
      <c r="QOU22" s="1902">
        <f t="shared" si="189"/>
        <v>0</v>
      </c>
      <c r="QOV22" s="1902">
        <f t="shared" si="189"/>
        <v>0</v>
      </c>
      <c r="QOW22" s="1902">
        <f t="shared" si="189"/>
        <v>0</v>
      </c>
      <c r="QOX22" s="1902">
        <f t="shared" si="189"/>
        <v>0</v>
      </c>
      <c r="QOY22" s="1902">
        <f t="shared" si="189"/>
        <v>0</v>
      </c>
      <c r="QOZ22" s="1902">
        <f t="shared" si="189"/>
        <v>0</v>
      </c>
      <c r="QPA22" s="1902">
        <f t="shared" si="189"/>
        <v>0</v>
      </c>
      <c r="QPB22" s="1902">
        <f t="shared" si="189"/>
        <v>0</v>
      </c>
      <c r="QPC22" s="1902">
        <f t="shared" si="189"/>
        <v>0</v>
      </c>
      <c r="QPD22" s="1902">
        <f t="shared" si="189"/>
        <v>0</v>
      </c>
      <c r="QPE22" s="1902">
        <f t="shared" si="189"/>
        <v>0</v>
      </c>
      <c r="QPF22" s="1902">
        <f t="shared" si="189"/>
        <v>0</v>
      </c>
      <c r="QPG22" s="1902">
        <f t="shared" ref="QPG22:QRR22" si="190">IF(AND(QPG$26="End of period",QPG$25="Revenue"),QPG9,0)</f>
        <v>0</v>
      </c>
      <c r="QPH22" s="1902">
        <f t="shared" si="190"/>
        <v>0</v>
      </c>
      <c r="QPI22" s="1902">
        <f t="shared" si="190"/>
        <v>0</v>
      </c>
      <c r="QPJ22" s="1902">
        <f t="shared" si="190"/>
        <v>0</v>
      </c>
      <c r="QPK22" s="1902">
        <f t="shared" si="190"/>
        <v>0</v>
      </c>
      <c r="QPL22" s="1902">
        <f t="shared" si="190"/>
        <v>0</v>
      </c>
      <c r="QPM22" s="1902">
        <f t="shared" si="190"/>
        <v>0</v>
      </c>
      <c r="QPN22" s="1902">
        <f t="shared" si="190"/>
        <v>0</v>
      </c>
      <c r="QPO22" s="1902">
        <f t="shared" si="190"/>
        <v>0</v>
      </c>
      <c r="QPP22" s="1902">
        <f t="shared" si="190"/>
        <v>0</v>
      </c>
      <c r="QPQ22" s="1902">
        <f t="shared" si="190"/>
        <v>0</v>
      </c>
      <c r="QPR22" s="1902">
        <f t="shared" si="190"/>
        <v>0</v>
      </c>
      <c r="QPS22" s="1902">
        <f t="shared" si="190"/>
        <v>0</v>
      </c>
      <c r="QPT22" s="1902">
        <f t="shared" si="190"/>
        <v>0</v>
      </c>
      <c r="QPU22" s="1902">
        <f t="shared" si="190"/>
        <v>0</v>
      </c>
      <c r="QPV22" s="1902">
        <f t="shared" si="190"/>
        <v>0</v>
      </c>
      <c r="QPW22" s="1902">
        <f t="shared" si="190"/>
        <v>0</v>
      </c>
      <c r="QPX22" s="1902">
        <f t="shared" si="190"/>
        <v>0</v>
      </c>
      <c r="QPY22" s="1902">
        <f t="shared" si="190"/>
        <v>0</v>
      </c>
      <c r="QPZ22" s="1902">
        <f t="shared" si="190"/>
        <v>0</v>
      </c>
      <c r="QQA22" s="1902">
        <f t="shared" si="190"/>
        <v>0</v>
      </c>
      <c r="QQB22" s="1902">
        <f t="shared" si="190"/>
        <v>0</v>
      </c>
      <c r="QQC22" s="1902">
        <f t="shared" si="190"/>
        <v>0</v>
      </c>
      <c r="QQD22" s="1902">
        <f t="shared" si="190"/>
        <v>0</v>
      </c>
      <c r="QQE22" s="1902">
        <f t="shared" si="190"/>
        <v>0</v>
      </c>
      <c r="QQF22" s="1902">
        <f t="shared" si="190"/>
        <v>0</v>
      </c>
      <c r="QQG22" s="1902">
        <f t="shared" si="190"/>
        <v>0</v>
      </c>
      <c r="QQH22" s="1902">
        <f t="shared" si="190"/>
        <v>0</v>
      </c>
      <c r="QQI22" s="1902">
        <f t="shared" si="190"/>
        <v>0</v>
      </c>
      <c r="QQJ22" s="1902">
        <f t="shared" si="190"/>
        <v>0</v>
      </c>
      <c r="QQK22" s="1902">
        <f t="shared" si="190"/>
        <v>0</v>
      </c>
      <c r="QQL22" s="1902">
        <f t="shared" si="190"/>
        <v>0</v>
      </c>
      <c r="QQM22" s="1902">
        <f t="shared" si="190"/>
        <v>0</v>
      </c>
      <c r="QQN22" s="1902">
        <f t="shared" si="190"/>
        <v>0</v>
      </c>
      <c r="QQO22" s="1902">
        <f t="shared" si="190"/>
        <v>0</v>
      </c>
      <c r="QQP22" s="1902">
        <f t="shared" si="190"/>
        <v>0</v>
      </c>
      <c r="QQQ22" s="1902">
        <f t="shared" si="190"/>
        <v>0</v>
      </c>
      <c r="QQR22" s="1902">
        <f t="shared" si="190"/>
        <v>0</v>
      </c>
      <c r="QQS22" s="1902">
        <f t="shared" si="190"/>
        <v>0</v>
      </c>
      <c r="QQT22" s="1902">
        <f t="shared" si="190"/>
        <v>0</v>
      </c>
      <c r="QQU22" s="1902">
        <f t="shared" si="190"/>
        <v>0</v>
      </c>
      <c r="QQV22" s="1902">
        <f t="shared" si="190"/>
        <v>0</v>
      </c>
      <c r="QQW22" s="1902">
        <f t="shared" si="190"/>
        <v>0</v>
      </c>
      <c r="QQX22" s="1902">
        <f t="shared" si="190"/>
        <v>0</v>
      </c>
      <c r="QQY22" s="1902">
        <f t="shared" si="190"/>
        <v>0</v>
      </c>
      <c r="QQZ22" s="1902">
        <f t="shared" si="190"/>
        <v>0</v>
      </c>
      <c r="QRA22" s="1902">
        <f t="shared" si="190"/>
        <v>0</v>
      </c>
      <c r="QRB22" s="1902">
        <f t="shared" si="190"/>
        <v>0</v>
      </c>
      <c r="QRC22" s="1902">
        <f t="shared" si="190"/>
        <v>0</v>
      </c>
      <c r="QRD22" s="1902">
        <f t="shared" si="190"/>
        <v>0</v>
      </c>
      <c r="QRE22" s="1902">
        <f t="shared" si="190"/>
        <v>0</v>
      </c>
      <c r="QRF22" s="1902">
        <f t="shared" si="190"/>
        <v>0</v>
      </c>
      <c r="QRG22" s="1902">
        <f t="shared" si="190"/>
        <v>0</v>
      </c>
      <c r="QRH22" s="1902">
        <f t="shared" si="190"/>
        <v>0</v>
      </c>
      <c r="QRI22" s="1902">
        <f t="shared" si="190"/>
        <v>0</v>
      </c>
      <c r="QRJ22" s="1902">
        <f t="shared" si="190"/>
        <v>0</v>
      </c>
      <c r="QRK22" s="1902">
        <f t="shared" si="190"/>
        <v>0</v>
      </c>
      <c r="QRL22" s="1902">
        <f t="shared" si="190"/>
        <v>0</v>
      </c>
      <c r="QRM22" s="1902">
        <f t="shared" si="190"/>
        <v>0</v>
      </c>
      <c r="QRN22" s="1902">
        <f t="shared" si="190"/>
        <v>0</v>
      </c>
      <c r="QRO22" s="1902">
        <f t="shared" si="190"/>
        <v>0</v>
      </c>
      <c r="QRP22" s="1902">
        <f t="shared" si="190"/>
        <v>0</v>
      </c>
      <c r="QRQ22" s="1902">
        <f t="shared" si="190"/>
        <v>0</v>
      </c>
      <c r="QRR22" s="1902">
        <f t="shared" si="190"/>
        <v>0</v>
      </c>
      <c r="QRS22" s="1902">
        <f t="shared" ref="QRS22:QUD22" si="191">IF(AND(QRS$26="End of period",QRS$25="Revenue"),QRS9,0)</f>
        <v>0</v>
      </c>
      <c r="QRT22" s="1902">
        <f t="shared" si="191"/>
        <v>0</v>
      </c>
      <c r="QRU22" s="1902">
        <f t="shared" si="191"/>
        <v>0</v>
      </c>
      <c r="QRV22" s="1902">
        <f t="shared" si="191"/>
        <v>0</v>
      </c>
      <c r="QRW22" s="1902">
        <f t="shared" si="191"/>
        <v>0</v>
      </c>
      <c r="QRX22" s="1902">
        <f t="shared" si="191"/>
        <v>0</v>
      </c>
      <c r="QRY22" s="1902">
        <f t="shared" si="191"/>
        <v>0</v>
      </c>
      <c r="QRZ22" s="1902">
        <f t="shared" si="191"/>
        <v>0</v>
      </c>
      <c r="QSA22" s="1902">
        <f t="shared" si="191"/>
        <v>0</v>
      </c>
      <c r="QSB22" s="1902">
        <f t="shared" si="191"/>
        <v>0</v>
      </c>
      <c r="QSC22" s="1902">
        <f t="shared" si="191"/>
        <v>0</v>
      </c>
      <c r="QSD22" s="1902">
        <f t="shared" si="191"/>
        <v>0</v>
      </c>
      <c r="QSE22" s="1902">
        <f t="shared" si="191"/>
        <v>0</v>
      </c>
      <c r="QSF22" s="1902">
        <f t="shared" si="191"/>
        <v>0</v>
      </c>
      <c r="QSG22" s="1902">
        <f t="shared" si="191"/>
        <v>0</v>
      </c>
      <c r="QSH22" s="1902">
        <f t="shared" si="191"/>
        <v>0</v>
      </c>
      <c r="QSI22" s="1902">
        <f t="shared" si="191"/>
        <v>0</v>
      </c>
      <c r="QSJ22" s="1902">
        <f t="shared" si="191"/>
        <v>0</v>
      </c>
      <c r="QSK22" s="1902">
        <f t="shared" si="191"/>
        <v>0</v>
      </c>
      <c r="QSL22" s="1902">
        <f t="shared" si="191"/>
        <v>0</v>
      </c>
      <c r="QSM22" s="1902">
        <f t="shared" si="191"/>
        <v>0</v>
      </c>
      <c r="QSN22" s="1902">
        <f t="shared" si="191"/>
        <v>0</v>
      </c>
      <c r="QSO22" s="1902">
        <f t="shared" si="191"/>
        <v>0</v>
      </c>
      <c r="QSP22" s="1902">
        <f t="shared" si="191"/>
        <v>0</v>
      </c>
      <c r="QSQ22" s="1902">
        <f t="shared" si="191"/>
        <v>0</v>
      </c>
      <c r="QSR22" s="1902">
        <f t="shared" si="191"/>
        <v>0</v>
      </c>
      <c r="QSS22" s="1902">
        <f t="shared" si="191"/>
        <v>0</v>
      </c>
      <c r="QST22" s="1902">
        <f t="shared" si="191"/>
        <v>0</v>
      </c>
      <c r="QSU22" s="1902">
        <f t="shared" si="191"/>
        <v>0</v>
      </c>
      <c r="QSV22" s="1902">
        <f t="shared" si="191"/>
        <v>0</v>
      </c>
      <c r="QSW22" s="1902">
        <f t="shared" si="191"/>
        <v>0</v>
      </c>
      <c r="QSX22" s="1902">
        <f t="shared" si="191"/>
        <v>0</v>
      </c>
      <c r="QSY22" s="1902">
        <f t="shared" si="191"/>
        <v>0</v>
      </c>
      <c r="QSZ22" s="1902">
        <f t="shared" si="191"/>
        <v>0</v>
      </c>
      <c r="QTA22" s="1902">
        <f t="shared" si="191"/>
        <v>0</v>
      </c>
      <c r="QTB22" s="1902">
        <f t="shared" si="191"/>
        <v>0</v>
      </c>
      <c r="QTC22" s="1902">
        <f t="shared" si="191"/>
        <v>0</v>
      </c>
      <c r="QTD22" s="1902">
        <f t="shared" si="191"/>
        <v>0</v>
      </c>
      <c r="QTE22" s="1902">
        <f t="shared" si="191"/>
        <v>0</v>
      </c>
      <c r="QTF22" s="1902">
        <f t="shared" si="191"/>
        <v>0</v>
      </c>
      <c r="QTG22" s="1902">
        <f t="shared" si="191"/>
        <v>0</v>
      </c>
      <c r="QTH22" s="1902">
        <f t="shared" si="191"/>
        <v>0</v>
      </c>
      <c r="QTI22" s="1902">
        <f t="shared" si="191"/>
        <v>0</v>
      </c>
      <c r="QTJ22" s="1902">
        <f t="shared" si="191"/>
        <v>0</v>
      </c>
      <c r="QTK22" s="1902">
        <f t="shared" si="191"/>
        <v>0</v>
      </c>
      <c r="QTL22" s="1902">
        <f t="shared" si="191"/>
        <v>0</v>
      </c>
      <c r="QTM22" s="1902">
        <f t="shared" si="191"/>
        <v>0</v>
      </c>
      <c r="QTN22" s="1902">
        <f t="shared" si="191"/>
        <v>0</v>
      </c>
      <c r="QTO22" s="1902">
        <f t="shared" si="191"/>
        <v>0</v>
      </c>
      <c r="QTP22" s="1902">
        <f t="shared" si="191"/>
        <v>0</v>
      </c>
      <c r="QTQ22" s="1902">
        <f t="shared" si="191"/>
        <v>0</v>
      </c>
      <c r="QTR22" s="1902">
        <f t="shared" si="191"/>
        <v>0</v>
      </c>
      <c r="QTS22" s="1902">
        <f t="shared" si="191"/>
        <v>0</v>
      </c>
      <c r="QTT22" s="1902">
        <f t="shared" si="191"/>
        <v>0</v>
      </c>
      <c r="QTU22" s="1902">
        <f t="shared" si="191"/>
        <v>0</v>
      </c>
      <c r="QTV22" s="1902">
        <f t="shared" si="191"/>
        <v>0</v>
      </c>
      <c r="QTW22" s="1902">
        <f t="shared" si="191"/>
        <v>0</v>
      </c>
      <c r="QTX22" s="1902">
        <f t="shared" si="191"/>
        <v>0</v>
      </c>
      <c r="QTY22" s="1902">
        <f t="shared" si="191"/>
        <v>0</v>
      </c>
      <c r="QTZ22" s="1902">
        <f t="shared" si="191"/>
        <v>0</v>
      </c>
      <c r="QUA22" s="1902">
        <f t="shared" si="191"/>
        <v>0</v>
      </c>
      <c r="QUB22" s="1902">
        <f t="shared" si="191"/>
        <v>0</v>
      </c>
      <c r="QUC22" s="1902">
        <f t="shared" si="191"/>
        <v>0</v>
      </c>
      <c r="QUD22" s="1902">
        <f t="shared" si="191"/>
        <v>0</v>
      </c>
      <c r="QUE22" s="1902">
        <f t="shared" ref="QUE22:QWP22" si="192">IF(AND(QUE$26="End of period",QUE$25="Revenue"),QUE9,0)</f>
        <v>0</v>
      </c>
      <c r="QUF22" s="1902">
        <f t="shared" si="192"/>
        <v>0</v>
      </c>
      <c r="QUG22" s="1902">
        <f t="shared" si="192"/>
        <v>0</v>
      </c>
      <c r="QUH22" s="1902">
        <f t="shared" si="192"/>
        <v>0</v>
      </c>
      <c r="QUI22" s="1902">
        <f t="shared" si="192"/>
        <v>0</v>
      </c>
      <c r="QUJ22" s="1902">
        <f t="shared" si="192"/>
        <v>0</v>
      </c>
      <c r="QUK22" s="1902">
        <f t="shared" si="192"/>
        <v>0</v>
      </c>
      <c r="QUL22" s="1902">
        <f t="shared" si="192"/>
        <v>0</v>
      </c>
      <c r="QUM22" s="1902">
        <f t="shared" si="192"/>
        <v>0</v>
      </c>
      <c r="QUN22" s="1902">
        <f t="shared" si="192"/>
        <v>0</v>
      </c>
      <c r="QUO22" s="1902">
        <f t="shared" si="192"/>
        <v>0</v>
      </c>
      <c r="QUP22" s="1902">
        <f t="shared" si="192"/>
        <v>0</v>
      </c>
      <c r="QUQ22" s="1902">
        <f t="shared" si="192"/>
        <v>0</v>
      </c>
      <c r="QUR22" s="1902">
        <f t="shared" si="192"/>
        <v>0</v>
      </c>
      <c r="QUS22" s="1902">
        <f t="shared" si="192"/>
        <v>0</v>
      </c>
      <c r="QUT22" s="1902">
        <f t="shared" si="192"/>
        <v>0</v>
      </c>
      <c r="QUU22" s="1902">
        <f t="shared" si="192"/>
        <v>0</v>
      </c>
      <c r="QUV22" s="1902">
        <f t="shared" si="192"/>
        <v>0</v>
      </c>
      <c r="QUW22" s="1902">
        <f t="shared" si="192"/>
        <v>0</v>
      </c>
      <c r="QUX22" s="1902">
        <f t="shared" si="192"/>
        <v>0</v>
      </c>
      <c r="QUY22" s="1902">
        <f t="shared" si="192"/>
        <v>0</v>
      </c>
      <c r="QUZ22" s="1902">
        <f t="shared" si="192"/>
        <v>0</v>
      </c>
      <c r="QVA22" s="1902">
        <f t="shared" si="192"/>
        <v>0</v>
      </c>
      <c r="QVB22" s="1902">
        <f t="shared" si="192"/>
        <v>0</v>
      </c>
      <c r="QVC22" s="1902">
        <f t="shared" si="192"/>
        <v>0</v>
      </c>
      <c r="QVD22" s="1902">
        <f t="shared" si="192"/>
        <v>0</v>
      </c>
      <c r="QVE22" s="1902">
        <f t="shared" si="192"/>
        <v>0</v>
      </c>
      <c r="QVF22" s="1902">
        <f t="shared" si="192"/>
        <v>0</v>
      </c>
      <c r="QVG22" s="1902">
        <f t="shared" si="192"/>
        <v>0</v>
      </c>
      <c r="QVH22" s="1902">
        <f t="shared" si="192"/>
        <v>0</v>
      </c>
      <c r="QVI22" s="1902">
        <f t="shared" si="192"/>
        <v>0</v>
      </c>
      <c r="QVJ22" s="1902">
        <f t="shared" si="192"/>
        <v>0</v>
      </c>
      <c r="QVK22" s="1902">
        <f t="shared" si="192"/>
        <v>0</v>
      </c>
      <c r="QVL22" s="1902">
        <f t="shared" si="192"/>
        <v>0</v>
      </c>
      <c r="QVM22" s="1902">
        <f t="shared" si="192"/>
        <v>0</v>
      </c>
      <c r="QVN22" s="1902">
        <f t="shared" si="192"/>
        <v>0</v>
      </c>
      <c r="QVO22" s="1902">
        <f t="shared" si="192"/>
        <v>0</v>
      </c>
      <c r="QVP22" s="1902">
        <f t="shared" si="192"/>
        <v>0</v>
      </c>
      <c r="QVQ22" s="1902">
        <f t="shared" si="192"/>
        <v>0</v>
      </c>
      <c r="QVR22" s="1902">
        <f t="shared" si="192"/>
        <v>0</v>
      </c>
      <c r="QVS22" s="1902">
        <f t="shared" si="192"/>
        <v>0</v>
      </c>
      <c r="QVT22" s="1902">
        <f t="shared" si="192"/>
        <v>0</v>
      </c>
      <c r="QVU22" s="1902">
        <f t="shared" si="192"/>
        <v>0</v>
      </c>
      <c r="QVV22" s="1902">
        <f t="shared" si="192"/>
        <v>0</v>
      </c>
      <c r="QVW22" s="1902">
        <f t="shared" si="192"/>
        <v>0</v>
      </c>
      <c r="QVX22" s="1902">
        <f t="shared" si="192"/>
        <v>0</v>
      </c>
      <c r="QVY22" s="1902">
        <f t="shared" si="192"/>
        <v>0</v>
      </c>
      <c r="QVZ22" s="1902">
        <f t="shared" si="192"/>
        <v>0</v>
      </c>
      <c r="QWA22" s="1902">
        <f t="shared" si="192"/>
        <v>0</v>
      </c>
      <c r="QWB22" s="1902">
        <f t="shared" si="192"/>
        <v>0</v>
      </c>
      <c r="QWC22" s="1902">
        <f t="shared" si="192"/>
        <v>0</v>
      </c>
      <c r="QWD22" s="1902">
        <f t="shared" si="192"/>
        <v>0</v>
      </c>
      <c r="QWE22" s="1902">
        <f t="shared" si="192"/>
        <v>0</v>
      </c>
      <c r="QWF22" s="1902">
        <f t="shared" si="192"/>
        <v>0</v>
      </c>
      <c r="QWG22" s="1902">
        <f t="shared" si="192"/>
        <v>0</v>
      </c>
      <c r="QWH22" s="1902">
        <f t="shared" si="192"/>
        <v>0</v>
      </c>
      <c r="QWI22" s="1902">
        <f t="shared" si="192"/>
        <v>0</v>
      </c>
      <c r="QWJ22" s="1902">
        <f t="shared" si="192"/>
        <v>0</v>
      </c>
      <c r="QWK22" s="1902">
        <f t="shared" si="192"/>
        <v>0</v>
      </c>
      <c r="QWL22" s="1902">
        <f t="shared" si="192"/>
        <v>0</v>
      </c>
      <c r="QWM22" s="1902">
        <f t="shared" si="192"/>
        <v>0</v>
      </c>
      <c r="QWN22" s="1902">
        <f t="shared" si="192"/>
        <v>0</v>
      </c>
      <c r="QWO22" s="1902">
        <f t="shared" si="192"/>
        <v>0</v>
      </c>
      <c r="QWP22" s="1902">
        <f t="shared" si="192"/>
        <v>0</v>
      </c>
      <c r="QWQ22" s="1902">
        <f t="shared" ref="QWQ22:QZB22" si="193">IF(AND(QWQ$26="End of period",QWQ$25="Revenue"),QWQ9,0)</f>
        <v>0</v>
      </c>
      <c r="QWR22" s="1902">
        <f t="shared" si="193"/>
        <v>0</v>
      </c>
      <c r="QWS22" s="1902">
        <f t="shared" si="193"/>
        <v>0</v>
      </c>
      <c r="QWT22" s="1902">
        <f t="shared" si="193"/>
        <v>0</v>
      </c>
      <c r="QWU22" s="1902">
        <f t="shared" si="193"/>
        <v>0</v>
      </c>
      <c r="QWV22" s="1902">
        <f t="shared" si="193"/>
        <v>0</v>
      </c>
      <c r="QWW22" s="1902">
        <f t="shared" si="193"/>
        <v>0</v>
      </c>
      <c r="QWX22" s="1902">
        <f t="shared" si="193"/>
        <v>0</v>
      </c>
      <c r="QWY22" s="1902">
        <f t="shared" si="193"/>
        <v>0</v>
      </c>
      <c r="QWZ22" s="1902">
        <f t="shared" si="193"/>
        <v>0</v>
      </c>
      <c r="QXA22" s="1902">
        <f t="shared" si="193"/>
        <v>0</v>
      </c>
      <c r="QXB22" s="1902">
        <f t="shared" si="193"/>
        <v>0</v>
      </c>
      <c r="QXC22" s="1902">
        <f t="shared" si="193"/>
        <v>0</v>
      </c>
      <c r="QXD22" s="1902">
        <f t="shared" si="193"/>
        <v>0</v>
      </c>
      <c r="QXE22" s="1902">
        <f t="shared" si="193"/>
        <v>0</v>
      </c>
      <c r="QXF22" s="1902">
        <f t="shared" si="193"/>
        <v>0</v>
      </c>
      <c r="QXG22" s="1902">
        <f t="shared" si="193"/>
        <v>0</v>
      </c>
      <c r="QXH22" s="1902">
        <f t="shared" si="193"/>
        <v>0</v>
      </c>
      <c r="QXI22" s="1902">
        <f t="shared" si="193"/>
        <v>0</v>
      </c>
      <c r="QXJ22" s="1902">
        <f t="shared" si="193"/>
        <v>0</v>
      </c>
      <c r="QXK22" s="1902">
        <f t="shared" si="193"/>
        <v>0</v>
      </c>
      <c r="QXL22" s="1902">
        <f t="shared" si="193"/>
        <v>0</v>
      </c>
      <c r="QXM22" s="1902">
        <f t="shared" si="193"/>
        <v>0</v>
      </c>
      <c r="QXN22" s="1902">
        <f t="shared" si="193"/>
        <v>0</v>
      </c>
      <c r="QXO22" s="1902">
        <f t="shared" si="193"/>
        <v>0</v>
      </c>
      <c r="QXP22" s="1902">
        <f t="shared" si="193"/>
        <v>0</v>
      </c>
      <c r="QXQ22" s="1902">
        <f t="shared" si="193"/>
        <v>0</v>
      </c>
      <c r="QXR22" s="1902">
        <f t="shared" si="193"/>
        <v>0</v>
      </c>
      <c r="QXS22" s="1902">
        <f t="shared" si="193"/>
        <v>0</v>
      </c>
      <c r="QXT22" s="1902">
        <f t="shared" si="193"/>
        <v>0</v>
      </c>
      <c r="QXU22" s="1902">
        <f t="shared" si="193"/>
        <v>0</v>
      </c>
      <c r="QXV22" s="1902">
        <f t="shared" si="193"/>
        <v>0</v>
      </c>
      <c r="QXW22" s="1902">
        <f t="shared" si="193"/>
        <v>0</v>
      </c>
      <c r="QXX22" s="1902">
        <f t="shared" si="193"/>
        <v>0</v>
      </c>
      <c r="QXY22" s="1902">
        <f t="shared" si="193"/>
        <v>0</v>
      </c>
      <c r="QXZ22" s="1902">
        <f t="shared" si="193"/>
        <v>0</v>
      </c>
      <c r="QYA22" s="1902">
        <f t="shared" si="193"/>
        <v>0</v>
      </c>
      <c r="QYB22" s="1902">
        <f t="shared" si="193"/>
        <v>0</v>
      </c>
      <c r="QYC22" s="1902">
        <f t="shared" si="193"/>
        <v>0</v>
      </c>
      <c r="QYD22" s="1902">
        <f t="shared" si="193"/>
        <v>0</v>
      </c>
      <c r="QYE22" s="1902">
        <f t="shared" si="193"/>
        <v>0</v>
      </c>
      <c r="QYF22" s="1902">
        <f t="shared" si="193"/>
        <v>0</v>
      </c>
      <c r="QYG22" s="1902">
        <f t="shared" si="193"/>
        <v>0</v>
      </c>
      <c r="QYH22" s="1902">
        <f t="shared" si="193"/>
        <v>0</v>
      </c>
      <c r="QYI22" s="1902">
        <f t="shared" si="193"/>
        <v>0</v>
      </c>
      <c r="QYJ22" s="1902">
        <f t="shared" si="193"/>
        <v>0</v>
      </c>
      <c r="QYK22" s="1902">
        <f t="shared" si="193"/>
        <v>0</v>
      </c>
      <c r="QYL22" s="1902">
        <f t="shared" si="193"/>
        <v>0</v>
      </c>
      <c r="QYM22" s="1902">
        <f t="shared" si="193"/>
        <v>0</v>
      </c>
      <c r="QYN22" s="1902">
        <f t="shared" si="193"/>
        <v>0</v>
      </c>
      <c r="QYO22" s="1902">
        <f t="shared" si="193"/>
        <v>0</v>
      </c>
      <c r="QYP22" s="1902">
        <f t="shared" si="193"/>
        <v>0</v>
      </c>
      <c r="QYQ22" s="1902">
        <f t="shared" si="193"/>
        <v>0</v>
      </c>
      <c r="QYR22" s="1902">
        <f t="shared" si="193"/>
        <v>0</v>
      </c>
      <c r="QYS22" s="1902">
        <f t="shared" si="193"/>
        <v>0</v>
      </c>
      <c r="QYT22" s="1902">
        <f t="shared" si="193"/>
        <v>0</v>
      </c>
      <c r="QYU22" s="1902">
        <f t="shared" si="193"/>
        <v>0</v>
      </c>
      <c r="QYV22" s="1902">
        <f t="shared" si="193"/>
        <v>0</v>
      </c>
      <c r="QYW22" s="1902">
        <f t="shared" si="193"/>
        <v>0</v>
      </c>
      <c r="QYX22" s="1902">
        <f t="shared" si="193"/>
        <v>0</v>
      </c>
      <c r="QYY22" s="1902">
        <f t="shared" si="193"/>
        <v>0</v>
      </c>
      <c r="QYZ22" s="1902">
        <f t="shared" si="193"/>
        <v>0</v>
      </c>
      <c r="QZA22" s="1902">
        <f t="shared" si="193"/>
        <v>0</v>
      </c>
      <c r="QZB22" s="1902">
        <f t="shared" si="193"/>
        <v>0</v>
      </c>
      <c r="QZC22" s="1902">
        <f t="shared" ref="QZC22:RBN22" si="194">IF(AND(QZC$26="End of period",QZC$25="Revenue"),QZC9,0)</f>
        <v>0</v>
      </c>
      <c r="QZD22" s="1902">
        <f t="shared" si="194"/>
        <v>0</v>
      </c>
      <c r="QZE22" s="1902">
        <f t="shared" si="194"/>
        <v>0</v>
      </c>
      <c r="QZF22" s="1902">
        <f t="shared" si="194"/>
        <v>0</v>
      </c>
      <c r="QZG22" s="1902">
        <f t="shared" si="194"/>
        <v>0</v>
      </c>
      <c r="QZH22" s="1902">
        <f t="shared" si="194"/>
        <v>0</v>
      </c>
      <c r="QZI22" s="1902">
        <f t="shared" si="194"/>
        <v>0</v>
      </c>
      <c r="QZJ22" s="1902">
        <f t="shared" si="194"/>
        <v>0</v>
      </c>
      <c r="QZK22" s="1902">
        <f t="shared" si="194"/>
        <v>0</v>
      </c>
      <c r="QZL22" s="1902">
        <f t="shared" si="194"/>
        <v>0</v>
      </c>
      <c r="QZM22" s="1902">
        <f t="shared" si="194"/>
        <v>0</v>
      </c>
      <c r="QZN22" s="1902">
        <f t="shared" si="194"/>
        <v>0</v>
      </c>
      <c r="QZO22" s="1902">
        <f t="shared" si="194"/>
        <v>0</v>
      </c>
      <c r="QZP22" s="1902">
        <f t="shared" si="194"/>
        <v>0</v>
      </c>
      <c r="QZQ22" s="1902">
        <f t="shared" si="194"/>
        <v>0</v>
      </c>
      <c r="QZR22" s="1902">
        <f t="shared" si="194"/>
        <v>0</v>
      </c>
      <c r="QZS22" s="1902">
        <f t="shared" si="194"/>
        <v>0</v>
      </c>
      <c r="QZT22" s="1902">
        <f t="shared" si="194"/>
        <v>0</v>
      </c>
      <c r="QZU22" s="1902">
        <f t="shared" si="194"/>
        <v>0</v>
      </c>
      <c r="QZV22" s="1902">
        <f t="shared" si="194"/>
        <v>0</v>
      </c>
      <c r="QZW22" s="1902">
        <f t="shared" si="194"/>
        <v>0</v>
      </c>
      <c r="QZX22" s="1902">
        <f t="shared" si="194"/>
        <v>0</v>
      </c>
      <c r="QZY22" s="1902">
        <f t="shared" si="194"/>
        <v>0</v>
      </c>
      <c r="QZZ22" s="1902">
        <f t="shared" si="194"/>
        <v>0</v>
      </c>
      <c r="RAA22" s="1902">
        <f t="shared" si="194"/>
        <v>0</v>
      </c>
      <c r="RAB22" s="1902">
        <f t="shared" si="194"/>
        <v>0</v>
      </c>
      <c r="RAC22" s="1902">
        <f t="shared" si="194"/>
        <v>0</v>
      </c>
      <c r="RAD22" s="1902">
        <f t="shared" si="194"/>
        <v>0</v>
      </c>
      <c r="RAE22" s="1902">
        <f t="shared" si="194"/>
        <v>0</v>
      </c>
      <c r="RAF22" s="1902">
        <f t="shared" si="194"/>
        <v>0</v>
      </c>
      <c r="RAG22" s="1902">
        <f t="shared" si="194"/>
        <v>0</v>
      </c>
      <c r="RAH22" s="1902">
        <f t="shared" si="194"/>
        <v>0</v>
      </c>
      <c r="RAI22" s="1902">
        <f t="shared" si="194"/>
        <v>0</v>
      </c>
      <c r="RAJ22" s="1902">
        <f t="shared" si="194"/>
        <v>0</v>
      </c>
      <c r="RAK22" s="1902">
        <f t="shared" si="194"/>
        <v>0</v>
      </c>
      <c r="RAL22" s="1902">
        <f t="shared" si="194"/>
        <v>0</v>
      </c>
      <c r="RAM22" s="1902">
        <f t="shared" si="194"/>
        <v>0</v>
      </c>
      <c r="RAN22" s="1902">
        <f t="shared" si="194"/>
        <v>0</v>
      </c>
      <c r="RAO22" s="1902">
        <f t="shared" si="194"/>
        <v>0</v>
      </c>
      <c r="RAP22" s="1902">
        <f t="shared" si="194"/>
        <v>0</v>
      </c>
      <c r="RAQ22" s="1902">
        <f t="shared" si="194"/>
        <v>0</v>
      </c>
      <c r="RAR22" s="1902">
        <f t="shared" si="194"/>
        <v>0</v>
      </c>
      <c r="RAS22" s="1902">
        <f t="shared" si="194"/>
        <v>0</v>
      </c>
      <c r="RAT22" s="1902">
        <f t="shared" si="194"/>
        <v>0</v>
      </c>
      <c r="RAU22" s="1902">
        <f t="shared" si="194"/>
        <v>0</v>
      </c>
      <c r="RAV22" s="1902">
        <f t="shared" si="194"/>
        <v>0</v>
      </c>
      <c r="RAW22" s="1902">
        <f t="shared" si="194"/>
        <v>0</v>
      </c>
      <c r="RAX22" s="1902">
        <f t="shared" si="194"/>
        <v>0</v>
      </c>
      <c r="RAY22" s="1902">
        <f t="shared" si="194"/>
        <v>0</v>
      </c>
      <c r="RAZ22" s="1902">
        <f t="shared" si="194"/>
        <v>0</v>
      </c>
      <c r="RBA22" s="1902">
        <f t="shared" si="194"/>
        <v>0</v>
      </c>
      <c r="RBB22" s="1902">
        <f t="shared" si="194"/>
        <v>0</v>
      </c>
      <c r="RBC22" s="1902">
        <f t="shared" si="194"/>
        <v>0</v>
      </c>
      <c r="RBD22" s="1902">
        <f t="shared" si="194"/>
        <v>0</v>
      </c>
      <c r="RBE22" s="1902">
        <f t="shared" si="194"/>
        <v>0</v>
      </c>
      <c r="RBF22" s="1902">
        <f t="shared" si="194"/>
        <v>0</v>
      </c>
      <c r="RBG22" s="1902">
        <f t="shared" si="194"/>
        <v>0</v>
      </c>
      <c r="RBH22" s="1902">
        <f t="shared" si="194"/>
        <v>0</v>
      </c>
      <c r="RBI22" s="1902">
        <f t="shared" si="194"/>
        <v>0</v>
      </c>
      <c r="RBJ22" s="1902">
        <f t="shared" si="194"/>
        <v>0</v>
      </c>
      <c r="RBK22" s="1902">
        <f t="shared" si="194"/>
        <v>0</v>
      </c>
      <c r="RBL22" s="1902">
        <f t="shared" si="194"/>
        <v>0</v>
      </c>
      <c r="RBM22" s="1902">
        <f t="shared" si="194"/>
        <v>0</v>
      </c>
      <c r="RBN22" s="1902">
        <f t="shared" si="194"/>
        <v>0</v>
      </c>
      <c r="RBO22" s="1902">
        <f t="shared" ref="RBO22:RDZ22" si="195">IF(AND(RBO$26="End of period",RBO$25="Revenue"),RBO9,0)</f>
        <v>0</v>
      </c>
      <c r="RBP22" s="1902">
        <f t="shared" si="195"/>
        <v>0</v>
      </c>
      <c r="RBQ22" s="1902">
        <f t="shared" si="195"/>
        <v>0</v>
      </c>
      <c r="RBR22" s="1902">
        <f t="shared" si="195"/>
        <v>0</v>
      </c>
      <c r="RBS22" s="1902">
        <f t="shared" si="195"/>
        <v>0</v>
      </c>
      <c r="RBT22" s="1902">
        <f t="shared" si="195"/>
        <v>0</v>
      </c>
      <c r="RBU22" s="1902">
        <f t="shared" si="195"/>
        <v>0</v>
      </c>
      <c r="RBV22" s="1902">
        <f t="shared" si="195"/>
        <v>0</v>
      </c>
      <c r="RBW22" s="1902">
        <f t="shared" si="195"/>
        <v>0</v>
      </c>
      <c r="RBX22" s="1902">
        <f t="shared" si="195"/>
        <v>0</v>
      </c>
      <c r="RBY22" s="1902">
        <f t="shared" si="195"/>
        <v>0</v>
      </c>
      <c r="RBZ22" s="1902">
        <f t="shared" si="195"/>
        <v>0</v>
      </c>
      <c r="RCA22" s="1902">
        <f t="shared" si="195"/>
        <v>0</v>
      </c>
      <c r="RCB22" s="1902">
        <f t="shared" si="195"/>
        <v>0</v>
      </c>
      <c r="RCC22" s="1902">
        <f t="shared" si="195"/>
        <v>0</v>
      </c>
      <c r="RCD22" s="1902">
        <f t="shared" si="195"/>
        <v>0</v>
      </c>
      <c r="RCE22" s="1902">
        <f t="shared" si="195"/>
        <v>0</v>
      </c>
      <c r="RCF22" s="1902">
        <f t="shared" si="195"/>
        <v>0</v>
      </c>
      <c r="RCG22" s="1902">
        <f t="shared" si="195"/>
        <v>0</v>
      </c>
      <c r="RCH22" s="1902">
        <f t="shared" si="195"/>
        <v>0</v>
      </c>
      <c r="RCI22" s="1902">
        <f t="shared" si="195"/>
        <v>0</v>
      </c>
      <c r="RCJ22" s="1902">
        <f t="shared" si="195"/>
        <v>0</v>
      </c>
      <c r="RCK22" s="1902">
        <f t="shared" si="195"/>
        <v>0</v>
      </c>
      <c r="RCL22" s="1902">
        <f t="shared" si="195"/>
        <v>0</v>
      </c>
      <c r="RCM22" s="1902">
        <f t="shared" si="195"/>
        <v>0</v>
      </c>
      <c r="RCN22" s="1902">
        <f t="shared" si="195"/>
        <v>0</v>
      </c>
      <c r="RCO22" s="1902">
        <f t="shared" si="195"/>
        <v>0</v>
      </c>
      <c r="RCP22" s="1902">
        <f t="shared" si="195"/>
        <v>0</v>
      </c>
      <c r="RCQ22" s="1902">
        <f t="shared" si="195"/>
        <v>0</v>
      </c>
      <c r="RCR22" s="1902">
        <f t="shared" si="195"/>
        <v>0</v>
      </c>
      <c r="RCS22" s="1902">
        <f t="shared" si="195"/>
        <v>0</v>
      </c>
      <c r="RCT22" s="1902">
        <f t="shared" si="195"/>
        <v>0</v>
      </c>
      <c r="RCU22" s="1902">
        <f t="shared" si="195"/>
        <v>0</v>
      </c>
      <c r="RCV22" s="1902">
        <f t="shared" si="195"/>
        <v>0</v>
      </c>
      <c r="RCW22" s="1902">
        <f t="shared" si="195"/>
        <v>0</v>
      </c>
      <c r="RCX22" s="1902">
        <f t="shared" si="195"/>
        <v>0</v>
      </c>
      <c r="RCY22" s="1902">
        <f t="shared" si="195"/>
        <v>0</v>
      </c>
      <c r="RCZ22" s="1902">
        <f t="shared" si="195"/>
        <v>0</v>
      </c>
      <c r="RDA22" s="1902">
        <f t="shared" si="195"/>
        <v>0</v>
      </c>
      <c r="RDB22" s="1902">
        <f t="shared" si="195"/>
        <v>0</v>
      </c>
      <c r="RDC22" s="1902">
        <f t="shared" si="195"/>
        <v>0</v>
      </c>
      <c r="RDD22" s="1902">
        <f t="shared" si="195"/>
        <v>0</v>
      </c>
      <c r="RDE22" s="1902">
        <f t="shared" si="195"/>
        <v>0</v>
      </c>
      <c r="RDF22" s="1902">
        <f t="shared" si="195"/>
        <v>0</v>
      </c>
      <c r="RDG22" s="1902">
        <f t="shared" si="195"/>
        <v>0</v>
      </c>
      <c r="RDH22" s="1902">
        <f t="shared" si="195"/>
        <v>0</v>
      </c>
      <c r="RDI22" s="1902">
        <f t="shared" si="195"/>
        <v>0</v>
      </c>
      <c r="RDJ22" s="1902">
        <f t="shared" si="195"/>
        <v>0</v>
      </c>
      <c r="RDK22" s="1902">
        <f t="shared" si="195"/>
        <v>0</v>
      </c>
      <c r="RDL22" s="1902">
        <f t="shared" si="195"/>
        <v>0</v>
      </c>
      <c r="RDM22" s="1902">
        <f t="shared" si="195"/>
        <v>0</v>
      </c>
      <c r="RDN22" s="1902">
        <f t="shared" si="195"/>
        <v>0</v>
      </c>
      <c r="RDO22" s="1902">
        <f t="shared" si="195"/>
        <v>0</v>
      </c>
      <c r="RDP22" s="1902">
        <f t="shared" si="195"/>
        <v>0</v>
      </c>
      <c r="RDQ22" s="1902">
        <f t="shared" si="195"/>
        <v>0</v>
      </c>
      <c r="RDR22" s="1902">
        <f t="shared" si="195"/>
        <v>0</v>
      </c>
      <c r="RDS22" s="1902">
        <f t="shared" si="195"/>
        <v>0</v>
      </c>
      <c r="RDT22" s="1902">
        <f t="shared" si="195"/>
        <v>0</v>
      </c>
      <c r="RDU22" s="1902">
        <f t="shared" si="195"/>
        <v>0</v>
      </c>
      <c r="RDV22" s="1902">
        <f t="shared" si="195"/>
        <v>0</v>
      </c>
      <c r="RDW22" s="1902">
        <f t="shared" si="195"/>
        <v>0</v>
      </c>
      <c r="RDX22" s="1902">
        <f t="shared" si="195"/>
        <v>0</v>
      </c>
      <c r="RDY22" s="1902">
        <f t="shared" si="195"/>
        <v>0</v>
      </c>
      <c r="RDZ22" s="1902">
        <f t="shared" si="195"/>
        <v>0</v>
      </c>
      <c r="REA22" s="1902">
        <f t="shared" ref="REA22:RGL22" si="196">IF(AND(REA$26="End of period",REA$25="Revenue"),REA9,0)</f>
        <v>0</v>
      </c>
      <c r="REB22" s="1902">
        <f t="shared" si="196"/>
        <v>0</v>
      </c>
      <c r="REC22" s="1902">
        <f t="shared" si="196"/>
        <v>0</v>
      </c>
      <c r="RED22" s="1902">
        <f t="shared" si="196"/>
        <v>0</v>
      </c>
      <c r="REE22" s="1902">
        <f t="shared" si="196"/>
        <v>0</v>
      </c>
      <c r="REF22" s="1902">
        <f t="shared" si="196"/>
        <v>0</v>
      </c>
      <c r="REG22" s="1902">
        <f t="shared" si="196"/>
        <v>0</v>
      </c>
      <c r="REH22" s="1902">
        <f t="shared" si="196"/>
        <v>0</v>
      </c>
      <c r="REI22" s="1902">
        <f t="shared" si="196"/>
        <v>0</v>
      </c>
      <c r="REJ22" s="1902">
        <f t="shared" si="196"/>
        <v>0</v>
      </c>
      <c r="REK22" s="1902">
        <f t="shared" si="196"/>
        <v>0</v>
      </c>
      <c r="REL22" s="1902">
        <f t="shared" si="196"/>
        <v>0</v>
      </c>
      <c r="REM22" s="1902">
        <f t="shared" si="196"/>
        <v>0</v>
      </c>
      <c r="REN22" s="1902">
        <f t="shared" si="196"/>
        <v>0</v>
      </c>
      <c r="REO22" s="1902">
        <f t="shared" si="196"/>
        <v>0</v>
      </c>
      <c r="REP22" s="1902">
        <f t="shared" si="196"/>
        <v>0</v>
      </c>
      <c r="REQ22" s="1902">
        <f t="shared" si="196"/>
        <v>0</v>
      </c>
      <c r="RER22" s="1902">
        <f t="shared" si="196"/>
        <v>0</v>
      </c>
      <c r="RES22" s="1902">
        <f t="shared" si="196"/>
        <v>0</v>
      </c>
      <c r="RET22" s="1902">
        <f t="shared" si="196"/>
        <v>0</v>
      </c>
      <c r="REU22" s="1902">
        <f t="shared" si="196"/>
        <v>0</v>
      </c>
      <c r="REV22" s="1902">
        <f t="shared" si="196"/>
        <v>0</v>
      </c>
      <c r="REW22" s="1902">
        <f t="shared" si="196"/>
        <v>0</v>
      </c>
      <c r="REX22" s="1902">
        <f t="shared" si="196"/>
        <v>0</v>
      </c>
      <c r="REY22" s="1902">
        <f t="shared" si="196"/>
        <v>0</v>
      </c>
      <c r="REZ22" s="1902">
        <f t="shared" si="196"/>
        <v>0</v>
      </c>
      <c r="RFA22" s="1902">
        <f t="shared" si="196"/>
        <v>0</v>
      </c>
      <c r="RFB22" s="1902">
        <f t="shared" si="196"/>
        <v>0</v>
      </c>
      <c r="RFC22" s="1902">
        <f t="shared" si="196"/>
        <v>0</v>
      </c>
      <c r="RFD22" s="1902">
        <f t="shared" si="196"/>
        <v>0</v>
      </c>
      <c r="RFE22" s="1902">
        <f t="shared" si="196"/>
        <v>0</v>
      </c>
      <c r="RFF22" s="1902">
        <f t="shared" si="196"/>
        <v>0</v>
      </c>
      <c r="RFG22" s="1902">
        <f t="shared" si="196"/>
        <v>0</v>
      </c>
      <c r="RFH22" s="1902">
        <f t="shared" si="196"/>
        <v>0</v>
      </c>
      <c r="RFI22" s="1902">
        <f t="shared" si="196"/>
        <v>0</v>
      </c>
      <c r="RFJ22" s="1902">
        <f t="shared" si="196"/>
        <v>0</v>
      </c>
      <c r="RFK22" s="1902">
        <f t="shared" si="196"/>
        <v>0</v>
      </c>
      <c r="RFL22" s="1902">
        <f t="shared" si="196"/>
        <v>0</v>
      </c>
      <c r="RFM22" s="1902">
        <f t="shared" si="196"/>
        <v>0</v>
      </c>
      <c r="RFN22" s="1902">
        <f t="shared" si="196"/>
        <v>0</v>
      </c>
      <c r="RFO22" s="1902">
        <f t="shared" si="196"/>
        <v>0</v>
      </c>
      <c r="RFP22" s="1902">
        <f t="shared" si="196"/>
        <v>0</v>
      </c>
      <c r="RFQ22" s="1902">
        <f t="shared" si="196"/>
        <v>0</v>
      </c>
      <c r="RFR22" s="1902">
        <f t="shared" si="196"/>
        <v>0</v>
      </c>
      <c r="RFS22" s="1902">
        <f t="shared" si="196"/>
        <v>0</v>
      </c>
      <c r="RFT22" s="1902">
        <f t="shared" si="196"/>
        <v>0</v>
      </c>
      <c r="RFU22" s="1902">
        <f t="shared" si="196"/>
        <v>0</v>
      </c>
      <c r="RFV22" s="1902">
        <f t="shared" si="196"/>
        <v>0</v>
      </c>
      <c r="RFW22" s="1902">
        <f t="shared" si="196"/>
        <v>0</v>
      </c>
      <c r="RFX22" s="1902">
        <f t="shared" si="196"/>
        <v>0</v>
      </c>
      <c r="RFY22" s="1902">
        <f t="shared" si="196"/>
        <v>0</v>
      </c>
      <c r="RFZ22" s="1902">
        <f t="shared" si="196"/>
        <v>0</v>
      </c>
      <c r="RGA22" s="1902">
        <f t="shared" si="196"/>
        <v>0</v>
      </c>
      <c r="RGB22" s="1902">
        <f t="shared" si="196"/>
        <v>0</v>
      </c>
      <c r="RGC22" s="1902">
        <f t="shared" si="196"/>
        <v>0</v>
      </c>
      <c r="RGD22" s="1902">
        <f t="shared" si="196"/>
        <v>0</v>
      </c>
      <c r="RGE22" s="1902">
        <f t="shared" si="196"/>
        <v>0</v>
      </c>
      <c r="RGF22" s="1902">
        <f t="shared" si="196"/>
        <v>0</v>
      </c>
      <c r="RGG22" s="1902">
        <f t="shared" si="196"/>
        <v>0</v>
      </c>
      <c r="RGH22" s="1902">
        <f t="shared" si="196"/>
        <v>0</v>
      </c>
      <c r="RGI22" s="1902">
        <f t="shared" si="196"/>
        <v>0</v>
      </c>
      <c r="RGJ22" s="1902">
        <f t="shared" si="196"/>
        <v>0</v>
      </c>
      <c r="RGK22" s="1902">
        <f t="shared" si="196"/>
        <v>0</v>
      </c>
      <c r="RGL22" s="1902">
        <f t="shared" si="196"/>
        <v>0</v>
      </c>
      <c r="RGM22" s="1902">
        <f t="shared" ref="RGM22:RIX22" si="197">IF(AND(RGM$26="End of period",RGM$25="Revenue"),RGM9,0)</f>
        <v>0</v>
      </c>
      <c r="RGN22" s="1902">
        <f t="shared" si="197"/>
        <v>0</v>
      </c>
      <c r="RGO22" s="1902">
        <f t="shared" si="197"/>
        <v>0</v>
      </c>
      <c r="RGP22" s="1902">
        <f t="shared" si="197"/>
        <v>0</v>
      </c>
      <c r="RGQ22" s="1902">
        <f t="shared" si="197"/>
        <v>0</v>
      </c>
      <c r="RGR22" s="1902">
        <f t="shared" si="197"/>
        <v>0</v>
      </c>
      <c r="RGS22" s="1902">
        <f t="shared" si="197"/>
        <v>0</v>
      </c>
      <c r="RGT22" s="1902">
        <f t="shared" si="197"/>
        <v>0</v>
      </c>
      <c r="RGU22" s="1902">
        <f t="shared" si="197"/>
        <v>0</v>
      </c>
      <c r="RGV22" s="1902">
        <f t="shared" si="197"/>
        <v>0</v>
      </c>
      <c r="RGW22" s="1902">
        <f t="shared" si="197"/>
        <v>0</v>
      </c>
      <c r="RGX22" s="1902">
        <f t="shared" si="197"/>
        <v>0</v>
      </c>
      <c r="RGY22" s="1902">
        <f t="shared" si="197"/>
        <v>0</v>
      </c>
      <c r="RGZ22" s="1902">
        <f t="shared" si="197"/>
        <v>0</v>
      </c>
      <c r="RHA22" s="1902">
        <f t="shared" si="197"/>
        <v>0</v>
      </c>
      <c r="RHB22" s="1902">
        <f t="shared" si="197"/>
        <v>0</v>
      </c>
      <c r="RHC22" s="1902">
        <f t="shared" si="197"/>
        <v>0</v>
      </c>
      <c r="RHD22" s="1902">
        <f t="shared" si="197"/>
        <v>0</v>
      </c>
      <c r="RHE22" s="1902">
        <f t="shared" si="197"/>
        <v>0</v>
      </c>
      <c r="RHF22" s="1902">
        <f t="shared" si="197"/>
        <v>0</v>
      </c>
      <c r="RHG22" s="1902">
        <f t="shared" si="197"/>
        <v>0</v>
      </c>
      <c r="RHH22" s="1902">
        <f t="shared" si="197"/>
        <v>0</v>
      </c>
      <c r="RHI22" s="1902">
        <f t="shared" si="197"/>
        <v>0</v>
      </c>
      <c r="RHJ22" s="1902">
        <f t="shared" si="197"/>
        <v>0</v>
      </c>
      <c r="RHK22" s="1902">
        <f t="shared" si="197"/>
        <v>0</v>
      </c>
      <c r="RHL22" s="1902">
        <f t="shared" si="197"/>
        <v>0</v>
      </c>
      <c r="RHM22" s="1902">
        <f t="shared" si="197"/>
        <v>0</v>
      </c>
      <c r="RHN22" s="1902">
        <f t="shared" si="197"/>
        <v>0</v>
      </c>
      <c r="RHO22" s="1902">
        <f t="shared" si="197"/>
        <v>0</v>
      </c>
      <c r="RHP22" s="1902">
        <f t="shared" si="197"/>
        <v>0</v>
      </c>
      <c r="RHQ22" s="1902">
        <f t="shared" si="197"/>
        <v>0</v>
      </c>
      <c r="RHR22" s="1902">
        <f t="shared" si="197"/>
        <v>0</v>
      </c>
      <c r="RHS22" s="1902">
        <f t="shared" si="197"/>
        <v>0</v>
      </c>
      <c r="RHT22" s="1902">
        <f t="shared" si="197"/>
        <v>0</v>
      </c>
      <c r="RHU22" s="1902">
        <f t="shared" si="197"/>
        <v>0</v>
      </c>
      <c r="RHV22" s="1902">
        <f t="shared" si="197"/>
        <v>0</v>
      </c>
      <c r="RHW22" s="1902">
        <f t="shared" si="197"/>
        <v>0</v>
      </c>
      <c r="RHX22" s="1902">
        <f t="shared" si="197"/>
        <v>0</v>
      </c>
      <c r="RHY22" s="1902">
        <f t="shared" si="197"/>
        <v>0</v>
      </c>
      <c r="RHZ22" s="1902">
        <f t="shared" si="197"/>
        <v>0</v>
      </c>
      <c r="RIA22" s="1902">
        <f t="shared" si="197"/>
        <v>0</v>
      </c>
      <c r="RIB22" s="1902">
        <f t="shared" si="197"/>
        <v>0</v>
      </c>
      <c r="RIC22" s="1902">
        <f t="shared" si="197"/>
        <v>0</v>
      </c>
      <c r="RID22" s="1902">
        <f t="shared" si="197"/>
        <v>0</v>
      </c>
      <c r="RIE22" s="1902">
        <f t="shared" si="197"/>
        <v>0</v>
      </c>
      <c r="RIF22" s="1902">
        <f t="shared" si="197"/>
        <v>0</v>
      </c>
      <c r="RIG22" s="1902">
        <f t="shared" si="197"/>
        <v>0</v>
      </c>
      <c r="RIH22" s="1902">
        <f t="shared" si="197"/>
        <v>0</v>
      </c>
      <c r="RII22" s="1902">
        <f t="shared" si="197"/>
        <v>0</v>
      </c>
      <c r="RIJ22" s="1902">
        <f t="shared" si="197"/>
        <v>0</v>
      </c>
      <c r="RIK22" s="1902">
        <f t="shared" si="197"/>
        <v>0</v>
      </c>
      <c r="RIL22" s="1902">
        <f t="shared" si="197"/>
        <v>0</v>
      </c>
      <c r="RIM22" s="1902">
        <f t="shared" si="197"/>
        <v>0</v>
      </c>
      <c r="RIN22" s="1902">
        <f t="shared" si="197"/>
        <v>0</v>
      </c>
      <c r="RIO22" s="1902">
        <f t="shared" si="197"/>
        <v>0</v>
      </c>
      <c r="RIP22" s="1902">
        <f t="shared" si="197"/>
        <v>0</v>
      </c>
      <c r="RIQ22" s="1902">
        <f t="shared" si="197"/>
        <v>0</v>
      </c>
      <c r="RIR22" s="1902">
        <f t="shared" si="197"/>
        <v>0</v>
      </c>
      <c r="RIS22" s="1902">
        <f t="shared" si="197"/>
        <v>0</v>
      </c>
      <c r="RIT22" s="1902">
        <f t="shared" si="197"/>
        <v>0</v>
      </c>
      <c r="RIU22" s="1902">
        <f t="shared" si="197"/>
        <v>0</v>
      </c>
      <c r="RIV22" s="1902">
        <f t="shared" si="197"/>
        <v>0</v>
      </c>
      <c r="RIW22" s="1902">
        <f t="shared" si="197"/>
        <v>0</v>
      </c>
      <c r="RIX22" s="1902">
        <f t="shared" si="197"/>
        <v>0</v>
      </c>
      <c r="RIY22" s="1902">
        <f t="shared" ref="RIY22:RLJ22" si="198">IF(AND(RIY$26="End of period",RIY$25="Revenue"),RIY9,0)</f>
        <v>0</v>
      </c>
      <c r="RIZ22" s="1902">
        <f t="shared" si="198"/>
        <v>0</v>
      </c>
      <c r="RJA22" s="1902">
        <f t="shared" si="198"/>
        <v>0</v>
      </c>
      <c r="RJB22" s="1902">
        <f t="shared" si="198"/>
        <v>0</v>
      </c>
      <c r="RJC22" s="1902">
        <f t="shared" si="198"/>
        <v>0</v>
      </c>
      <c r="RJD22" s="1902">
        <f t="shared" si="198"/>
        <v>0</v>
      </c>
      <c r="RJE22" s="1902">
        <f t="shared" si="198"/>
        <v>0</v>
      </c>
      <c r="RJF22" s="1902">
        <f t="shared" si="198"/>
        <v>0</v>
      </c>
      <c r="RJG22" s="1902">
        <f t="shared" si="198"/>
        <v>0</v>
      </c>
      <c r="RJH22" s="1902">
        <f t="shared" si="198"/>
        <v>0</v>
      </c>
      <c r="RJI22" s="1902">
        <f t="shared" si="198"/>
        <v>0</v>
      </c>
      <c r="RJJ22" s="1902">
        <f t="shared" si="198"/>
        <v>0</v>
      </c>
      <c r="RJK22" s="1902">
        <f t="shared" si="198"/>
        <v>0</v>
      </c>
      <c r="RJL22" s="1902">
        <f t="shared" si="198"/>
        <v>0</v>
      </c>
      <c r="RJM22" s="1902">
        <f t="shared" si="198"/>
        <v>0</v>
      </c>
      <c r="RJN22" s="1902">
        <f t="shared" si="198"/>
        <v>0</v>
      </c>
      <c r="RJO22" s="1902">
        <f t="shared" si="198"/>
        <v>0</v>
      </c>
      <c r="RJP22" s="1902">
        <f t="shared" si="198"/>
        <v>0</v>
      </c>
      <c r="RJQ22" s="1902">
        <f t="shared" si="198"/>
        <v>0</v>
      </c>
      <c r="RJR22" s="1902">
        <f t="shared" si="198"/>
        <v>0</v>
      </c>
      <c r="RJS22" s="1902">
        <f t="shared" si="198"/>
        <v>0</v>
      </c>
      <c r="RJT22" s="1902">
        <f t="shared" si="198"/>
        <v>0</v>
      </c>
      <c r="RJU22" s="1902">
        <f t="shared" si="198"/>
        <v>0</v>
      </c>
      <c r="RJV22" s="1902">
        <f t="shared" si="198"/>
        <v>0</v>
      </c>
      <c r="RJW22" s="1902">
        <f t="shared" si="198"/>
        <v>0</v>
      </c>
      <c r="RJX22" s="1902">
        <f t="shared" si="198"/>
        <v>0</v>
      </c>
      <c r="RJY22" s="1902">
        <f t="shared" si="198"/>
        <v>0</v>
      </c>
      <c r="RJZ22" s="1902">
        <f t="shared" si="198"/>
        <v>0</v>
      </c>
      <c r="RKA22" s="1902">
        <f t="shared" si="198"/>
        <v>0</v>
      </c>
      <c r="RKB22" s="1902">
        <f t="shared" si="198"/>
        <v>0</v>
      </c>
      <c r="RKC22" s="1902">
        <f t="shared" si="198"/>
        <v>0</v>
      </c>
      <c r="RKD22" s="1902">
        <f t="shared" si="198"/>
        <v>0</v>
      </c>
      <c r="RKE22" s="1902">
        <f t="shared" si="198"/>
        <v>0</v>
      </c>
      <c r="RKF22" s="1902">
        <f t="shared" si="198"/>
        <v>0</v>
      </c>
      <c r="RKG22" s="1902">
        <f t="shared" si="198"/>
        <v>0</v>
      </c>
      <c r="RKH22" s="1902">
        <f t="shared" si="198"/>
        <v>0</v>
      </c>
      <c r="RKI22" s="1902">
        <f t="shared" si="198"/>
        <v>0</v>
      </c>
      <c r="RKJ22" s="1902">
        <f t="shared" si="198"/>
        <v>0</v>
      </c>
      <c r="RKK22" s="1902">
        <f t="shared" si="198"/>
        <v>0</v>
      </c>
      <c r="RKL22" s="1902">
        <f t="shared" si="198"/>
        <v>0</v>
      </c>
      <c r="RKM22" s="1902">
        <f t="shared" si="198"/>
        <v>0</v>
      </c>
      <c r="RKN22" s="1902">
        <f t="shared" si="198"/>
        <v>0</v>
      </c>
      <c r="RKO22" s="1902">
        <f t="shared" si="198"/>
        <v>0</v>
      </c>
      <c r="RKP22" s="1902">
        <f t="shared" si="198"/>
        <v>0</v>
      </c>
      <c r="RKQ22" s="1902">
        <f t="shared" si="198"/>
        <v>0</v>
      </c>
      <c r="RKR22" s="1902">
        <f t="shared" si="198"/>
        <v>0</v>
      </c>
      <c r="RKS22" s="1902">
        <f t="shared" si="198"/>
        <v>0</v>
      </c>
      <c r="RKT22" s="1902">
        <f t="shared" si="198"/>
        <v>0</v>
      </c>
      <c r="RKU22" s="1902">
        <f t="shared" si="198"/>
        <v>0</v>
      </c>
      <c r="RKV22" s="1902">
        <f t="shared" si="198"/>
        <v>0</v>
      </c>
      <c r="RKW22" s="1902">
        <f t="shared" si="198"/>
        <v>0</v>
      </c>
      <c r="RKX22" s="1902">
        <f t="shared" si="198"/>
        <v>0</v>
      </c>
      <c r="RKY22" s="1902">
        <f t="shared" si="198"/>
        <v>0</v>
      </c>
      <c r="RKZ22" s="1902">
        <f t="shared" si="198"/>
        <v>0</v>
      </c>
      <c r="RLA22" s="1902">
        <f t="shared" si="198"/>
        <v>0</v>
      </c>
      <c r="RLB22" s="1902">
        <f t="shared" si="198"/>
        <v>0</v>
      </c>
      <c r="RLC22" s="1902">
        <f t="shared" si="198"/>
        <v>0</v>
      </c>
      <c r="RLD22" s="1902">
        <f t="shared" si="198"/>
        <v>0</v>
      </c>
      <c r="RLE22" s="1902">
        <f t="shared" si="198"/>
        <v>0</v>
      </c>
      <c r="RLF22" s="1902">
        <f t="shared" si="198"/>
        <v>0</v>
      </c>
      <c r="RLG22" s="1902">
        <f t="shared" si="198"/>
        <v>0</v>
      </c>
      <c r="RLH22" s="1902">
        <f t="shared" si="198"/>
        <v>0</v>
      </c>
      <c r="RLI22" s="1902">
        <f t="shared" si="198"/>
        <v>0</v>
      </c>
      <c r="RLJ22" s="1902">
        <f t="shared" si="198"/>
        <v>0</v>
      </c>
      <c r="RLK22" s="1902">
        <f t="shared" ref="RLK22:RNV22" si="199">IF(AND(RLK$26="End of period",RLK$25="Revenue"),RLK9,0)</f>
        <v>0</v>
      </c>
      <c r="RLL22" s="1902">
        <f t="shared" si="199"/>
        <v>0</v>
      </c>
      <c r="RLM22" s="1902">
        <f t="shared" si="199"/>
        <v>0</v>
      </c>
      <c r="RLN22" s="1902">
        <f t="shared" si="199"/>
        <v>0</v>
      </c>
      <c r="RLO22" s="1902">
        <f t="shared" si="199"/>
        <v>0</v>
      </c>
      <c r="RLP22" s="1902">
        <f t="shared" si="199"/>
        <v>0</v>
      </c>
      <c r="RLQ22" s="1902">
        <f t="shared" si="199"/>
        <v>0</v>
      </c>
      <c r="RLR22" s="1902">
        <f t="shared" si="199"/>
        <v>0</v>
      </c>
      <c r="RLS22" s="1902">
        <f t="shared" si="199"/>
        <v>0</v>
      </c>
      <c r="RLT22" s="1902">
        <f t="shared" si="199"/>
        <v>0</v>
      </c>
      <c r="RLU22" s="1902">
        <f t="shared" si="199"/>
        <v>0</v>
      </c>
      <c r="RLV22" s="1902">
        <f t="shared" si="199"/>
        <v>0</v>
      </c>
      <c r="RLW22" s="1902">
        <f t="shared" si="199"/>
        <v>0</v>
      </c>
      <c r="RLX22" s="1902">
        <f t="shared" si="199"/>
        <v>0</v>
      </c>
      <c r="RLY22" s="1902">
        <f t="shared" si="199"/>
        <v>0</v>
      </c>
      <c r="RLZ22" s="1902">
        <f t="shared" si="199"/>
        <v>0</v>
      </c>
      <c r="RMA22" s="1902">
        <f t="shared" si="199"/>
        <v>0</v>
      </c>
      <c r="RMB22" s="1902">
        <f t="shared" si="199"/>
        <v>0</v>
      </c>
      <c r="RMC22" s="1902">
        <f t="shared" si="199"/>
        <v>0</v>
      </c>
      <c r="RMD22" s="1902">
        <f t="shared" si="199"/>
        <v>0</v>
      </c>
      <c r="RME22" s="1902">
        <f t="shared" si="199"/>
        <v>0</v>
      </c>
      <c r="RMF22" s="1902">
        <f t="shared" si="199"/>
        <v>0</v>
      </c>
      <c r="RMG22" s="1902">
        <f t="shared" si="199"/>
        <v>0</v>
      </c>
      <c r="RMH22" s="1902">
        <f t="shared" si="199"/>
        <v>0</v>
      </c>
      <c r="RMI22" s="1902">
        <f t="shared" si="199"/>
        <v>0</v>
      </c>
      <c r="RMJ22" s="1902">
        <f t="shared" si="199"/>
        <v>0</v>
      </c>
      <c r="RMK22" s="1902">
        <f t="shared" si="199"/>
        <v>0</v>
      </c>
      <c r="RML22" s="1902">
        <f t="shared" si="199"/>
        <v>0</v>
      </c>
      <c r="RMM22" s="1902">
        <f t="shared" si="199"/>
        <v>0</v>
      </c>
      <c r="RMN22" s="1902">
        <f t="shared" si="199"/>
        <v>0</v>
      </c>
      <c r="RMO22" s="1902">
        <f t="shared" si="199"/>
        <v>0</v>
      </c>
      <c r="RMP22" s="1902">
        <f t="shared" si="199"/>
        <v>0</v>
      </c>
      <c r="RMQ22" s="1902">
        <f t="shared" si="199"/>
        <v>0</v>
      </c>
      <c r="RMR22" s="1902">
        <f t="shared" si="199"/>
        <v>0</v>
      </c>
      <c r="RMS22" s="1902">
        <f t="shared" si="199"/>
        <v>0</v>
      </c>
      <c r="RMT22" s="1902">
        <f t="shared" si="199"/>
        <v>0</v>
      </c>
      <c r="RMU22" s="1902">
        <f t="shared" si="199"/>
        <v>0</v>
      </c>
      <c r="RMV22" s="1902">
        <f t="shared" si="199"/>
        <v>0</v>
      </c>
      <c r="RMW22" s="1902">
        <f t="shared" si="199"/>
        <v>0</v>
      </c>
      <c r="RMX22" s="1902">
        <f t="shared" si="199"/>
        <v>0</v>
      </c>
      <c r="RMY22" s="1902">
        <f t="shared" si="199"/>
        <v>0</v>
      </c>
      <c r="RMZ22" s="1902">
        <f t="shared" si="199"/>
        <v>0</v>
      </c>
      <c r="RNA22" s="1902">
        <f t="shared" si="199"/>
        <v>0</v>
      </c>
      <c r="RNB22" s="1902">
        <f t="shared" si="199"/>
        <v>0</v>
      </c>
      <c r="RNC22" s="1902">
        <f t="shared" si="199"/>
        <v>0</v>
      </c>
      <c r="RND22" s="1902">
        <f t="shared" si="199"/>
        <v>0</v>
      </c>
      <c r="RNE22" s="1902">
        <f t="shared" si="199"/>
        <v>0</v>
      </c>
      <c r="RNF22" s="1902">
        <f t="shared" si="199"/>
        <v>0</v>
      </c>
      <c r="RNG22" s="1902">
        <f t="shared" si="199"/>
        <v>0</v>
      </c>
      <c r="RNH22" s="1902">
        <f t="shared" si="199"/>
        <v>0</v>
      </c>
      <c r="RNI22" s="1902">
        <f t="shared" si="199"/>
        <v>0</v>
      </c>
      <c r="RNJ22" s="1902">
        <f t="shared" si="199"/>
        <v>0</v>
      </c>
      <c r="RNK22" s="1902">
        <f t="shared" si="199"/>
        <v>0</v>
      </c>
      <c r="RNL22" s="1902">
        <f t="shared" si="199"/>
        <v>0</v>
      </c>
      <c r="RNM22" s="1902">
        <f t="shared" si="199"/>
        <v>0</v>
      </c>
      <c r="RNN22" s="1902">
        <f t="shared" si="199"/>
        <v>0</v>
      </c>
      <c r="RNO22" s="1902">
        <f t="shared" si="199"/>
        <v>0</v>
      </c>
      <c r="RNP22" s="1902">
        <f t="shared" si="199"/>
        <v>0</v>
      </c>
      <c r="RNQ22" s="1902">
        <f t="shared" si="199"/>
        <v>0</v>
      </c>
      <c r="RNR22" s="1902">
        <f t="shared" si="199"/>
        <v>0</v>
      </c>
      <c r="RNS22" s="1902">
        <f t="shared" si="199"/>
        <v>0</v>
      </c>
      <c r="RNT22" s="1902">
        <f t="shared" si="199"/>
        <v>0</v>
      </c>
      <c r="RNU22" s="1902">
        <f t="shared" si="199"/>
        <v>0</v>
      </c>
      <c r="RNV22" s="1902">
        <f t="shared" si="199"/>
        <v>0</v>
      </c>
      <c r="RNW22" s="1902">
        <f t="shared" ref="RNW22:RQH22" si="200">IF(AND(RNW$26="End of period",RNW$25="Revenue"),RNW9,0)</f>
        <v>0</v>
      </c>
      <c r="RNX22" s="1902">
        <f t="shared" si="200"/>
        <v>0</v>
      </c>
      <c r="RNY22" s="1902">
        <f t="shared" si="200"/>
        <v>0</v>
      </c>
      <c r="RNZ22" s="1902">
        <f t="shared" si="200"/>
        <v>0</v>
      </c>
      <c r="ROA22" s="1902">
        <f t="shared" si="200"/>
        <v>0</v>
      </c>
      <c r="ROB22" s="1902">
        <f t="shared" si="200"/>
        <v>0</v>
      </c>
      <c r="ROC22" s="1902">
        <f t="shared" si="200"/>
        <v>0</v>
      </c>
      <c r="ROD22" s="1902">
        <f t="shared" si="200"/>
        <v>0</v>
      </c>
      <c r="ROE22" s="1902">
        <f t="shared" si="200"/>
        <v>0</v>
      </c>
      <c r="ROF22" s="1902">
        <f t="shared" si="200"/>
        <v>0</v>
      </c>
      <c r="ROG22" s="1902">
        <f t="shared" si="200"/>
        <v>0</v>
      </c>
      <c r="ROH22" s="1902">
        <f t="shared" si="200"/>
        <v>0</v>
      </c>
      <c r="ROI22" s="1902">
        <f t="shared" si="200"/>
        <v>0</v>
      </c>
      <c r="ROJ22" s="1902">
        <f t="shared" si="200"/>
        <v>0</v>
      </c>
      <c r="ROK22" s="1902">
        <f t="shared" si="200"/>
        <v>0</v>
      </c>
      <c r="ROL22" s="1902">
        <f t="shared" si="200"/>
        <v>0</v>
      </c>
      <c r="ROM22" s="1902">
        <f t="shared" si="200"/>
        <v>0</v>
      </c>
      <c r="RON22" s="1902">
        <f t="shared" si="200"/>
        <v>0</v>
      </c>
      <c r="ROO22" s="1902">
        <f t="shared" si="200"/>
        <v>0</v>
      </c>
      <c r="ROP22" s="1902">
        <f t="shared" si="200"/>
        <v>0</v>
      </c>
      <c r="ROQ22" s="1902">
        <f t="shared" si="200"/>
        <v>0</v>
      </c>
      <c r="ROR22" s="1902">
        <f t="shared" si="200"/>
        <v>0</v>
      </c>
      <c r="ROS22" s="1902">
        <f t="shared" si="200"/>
        <v>0</v>
      </c>
      <c r="ROT22" s="1902">
        <f t="shared" si="200"/>
        <v>0</v>
      </c>
      <c r="ROU22" s="1902">
        <f t="shared" si="200"/>
        <v>0</v>
      </c>
      <c r="ROV22" s="1902">
        <f t="shared" si="200"/>
        <v>0</v>
      </c>
      <c r="ROW22" s="1902">
        <f t="shared" si="200"/>
        <v>0</v>
      </c>
      <c r="ROX22" s="1902">
        <f t="shared" si="200"/>
        <v>0</v>
      </c>
      <c r="ROY22" s="1902">
        <f t="shared" si="200"/>
        <v>0</v>
      </c>
      <c r="ROZ22" s="1902">
        <f t="shared" si="200"/>
        <v>0</v>
      </c>
      <c r="RPA22" s="1902">
        <f t="shared" si="200"/>
        <v>0</v>
      </c>
      <c r="RPB22" s="1902">
        <f t="shared" si="200"/>
        <v>0</v>
      </c>
      <c r="RPC22" s="1902">
        <f t="shared" si="200"/>
        <v>0</v>
      </c>
      <c r="RPD22" s="1902">
        <f t="shared" si="200"/>
        <v>0</v>
      </c>
      <c r="RPE22" s="1902">
        <f t="shared" si="200"/>
        <v>0</v>
      </c>
      <c r="RPF22" s="1902">
        <f t="shared" si="200"/>
        <v>0</v>
      </c>
      <c r="RPG22" s="1902">
        <f t="shared" si="200"/>
        <v>0</v>
      </c>
      <c r="RPH22" s="1902">
        <f t="shared" si="200"/>
        <v>0</v>
      </c>
      <c r="RPI22" s="1902">
        <f t="shared" si="200"/>
        <v>0</v>
      </c>
      <c r="RPJ22" s="1902">
        <f t="shared" si="200"/>
        <v>0</v>
      </c>
      <c r="RPK22" s="1902">
        <f t="shared" si="200"/>
        <v>0</v>
      </c>
      <c r="RPL22" s="1902">
        <f t="shared" si="200"/>
        <v>0</v>
      </c>
      <c r="RPM22" s="1902">
        <f t="shared" si="200"/>
        <v>0</v>
      </c>
      <c r="RPN22" s="1902">
        <f t="shared" si="200"/>
        <v>0</v>
      </c>
      <c r="RPO22" s="1902">
        <f t="shared" si="200"/>
        <v>0</v>
      </c>
      <c r="RPP22" s="1902">
        <f t="shared" si="200"/>
        <v>0</v>
      </c>
      <c r="RPQ22" s="1902">
        <f t="shared" si="200"/>
        <v>0</v>
      </c>
      <c r="RPR22" s="1902">
        <f t="shared" si="200"/>
        <v>0</v>
      </c>
      <c r="RPS22" s="1902">
        <f t="shared" si="200"/>
        <v>0</v>
      </c>
      <c r="RPT22" s="1902">
        <f t="shared" si="200"/>
        <v>0</v>
      </c>
      <c r="RPU22" s="1902">
        <f t="shared" si="200"/>
        <v>0</v>
      </c>
      <c r="RPV22" s="1902">
        <f t="shared" si="200"/>
        <v>0</v>
      </c>
      <c r="RPW22" s="1902">
        <f t="shared" si="200"/>
        <v>0</v>
      </c>
      <c r="RPX22" s="1902">
        <f t="shared" si="200"/>
        <v>0</v>
      </c>
      <c r="RPY22" s="1902">
        <f t="shared" si="200"/>
        <v>0</v>
      </c>
      <c r="RPZ22" s="1902">
        <f t="shared" si="200"/>
        <v>0</v>
      </c>
      <c r="RQA22" s="1902">
        <f t="shared" si="200"/>
        <v>0</v>
      </c>
      <c r="RQB22" s="1902">
        <f t="shared" si="200"/>
        <v>0</v>
      </c>
      <c r="RQC22" s="1902">
        <f t="shared" si="200"/>
        <v>0</v>
      </c>
      <c r="RQD22" s="1902">
        <f t="shared" si="200"/>
        <v>0</v>
      </c>
      <c r="RQE22" s="1902">
        <f t="shared" si="200"/>
        <v>0</v>
      </c>
      <c r="RQF22" s="1902">
        <f t="shared" si="200"/>
        <v>0</v>
      </c>
      <c r="RQG22" s="1902">
        <f t="shared" si="200"/>
        <v>0</v>
      </c>
      <c r="RQH22" s="1902">
        <f t="shared" si="200"/>
        <v>0</v>
      </c>
      <c r="RQI22" s="1902">
        <f t="shared" ref="RQI22:RST22" si="201">IF(AND(RQI$26="End of period",RQI$25="Revenue"),RQI9,0)</f>
        <v>0</v>
      </c>
      <c r="RQJ22" s="1902">
        <f t="shared" si="201"/>
        <v>0</v>
      </c>
      <c r="RQK22" s="1902">
        <f t="shared" si="201"/>
        <v>0</v>
      </c>
      <c r="RQL22" s="1902">
        <f t="shared" si="201"/>
        <v>0</v>
      </c>
      <c r="RQM22" s="1902">
        <f t="shared" si="201"/>
        <v>0</v>
      </c>
      <c r="RQN22" s="1902">
        <f t="shared" si="201"/>
        <v>0</v>
      </c>
      <c r="RQO22" s="1902">
        <f t="shared" si="201"/>
        <v>0</v>
      </c>
      <c r="RQP22" s="1902">
        <f t="shared" si="201"/>
        <v>0</v>
      </c>
      <c r="RQQ22" s="1902">
        <f t="shared" si="201"/>
        <v>0</v>
      </c>
      <c r="RQR22" s="1902">
        <f t="shared" si="201"/>
        <v>0</v>
      </c>
      <c r="RQS22" s="1902">
        <f t="shared" si="201"/>
        <v>0</v>
      </c>
      <c r="RQT22" s="1902">
        <f t="shared" si="201"/>
        <v>0</v>
      </c>
      <c r="RQU22" s="1902">
        <f t="shared" si="201"/>
        <v>0</v>
      </c>
      <c r="RQV22" s="1902">
        <f t="shared" si="201"/>
        <v>0</v>
      </c>
      <c r="RQW22" s="1902">
        <f t="shared" si="201"/>
        <v>0</v>
      </c>
      <c r="RQX22" s="1902">
        <f t="shared" si="201"/>
        <v>0</v>
      </c>
      <c r="RQY22" s="1902">
        <f t="shared" si="201"/>
        <v>0</v>
      </c>
      <c r="RQZ22" s="1902">
        <f t="shared" si="201"/>
        <v>0</v>
      </c>
      <c r="RRA22" s="1902">
        <f t="shared" si="201"/>
        <v>0</v>
      </c>
      <c r="RRB22" s="1902">
        <f t="shared" si="201"/>
        <v>0</v>
      </c>
      <c r="RRC22" s="1902">
        <f t="shared" si="201"/>
        <v>0</v>
      </c>
      <c r="RRD22" s="1902">
        <f t="shared" si="201"/>
        <v>0</v>
      </c>
      <c r="RRE22" s="1902">
        <f t="shared" si="201"/>
        <v>0</v>
      </c>
      <c r="RRF22" s="1902">
        <f t="shared" si="201"/>
        <v>0</v>
      </c>
      <c r="RRG22" s="1902">
        <f t="shared" si="201"/>
        <v>0</v>
      </c>
      <c r="RRH22" s="1902">
        <f t="shared" si="201"/>
        <v>0</v>
      </c>
      <c r="RRI22" s="1902">
        <f t="shared" si="201"/>
        <v>0</v>
      </c>
      <c r="RRJ22" s="1902">
        <f t="shared" si="201"/>
        <v>0</v>
      </c>
      <c r="RRK22" s="1902">
        <f t="shared" si="201"/>
        <v>0</v>
      </c>
      <c r="RRL22" s="1902">
        <f t="shared" si="201"/>
        <v>0</v>
      </c>
      <c r="RRM22" s="1902">
        <f t="shared" si="201"/>
        <v>0</v>
      </c>
      <c r="RRN22" s="1902">
        <f t="shared" si="201"/>
        <v>0</v>
      </c>
      <c r="RRO22" s="1902">
        <f t="shared" si="201"/>
        <v>0</v>
      </c>
      <c r="RRP22" s="1902">
        <f t="shared" si="201"/>
        <v>0</v>
      </c>
      <c r="RRQ22" s="1902">
        <f t="shared" si="201"/>
        <v>0</v>
      </c>
      <c r="RRR22" s="1902">
        <f t="shared" si="201"/>
        <v>0</v>
      </c>
      <c r="RRS22" s="1902">
        <f t="shared" si="201"/>
        <v>0</v>
      </c>
      <c r="RRT22" s="1902">
        <f t="shared" si="201"/>
        <v>0</v>
      </c>
      <c r="RRU22" s="1902">
        <f t="shared" si="201"/>
        <v>0</v>
      </c>
      <c r="RRV22" s="1902">
        <f t="shared" si="201"/>
        <v>0</v>
      </c>
      <c r="RRW22" s="1902">
        <f t="shared" si="201"/>
        <v>0</v>
      </c>
      <c r="RRX22" s="1902">
        <f t="shared" si="201"/>
        <v>0</v>
      </c>
      <c r="RRY22" s="1902">
        <f t="shared" si="201"/>
        <v>0</v>
      </c>
      <c r="RRZ22" s="1902">
        <f t="shared" si="201"/>
        <v>0</v>
      </c>
      <c r="RSA22" s="1902">
        <f t="shared" si="201"/>
        <v>0</v>
      </c>
      <c r="RSB22" s="1902">
        <f t="shared" si="201"/>
        <v>0</v>
      </c>
      <c r="RSC22" s="1902">
        <f t="shared" si="201"/>
        <v>0</v>
      </c>
      <c r="RSD22" s="1902">
        <f t="shared" si="201"/>
        <v>0</v>
      </c>
      <c r="RSE22" s="1902">
        <f t="shared" si="201"/>
        <v>0</v>
      </c>
      <c r="RSF22" s="1902">
        <f t="shared" si="201"/>
        <v>0</v>
      </c>
      <c r="RSG22" s="1902">
        <f t="shared" si="201"/>
        <v>0</v>
      </c>
      <c r="RSH22" s="1902">
        <f t="shared" si="201"/>
        <v>0</v>
      </c>
      <c r="RSI22" s="1902">
        <f t="shared" si="201"/>
        <v>0</v>
      </c>
      <c r="RSJ22" s="1902">
        <f t="shared" si="201"/>
        <v>0</v>
      </c>
      <c r="RSK22" s="1902">
        <f t="shared" si="201"/>
        <v>0</v>
      </c>
      <c r="RSL22" s="1902">
        <f t="shared" si="201"/>
        <v>0</v>
      </c>
      <c r="RSM22" s="1902">
        <f t="shared" si="201"/>
        <v>0</v>
      </c>
      <c r="RSN22" s="1902">
        <f t="shared" si="201"/>
        <v>0</v>
      </c>
      <c r="RSO22" s="1902">
        <f t="shared" si="201"/>
        <v>0</v>
      </c>
      <c r="RSP22" s="1902">
        <f t="shared" si="201"/>
        <v>0</v>
      </c>
      <c r="RSQ22" s="1902">
        <f t="shared" si="201"/>
        <v>0</v>
      </c>
      <c r="RSR22" s="1902">
        <f t="shared" si="201"/>
        <v>0</v>
      </c>
      <c r="RSS22" s="1902">
        <f t="shared" si="201"/>
        <v>0</v>
      </c>
      <c r="RST22" s="1902">
        <f t="shared" si="201"/>
        <v>0</v>
      </c>
      <c r="RSU22" s="1902">
        <f t="shared" ref="RSU22:RVF22" si="202">IF(AND(RSU$26="End of period",RSU$25="Revenue"),RSU9,0)</f>
        <v>0</v>
      </c>
      <c r="RSV22" s="1902">
        <f t="shared" si="202"/>
        <v>0</v>
      </c>
      <c r="RSW22" s="1902">
        <f t="shared" si="202"/>
        <v>0</v>
      </c>
      <c r="RSX22" s="1902">
        <f t="shared" si="202"/>
        <v>0</v>
      </c>
      <c r="RSY22" s="1902">
        <f t="shared" si="202"/>
        <v>0</v>
      </c>
      <c r="RSZ22" s="1902">
        <f t="shared" si="202"/>
        <v>0</v>
      </c>
      <c r="RTA22" s="1902">
        <f t="shared" si="202"/>
        <v>0</v>
      </c>
      <c r="RTB22" s="1902">
        <f t="shared" si="202"/>
        <v>0</v>
      </c>
      <c r="RTC22" s="1902">
        <f t="shared" si="202"/>
        <v>0</v>
      </c>
      <c r="RTD22" s="1902">
        <f t="shared" si="202"/>
        <v>0</v>
      </c>
      <c r="RTE22" s="1902">
        <f t="shared" si="202"/>
        <v>0</v>
      </c>
      <c r="RTF22" s="1902">
        <f t="shared" si="202"/>
        <v>0</v>
      </c>
      <c r="RTG22" s="1902">
        <f t="shared" si="202"/>
        <v>0</v>
      </c>
      <c r="RTH22" s="1902">
        <f t="shared" si="202"/>
        <v>0</v>
      </c>
      <c r="RTI22" s="1902">
        <f t="shared" si="202"/>
        <v>0</v>
      </c>
      <c r="RTJ22" s="1902">
        <f t="shared" si="202"/>
        <v>0</v>
      </c>
      <c r="RTK22" s="1902">
        <f t="shared" si="202"/>
        <v>0</v>
      </c>
      <c r="RTL22" s="1902">
        <f t="shared" si="202"/>
        <v>0</v>
      </c>
      <c r="RTM22" s="1902">
        <f t="shared" si="202"/>
        <v>0</v>
      </c>
      <c r="RTN22" s="1902">
        <f t="shared" si="202"/>
        <v>0</v>
      </c>
      <c r="RTO22" s="1902">
        <f t="shared" si="202"/>
        <v>0</v>
      </c>
      <c r="RTP22" s="1902">
        <f t="shared" si="202"/>
        <v>0</v>
      </c>
      <c r="RTQ22" s="1902">
        <f t="shared" si="202"/>
        <v>0</v>
      </c>
      <c r="RTR22" s="1902">
        <f t="shared" si="202"/>
        <v>0</v>
      </c>
      <c r="RTS22" s="1902">
        <f t="shared" si="202"/>
        <v>0</v>
      </c>
      <c r="RTT22" s="1902">
        <f t="shared" si="202"/>
        <v>0</v>
      </c>
      <c r="RTU22" s="1902">
        <f t="shared" si="202"/>
        <v>0</v>
      </c>
      <c r="RTV22" s="1902">
        <f t="shared" si="202"/>
        <v>0</v>
      </c>
      <c r="RTW22" s="1902">
        <f t="shared" si="202"/>
        <v>0</v>
      </c>
      <c r="RTX22" s="1902">
        <f t="shared" si="202"/>
        <v>0</v>
      </c>
      <c r="RTY22" s="1902">
        <f t="shared" si="202"/>
        <v>0</v>
      </c>
      <c r="RTZ22" s="1902">
        <f t="shared" si="202"/>
        <v>0</v>
      </c>
      <c r="RUA22" s="1902">
        <f t="shared" si="202"/>
        <v>0</v>
      </c>
      <c r="RUB22" s="1902">
        <f t="shared" si="202"/>
        <v>0</v>
      </c>
      <c r="RUC22" s="1902">
        <f t="shared" si="202"/>
        <v>0</v>
      </c>
      <c r="RUD22" s="1902">
        <f t="shared" si="202"/>
        <v>0</v>
      </c>
      <c r="RUE22" s="1902">
        <f t="shared" si="202"/>
        <v>0</v>
      </c>
      <c r="RUF22" s="1902">
        <f t="shared" si="202"/>
        <v>0</v>
      </c>
      <c r="RUG22" s="1902">
        <f t="shared" si="202"/>
        <v>0</v>
      </c>
      <c r="RUH22" s="1902">
        <f t="shared" si="202"/>
        <v>0</v>
      </c>
      <c r="RUI22" s="1902">
        <f t="shared" si="202"/>
        <v>0</v>
      </c>
      <c r="RUJ22" s="1902">
        <f t="shared" si="202"/>
        <v>0</v>
      </c>
      <c r="RUK22" s="1902">
        <f t="shared" si="202"/>
        <v>0</v>
      </c>
      <c r="RUL22" s="1902">
        <f t="shared" si="202"/>
        <v>0</v>
      </c>
      <c r="RUM22" s="1902">
        <f t="shared" si="202"/>
        <v>0</v>
      </c>
      <c r="RUN22" s="1902">
        <f t="shared" si="202"/>
        <v>0</v>
      </c>
      <c r="RUO22" s="1902">
        <f t="shared" si="202"/>
        <v>0</v>
      </c>
      <c r="RUP22" s="1902">
        <f t="shared" si="202"/>
        <v>0</v>
      </c>
      <c r="RUQ22" s="1902">
        <f t="shared" si="202"/>
        <v>0</v>
      </c>
      <c r="RUR22" s="1902">
        <f t="shared" si="202"/>
        <v>0</v>
      </c>
      <c r="RUS22" s="1902">
        <f t="shared" si="202"/>
        <v>0</v>
      </c>
      <c r="RUT22" s="1902">
        <f t="shared" si="202"/>
        <v>0</v>
      </c>
      <c r="RUU22" s="1902">
        <f t="shared" si="202"/>
        <v>0</v>
      </c>
      <c r="RUV22" s="1902">
        <f t="shared" si="202"/>
        <v>0</v>
      </c>
      <c r="RUW22" s="1902">
        <f t="shared" si="202"/>
        <v>0</v>
      </c>
      <c r="RUX22" s="1902">
        <f t="shared" si="202"/>
        <v>0</v>
      </c>
      <c r="RUY22" s="1902">
        <f t="shared" si="202"/>
        <v>0</v>
      </c>
      <c r="RUZ22" s="1902">
        <f t="shared" si="202"/>
        <v>0</v>
      </c>
      <c r="RVA22" s="1902">
        <f t="shared" si="202"/>
        <v>0</v>
      </c>
      <c r="RVB22" s="1902">
        <f t="shared" si="202"/>
        <v>0</v>
      </c>
      <c r="RVC22" s="1902">
        <f t="shared" si="202"/>
        <v>0</v>
      </c>
      <c r="RVD22" s="1902">
        <f t="shared" si="202"/>
        <v>0</v>
      </c>
      <c r="RVE22" s="1902">
        <f t="shared" si="202"/>
        <v>0</v>
      </c>
      <c r="RVF22" s="1902">
        <f t="shared" si="202"/>
        <v>0</v>
      </c>
      <c r="RVG22" s="1902">
        <f t="shared" ref="RVG22:RXR22" si="203">IF(AND(RVG$26="End of period",RVG$25="Revenue"),RVG9,0)</f>
        <v>0</v>
      </c>
      <c r="RVH22" s="1902">
        <f t="shared" si="203"/>
        <v>0</v>
      </c>
      <c r="RVI22" s="1902">
        <f t="shared" si="203"/>
        <v>0</v>
      </c>
      <c r="RVJ22" s="1902">
        <f t="shared" si="203"/>
        <v>0</v>
      </c>
      <c r="RVK22" s="1902">
        <f t="shared" si="203"/>
        <v>0</v>
      </c>
      <c r="RVL22" s="1902">
        <f t="shared" si="203"/>
        <v>0</v>
      </c>
      <c r="RVM22" s="1902">
        <f t="shared" si="203"/>
        <v>0</v>
      </c>
      <c r="RVN22" s="1902">
        <f t="shared" si="203"/>
        <v>0</v>
      </c>
      <c r="RVO22" s="1902">
        <f t="shared" si="203"/>
        <v>0</v>
      </c>
      <c r="RVP22" s="1902">
        <f t="shared" si="203"/>
        <v>0</v>
      </c>
      <c r="RVQ22" s="1902">
        <f t="shared" si="203"/>
        <v>0</v>
      </c>
      <c r="RVR22" s="1902">
        <f t="shared" si="203"/>
        <v>0</v>
      </c>
      <c r="RVS22" s="1902">
        <f t="shared" si="203"/>
        <v>0</v>
      </c>
      <c r="RVT22" s="1902">
        <f t="shared" si="203"/>
        <v>0</v>
      </c>
      <c r="RVU22" s="1902">
        <f t="shared" si="203"/>
        <v>0</v>
      </c>
      <c r="RVV22" s="1902">
        <f t="shared" si="203"/>
        <v>0</v>
      </c>
      <c r="RVW22" s="1902">
        <f t="shared" si="203"/>
        <v>0</v>
      </c>
      <c r="RVX22" s="1902">
        <f t="shared" si="203"/>
        <v>0</v>
      </c>
      <c r="RVY22" s="1902">
        <f t="shared" si="203"/>
        <v>0</v>
      </c>
      <c r="RVZ22" s="1902">
        <f t="shared" si="203"/>
        <v>0</v>
      </c>
      <c r="RWA22" s="1902">
        <f t="shared" si="203"/>
        <v>0</v>
      </c>
      <c r="RWB22" s="1902">
        <f t="shared" si="203"/>
        <v>0</v>
      </c>
      <c r="RWC22" s="1902">
        <f t="shared" si="203"/>
        <v>0</v>
      </c>
      <c r="RWD22" s="1902">
        <f t="shared" si="203"/>
        <v>0</v>
      </c>
      <c r="RWE22" s="1902">
        <f t="shared" si="203"/>
        <v>0</v>
      </c>
      <c r="RWF22" s="1902">
        <f t="shared" si="203"/>
        <v>0</v>
      </c>
      <c r="RWG22" s="1902">
        <f t="shared" si="203"/>
        <v>0</v>
      </c>
      <c r="RWH22" s="1902">
        <f t="shared" si="203"/>
        <v>0</v>
      </c>
      <c r="RWI22" s="1902">
        <f t="shared" si="203"/>
        <v>0</v>
      </c>
      <c r="RWJ22" s="1902">
        <f t="shared" si="203"/>
        <v>0</v>
      </c>
      <c r="RWK22" s="1902">
        <f t="shared" si="203"/>
        <v>0</v>
      </c>
      <c r="RWL22" s="1902">
        <f t="shared" si="203"/>
        <v>0</v>
      </c>
      <c r="RWM22" s="1902">
        <f t="shared" si="203"/>
        <v>0</v>
      </c>
      <c r="RWN22" s="1902">
        <f t="shared" si="203"/>
        <v>0</v>
      </c>
      <c r="RWO22" s="1902">
        <f t="shared" si="203"/>
        <v>0</v>
      </c>
      <c r="RWP22" s="1902">
        <f t="shared" si="203"/>
        <v>0</v>
      </c>
      <c r="RWQ22" s="1902">
        <f t="shared" si="203"/>
        <v>0</v>
      </c>
      <c r="RWR22" s="1902">
        <f t="shared" si="203"/>
        <v>0</v>
      </c>
      <c r="RWS22" s="1902">
        <f t="shared" si="203"/>
        <v>0</v>
      </c>
      <c r="RWT22" s="1902">
        <f t="shared" si="203"/>
        <v>0</v>
      </c>
      <c r="RWU22" s="1902">
        <f t="shared" si="203"/>
        <v>0</v>
      </c>
      <c r="RWV22" s="1902">
        <f t="shared" si="203"/>
        <v>0</v>
      </c>
      <c r="RWW22" s="1902">
        <f t="shared" si="203"/>
        <v>0</v>
      </c>
      <c r="RWX22" s="1902">
        <f t="shared" si="203"/>
        <v>0</v>
      </c>
      <c r="RWY22" s="1902">
        <f t="shared" si="203"/>
        <v>0</v>
      </c>
      <c r="RWZ22" s="1902">
        <f t="shared" si="203"/>
        <v>0</v>
      </c>
      <c r="RXA22" s="1902">
        <f t="shared" si="203"/>
        <v>0</v>
      </c>
      <c r="RXB22" s="1902">
        <f t="shared" si="203"/>
        <v>0</v>
      </c>
      <c r="RXC22" s="1902">
        <f t="shared" si="203"/>
        <v>0</v>
      </c>
      <c r="RXD22" s="1902">
        <f t="shared" si="203"/>
        <v>0</v>
      </c>
      <c r="RXE22" s="1902">
        <f t="shared" si="203"/>
        <v>0</v>
      </c>
      <c r="RXF22" s="1902">
        <f t="shared" si="203"/>
        <v>0</v>
      </c>
      <c r="RXG22" s="1902">
        <f t="shared" si="203"/>
        <v>0</v>
      </c>
      <c r="RXH22" s="1902">
        <f t="shared" si="203"/>
        <v>0</v>
      </c>
      <c r="RXI22" s="1902">
        <f t="shared" si="203"/>
        <v>0</v>
      </c>
      <c r="RXJ22" s="1902">
        <f t="shared" si="203"/>
        <v>0</v>
      </c>
      <c r="RXK22" s="1902">
        <f t="shared" si="203"/>
        <v>0</v>
      </c>
      <c r="RXL22" s="1902">
        <f t="shared" si="203"/>
        <v>0</v>
      </c>
      <c r="RXM22" s="1902">
        <f t="shared" si="203"/>
        <v>0</v>
      </c>
      <c r="RXN22" s="1902">
        <f t="shared" si="203"/>
        <v>0</v>
      </c>
      <c r="RXO22" s="1902">
        <f t="shared" si="203"/>
        <v>0</v>
      </c>
      <c r="RXP22" s="1902">
        <f t="shared" si="203"/>
        <v>0</v>
      </c>
      <c r="RXQ22" s="1902">
        <f t="shared" si="203"/>
        <v>0</v>
      </c>
      <c r="RXR22" s="1902">
        <f t="shared" si="203"/>
        <v>0</v>
      </c>
      <c r="RXS22" s="1902">
        <f t="shared" ref="RXS22:SAD22" si="204">IF(AND(RXS$26="End of period",RXS$25="Revenue"),RXS9,0)</f>
        <v>0</v>
      </c>
      <c r="RXT22" s="1902">
        <f t="shared" si="204"/>
        <v>0</v>
      </c>
      <c r="RXU22" s="1902">
        <f t="shared" si="204"/>
        <v>0</v>
      </c>
      <c r="RXV22" s="1902">
        <f t="shared" si="204"/>
        <v>0</v>
      </c>
      <c r="RXW22" s="1902">
        <f t="shared" si="204"/>
        <v>0</v>
      </c>
      <c r="RXX22" s="1902">
        <f t="shared" si="204"/>
        <v>0</v>
      </c>
      <c r="RXY22" s="1902">
        <f t="shared" si="204"/>
        <v>0</v>
      </c>
      <c r="RXZ22" s="1902">
        <f t="shared" si="204"/>
        <v>0</v>
      </c>
      <c r="RYA22" s="1902">
        <f t="shared" si="204"/>
        <v>0</v>
      </c>
      <c r="RYB22" s="1902">
        <f t="shared" si="204"/>
        <v>0</v>
      </c>
      <c r="RYC22" s="1902">
        <f t="shared" si="204"/>
        <v>0</v>
      </c>
      <c r="RYD22" s="1902">
        <f t="shared" si="204"/>
        <v>0</v>
      </c>
      <c r="RYE22" s="1902">
        <f t="shared" si="204"/>
        <v>0</v>
      </c>
      <c r="RYF22" s="1902">
        <f t="shared" si="204"/>
        <v>0</v>
      </c>
      <c r="RYG22" s="1902">
        <f t="shared" si="204"/>
        <v>0</v>
      </c>
      <c r="RYH22" s="1902">
        <f t="shared" si="204"/>
        <v>0</v>
      </c>
      <c r="RYI22" s="1902">
        <f t="shared" si="204"/>
        <v>0</v>
      </c>
      <c r="RYJ22" s="1902">
        <f t="shared" si="204"/>
        <v>0</v>
      </c>
      <c r="RYK22" s="1902">
        <f t="shared" si="204"/>
        <v>0</v>
      </c>
      <c r="RYL22" s="1902">
        <f t="shared" si="204"/>
        <v>0</v>
      </c>
      <c r="RYM22" s="1902">
        <f t="shared" si="204"/>
        <v>0</v>
      </c>
      <c r="RYN22" s="1902">
        <f t="shared" si="204"/>
        <v>0</v>
      </c>
      <c r="RYO22" s="1902">
        <f t="shared" si="204"/>
        <v>0</v>
      </c>
      <c r="RYP22" s="1902">
        <f t="shared" si="204"/>
        <v>0</v>
      </c>
      <c r="RYQ22" s="1902">
        <f t="shared" si="204"/>
        <v>0</v>
      </c>
      <c r="RYR22" s="1902">
        <f t="shared" si="204"/>
        <v>0</v>
      </c>
      <c r="RYS22" s="1902">
        <f t="shared" si="204"/>
        <v>0</v>
      </c>
      <c r="RYT22" s="1902">
        <f t="shared" si="204"/>
        <v>0</v>
      </c>
      <c r="RYU22" s="1902">
        <f t="shared" si="204"/>
        <v>0</v>
      </c>
      <c r="RYV22" s="1902">
        <f t="shared" si="204"/>
        <v>0</v>
      </c>
      <c r="RYW22" s="1902">
        <f t="shared" si="204"/>
        <v>0</v>
      </c>
      <c r="RYX22" s="1902">
        <f t="shared" si="204"/>
        <v>0</v>
      </c>
      <c r="RYY22" s="1902">
        <f t="shared" si="204"/>
        <v>0</v>
      </c>
      <c r="RYZ22" s="1902">
        <f t="shared" si="204"/>
        <v>0</v>
      </c>
      <c r="RZA22" s="1902">
        <f t="shared" si="204"/>
        <v>0</v>
      </c>
      <c r="RZB22" s="1902">
        <f t="shared" si="204"/>
        <v>0</v>
      </c>
      <c r="RZC22" s="1902">
        <f t="shared" si="204"/>
        <v>0</v>
      </c>
      <c r="RZD22" s="1902">
        <f t="shared" si="204"/>
        <v>0</v>
      </c>
      <c r="RZE22" s="1902">
        <f t="shared" si="204"/>
        <v>0</v>
      </c>
      <c r="RZF22" s="1902">
        <f t="shared" si="204"/>
        <v>0</v>
      </c>
      <c r="RZG22" s="1902">
        <f t="shared" si="204"/>
        <v>0</v>
      </c>
      <c r="RZH22" s="1902">
        <f t="shared" si="204"/>
        <v>0</v>
      </c>
      <c r="RZI22" s="1902">
        <f t="shared" si="204"/>
        <v>0</v>
      </c>
      <c r="RZJ22" s="1902">
        <f t="shared" si="204"/>
        <v>0</v>
      </c>
      <c r="RZK22" s="1902">
        <f t="shared" si="204"/>
        <v>0</v>
      </c>
      <c r="RZL22" s="1902">
        <f t="shared" si="204"/>
        <v>0</v>
      </c>
      <c r="RZM22" s="1902">
        <f t="shared" si="204"/>
        <v>0</v>
      </c>
      <c r="RZN22" s="1902">
        <f t="shared" si="204"/>
        <v>0</v>
      </c>
      <c r="RZO22" s="1902">
        <f t="shared" si="204"/>
        <v>0</v>
      </c>
      <c r="RZP22" s="1902">
        <f t="shared" si="204"/>
        <v>0</v>
      </c>
      <c r="RZQ22" s="1902">
        <f t="shared" si="204"/>
        <v>0</v>
      </c>
      <c r="RZR22" s="1902">
        <f t="shared" si="204"/>
        <v>0</v>
      </c>
      <c r="RZS22" s="1902">
        <f t="shared" si="204"/>
        <v>0</v>
      </c>
      <c r="RZT22" s="1902">
        <f t="shared" si="204"/>
        <v>0</v>
      </c>
      <c r="RZU22" s="1902">
        <f t="shared" si="204"/>
        <v>0</v>
      </c>
      <c r="RZV22" s="1902">
        <f t="shared" si="204"/>
        <v>0</v>
      </c>
      <c r="RZW22" s="1902">
        <f t="shared" si="204"/>
        <v>0</v>
      </c>
      <c r="RZX22" s="1902">
        <f t="shared" si="204"/>
        <v>0</v>
      </c>
      <c r="RZY22" s="1902">
        <f t="shared" si="204"/>
        <v>0</v>
      </c>
      <c r="RZZ22" s="1902">
        <f t="shared" si="204"/>
        <v>0</v>
      </c>
      <c r="SAA22" s="1902">
        <f t="shared" si="204"/>
        <v>0</v>
      </c>
      <c r="SAB22" s="1902">
        <f t="shared" si="204"/>
        <v>0</v>
      </c>
      <c r="SAC22" s="1902">
        <f t="shared" si="204"/>
        <v>0</v>
      </c>
      <c r="SAD22" s="1902">
        <f t="shared" si="204"/>
        <v>0</v>
      </c>
      <c r="SAE22" s="1902">
        <f t="shared" ref="SAE22:SCP22" si="205">IF(AND(SAE$26="End of period",SAE$25="Revenue"),SAE9,0)</f>
        <v>0</v>
      </c>
      <c r="SAF22" s="1902">
        <f t="shared" si="205"/>
        <v>0</v>
      </c>
      <c r="SAG22" s="1902">
        <f t="shared" si="205"/>
        <v>0</v>
      </c>
      <c r="SAH22" s="1902">
        <f t="shared" si="205"/>
        <v>0</v>
      </c>
      <c r="SAI22" s="1902">
        <f t="shared" si="205"/>
        <v>0</v>
      </c>
      <c r="SAJ22" s="1902">
        <f t="shared" si="205"/>
        <v>0</v>
      </c>
      <c r="SAK22" s="1902">
        <f t="shared" si="205"/>
        <v>0</v>
      </c>
      <c r="SAL22" s="1902">
        <f t="shared" si="205"/>
        <v>0</v>
      </c>
      <c r="SAM22" s="1902">
        <f t="shared" si="205"/>
        <v>0</v>
      </c>
      <c r="SAN22" s="1902">
        <f t="shared" si="205"/>
        <v>0</v>
      </c>
      <c r="SAO22" s="1902">
        <f t="shared" si="205"/>
        <v>0</v>
      </c>
      <c r="SAP22" s="1902">
        <f t="shared" si="205"/>
        <v>0</v>
      </c>
      <c r="SAQ22" s="1902">
        <f t="shared" si="205"/>
        <v>0</v>
      </c>
      <c r="SAR22" s="1902">
        <f t="shared" si="205"/>
        <v>0</v>
      </c>
      <c r="SAS22" s="1902">
        <f t="shared" si="205"/>
        <v>0</v>
      </c>
      <c r="SAT22" s="1902">
        <f t="shared" si="205"/>
        <v>0</v>
      </c>
      <c r="SAU22" s="1902">
        <f t="shared" si="205"/>
        <v>0</v>
      </c>
      <c r="SAV22" s="1902">
        <f t="shared" si="205"/>
        <v>0</v>
      </c>
      <c r="SAW22" s="1902">
        <f t="shared" si="205"/>
        <v>0</v>
      </c>
      <c r="SAX22" s="1902">
        <f t="shared" si="205"/>
        <v>0</v>
      </c>
      <c r="SAY22" s="1902">
        <f t="shared" si="205"/>
        <v>0</v>
      </c>
      <c r="SAZ22" s="1902">
        <f t="shared" si="205"/>
        <v>0</v>
      </c>
      <c r="SBA22" s="1902">
        <f t="shared" si="205"/>
        <v>0</v>
      </c>
      <c r="SBB22" s="1902">
        <f t="shared" si="205"/>
        <v>0</v>
      </c>
      <c r="SBC22" s="1902">
        <f t="shared" si="205"/>
        <v>0</v>
      </c>
      <c r="SBD22" s="1902">
        <f t="shared" si="205"/>
        <v>0</v>
      </c>
      <c r="SBE22" s="1902">
        <f t="shared" si="205"/>
        <v>0</v>
      </c>
      <c r="SBF22" s="1902">
        <f t="shared" si="205"/>
        <v>0</v>
      </c>
      <c r="SBG22" s="1902">
        <f t="shared" si="205"/>
        <v>0</v>
      </c>
      <c r="SBH22" s="1902">
        <f t="shared" si="205"/>
        <v>0</v>
      </c>
      <c r="SBI22" s="1902">
        <f t="shared" si="205"/>
        <v>0</v>
      </c>
      <c r="SBJ22" s="1902">
        <f t="shared" si="205"/>
        <v>0</v>
      </c>
      <c r="SBK22" s="1902">
        <f t="shared" si="205"/>
        <v>0</v>
      </c>
      <c r="SBL22" s="1902">
        <f t="shared" si="205"/>
        <v>0</v>
      </c>
      <c r="SBM22" s="1902">
        <f t="shared" si="205"/>
        <v>0</v>
      </c>
      <c r="SBN22" s="1902">
        <f t="shared" si="205"/>
        <v>0</v>
      </c>
      <c r="SBO22" s="1902">
        <f t="shared" si="205"/>
        <v>0</v>
      </c>
      <c r="SBP22" s="1902">
        <f t="shared" si="205"/>
        <v>0</v>
      </c>
      <c r="SBQ22" s="1902">
        <f t="shared" si="205"/>
        <v>0</v>
      </c>
      <c r="SBR22" s="1902">
        <f t="shared" si="205"/>
        <v>0</v>
      </c>
      <c r="SBS22" s="1902">
        <f t="shared" si="205"/>
        <v>0</v>
      </c>
      <c r="SBT22" s="1902">
        <f t="shared" si="205"/>
        <v>0</v>
      </c>
      <c r="SBU22" s="1902">
        <f t="shared" si="205"/>
        <v>0</v>
      </c>
      <c r="SBV22" s="1902">
        <f t="shared" si="205"/>
        <v>0</v>
      </c>
      <c r="SBW22" s="1902">
        <f t="shared" si="205"/>
        <v>0</v>
      </c>
      <c r="SBX22" s="1902">
        <f t="shared" si="205"/>
        <v>0</v>
      </c>
      <c r="SBY22" s="1902">
        <f t="shared" si="205"/>
        <v>0</v>
      </c>
      <c r="SBZ22" s="1902">
        <f t="shared" si="205"/>
        <v>0</v>
      </c>
      <c r="SCA22" s="1902">
        <f t="shared" si="205"/>
        <v>0</v>
      </c>
      <c r="SCB22" s="1902">
        <f t="shared" si="205"/>
        <v>0</v>
      </c>
      <c r="SCC22" s="1902">
        <f t="shared" si="205"/>
        <v>0</v>
      </c>
      <c r="SCD22" s="1902">
        <f t="shared" si="205"/>
        <v>0</v>
      </c>
      <c r="SCE22" s="1902">
        <f t="shared" si="205"/>
        <v>0</v>
      </c>
      <c r="SCF22" s="1902">
        <f t="shared" si="205"/>
        <v>0</v>
      </c>
      <c r="SCG22" s="1902">
        <f t="shared" si="205"/>
        <v>0</v>
      </c>
      <c r="SCH22" s="1902">
        <f t="shared" si="205"/>
        <v>0</v>
      </c>
      <c r="SCI22" s="1902">
        <f t="shared" si="205"/>
        <v>0</v>
      </c>
      <c r="SCJ22" s="1902">
        <f t="shared" si="205"/>
        <v>0</v>
      </c>
      <c r="SCK22" s="1902">
        <f t="shared" si="205"/>
        <v>0</v>
      </c>
      <c r="SCL22" s="1902">
        <f t="shared" si="205"/>
        <v>0</v>
      </c>
      <c r="SCM22" s="1902">
        <f t="shared" si="205"/>
        <v>0</v>
      </c>
      <c r="SCN22" s="1902">
        <f t="shared" si="205"/>
        <v>0</v>
      </c>
      <c r="SCO22" s="1902">
        <f t="shared" si="205"/>
        <v>0</v>
      </c>
      <c r="SCP22" s="1902">
        <f t="shared" si="205"/>
        <v>0</v>
      </c>
      <c r="SCQ22" s="1902">
        <f t="shared" ref="SCQ22:SFB22" si="206">IF(AND(SCQ$26="End of period",SCQ$25="Revenue"),SCQ9,0)</f>
        <v>0</v>
      </c>
      <c r="SCR22" s="1902">
        <f t="shared" si="206"/>
        <v>0</v>
      </c>
      <c r="SCS22" s="1902">
        <f t="shared" si="206"/>
        <v>0</v>
      </c>
      <c r="SCT22" s="1902">
        <f t="shared" si="206"/>
        <v>0</v>
      </c>
      <c r="SCU22" s="1902">
        <f t="shared" si="206"/>
        <v>0</v>
      </c>
      <c r="SCV22" s="1902">
        <f t="shared" si="206"/>
        <v>0</v>
      </c>
      <c r="SCW22" s="1902">
        <f t="shared" si="206"/>
        <v>0</v>
      </c>
      <c r="SCX22" s="1902">
        <f t="shared" si="206"/>
        <v>0</v>
      </c>
      <c r="SCY22" s="1902">
        <f t="shared" si="206"/>
        <v>0</v>
      </c>
      <c r="SCZ22" s="1902">
        <f t="shared" si="206"/>
        <v>0</v>
      </c>
      <c r="SDA22" s="1902">
        <f t="shared" si="206"/>
        <v>0</v>
      </c>
      <c r="SDB22" s="1902">
        <f t="shared" si="206"/>
        <v>0</v>
      </c>
      <c r="SDC22" s="1902">
        <f t="shared" si="206"/>
        <v>0</v>
      </c>
      <c r="SDD22" s="1902">
        <f t="shared" si="206"/>
        <v>0</v>
      </c>
      <c r="SDE22" s="1902">
        <f t="shared" si="206"/>
        <v>0</v>
      </c>
      <c r="SDF22" s="1902">
        <f t="shared" si="206"/>
        <v>0</v>
      </c>
      <c r="SDG22" s="1902">
        <f t="shared" si="206"/>
        <v>0</v>
      </c>
      <c r="SDH22" s="1902">
        <f t="shared" si="206"/>
        <v>0</v>
      </c>
      <c r="SDI22" s="1902">
        <f t="shared" si="206"/>
        <v>0</v>
      </c>
      <c r="SDJ22" s="1902">
        <f t="shared" si="206"/>
        <v>0</v>
      </c>
      <c r="SDK22" s="1902">
        <f t="shared" si="206"/>
        <v>0</v>
      </c>
      <c r="SDL22" s="1902">
        <f t="shared" si="206"/>
        <v>0</v>
      </c>
      <c r="SDM22" s="1902">
        <f t="shared" si="206"/>
        <v>0</v>
      </c>
      <c r="SDN22" s="1902">
        <f t="shared" si="206"/>
        <v>0</v>
      </c>
      <c r="SDO22" s="1902">
        <f t="shared" si="206"/>
        <v>0</v>
      </c>
      <c r="SDP22" s="1902">
        <f t="shared" si="206"/>
        <v>0</v>
      </c>
      <c r="SDQ22" s="1902">
        <f t="shared" si="206"/>
        <v>0</v>
      </c>
      <c r="SDR22" s="1902">
        <f t="shared" si="206"/>
        <v>0</v>
      </c>
      <c r="SDS22" s="1902">
        <f t="shared" si="206"/>
        <v>0</v>
      </c>
      <c r="SDT22" s="1902">
        <f t="shared" si="206"/>
        <v>0</v>
      </c>
      <c r="SDU22" s="1902">
        <f t="shared" si="206"/>
        <v>0</v>
      </c>
      <c r="SDV22" s="1902">
        <f t="shared" si="206"/>
        <v>0</v>
      </c>
      <c r="SDW22" s="1902">
        <f t="shared" si="206"/>
        <v>0</v>
      </c>
      <c r="SDX22" s="1902">
        <f t="shared" si="206"/>
        <v>0</v>
      </c>
      <c r="SDY22" s="1902">
        <f t="shared" si="206"/>
        <v>0</v>
      </c>
      <c r="SDZ22" s="1902">
        <f t="shared" si="206"/>
        <v>0</v>
      </c>
      <c r="SEA22" s="1902">
        <f t="shared" si="206"/>
        <v>0</v>
      </c>
      <c r="SEB22" s="1902">
        <f t="shared" si="206"/>
        <v>0</v>
      </c>
      <c r="SEC22" s="1902">
        <f t="shared" si="206"/>
        <v>0</v>
      </c>
      <c r="SED22" s="1902">
        <f t="shared" si="206"/>
        <v>0</v>
      </c>
      <c r="SEE22" s="1902">
        <f t="shared" si="206"/>
        <v>0</v>
      </c>
      <c r="SEF22" s="1902">
        <f t="shared" si="206"/>
        <v>0</v>
      </c>
      <c r="SEG22" s="1902">
        <f t="shared" si="206"/>
        <v>0</v>
      </c>
      <c r="SEH22" s="1902">
        <f t="shared" si="206"/>
        <v>0</v>
      </c>
      <c r="SEI22" s="1902">
        <f t="shared" si="206"/>
        <v>0</v>
      </c>
      <c r="SEJ22" s="1902">
        <f t="shared" si="206"/>
        <v>0</v>
      </c>
      <c r="SEK22" s="1902">
        <f t="shared" si="206"/>
        <v>0</v>
      </c>
      <c r="SEL22" s="1902">
        <f t="shared" si="206"/>
        <v>0</v>
      </c>
      <c r="SEM22" s="1902">
        <f t="shared" si="206"/>
        <v>0</v>
      </c>
      <c r="SEN22" s="1902">
        <f t="shared" si="206"/>
        <v>0</v>
      </c>
      <c r="SEO22" s="1902">
        <f t="shared" si="206"/>
        <v>0</v>
      </c>
      <c r="SEP22" s="1902">
        <f t="shared" si="206"/>
        <v>0</v>
      </c>
      <c r="SEQ22" s="1902">
        <f t="shared" si="206"/>
        <v>0</v>
      </c>
      <c r="SER22" s="1902">
        <f t="shared" si="206"/>
        <v>0</v>
      </c>
      <c r="SES22" s="1902">
        <f t="shared" si="206"/>
        <v>0</v>
      </c>
      <c r="SET22" s="1902">
        <f t="shared" si="206"/>
        <v>0</v>
      </c>
      <c r="SEU22" s="1902">
        <f t="shared" si="206"/>
        <v>0</v>
      </c>
      <c r="SEV22" s="1902">
        <f t="shared" si="206"/>
        <v>0</v>
      </c>
      <c r="SEW22" s="1902">
        <f t="shared" si="206"/>
        <v>0</v>
      </c>
      <c r="SEX22" s="1902">
        <f t="shared" si="206"/>
        <v>0</v>
      </c>
      <c r="SEY22" s="1902">
        <f t="shared" si="206"/>
        <v>0</v>
      </c>
      <c r="SEZ22" s="1902">
        <f t="shared" si="206"/>
        <v>0</v>
      </c>
      <c r="SFA22" s="1902">
        <f t="shared" si="206"/>
        <v>0</v>
      </c>
      <c r="SFB22" s="1902">
        <f t="shared" si="206"/>
        <v>0</v>
      </c>
      <c r="SFC22" s="1902">
        <f t="shared" ref="SFC22:SHN22" si="207">IF(AND(SFC$26="End of period",SFC$25="Revenue"),SFC9,0)</f>
        <v>0</v>
      </c>
      <c r="SFD22" s="1902">
        <f t="shared" si="207"/>
        <v>0</v>
      </c>
      <c r="SFE22" s="1902">
        <f t="shared" si="207"/>
        <v>0</v>
      </c>
      <c r="SFF22" s="1902">
        <f t="shared" si="207"/>
        <v>0</v>
      </c>
      <c r="SFG22" s="1902">
        <f t="shared" si="207"/>
        <v>0</v>
      </c>
      <c r="SFH22" s="1902">
        <f t="shared" si="207"/>
        <v>0</v>
      </c>
      <c r="SFI22" s="1902">
        <f t="shared" si="207"/>
        <v>0</v>
      </c>
      <c r="SFJ22" s="1902">
        <f t="shared" si="207"/>
        <v>0</v>
      </c>
      <c r="SFK22" s="1902">
        <f t="shared" si="207"/>
        <v>0</v>
      </c>
      <c r="SFL22" s="1902">
        <f t="shared" si="207"/>
        <v>0</v>
      </c>
      <c r="SFM22" s="1902">
        <f t="shared" si="207"/>
        <v>0</v>
      </c>
      <c r="SFN22" s="1902">
        <f t="shared" si="207"/>
        <v>0</v>
      </c>
      <c r="SFO22" s="1902">
        <f t="shared" si="207"/>
        <v>0</v>
      </c>
      <c r="SFP22" s="1902">
        <f t="shared" si="207"/>
        <v>0</v>
      </c>
      <c r="SFQ22" s="1902">
        <f t="shared" si="207"/>
        <v>0</v>
      </c>
      <c r="SFR22" s="1902">
        <f t="shared" si="207"/>
        <v>0</v>
      </c>
      <c r="SFS22" s="1902">
        <f t="shared" si="207"/>
        <v>0</v>
      </c>
      <c r="SFT22" s="1902">
        <f t="shared" si="207"/>
        <v>0</v>
      </c>
      <c r="SFU22" s="1902">
        <f t="shared" si="207"/>
        <v>0</v>
      </c>
      <c r="SFV22" s="1902">
        <f t="shared" si="207"/>
        <v>0</v>
      </c>
      <c r="SFW22" s="1902">
        <f t="shared" si="207"/>
        <v>0</v>
      </c>
      <c r="SFX22" s="1902">
        <f t="shared" si="207"/>
        <v>0</v>
      </c>
      <c r="SFY22" s="1902">
        <f t="shared" si="207"/>
        <v>0</v>
      </c>
      <c r="SFZ22" s="1902">
        <f t="shared" si="207"/>
        <v>0</v>
      </c>
      <c r="SGA22" s="1902">
        <f t="shared" si="207"/>
        <v>0</v>
      </c>
      <c r="SGB22" s="1902">
        <f t="shared" si="207"/>
        <v>0</v>
      </c>
      <c r="SGC22" s="1902">
        <f t="shared" si="207"/>
        <v>0</v>
      </c>
      <c r="SGD22" s="1902">
        <f t="shared" si="207"/>
        <v>0</v>
      </c>
      <c r="SGE22" s="1902">
        <f t="shared" si="207"/>
        <v>0</v>
      </c>
      <c r="SGF22" s="1902">
        <f t="shared" si="207"/>
        <v>0</v>
      </c>
      <c r="SGG22" s="1902">
        <f t="shared" si="207"/>
        <v>0</v>
      </c>
      <c r="SGH22" s="1902">
        <f t="shared" si="207"/>
        <v>0</v>
      </c>
      <c r="SGI22" s="1902">
        <f t="shared" si="207"/>
        <v>0</v>
      </c>
      <c r="SGJ22" s="1902">
        <f t="shared" si="207"/>
        <v>0</v>
      </c>
      <c r="SGK22" s="1902">
        <f t="shared" si="207"/>
        <v>0</v>
      </c>
      <c r="SGL22" s="1902">
        <f t="shared" si="207"/>
        <v>0</v>
      </c>
      <c r="SGM22" s="1902">
        <f t="shared" si="207"/>
        <v>0</v>
      </c>
      <c r="SGN22" s="1902">
        <f t="shared" si="207"/>
        <v>0</v>
      </c>
      <c r="SGO22" s="1902">
        <f t="shared" si="207"/>
        <v>0</v>
      </c>
      <c r="SGP22" s="1902">
        <f t="shared" si="207"/>
        <v>0</v>
      </c>
      <c r="SGQ22" s="1902">
        <f t="shared" si="207"/>
        <v>0</v>
      </c>
      <c r="SGR22" s="1902">
        <f t="shared" si="207"/>
        <v>0</v>
      </c>
      <c r="SGS22" s="1902">
        <f t="shared" si="207"/>
        <v>0</v>
      </c>
      <c r="SGT22" s="1902">
        <f t="shared" si="207"/>
        <v>0</v>
      </c>
      <c r="SGU22" s="1902">
        <f t="shared" si="207"/>
        <v>0</v>
      </c>
      <c r="SGV22" s="1902">
        <f t="shared" si="207"/>
        <v>0</v>
      </c>
      <c r="SGW22" s="1902">
        <f t="shared" si="207"/>
        <v>0</v>
      </c>
      <c r="SGX22" s="1902">
        <f t="shared" si="207"/>
        <v>0</v>
      </c>
      <c r="SGY22" s="1902">
        <f t="shared" si="207"/>
        <v>0</v>
      </c>
      <c r="SGZ22" s="1902">
        <f t="shared" si="207"/>
        <v>0</v>
      </c>
      <c r="SHA22" s="1902">
        <f t="shared" si="207"/>
        <v>0</v>
      </c>
      <c r="SHB22" s="1902">
        <f t="shared" si="207"/>
        <v>0</v>
      </c>
      <c r="SHC22" s="1902">
        <f t="shared" si="207"/>
        <v>0</v>
      </c>
      <c r="SHD22" s="1902">
        <f t="shared" si="207"/>
        <v>0</v>
      </c>
      <c r="SHE22" s="1902">
        <f t="shared" si="207"/>
        <v>0</v>
      </c>
      <c r="SHF22" s="1902">
        <f t="shared" si="207"/>
        <v>0</v>
      </c>
      <c r="SHG22" s="1902">
        <f t="shared" si="207"/>
        <v>0</v>
      </c>
      <c r="SHH22" s="1902">
        <f t="shared" si="207"/>
        <v>0</v>
      </c>
      <c r="SHI22" s="1902">
        <f t="shared" si="207"/>
        <v>0</v>
      </c>
      <c r="SHJ22" s="1902">
        <f t="shared" si="207"/>
        <v>0</v>
      </c>
      <c r="SHK22" s="1902">
        <f t="shared" si="207"/>
        <v>0</v>
      </c>
      <c r="SHL22" s="1902">
        <f t="shared" si="207"/>
        <v>0</v>
      </c>
      <c r="SHM22" s="1902">
        <f t="shared" si="207"/>
        <v>0</v>
      </c>
      <c r="SHN22" s="1902">
        <f t="shared" si="207"/>
        <v>0</v>
      </c>
      <c r="SHO22" s="1902">
        <f t="shared" ref="SHO22:SJZ22" si="208">IF(AND(SHO$26="End of period",SHO$25="Revenue"),SHO9,0)</f>
        <v>0</v>
      </c>
      <c r="SHP22" s="1902">
        <f t="shared" si="208"/>
        <v>0</v>
      </c>
      <c r="SHQ22" s="1902">
        <f t="shared" si="208"/>
        <v>0</v>
      </c>
      <c r="SHR22" s="1902">
        <f t="shared" si="208"/>
        <v>0</v>
      </c>
      <c r="SHS22" s="1902">
        <f t="shared" si="208"/>
        <v>0</v>
      </c>
      <c r="SHT22" s="1902">
        <f t="shared" si="208"/>
        <v>0</v>
      </c>
      <c r="SHU22" s="1902">
        <f t="shared" si="208"/>
        <v>0</v>
      </c>
      <c r="SHV22" s="1902">
        <f t="shared" si="208"/>
        <v>0</v>
      </c>
      <c r="SHW22" s="1902">
        <f t="shared" si="208"/>
        <v>0</v>
      </c>
      <c r="SHX22" s="1902">
        <f t="shared" si="208"/>
        <v>0</v>
      </c>
      <c r="SHY22" s="1902">
        <f t="shared" si="208"/>
        <v>0</v>
      </c>
      <c r="SHZ22" s="1902">
        <f t="shared" si="208"/>
        <v>0</v>
      </c>
      <c r="SIA22" s="1902">
        <f t="shared" si="208"/>
        <v>0</v>
      </c>
      <c r="SIB22" s="1902">
        <f t="shared" si="208"/>
        <v>0</v>
      </c>
      <c r="SIC22" s="1902">
        <f t="shared" si="208"/>
        <v>0</v>
      </c>
      <c r="SID22" s="1902">
        <f t="shared" si="208"/>
        <v>0</v>
      </c>
      <c r="SIE22" s="1902">
        <f t="shared" si="208"/>
        <v>0</v>
      </c>
      <c r="SIF22" s="1902">
        <f t="shared" si="208"/>
        <v>0</v>
      </c>
      <c r="SIG22" s="1902">
        <f t="shared" si="208"/>
        <v>0</v>
      </c>
      <c r="SIH22" s="1902">
        <f t="shared" si="208"/>
        <v>0</v>
      </c>
      <c r="SII22" s="1902">
        <f t="shared" si="208"/>
        <v>0</v>
      </c>
      <c r="SIJ22" s="1902">
        <f t="shared" si="208"/>
        <v>0</v>
      </c>
      <c r="SIK22" s="1902">
        <f t="shared" si="208"/>
        <v>0</v>
      </c>
      <c r="SIL22" s="1902">
        <f t="shared" si="208"/>
        <v>0</v>
      </c>
      <c r="SIM22" s="1902">
        <f t="shared" si="208"/>
        <v>0</v>
      </c>
      <c r="SIN22" s="1902">
        <f t="shared" si="208"/>
        <v>0</v>
      </c>
      <c r="SIO22" s="1902">
        <f t="shared" si="208"/>
        <v>0</v>
      </c>
      <c r="SIP22" s="1902">
        <f t="shared" si="208"/>
        <v>0</v>
      </c>
      <c r="SIQ22" s="1902">
        <f t="shared" si="208"/>
        <v>0</v>
      </c>
      <c r="SIR22" s="1902">
        <f t="shared" si="208"/>
        <v>0</v>
      </c>
      <c r="SIS22" s="1902">
        <f t="shared" si="208"/>
        <v>0</v>
      </c>
      <c r="SIT22" s="1902">
        <f t="shared" si="208"/>
        <v>0</v>
      </c>
      <c r="SIU22" s="1902">
        <f t="shared" si="208"/>
        <v>0</v>
      </c>
      <c r="SIV22" s="1902">
        <f t="shared" si="208"/>
        <v>0</v>
      </c>
      <c r="SIW22" s="1902">
        <f t="shared" si="208"/>
        <v>0</v>
      </c>
      <c r="SIX22" s="1902">
        <f t="shared" si="208"/>
        <v>0</v>
      </c>
      <c r="SIY22" s="1902">
        <f t="shared" si="208"/>
        <v>0</v>
      </c>
      <c r="SIZ22" s="1902">
        <f t="shared" si="208"/>
        <v>0</v>
      </c>
      <c r="SJA22" s="1902">
        <f t="shared" si="208"/>
        <v>0</v>
      </c>
      <c r="SJB22" s="1902">
        <f t="shared" si="208"/>
        <v>0</v>
      </c>
      <c r="SJC22" s="1902">
        <f t="shared" si="208"/>
        <v>0</v>
      </c>
      <c r="SJD22" s="1902">
        <f t="shared" si="208"/>
        <v>0</v>
      </c>
      <c r="SJE22" s="1902">
        <f t="shared" si="208"/>
        <v>0</v>
      </c>
      <c r="SJF22" s="1902">
        <f t="shared" si="208"/>
        <v>0</v>
      </c>
      <c r="SJG22" s="1902">
        <f t="shared" si="208"/>
        <v>0</v>
      </c>
      <c r="SJH22" s="1902">
        <f t="shared" si="208"/>
        <v>0</v>
      </c>
      <c r="SJI22" s="1902">
        <f t="shared" si="208"/>
        <v>0</v>
      </c>
      <c r="SJJ22" s="1902">
        <f t="shared" si="208"/>
        <v>0</v>
      </c>
      <c r="SJK22" s="1902">
        <f t="shared" si="208"/>
        <v>0</v>
      </c>
      <c r="SJL22" s="1902">
        <f t="shared" si="208"/>
        <v>0</v>
      </c>
      <c r="SJM22" s="1902">
        <f t="shared" si="208"/>
        <v>0</v>
      </c>
      <c r="SJN22" s="1902">
        <f t="shared" si="208"/>
        <v>0</v>
      </c>
      <c r="SJO22" s="1902">
        <f t="shared" si="208"/>
        <v>0</v>
      </c>
      <c r="SJP22" s="1902">
        <f t="shared" si="208"/>
        <v>0</v>
      </c>
      <c r="SJQ22" s="1902">
        <f t="shared" si="208"/>
        <v>0</v>
      </c>
      <c r="SJR22" s="1902">
        <f t="shared" si="208"/>
        <v>0</v>
      </c>
      <c r="SJS22" s="1902">
        <f t="shared" si="208"/>
        <v>0</v>
      </c>
      <c r="SJT22" s="1902">
        <f t="shared" si="208"/>
        <v>0</v>
      </c>
      <c r="SJU22" s="1902">
        <f t="shared" si="208"/>
        <v>0</v>
      </c>
      <c r="SJV22" s="1902">
        <f t="shared" si="208"/>
        <v>0</v>
      </c>
      <c r="SJW22" s="1902">
        <f t="shared" si="208"/>
        <v>0</v>
      </c>
      <c r="SJX22" s="1902">
        <f t="shared" si="208"/>
        <v>0</v>
      </c>
      <c r="SJY22" s="1902">
        <f t="shared" si="208"/>
        <v>0</v>
      </c>
      <c r="SJZ22" s="1902">
        <f t="shared" si="208"/>
        <v>0</v>
      </c>
      <c r="SKA22" s="1902">
        <f t="shared" ref="SKA22:SML22" si="209">IF(AND(SKA$26="End of period",SKA$25="Revenue"),SKA9,0)</f>
        <v>0</v>
      </c>
      <c r="SKB22" s="1902">
        <f t="shared" si="209"/>
        <v>0</v>
      </c>
      <c r="SKC22" s="1902">
        <f t="shared" si="209"/>
        <v>0</v>
      </c>
      <c r="SKD22" s="1902">
        <f t="shared" si="209"/>
        <v>0</v>
      </c>
      <c r="SKE22" s="1902">
        <f t="shared" si="209"/>
        <v>0</v>
      </c>
      <c r="SKF22" s="1902">
        <f t="shared" si="209"/>
        <v>0</v>
      </c>
      <c r="SKG22" s="1902">
        <f t="shared" si="209"/>
        <v>0</v>
      </c>
      <c r="SKH22" s="1902">
        <f t="shared" si="209"/>
        <v>0</v>
      </c>
      <c r="SKI22" s="1902">
        <f t="shared" si="209"/>
        <v>0</v>
      </c>
      <c r="SKJ22" s="1902">
        <f t="shared" si="209"/>
        <v>0</v>
      </c>
      <c r="SKK22" s="1902">
        <f t="shared" si="209"/>
        <v>0</v>
      </c>
      <c r="SKL22" s="1902">
        <f t="shared" si="209"/>
        <v>0</v>
      </c>
      <c r="SKM22" s="1902">
        <f t="shared" si="209"/>
        <v>0</v>
      </c>
      <c r="SKN22" s="1902">
        <f t="shared" si="209"/>
        <v>0</v>
      </c>
      <c r="SKO22" s="1902">
        <f t="shared" si="209"/>
        <v>0</v>
      </c>
      <c r="SKP22" s="1902">
        <f t="shared" si="209"/>
        <v>0</v>
      </c>
      <c r="SKQ22" s="1902">
        <f t="shared" si="209"/>
        <v>0</v>
      </c>
      <c r="SKR22" s="1902">
        <f t="shared" si="209"/>
        <v>0</v>
      </c>
      <c r="SKS22" s="1902">
        <f t="shared" si="209"/>
        <v>0</v>
      </c>
      <c r="SKT22" s="1902">
        <f t="shared" si="209"/>
        <v>0</v>
      </c>
      <c r="SKU22" s="1902">
        <f t="shared" si="209"/>
        <v>0</v>
      </c>
      <c r="SKV22" s="1902">
        <f t="shared" si="209"/>
        <v>0</v>
      </c>
      <c r="SKW22" s="1902">
        <f t="shared" si="209"/>
        <v>0</v>
      </c>
      <c r="SKX22" s="1902">
        <f t="shared" si="209"/>
        <v>0</v>
      </c>
      <c r="SKY22" s="1902">
        <f t="shared" si="209"/>
        <v>0</v>
      </c>
      <c r="SKZ22" s="1902">
        <f t="shared" si="209"/>
        <v>0</v>
      </c>
      <c r="SLA22" s="1902">
        <f t="shared" si="209"/>
        <v>0</v>
      </c>
      <c r="SLB22" s="1902">
        <f t="shared" si="209"/>
        <v>0</v>
      </c>
      <c r="SLC22" s="1902">
        <f t="shared" si="209"/>
        <v>0</v>
      </c>
      <c r="SLD22" s="1902">
        <f t="shared" si="209"/>
        <v>0</v>
      </c>
      <c r="SLE22" s="1902">
        <f t="shared" si="209"/>
        <v>0</v>
      </c>
      <c r="SLF22" s="1902">
        <f t="shared" si="209"/>
        <v>0</v>
      </c>
      <c r="SLG22" s="1902">
        <f t="shared" si="209"/>
        <v>0</v>
      </c>
      <c r="SLH22" s="1902">
        <f t="shared" si="209"/>
        <v>0</v>
      </c>
      <c r="SLI22" s="1902">
        <f t="shared" si="209"/>
        <v>0</v>
      </c>
      <c r="SLJ22" s="1902">
        <f t="shared" si="209"/>
        <v>0</v>
      </c>
      <c r="SLK22" s="1902">
        <f t="shared" si="209"/>
        <v>0</v>
      </c>
      <c r="SLL22" s="1902">
        <f t="shared" si="209"/>
        <v>0</v>
      </c>
      <c r="SLM22" s="1902">
        <f t="shared" si="209"/>
        <v>0</v>
      </c>
      <c r="SLN22" s="1902">
        <f t="shared" si="209"/>
        <v>0</v>
      </c>
      <c r="SLO22" s="1902">
        <f t="shared" si="209"/>
        <v>0</v>
      </c>
      <c r="SLP22" s="1902">
        <f t="shared" si="209"/>
        <v>0</v>
      </c>
      <c r="SLQ22" s="1902">
        <f t="shared" si="209"/>
        <v>0</v>
      </c>
      <c r="SLR22" s="1902">
        <f t="shared" si="209"/>
        <v>0</v>
      </c>
      <c r="SLS22" s="1902">
        <f t="shared" si="209"/>
        <v>0</v>
      </c>
      <c r="SLT22" s="1902">
        <f t="shared" si="209"/>
        <v>0</v>
      </c>
      <c r="SLU22" s="1902">
        <f t="shared" si="209"/>
        <v>0</v>
      </c>
      <c r="SLV22" s="1902">
        <f t="shared" si="209"/>
        <v>0</v>
      </c>
      <c r="SLW22" s="1902">
        <f t="shared" si="209"/>
        <v>0</v>
      </c>
      <c r="SLX22" s="1902">
        <f t="shared" si="209"/>
        <v>0</v>
      </c>
      <c r="SLY22" s="1902">
        <f t="shared" si="209"/>
        <v>0</v>
      </c>
      <c r="SLZ22" s="1902">
        <f t="shared" si="209"/>
        <v>0</v>
      </c>
      <c r="SMA22" s="1902">
        <f t="shared" si="209"/>
        <v>0</v>
      </c>
      <c r="SMB22" s="1902">
        <f t="shared" si="209"/>
        <v>0</v>
      </c>
      <c r="SMC22" s="1902">
        <f t="shared" si="209"/>
        <v>0</v>
      </c>
      <c r="SMD22" s="1902">
        <f t="shared" si="209"/>
        <v>0</v>
      </c>
      <c r="SME22" s="1902">
        <f t="shared" si="209"/>
        <v>0</v>
      </c>
      <c r="SMF22" s="1902">
        <f t="shared" si="209"/>
        <v>0</v>
      </c>
      <c r="SMG22" s="1902">
        <f t="shared" si="209"/>
        <v>0</v>
      </c>
      <c r="SMH22" s="1902">
        <f t="shared" si="209"/>
        <v>0</v>
      </c>
      <c r="SMI22" s="1902">
        <f t="shared" si="209"/>
        <v>0</v>
      </c>
      <c r="SMJ22" s="1902">
        <f t="shared" si="209"/>
        <v>0</v>
      </c>
      <c r="SMK22" s="1902">
        <f t="shared" si="209"/>
        <v>0</v>
      </c>
      <c r="SML22" s="1902">
        <f t="shared" si="209"/>
        <v>0</v>
      </c>
      <c r="SMM22" s="1902">
        <f t="shared" ref="SMM22:SOX22" si="210">IF(AND(SMM$26="End of period",SMM$25="Revenue"),SMM9,0)</f>
        <v>0</v>
      </c>
      <c r="SMN22" s="1902">
        <f t="shared" si="210"/>
        <v>0</v>
      </c>
      <c r="SMO22" s="1902">
        <f t="shared" si="210"/>
        <v>0</v>
      </c>
      <c r="SMP22" s="1902">
        <f t="shared" si="210"/>
        <v>0</v>
      </c>
      <c r="SMQ22" s="1902">
        <f t="shared" si="210"/>
        <v>0</v>
      </c>
      <c r="SMR22" s="1902">
        <f t="shared" si="210"/>
        <v>0</v>
      </c>
      <c r="SMS22" s="1902">
        <f t="shared" si="210"/>
        <v>0</v>
      </c>
      <c r="SMT22" s="1902">
        <f t="shared" si="210"/>
        <v>0</v>
      </c>
      <c r="SMU22" s="1902">
        <f t="shared" si="210"/>
        <v>0</v>
      </c>
      <c r="SMV22" s="1902">
        <f t="shared" si="210"/>
        <v>0</v>
      </c>
      <c r="SMW22" s="1902">
        <f t="shared" si="210"/>
        <v>0</v>
      </c>
      <c r="SMX22" s="1902">
        <f t="shared" si="210"/>
        <v>0</v>
      </c>
      <c r="SMY22" s="1902">
        <f t="shared" si="210"/>
        <v>0</v>
      </c>
      <c r="SMZ22" s="1902">
        <f t="shared" si="210"/>
        <v>0</v>
      </c>
      <c r="SNA22" s="1902">
        <f t="shared" si="210"/>
        <v>0</v>
      </c>
      <c r="SNB22" s="1902">
        <f t="shared" si="210"/>
        <v>0</v>
      </c>
      <c r="SNC22" s="1902">
        <f t="shared" si="210"/>
        <v>0</v>
      </c>
      <c r="SND22" s="1902">
        <f t="shared" si="210"/>
        <v>0</v>
      </c>
      <c r="SNE22" s="1902">
        <f t="shared" si="210"/>
        <v>0</v>
      </c>
      <c r="SNF22" s="1902">
        <f t="shared" si="210"/>
        <v>0</v>
      </c>
      <c r="SNG22" s="1902">
        <f t="shared" si="210"/>
        <v>0</v>
      </c>
      <c r="SNH22" s="1902">
        <f t="shared" si="210"/>
        <v>0</v>
      </c>
      <c r="SNI22" s="1902">
        <f t="shared" si="210"/>
        <v>0</v>
      </c>
      <c r="SNJ22" s="1902">
        <f t="shared" si="210"/>
        <v>0</v>
      </c>
      <c r="SNK22" s="1902">
        <f t="shared" si="210"/>
        <v>0</v>
      </c>
      <c r="SNL22" s="1902">
        <f t="shared" si="210"/>
        <v>0</v>
      </c>
      <c r="SNM22" s="1902">
        <f t="shared" si="210"/>
        <v>0</v>
      </c>
      <c r="SNN22" s="1902">
        <f t="shared" si="210"/>
        <v>0</v>
      </c>
      <c r="SNO22" s="1902">
        <f t="shared" si="210"/>
        <v>0</v>
      </c>
      <c r="SNP22" s="1902">
        <f t="shared" si="210"/>
        <v>0</v>
      </c>
      <c r="SNQ22" s="1902">
        <f t="shared" si="210"/>
        <v>0</v>
      </c>
      <c r="SNR22" s="1902">
        <f t="shared" si="210"/>
        <v>0</v>
      </c>
      <c r="SNS22" s="1902">
        <f t="shared" si="210"/>
        <v>0</v>
      </c>
      <c r="SNT22" s="1902">
        <f t="shared" si="210"/>
        <v>0</v>
      </c>
      <c r="SNU22" s="1902">
        <f t="shared" si="210"/>
        <v>0</v>
      </c>
      <c r="SNV22" s="1902">
        <f t="shared" si="210"/>
        <v>0</v>
      </c>
      <c r="SNW22" s="1902">
        <f t="shared" si="210"/>
        <v>0</v>
      </c>
      <c r="SNX22" s="1902">
        <f t="shared" si="210"/>
        <v>0</v>
      </c>
      <c r="SNY22" s="1902">
        <f t="shared" si="210"/>
        <v>0</v>
      </c>
      <c r="SNZ22" s="1902">
        <f t="shared" si="210"/>
        <v>0</v>
      </c>
      <c r="SOA22" s="1902">
        <f t="shared" si="210"/>
        <v>0</v>
      </c>
      <c r="SOB22" s="1902">
        <f t="shared" si="210"/>
        <v>0</v>
      </c>
      <c r="SOC22" s="1902">
        <f t="shared" si="210"/>
        <v>0</v>
      </c>
      <c r="SOD22" s="1902">
        <f t="shared" si="210"/>
        <v>0</v>
      </c>
      <c r="SOE22" s="1902">
        <f t="shared" si="210"/>
        <v>0</v>
      </c>
      <c r="SOF22" s="1902">
        <f t="shared" si="210"/>
        <v>0</v>
      </c>
      <c r="SOG22" s="1902">
        <f t="shared" si="210"/>
        <v>0</v>
      </c>
      <c r="SOH22" s="1902">
        <f t="shared" si="210"/>
        <v>0</v>
      </c>
      <c r="SOI22" s="1902">
        <f t="shared" si="210"/>
        <v>0</v>
      </c>
      <c r="SOJ22" s="1902">
        <f t="shared" si="210"/>
        <v>0</v>
      </c>
      <c r="SOK22" s="1902">
        <f t="shared" si="210"/>
        <v>0</v>
      </c>
      <c r="SOL22" s="1902">
        <f t="shared" si="210"/>
        <v>0</v>
      </c>
      <c r="SOM22" s="1902">
        <f t="shared" si="210"/>
        <v>0</v>
      </c>
      <c r="SON22" s="1902">
        <f t="shared" si="210"/>
        <v>0</v>
      </c>
      <c r="SOO22" s="1902">
        <f t="shared" si="210"/>
        <v>0</v>
      </c>
      <c r="SOP22" s="1902">
        <f t="shared" si="210"/>
        <v>0</v>
      </c>
      <c r="SOQ22" s="1902">
        <f t="shared" si="210"/>
        <v>0</v>
      </c>
      <c r="SOR22" s="1902">
        <f t="shared" si="210"/>
        <v>0</v>
      </c>
      <c r="SOS22" s="1902">
        <f t="shared" si="210"/>
        <v>0</v>
      </c>
      <c r="SOT22" s="1902">
        <f t="shared" si="210"/>
        <v>0</v>
      </c>
      <c r="SOU22" s="1902">
        <f t="shared" si="210"/>
        <v>0</v>
      </c>
      <c r="SOV22" s="1902">
        <f t="shared" si="210"/>
        <v>0</v>
      </c>
      <c r="SOW22" s="1902">
        <f t="shared" si="210"/>
        <v>0</v>
      </c>
      <c r="SOX22" s="1902">
        <f t="shared" si="210"/>
        <v>0</v>
      </c>
      <c r="SOY22" s="1902">
        <f t="shared" ref="SOY22:SRJ22" si="211">IF(AND(SOY$26="End of period",SOY$25="Revenue"),SOY9,0)</f>
        <v>0</v>
      </c>
      <c r="SOZ22" s="1902">
        <f t="shared" si="211"/>
        <v>0</v>
      </c>
      <c r="SPA22" s="1902">
        <f t="shared" si="211"/>
        <v>0</v>
      </c>
      <c r="SPB22" s="1902">
        <f t="shared" si="211"/>
        <v>0</v>
      </c>
      <c r="SPC22" s="1902">
        <f t="shared" si="211"/>
        <v>0</v>
      </c>
      <c r="SPD22" s="1902">
        <f t="shared" si="211"/>
        <v>0</v>
      </c>
      <c r="SPE22" s="1902">
        <f t="shared" si="211"/>
        <v>0</v>
      </c>
      <c r="SPF22" s="1902">
        <f t="shared" si="211"/>
        <v>0</v>
      </c>
      <c r="SPG22" s="1902">
        <f t="shared" si="211"/>
        <v>0</v>
      </c>
      <c r="SPH22" s="1902">
        <f t="shared" si="211"/>
        <v>0</v>
      </c>
      <c r="SPI22" s="1902">
        <f t="shared" si="211"/>
        <v>0</v>
      </c>
      <c r="SPJ22" s="1902">
        <f t="shared" si="211"/>
        <v>0</v>
      </c>
      <c r="SPK22" s="1902">
        <f t="shared" si="211"/>
        <v>0</v>
      </c>
      <c r="SPL22" s="1902">
        <f t="shared" si="211"/>
        <v>0</v>
      </c>
      <c r="SPM22" s="1902">
        <f t="shared" si="211"/>
        <v>0</v>
      </c>
      <c r="SPN22" s="1902">
        <f t="shared" si="211"/>
        <v>0</v>
      </c>
      <c r="SPO22" s="1902">
        <f t="shared" si="211"/>
        <v>0</v>
      </c>
      <c r="SPP22" s="1902">
        <f t="shared" si="211"/>
        <v>0</v>
      </c>
      <c r="SPQ22" s="1902">
        <f t="shared" si="211"/>
        <v>0</v>
      </c>
      <c r="SPR22" s="1902">
        <f t="shared" si="211"/>
        <v>0</v>
      </c>
      <c r="SPS22" s="1902">
        <f t="shared" si="211"/>
        <v>0</v>
      </c>
      <c r="SPT22" s="1902">
        <f t="shared" si="211"/>
        <v>0</v>
      </c>
      <c r="SPU22" s="1902">
        <f t="shared" si="211"/>
        <v>0</v>
      </c>
      <c r="SPV22" s="1902">
        <f t="shared" si="211"/>
        <v>0</v>
      </c>
      <c r="SPW22" s="1902">
        <f t="shared" si="211"/>
        <v>0</v>
      </c>
      <c r="SPX22" s="1902">
        <f t="shared" si="211"/>
        <v>0</v>
      </c>
      <c r="SPY22" s="1902">
        <f t="shared" si="211"/>
        <v>0</v>
      </c>
      <c r="SPZ22" s="1902">
        <f t="shared" si="211"/>
        <v>0</v>
      </c>
      <c r="SQA22" s="1902">
        <f t="shared" si="211"/>
        <v>0</v>
      </c>
      <c r="SQB22" s="1902">
        <f t="shared" si="211"/>
        <v>0</v>
      </c>
      <c r="SQC22" s="1902">
        <f t="shared" si="211"/>
        <v>0</v>
      </c>
      <c r="SQD22" s="1902">
        <f t="shared" si="211"/>
        <v>0</v>
      </c>
      <c r="SQE22" s="1902">
        <f t="shared" si="211"/>
        <v>0</v>
      </c>
      <c r="SQF22" s="1902">
        <f t="shared" si="211"/>
        <v>0</v>
      </c>
      <c r="SQG22" s="1902">
        <f t="shared" si="211"/>
        <v>0</v>
      </c>
      <c r="SQH22" s="1902">
        <f t="shared" si="211"/>
        <v>0</v>
      </c>
      <c r="SQI22" s="1902">
        <f t="shared" si="211"/>
        <v>0</v>
      </c>
      <c r="SQJ22" s="1902">
        <f t="shared" si="211"/>
        <v>0</v>
      </c>
      <c r="SQK22" s="1902">
        <f t="shared" si="211"/>
        <v>0</v>
      </c>
      <c r="SQL22" s="1902">
        <f t="shared" si="211"/>
        <v>0</v>
      </c>
      <c r="SQM22" s="1902">
        <f t="shared" si="211"/>
        <v>0</v>
      </c>
      <c r="SQN22" s="1902">
        <f t="shared" si="211"/>
        <v>0</v>
      </c>
      <c r="SQO22" s="1902">
        <f t="shared" si="211"/>
        <v>0</v>
      </c>
      <c r="SQP22" s="1902">
        <f t="shared" si="211"/>
        <v>0</v>
      </c>
      <c r="SQQ22" s="1902">
        <f t="shared" si="211"/>
        <v>0</v>
      </c>
      <c r="SQR22" s="1902">
        <f t="shared" si="211"/>
        <v>0</v>
      </c>
      <c r="SQS22" s="1902">
        <f t="shared" si="211"/>
        <v>0</v>
      </c>
      <c r="SQT22" s="1902">
        <f t="shared" si="211"/>
        <v>0</v>
      </c>
      <c r="SQU22" s="1902">
        <f t="shared" si="211"/>
        <v>0</v>
      </c>
      <c r="SQV22" s="1902">
        <f t="shared" si="211"/>
        <v>0</v>
      </c>
      <c r="SQW22" s="1902">
        <f t="shared" si="211"/>
        <v>0</v>
      </c>
      <c r="SQX22" s="1902">
        <f t="shared" si="211"/>
        <v>0</v>
      </c>
      <c r="SQY22" s="1902">
        <f t="shared" si="211"/>
        <v>0</v>
      </c>
      <c r="SQZ22" s="1902">
        <f t="shared" si="211"/>
        <v>0</v>
      </c>
      <c r="SRA22" s="1902">
        <f t="shared" si="211"/>
        <v>0</v>
      </c>
      <c r="SRB22" s="1902">
        <f t="shared" si="211"/>
        <v>0</v>
      </c>
      <c r="SRC22" s="1902">
        <f t="shared" si="211"/>
        <v>0</v>
      </c>
      <c r="SRD22" s="1902">
        <f t="shared" si="211"/>
        <v>0</v>
      </c>
      <c r="SRE22" s="1902">
        <f t="shared" si="211"/>
        <v>0</v>
      </c>
      <c r="SRF22" s="1902">
        <f t="shared" si="211"/>
        <v>0</v>
      </c>
      <c r="SRG22" s="1902">
        <f t="shared" si="211"/>
        <v>0</v>
      </c>
      <c r="SRH22" s="1902">
        <f t="shared" si="211"/>
        <v>0</v>
      </c>
      <c r="SRI22" s="1902">
        <f t="shared" si="211"/>
        <v>0</v>
      </c>
      <c r="SRJ22" s="1902">
        <f t="shared" si="211"/>
        <v>0</v>
      </c>
      <c r="SRK22" s="1902">
        <f t="shared" ref="SRK22:STV22" si="212">IF(AND(SRK$26="End of period",SRK$25="Revenue"),SRK9,0)</f>
        <v>0</v>
      </c>
      <c r="SRL22" s="1902">
        <f t="shared" si="212"/>
        <v>0</v>
      </c>
      <c r="SRM22" s="1902">
        <f t="shared" si="212"/>
        <v>0</v>
      </c>
      <c r="SRN22" s="1902">
        <f t="shared" si="212"/>
        <v>0</v>
      </c>
      <c r="SRO22" s="1902">
        <f t="shared" si="212"/>
        <v>0</v>
      </c>
      <c r="SRP22" s="1902">
        <f t="shared" si="212"/>
        <v>0</v>
      </c>
      <c r="SRQ22" s="1902">
        <f t="shared" si="212"/>
        <v>0</v>
      </c>
      <c r="SRR22" s="1902">
        <f t="shared" si="212"/>
        <v>0</v>
      </c>
      <c r="SRS22" s="1902">
        <f t="shared" si="212"/>
        <v>0</v>
      </c>
      <c r="SRT22" s="1902">
        <f t="shared" si="212"/>
        <v>0</v>
      </c>
      <c r="SRU22" s="1902">
        <f t="shared" si="212"/>
        <v>0</v>
      </c>
      <c r="SRV22" s="1902">
        <f t="shared" si="212"/>
        <v>0</v>
      </c>
      <c r="SRW22" s="1902">
        <f t="shared" si="212"/>
        <v>0</v>
      </c>
      <c r="SRX22" s="1902">
        <f t="shared" si="212"/>
        <v>0</v>
      </c>
      <c r="SRY22" s="1902">
        <f t="shared" si="212"/>
        <v>0</v>
      </c>
      <c r="SRZ22" s="1902">
        <f t="shared" si="212"/>
        <v>0</v>
      </c>
      <c r="SSA22" s="1902">
        <f t="shared" si="212"/>
        <v>0</v>
      </c>
      <c r="SSB22" s="1902">
        <f t="shared" si="212"/>
        <v>0</v>
      </c>
      <c r="SSC22" s="1902">
        <f t="shared" si="212"/>
        <v>0</v>
      </c>
      <c r="SSD22" s="1902">
        <f t="shared" si="212"/>
        <v>0</v>
      </c>
      <c r="SSE22" s="1902">
        <f t="shared" si="212"/>
        <v>0</v>
      </c>
      <c r="SSF22" s="1902">
        <f t="shared" si="212"/>
        <v>0</v>
      </c>
      <c r="SSG22" s="1902">
        <f t="shared" si="212"/>
        <v>0</v>
      </c>
      <c r="SSH22" s="1902">
        <f t="shared" si="212"/>
        <v>0</v>
      </c>
      <c r="SSI22" s="1902">
        <f t="shared" si="212"/>
        <v>0</v>
      </c>
      <c r="SSJ22" s="1902">
        <f t="shared" si="212"/>
        <v>0</v>
      </c>
      <c r="SSK22" s="1902">
        <f t="shared" si="212"/>
        <v>0</v>
      </c>
      <c r="SSL22" s="1902">
        <f t="shared" si="212"/>
        <v>0</v>
      </c>
      <c r="SSM22" s="1902">
        <f t="shared" si="212"/>
        <v>0</v>
      </c>
      <c r="SSN22" s="1902">
        <f t="shared" si="212"/>
        <v>0</v>
      </c>
      <c r="SSO22" s="1902">
        <f t="shared" si="212"/>
        <v>0</v>
      </c>
      <c r="SSP22" s="1902">
        <f t="shared" si="212"/>
        <v>0</v>
      </c>
      <c r="SSQ22" s="1902">
        <f t="shared" si="212"/>
        <v>0</v>
      </c>
      <c r="SSR22" s="1902">
        <f t="shared" si="212"/>
        <v>0</v>
      </c>
      <c r="SSS22" s="1902">
        <f t="shared" si="212"/>
        <v>0</v>
      </c>
      <c r="SST22" s="1902">
        <f t="shared" si="212"/>
        <v>0</v>
      </c>
      <c r="SSU22" s="1902">
        <f t="shared" si="212"/>
        <v>0</v>
      </c>
      <c r="SSV22" s="1902">
        <f t="shared" si="212"/>
        <v>0</v>
      </c>
      <c r="SSW22" s="1902">
        <f t="shared" si="212"/>
        <v>0</v>
      </c>
      <c r="SSX22" s="1902">
        <f t="shared" si="212"/>
        <v>0</v>
      </c>
      <c r="SSY22" s="1902">
        <f t="shared" si="212"/>
        <v>0</v>
      </c>
      <c r="SSZ22" s="1902">
        <f t="shared" si="212"/>
        <v>0</v>
      </c>
      <c r="STA22" s="1902">
        <f t="shared" si="212"/>
        <v>0</v>
      </c>
      <c r="STB22" s="1902">
        <f t="shared" si="212"/>
        <v>0</v>
      </c>
      <c r="STC22" s="1902">
        <f t="shared" si="212"/>
        <v>0</v>
      </c>
      <c r="STD22" s="1902">
        <f t="shared" si="212"/>
        <v>0</v>
      </c>
      <c r="STE22" s="1902">
        <f t="shared" si="212"/>
        <v>0</v>
      </c>
      <c r="STF22" s="1902">
        <f t="shared" si="212"/>
        <v>0</v>
      </c>
      <c r="STG22" s="1902">
        <f t="shared" si="212"/>
        <v>0</v>
      </c>
      <c r="STH22" s="1902">
        <f t="shared" si="212"/>
        <v>0</v>
      </c>
      <c r="STI22" s="1902">
        <f t="shared" si="212"/>
        <v>0</v>
      </c>
      <c r="STJ22" s="1902">
        <f t="shared" si="212"/>
        <v>0</v>
      </c>
      <c r="STK22" s="1902">
        <f t="shared" si="212"/>
        <v>0</v>
      </c>
      <c r="STL22" s="1902">
        <f t="shared" si="212"/>
        <v>0</v>
      </c>
      <c r="STM22" s="1902">
        <f t="shared" si="212"/>
        <v>0</v>
      </c>
      <c r="STN22" s="1902">
        <f t="shared" si="212"/>
        <v>0</v>
      </c>
      <c r="STO22" s="1902">
        <f t="shared" si="212"/>
        <v>0</v>
      </c>
      <c r="STP22" s="1902">
        <f t="shared" si="212"/>
        <v>0</v>
      </c>
      <c r="STQ22" s="1902">
        <f t="shared" si="212"/>
        <v>0</v>
      </c>
      <c r="STR22" s="1902">
        <f t="shared" si="212"/>
        <v>0</v>
      </c>
      <c r="STS22" s="1902">
        <f t="shared" si="212"/>
        <v>0</v>
      </c>
      <c r="STT22" s="1902">
        <f t="shared" si="212"/>
        <v>0</v>
      </c>
      <c r="STU22" s="1902">
        <f t="shared" si="212"/>
        <v>0</v>
      </c>
      <c r="STV22" s="1902">
        <f t="shared" si="212"/>
        <v>0</v>
      </c>
      <c r="STW22" s="1902">
        <f t="shared" ref="STW22:SWH22" si="213">IF(AND(STW$26="End of period",STW$25="Revenue"),STW9,0)</f>
        <v>0</v>
      </c>
      <c r="STX22" s="1902">
        <f t="shared" si="213"/>
        <v>0</v>
      </c>
      <c r="STY22" s="1902">
        <f t="shared" si="213"/>
        <v>0</v>
      </c>
      <c r="STZ22" s="1902">
        <f t="shared" si="213"/>
        <v>0</v>
      </c>
      <c r="SUA22" s="1902">
        <f t="shared" si="213"/>
        <v>0</v>
      </c>
      <c r="SUB22" s="1902">
        <f t="shared" si="213"/>
        <v>0</v>
      </c>
      <c r="SUC22" s="1902">
        <f t="shared" si="213"/>
        <v>0</v>
      </c>
      <c r="SUD22" s="1902">
        <f t="shared" si="213"/>
        <v>0</v>
      </c>
      <c r="SUE22" s="1902">
        <f t="shared" si="213"/>
        <v>0</v>
      </c>
      <c r="SUF22" s="1902">
        <f t="shared" si="213"/>
        <v>0</v>
      </c>
      <c r="SUG22" s="1902">
        <f t="shared" si="213"/>
        <v>0</v>
      </c>
      <c r="SUH22" s="1902">
        <f t="shared" si="213"/>
        <v>0</v>
      </c>
      <c r="SUI22" s="1902">
        <f t="shared" si="213"/>
        <v>0</v>
      </c>
      <c r="SUJ22" s="1902">
        <f t="shared" si="213"/>
        <v>0</v>
      </c>
      <c r="SUK22" s="1902">
        <f t="shared" si="213"/>
        <v>0</v>
      </c>
      <c r="SUL22" s="1902">
        <f t="shared" si="213"/>
        <v>0</v>
      </c>
      <c r="SUM22" s="1902">
        <f t="shared" si="213"/>
        <v>0</v>
      </c>
      <c r="SUN22" s="1902">
        <f t="shared" si="213"/>
        <v>0</v>
      </c>
      <c r="SUO22" s="1902">
        <f t="shared" si="213"/>
        <v>0</v>
      </c>
      <c r="SUP22" s="1902">
        <f t="shared" si="213"/>
        <v>0</v>
      </c>
      <c r="SUQ22" s="1902">
        <f t="shared" si="213"/>
        <v>0</v>
      </c>
      <c r="SUR22" s="1902">
        <f t="shared" si="213"/>
        <v>0</v>
      </c>
      <c r="SUS22" s="1902">
        <f t="shared" si="213"/>
        <v>0</v>
      </c>
      <c r="SUT22" s="1902">
        <f t="shared" si="213"/>
        <v>0</v>
      </c>
      <c r="SUU22" s="1902">
        <f t="shared" si="213"/>
        <v>0</v>
      </c>
      <c r="SUV22" s="1902">
        <f t="shared" si="213"/>
        <v>0</v>
      </c>
      <c r="SUW22" s="1902">
        <f t="shared" si="213"/>
        <v>0</v>
      </c>
      <c r="SUX22" s="1902">
        <f t="shared" si="213"/>
        <v>0</v>
      </c>
      <c r="SUY22" s="1902">
        <f t="shared" si="213"/>
        <v>0</v>
      </c>
      <c r="SUZ22" s="1902">
        <f t="shared" si="213"/>
        <v>0</v>
      </c>
      <c r="SVA22" s="1902">
        <f t="shared" si="213"/>
        <v>0</v>
      </c>
      <c r="SVB22" s="1902">
        <f t="shared" si="213"/>
        <v>0</v>
      </c>
      <c r="SVC22" s="1902">
        <f t="shared" si="213"/>
        <v>0</v>
      </c>
      <c r="SVD22" s="1902">
        <f t="shared" si="213"/>
        <v>0</v>
      </c>
      <c r="SVE22" s="1902">
        <f t="shared" si="213"/>
        <v>0</v>
      </c>
      <c r="SVF22" s="1902">
        <f t="shared" si="213"/>
        <v>0</v>
      </c>
      <c r="SVG22" s="1902">
        <f t="shared" si="213"/>
        <v>0</v>
      </c>
      <c r="SVH22" s="1902">
        <f t="shared" si="213"/>
        <v>0</v>
      </c>
      <c r="SVI22" s="1902">
        <f t="shared" si="213"/>
        <v>0</v>
      </c>
      <c r="SVJ22" s="1902">
        <f t="shared" si="213"/>
        <v>0</v>
      </c>
      <c r="SVK22" s="1902">
        <f t="shared" si="213"/>
        <v>0</v>
      </c>
      <c r="SVL22" s="1902">
        <f t="shared" si="213"/>
        <v>0</v>
      </c>
      <c r="SVM22" s="1902">
        <f t="shared" si="213"/>
        <v>0</v>
      </c>
      <c r="SVN22" s="1902">
        <f t="shared" si="213"/>
        <v>0</v>
      </c>
      <c r="SVO22" s="1902">
        <f t="shared" si="213"/>
        <v>0</v>
      </c>
      <c r="SVP22" s="1902">
        <f t="shared" si="213"/>
        <v>0</v>
      </c>
      <c r="SVQ22" s="1902">
        <f t="shared" si="213"/>
        <v>0</v>
      </c>
      <c r="SVR22" s="1902">
        <f t="shared" si="213"/>
        <v>0</v>
      </c>
      <c r="SVS22" s="1902">
        <f t="shared" si="213"/>
        <v>0</v>
      </c>
      <c r="SVT22" s="1902">
        <f t="shared" si="213"/>
        <v>0</v>
      </c>
      <c r="SVU22" s="1902">
        <f t="shared" si="213"/>
        <v>0</v>
      </c>
      <c r="SVV22" s="1902">
        <f t="shared" si="213"/>
        <v>0</v>
      </c>
      <c r="SVW22" s="1902">
        <f t="shared" si="213"/>
        <v>0</v>
      </c>
      <c r="SVX22" s="1902">
        <f t="shared" si="213"/>
        <v>0</v>
      </c>
      <c r="SVY22" s="1902">
        <f t="shared" si="213"/>
        <v>0</v>
      </c>
      <c r="SVZ22" s="1902">
        <f t="shared" si="213"/>
        <v>0</v>
      </c>
      <c r="SWA22" s="1902">
        <f t="shared" si="213"/>
        <v>0</v>
      </c>
      <c r="SWB22" s="1902">
        <f t="shared" si="213"/>
        <v>0</v>
      </c>
      <c r="SWC22" s="1902">
        <f t="shared" si="213"/>
        <v>0</v>
      </c>
      <c r="SWD22" s="1902">
        <f t="shared" si="213"/>
        <v>0</v>
      </c>
      <c r="SWE22" s="1902">
        <f t="shared" si="213"/>
        <v>0</v>
      </c>
      <c r="SWF22" s="1902">
        <f t="shared" si="213"/>
        <v>0</v>
      </c>
      <c r="SWG22" s="1902">
        <f t="shared" si="213"/>
        <v>0</v>
      </c>
      <c r="SWH22" s="1902">
        <f t="shared" si="213"/>
        <v>0</v>
      </c>
      <c r="SWI22" s="1902">
        <f t="shared" ref="SWI22:SYT22" si="214">IF(AND(SWI$26="End of period",SWI$25="Revenue"),SWI9,0)</f>
        <v>0</v>
      </c>
      <c r="SWJ22" s="1902">
        <f t="shared" si="214"/>
        <v>0</v>
      </c>
      <c r="SWK22" s="1902">
        <f t="shared" si="214"/>
        <v>0</v>
      </c>
      <c r="SWL22" s="1902">
        <f t="shared" si="214"/>
        <v>0</v>
      </c>
      <c r="SWM22" s="1902">
        <f t="shared" si="214"/>
        <v>0</v>
      </c>
      <c r="SWN22" s="1902">
        <f t="shared" si="214"/>
        <v>0</v>
      </c>
      <c r="SWO22" s="1902">
        <f t="shared" si="214"/>
        <v>0</v>
      </c>
      <c r="SWP22" s="1902">
        <f t="shared" si="214"/>
        <v>0</v>
      </c>
      <c r="SWQ22" s="1902">
        <f t="shared" si="214"/>
        <v>0</v>
      </c>
      <c r="SWR22" s="1902">
        <f t="shared" si="214"/>
        <v>0</v>
      </c>
      <c r="SWS22" s="1902">
        <f t="shared" si="214"/>
        <v>0</v>
      </c>
      <c r="SWT22" s="1902">
        <f t="shared" si="214"/>
        <v>0</v>
      </c>
      <c r="SWU22" s="1902">
        <f t="shared" si="214"/>
        <v>0</v>
      </c>
      <c r="SWV22" s="1902">
        <f t="shared" si="214"/>
        <v>0</v>
      </c>
      <c r="SWW22" s="1902">
        <f t="shared" si="214"/>
        <v>0</v>
      </c>
      <c r="SWX22" s="1902">
        <f t="shared" si="214"/>
        <v>0</v>
      </c>
      <c r="SWY22" s="1902">
        <f t="shared" si="214"/>
        <v>0</v>
      </c>
      <c r="SWZ22" s="1902">
        <f t="shared" si="214"/>
        <v>0</v>
      </c>
      <c r="SXA22" s="1902">
        <f t="shared" si="214"/>
        <v>0</v>
      </c>
      <c r="SXB22" s="1902">
        <f t="shared" si="214"/>
        <v>0</v>
      </c>
      <c r="SXC22" s="1902">
        <f t="shared" si="214"/>
        <v>0</v>
      </c>
      <c r="SXD22" s="1902">
        <f t="shared" si="214"/>
        <v>0</v>
      </c>
      <c r="SXE22" s="1902">
        <f t="shared" si="214"/>
        <v>0</v>
      </c>
      <c r="SXF22" s="1902">
        <f t="shared" si="214"/>
        <v>0</v>
      </c>
      <c r="SXG22" s="1902">
        <f t="shared" si="214"/>
        <v>0</v>
      </c>
      <c r="SXH22" s="1902">
        <f t="shared" si="214"/>
        <v>0</v>
      </c>
      <c r="SXI22" s="1902">
        <f t="shared" si="214"/>
        <v>0</v>
      </c>
      <c r="SXJ22" s="1902">
        <f t="shared" si="214"/>
        <v>0</v>
      </c>
      <c r="SXK22" s="1902">
        <f t="shared" si="214"/>
        <v>0</v>
      </c>
      <c r="SXL22" s="1902">
        <f t="shared" si="214"/>
        <v>0</v>
      </c>
      <c r="SXM22" s="1902">
        <f t="shared" si="214"/>
        <v>0</v>
      </c>
      <c r="SXN22" s="1902">
        <f t="shared" si="214"/>
        <v>0</v>
      </c>
      <c r="SXO22" s="1902">
        <f t="shared" si="214"/>
        <v>0</v>
      </c>
      <c r="SXP22" s="1902">
        <f t="shared" si="214"/>
        <v>0</v>
      </c>
      <c r="SXQ22" s="1902">
        <f t="shared" si="214"/>
        <v>0</v>
      </c>
      <c r="SXR22" s="1902">
        <f t="shared" si="214"/>
        <v>0</v>
      </c>
      <c r="SXS22" s="1902">
        <f t="shared" si="214"/>
        <v>0</v>
      </c>
      <c r="SXT22" s="1902">
        <f t="shared" si="214"/>
        <v>0</v>
      </c>
      <c r="SXU22" s="1902">
        <f t="shared" si="214"/>
        <v>0</v>
      </c>
      <c r="SXV22" s="1902">
        <f t="shared" si="214"/>
        <v>0</v>
      </c>
      <c r="SXW22" s="1902">
        <f t="shared" si="214"/>
        <v>0</v>
      </c>
      <c r="SXX22" s="1902">
        <f t="shared" si="214"/>
        <v>0</v>
      </c>
      <c r="SXY22" s="1902">
        <f t="shared" si="214"/>
        <v>0</v>
      </c>
      <c r="SXZ22" s="1902">
        <f t="shared" si="214"/>
        <v>0</v>
      </c>
      <c r="SYA22" s="1902">
        <f t="shared" si="214"/>
        <v>0</v>
      </c>
      <c r="SYB22" s="1902">
        <f t="shared" si="214"/>
        <v>0</v>
      </c>
      <c r="SYC22" s="1902">
        <f t="shared" si="214"/>
        <v>0</v>
      </c>
      <c r="SYD22" s="1902">
        <f t="shared" si="214"/>
        <v>0</v>
      </c>
      <c r="SYE22" s="1902">
        <f t="shared" si="214"/>
        <v>0</v>
      </c>
      <c r="SYF22" s="1902">
        <f t="shared" si="214"/>
        <v>0</v>
      </c>
      <c r="SYG22" s="1902">
        <f t="shared" si="214"/>
        <v>0</v>
      </c>
      <c r="SYH22" s="1902">
        <f t="shared" si="214"/>
        <v>0</v>
      </c>
      <c r="SYI22" s="1902">
        <f t="shared" si="214"/>
        <v>0</v>
      </c>
      <c r="SYJ22" s="1902">
        <f t="shared" si="214"/>
        <v>0</v>
      </c>
      <c r="SYK22" s="1902">
        <f t="shared" si="214"/>
        <v>0</v>
      </c>
      <c r="SYL22" s="1902">
        <f t="shared" si="214"/>
        <v>0</v>
      </c>
      <c r="SYM22" s="1902">
        <f t="shared" si="214"/>
        <v>0</v>
      </c>
      <c r="SYN22" s="1902">
        <f t="shared" si="214"/>
        <v>0</v>
      </c>
      <c r="SYO22" s="1902">
        <f t="shared" si="214"/>
        <v>0</v>
      </c>
      <c r="SYP22" s="1902">
        <f t="shared" si="214"/>
        <v>0</v>
      </c>
      <c r="SYQ22" s="1902">
        <f t="shared" si="214"/>
        <v>0</v>
      </c>
      <c r="SYR22" s="1902">
        <f t="shared" si="214"/>
        <v>0</v>
      </c>
      <c r="SYS22" s="1902">
        <f t="shared" si="214"/>
        <v>0</v>
      </c>
      <c r="SYT22" s="1902">
        <f t="shared" si="214"/>
        <v>0</v>
      </c>
      <c r="SYU22" s="1902">
        <f t="shared" ref="SYU22:TBF22" si="215">IF(AND(SYU$26="End of period",SYU$25="Revenue"),SYU9,0)</f>
        <v>0</v>
      </c>
      <c r="SYV22" s="1902">
        <f t="shared" si="215"/>
        <v>0</v>
      </c>
      <c r="SYW22" s="1902">
        <f t="shared" si="215"/>
        <v>0</v>
      </c>
      <c r="SYX22" s="1902">
        <f t="shared" si="215"/>
        <v>0</v>
      </c>
      <c r="SYY22" s="1902">
        <f t="shared" si="215"/>
        <v>0</v>
      </c>
      <c r="SYZ22" s="1902">
        <f t="shared" si="215"/>
        <v>0</v>
      </c>
      <c r="SZA22" s="1902">
        <f t="shared" si="215"/>
        <v>0</v>
      </c>
      <c r="SZB22" s="1902">
        <f t="shared" si="215"/>
        <v>0</v>
      </c>
      <c r="SZC22" s="1902">
        <f t="shared" si="215"/>
        <v>0</v>
      </c>
      <c r="SZD22" s="1902">
        <f t="shared" si="215"/>
        <v>0</v>
      </c>
      <c r="SZE22" s="1902">
        <f t="shared" si="215"/>
        <v>0</v>
      </c>
      <c r="SZF22" s="1902">
        <f t="shared" si="215"/>
        <v>0</v>
      </c>
      <c r="SZG22" s="1902">
        <f t="shared" si="215"/>
        <v>0</v>
      </c>
      <c r="SZH22" s="1902">
        <f t="shared" si="215"/>
        <v>0</v>
      </c>
      <c r="SZI22" s="1902">
        <f t="shared" si="215"/>
        <v>0</v>
      </c>
      <c r="SZJ22" s="1902">
        <f t="shared" si="215"/>
        <v>0</v>
      </c>
      <c r="SZK22" s="1902">
        <f t="shared" si="215"/>
        <v>0</v>
      </c>
      <c r="SZL22" s="1902">
        <f t="shared" si="215"/>
        <v>0</v>
      </c>
      <c r="SZM22" s="1902">
        <f t="shared" si="215"/>
        <v>0</v>
      </c>
      <c r="SZN22" s="1902">
        <f t="shared" si="215"/>
        <v>0</v>
      </c>
      <c r="SZO22" s="1902">
        <f t="shared" si="215"/>
        <v>0</v>
      </c>
      <c r="SZP22" s="1902">
        <f t="shared" si="215"/>
        <v>0</v>
      </c>
      <c r="SZQ22" s="1902">
        <f t="shared" si="215"/>
        <v>0</v>
      </c>
      <c r="SZR22" s="1902">
        <f t="shared" si="215"/>
        <v>0</v>
      </c>
      <c r="SZS22" s="1902">
        <f t="shared" si="215"/>
        <v>0</v>
      </c>
      <c r="SZT22" s="1902">
        <f t="shared" si="215"/>
        <v>0</v>
      </c>
      <c r="SZU22" s="1902">
        <f t="shared" si="215"/>
        <v>0</v>
      </c>
      <c r="SZV22" s="1902">
        <f t="shared" si="215"/>
        <v>0</v>
      </c>
      <c r="SZW22" s="1902">
        <f t="shared" si="215"/>
        <v>0</v>
      </c>
      <c r="SZX22" s="1902">
        <f t="shared" si="215"/>
        <v>0</v>
      </c>
      <c r="SZY22" s="1902">
        <f t="shared" si="215"/>
        <v>0</v>
      </c>
      <c r="SZZ22" s="1902">
        <f t="shared" si="215"/>
        <v>0</v>
      </c>
      <c r="TAA22" s="1902">
        <f t="shared" si="215"/>
        <v>0</v>
      </c>
      <c r="TAB22" s="1902">
        <f t="shared" si="215"/>
        <v>0</v>
      </c>
      <c r="TAC22" s="1902">
        <f t="shared" si="215"/>
        <v>0</v>
      </c>
      <c r="TAD22" s="1902">
        <f t="shared" si="215"/>
        <v>0</v>
      </c>
      <c r="TAE22" s="1902">
        <f t="shared" si="215"/>
        <v>0</v>
      </c>
      <c r="TAF22" s="1902">
        <f t="shared" si="215"/>
        <v>0</v>
      </c>
      <c r="TAG22" s="1902">
        <f t="shared" si="215"/>
        <v>0</v>
      </c>
      <c r="TAH22" s="1902">
        <f t="shared" si="215"/>
        <v>0</v>
      </c>
      <c r="TAI22" s="1902">
        <f t="shared" si="215"/>
        <v>0</v>
      </c>
      <c r="TAJ22" s="1902">
        <f t="shared" si="215"/>
        <v>0</v>
      </c>
      <c r="TAK22" s="1902">
        <f t="shared" si="215"/>
        <v>0</v>
      </c>
      <c r="TAL22" s="1902">
        <f t="shared" si="215"/>
        <v>0</v>
      </c>
      <c r="TAM22" s="1902">
        <f t="shared" si="215"/>
        <v>0</v>
      </c>
      <c r="TAN22" s="1902">
        <f t="shared" si="215"/>
        <v>0</v>
      </c>
      <c r="TAO22" s="1902">
        <f t="shared" si="215"/>
        <v>0</v>
      </c>
      <c r="TAP22" s="1902">
        <f t="shared" si="215"/>
        <v>0</v>
      </c>
      <c r="TAQ22" s="1902">
        <f t="shared" si="215"/>
        <v>0</v>
      </c>
      <c r="TAR22" s="1902">
        <f t="shared" si="215"/>
        <v>0</v>
      </c>
      <c r="TAS22" s="1902">
        <f t="shared" si="215"/>
        <v>0</v>
      </c>
      <c r="TAT22" s="1902">
        <f t="shared" si="215"/>
        <v>0</v>
      </c>
      <c r="TAU22" s="1902">
        <f t="shared" si="215"/>
        <v>0</v>
      </c>
      <c r="TAV22" s="1902">
        <f t="shared" si="215"/>
        <v>0</v>
      </c>
      <c r="TAW22" s="1902">
        <f t="shared" si="215"/>
        <v>0</v>
      </c>
      <c r="TAX22" s="1902">
        <f t="shared" si="215"/>
        <v>0</v>
      </c>
      <c r="TAY22" s="1902">
        <f t="shared" si="215"/>
        <v>0</v>
      </c>
      <c r="TAZ22" s="1902">
        <f t="shared" si="215"/>
        <v>0</v>
      </c>
      <c r="TBA22" s="1902">
        <f t="shared" si="215"/>
        <v>0</v>
      </c>
      <c r="TBB22" s="1902">
        <f t="shared" si="215"/>
        <v>0</v>
      </c>
      <c r="TBC22" s="1902">
        <f t="shared" si="215"/>
        <v>0</v>
      </c>
      <c r="TBD22" s="1902">
        <f t="shared" si="215"/>
        <v>0</v>
      </c>
      <c r="TBE22" s="1902">
        <f t="shared" si="215"/>
        <v>0</v>
      </c>
      <c r="TBF22" s="1902">
        <f t="shared" si="215"/>
        <v>0</v>
      </c>
      <c r="TBG22" s="1902">
        <f t="shared" ref="TBG22:TDR22" si="216">IF(AND(TBG$26="End of period",TBG$25="Revenue"),TBG9,0)</f>
        <v>0</v>
      </c>
      <c r="TBH22" s="1902">
        <f t="shared" si="216"/>
        <v>0</v>
      </c>
      <c r="TBI22" s="1902">
        <f t="shared" si="216"/>
        <v>0</v>
      </c>
      <c r="TBJ22" s="1902">
        <f t="shared" si="216"/>
        <v>0</v>
      </c>
      <c r="TBK22" s="1902">
        <f t="shared" si="216"/>
        <v>0</v>
      </c>
      <c r="TBL22" s="1902">
        <f t="shared" si="216"/>
        <v>0</v>
      </c>
      <c r="TBM22" s="1902">
        <f t="shared" si="216"/>
        <v>0</v>
      </c>
      <c r="TBN22" s="1902">
        <f t="shared" si="216"/>
        <v>0</v>
      </c>
      <c r="TBO22" s="1902">
        <f t="shared" si="216"/>
        <v>0</v>
      </c>
      <c r="TBP22" s="1902">
        <f t="shared" si="216"/>
        <v>0</v>
      </c>
      <c r="TBQ22" s="1902">
        <f t="shared" si="216"/>
        <v>0</v>
      </c>
      <c r="TBR22" s="1902">
        <f t="shared" si="216"/>
        <v>0</v>
      </c>
      <c r="TBS22" s="1902">
        <f t="shared" si="216"/>
        <v>0</v>
      </c>
      <c r="TBT22" s="1902">
        <f t="shared" si="216"/>
        <v>0</v>
      </c>
      <c r="TBU22" s="1902">
        <f t="shared" si="216"/>
        <v>0</v>
      </c>
      <c r="TBV22" s="1902">
        <f t="shared" si="216"/>
        <v>0</v>
      </c>
      <c r="TBW22" s="1902">
        <f t="shared" si="216"/>
        <v>0</v>
      </c>
      <c r="TBX22" s="1902">
        <f t="shared" si="216"/>
        <v>0</v>
      </c>
      <c r="TBY22" s="1902">
        <f t="shared" si="216"/>
        <v>0</v>
      </c>
      <c r="TBZ22" s="1902">
        <f t="shared" si="216"/>
        <v>0</v>
      </c>
      <c r="TCA22" s="1902">
        <f t="shared" si="216"/>
        <v>0</v>
      </c>
      <c r="TCB22" s="1902">
        <f t="shared" si="216"/>
        <v>0</v>
      </c>
      <c r="TCC22" s="1902">
        <f t="shared" si="216"/>
        <v>0</v>
      </c>
      <c r="TCD22" s="1902">
        <f t="shared" si="216"/>
        <v>0</v>
      </c>
      <c r="TCE22" s="1902">
        <f t="shared" si="216"/>
        <v>0</v>
      </c>
      <c r="TCF22" s="1902">
        <f t="shared" si="216"/>
        <v>0</v>
      </c>
      <c r="TCG22" s="1902">
        <f t="shared" si="216"/>
        <v>0</v>
      </c>
      <c r="TCH22" s="1902">
        <f t="shared" si="216"/>
        <v>0</v>
      </c>
      <c r="TCI22" s="1902">
        <f t="shared" si="216"/>
        <v>0</v>
      </c>
      <c r="TCJ22" s="1902">
        <f t="shared" si="216"/>
        <v>0</v>
      </c>
      <c r="TCK22" s="1902">
        <f t="shared" si="216"/>
        <v>0</v>
      </c>
      <c r="TCL22" s="1902">
        <f t="shared" si="216"/>
        <v>0</v>
      </c>
      <c r="TCM22" s="1902">
        <f t="shared" si="216"/>
        <v>0</v>
      </c>
      <c r="TCN22" s="1902">
        <f t="shared" si="216"/>
        <v>0</v>
      </c>
      <c r="TCO22" s="1902">
        <f t="shared" si="216"/>
        <v>0</v>
      </c>
      <c r="TCP22" s="1902">
        <f t="shared" si="216"/>
        <v>0</v>
      </c>
      <c r="TCQ22" s="1902">
        <f t="shared" si="216"/>
        <v>0</v>
      </c>
      <c r="TCR22" s="1902">
        <f t="shared" si="216"/>
        <v>0</v>
      </c>
      <c r="TCS22" s="1902">
        <f t="shared" si="216"/>
        <v>0</v>
      </c>
      <c r="TCT22" s="1902">
        <f t="shared" si="216"/>
        <v>0</v>
      </c>
      <c r="TCU22" s="1902">
        <f t="shared" si="216"/>
        <v>0</v>
      </c>
      <c r="TCV22" s="1902">
        <f t="shared" si="216"/>
        <v>0</v>
      </c>
      <c r="TCW22" s="1902">
        <f t="shared" si="216"/>
        <v>0</v>
      </c>
      <c r="TCX22" s="1902">
        <f t="shared" si="216"/>
        <v>0</v>
      </c>
      <c r="TCY22" s="1902">
        <f t="shared" si="216"/>
        <v>0</v>
      </c>
      <c r="TCZ22" s="1902">
        <f t="shared" si="216"/>
        <v>0</v>
      </c>
      <c r="TDA22" s="1902">
        <f t="shared" si="216"/>
        <v>0</v>
      </c>
      <c r="TDB22" s="1902">
        <f t="shared" si="216"/>
        <v>0</v>
      </c>
      <c r="TDC22" s="1902">
        <f t="shared" si="216"/>
        <v>0</v>
      </c>
      <c r="TDD22" s="1902">
        <f t="shared" si="216"/>
        <v>0</v>
      </c>
      <c r="TDE22" s="1902">
        <f t="shared" si="216"/>
        <v>0</v>
      </c>
      <c r="TDF22" s="1902">
        <f t="shared" si="216"/>
        <v>0</v>
      </c>
      <c r="TDG22" s="1902">
        <f t="shared" si="216"/>
        <v>0</v>
      </c>
      <c r="TDH22" s="1902">
        <f t="shared" si="216"/>
        <v>0</v>
      </c>
      <c r="TDI22" s="1902">
        <f t="shared" si="216"/>
        <v>0</v>
      </c>
      <c r="TDJ22" s="1902">
        <f t="shared" si="216"/>
        <v>0</v>
      </c>
      <c r="TDK22" s="1902">
        <f t="shared" si="216"/>
        <v>0</v>
      </c>
      <c r="TDL22" s="1902">
        <f t="shared" si="216"/>
        <v>0</v>
      </c>
      <c r="TDM22" s="1902">
        <f t="shared" si="216"/>
        <v>0</v>
      </c>
      <c r="TDN22" s="1902">
        <f t="shared" si="216"/>
        <v>0</v>
      </c>
      <c r="TDO22" s="1902">
        <f t="shared" si="216"/>
        <v>0</v>
      </c>
      <c r="TDP22" s="1902">
        <f t="shared" si="216"/>
        <v>0</v>
      </c>
      <c r="TDQ22" s="1902">
        <f t="shared" si="216"/>
        <v>0</v>
      </c>
      <c r="TDR22" s="1902">
        <f t="shared" si="216"/>
        <v>0</v>
      </c>
      <c r="TDS22" s="1902">
        <f t="shared" ref="TDS22:TGD22" si="217">IF(AND(TDS$26="End of period",TDS$25="Revenue"),TDS9,0)</f>
        <v>0</v>
      </c>
      <c r="TDT22" s="1902">
        <f t="shared" si="217"/>
        <v>0</v>
      </c>
      <c r="TDU22" s="1902">
        <f t="shared" si="217"/>
        <v>0</v>
      </c>
      <c r="TDV22" s="1902">
        <f t="shared" si="217"/>
        <v>0</v>
      </c>
      <c r="TDW22" s="1902">
        <f t="shared" si="217"/>
        <v>0</v>
      </c>
      <c r="TDX22" s="1902">
        <f t="shared" si="217"/>
        <v>0</v>
      </c>
      <c r="TDY22" s="1902">
        <f t="shared" si="217"/>
        <v>0</v>
      </c>
      <c r="TDZ22" s="1902">
        <f t="shared" si="217"/>
        <v>0</v>
      </c>
      <c r="TEA22" s="1902">
        <f t="shared" si="217"/>
        <v>0</v>
      </c>
      <c r="TEB22" s="1902">
        <f t="shared" si="217"/>
        <v>0</v>
      </c>
      <c r="TEC22" s="1902">
        <f t="shared" si="217"/>
        <v>0</v>
      </c>
      <c r="TED22" s="1902">
        <f t="shared" si="217"/>
        <v>0</v>
      </c>
      <c r="TEE22" s="1902">
        <f t="shared" si="217"/>
        <v>0</v>
      </c>
      <c r="TEF22" s="1902">
        <f t="shared" si="217"/>
        <v>0</v>
      </c>
      <c r="TEG22" s="1902">
        <f t="shared" si="217"/>
        <v>0</v>
      </c>
      <c r="TEH22" s="1902">
        <f t="shared" si="217"/>
        <v>0</v>
      </c>
      <c r="TEI22" s="1902">
        <f t="shared" si="217"/>
        <v>0</v>
      </c>
      <c r="TEJ22" s="1902">
        <f t="shared" si="217"/>
        <v>0</v>
      </c>
      <c r="TEK22" s="1902">
        <f t="shared" si="217"/>
        <v>0</v>
      </c>
      <c r="TEL22" s="1902">
        <f t="shared" si="217"/>
        <v>0</v>
      </c>
      <c r="TEM22" s="1902">
        <f t="shared" si="217"/>
        <v>0</v>
      </c>
      <c r="TEN22" s="1902">
        <f t="shared" si="217"/>
        <v>0</v>
      </c>
      <c r="TEO22" s="1902">
        <f t="shared" si="217"/>
        <v>0</v>
      </c>
      <c r="TEP22" s="1902">
        <f t="shared" si="217"/>
        <v>0</v>
      </c>
      <c r="TEQ22" s="1902">
        <f t="shared" si="217"/>
        <v>0</v>
      </c>
      <c r="TER22" s="1902">
        <f t="shared" si="217"/>
        <v>0</v>
      </c>
      <c r="TES22" s="1902">
        <f t="shared" si="217"/>
        <v>0</v>
      </c>
      <c r="TET22" s="1902">
        <f t="shared" si="217"/>
        <v>0</v>
      </c>
      <c r="TEU22" s="1902">
        <f t="shared" si="217"/>
        <v>0</v>
      </c>
      <c r="TEV22" s="1902">
        <f t="shared" si="217"/>
        <v>0</v>
      </c>
      <c r="TEW22" s="1902">
        <f t="shared" si="217"/>
        <v>0</v>
      </c>
      <c r="TEX22" s="1902">
        <f t="shared" si="217"/>
        <v>0</v>
      </c>
      <c r="TEY22" s="1902">
        <f t="shared" si="217"/>
        <v>0</v>
      </c>
      <c r="TEZ22" s="1902">
        <f t="shared" si="217"/>
        <v>0</v>
      </c>
      <c r="TFA22" s="1902">
        <f t="shared" si="217"/>
        <v>0</v>
      </c>
      <c r="TFB22" s="1902">
        <f t="shared" si="217"/>
        <v>0</v>
      </c>
      <c r="TFC22" s="1902">
        <f t="shared" si="217"/>
        <v>0</v>
      </c>
      <c r="TFD22" s="1902">
        <f t="shared" si="217"/>
        <v>0</v>
      </c>
      <c r="TFE22" s="1902">
        <f t="shared" si="217"/>
        <v>0</v>
      </c>
      <c r="TFF22" s="1902">
        <f t="shared" si="217"/>
        <v>0</v>
      </c>
      <c r="TFG22" s="1902">
        <f t="shared" si="217"/>
        <v>0</v>
      </c>
      <c r="TFH22" s="1902">
        <f t="shared" si="217"/>
        <v>0</v>
      </c>
      <c r="TFI22" s="1902">
        <f t="shared" si="217"/>
        <v>0</v>
      </c>
      <c r="TFJ22" s="1902">
        <f t="shared" si="217"/>
        <v>0</v>
      </c>
      <c r="TFK22" s="1902">
        <f t="shared" si="217"/>
        <v>0</v>
      </c>
      <c r="TFL22" s="1902">
        <f t="shared" si="217"/>
        <v>0</v>
      </c>
      <c r="TFM22" s="1902">
        <f t="shared" si="217"/>
        <v>0</v>
      </c>
      <c r="TFN22" s="1902">
        <f t="shared" si="217"/>
        <v>0</v>
      </c>
      <c r="TFO22" s="1902">
        <f t="shared" si="217"/>
        <v>0</v>
      </c>
      <c r="TFP22" s="1902">
        <f t="shared" si="217"/>
        <v>0</v>
      </c>
      <c r="TFQ22" s="1902">
        <f t="shared" si="217"/>
        <v>0</v>
      </c>
      <c r="TFR22" s="1902">
        <f t="shared" si="217"/>
        <v>0</v>
      </c>
      <c r="TFS22" s="1902">
        <f t="shared" si="217"/>
        <v>0</v>
      </c>
      <c r="TFT22" s="1902">
        <f t="shared" si="217"/>
        <v>0</v>
      </c>
      <c r="TFU22" s="1902">
        <f t="shared" si="217"/>
        <v>0</v>
      </c>
      <c r="TFV22" s="1902">
        <f t="shared" si="217"/>
        <v>0</v>
      </c>
      <c r="TFW22" s="1902">
        <f t="shared" si="217"/>
        <v>0</v>
      </c>
      <c r="TFX22" s="1902">
        <f t="shared" si="217"/>
        <v>0</v>
      </c>
      <c r="TFY22" s="1902">
        <f t="shared" si="217"/>
        <v>0</v>
      </c>
      <c r="TFZ22" s="1902">
        <f t="shared" si="217"/>
        <v>0</v>
      </c>
      <c r="TGA22" s="1902">
        <f t="shared" si="217"/>
        <v>0</v>
      </c>
      <c r="TGB22" s="1902">
        <f t="shared" si="217"/>
        <v>0</v>
      </c>
      <c r="TGC22" s="1902">
        <f t="shared" si="217"/>
        <v>0</v>
      </c>
      <c r="TGD22" s="1902">
        <f t="shared" si="217"/>
        <v>0</v>
      </c>
      <c r="TGE22" s="1902">
        <f t="shared" ref="TGE22:TIP22" si="218">IF(AND(TGE$26="End of period",TGE$25="Revenue"),TGE9,0)</f>
        <v>0</v>
      </c>
      <c r="TGF22" s="1902">
        <f t="shared" si="218"/>
        <v>0</v>
      </c>
      <c r="TGG22" s="1902">
        <f t="shared" si="218"/>
        <v>0</v>
      </c>
      <c r="TGH22" s="1902">
        <f t="shared" si="218"/>
        <v>0</v>
      </c>
      <c r="TGI22" s="1902">
        <f t="shared" si="218"/>
        <v>0</v>
      </c>
      <c r="TGJ22" s="1902">
        <f t="shared" si="218"/>
        <v>0</v>
      </c>
      <c r="TGK22" s="1902">
        <f t="shared" si="218"/>
        <v>0</v>
      </c>
      <c r="TGL22" s="1902">
        <f t="shared" si="218"/>
        <v>0</v>
      </c>
      <c r="TGM22" s="1902">
        <f t="shared" si="218"/>
        <v>0</v>
      </c>
      <c r="TGN22" s="1902">
        <f t="shared" si="218"/>
        <v>0</v>
      </c>
      <c r="TGO22" s="1902">
        <f t="shared" si="218"/>
        <v>0</v>
      </c>
      <c r="TGP22" s="1902">
        <f t="shared" si="218"/>
        <v>0</v>
      </c>
      <c r="TGQ22" s="1902">
        <f t="shared" si="218"/>
        <v>0</v>
      </c>
      <c r="TGR22" s="1902">
        <f t="shared" si="218"/>
        <v>0</v>
      </c>
      <c r="TGS22" s="1902">
        <f t="shared" si="218"/>
        <v>0</v>
      </c>
      <c r="TGT22" s="1902">
        <f t="shared" si="218"/>
        <v>0</v>
      </c>
      <c r="TGU22" s="1902">
        <f t="shared" si="218"/>
        <v>0</v>
      </c>
      <c r="TGV22" s="1902">
        <f t="shared" si="218"/>
        <v>0</v>
      </c>
      <c r="TGW22" s="1902">
        <f t="shared" si="218"/>
        <v>0</v>
      </c>
      <c r="TGX22" s="1902">
        <f t="shared" si="218"/>
        <v>0</v>
      </c>
      <c r="TGY22" s="1902">
        <f t="shared" si="218"/>
        <v>0</v>
      </c>
      <c r="TGZ22" s="1902">
        <f t="shared" si="218"/>
        <v>0</v>
      </c>
      <c r="THA22" s="1902">
        <f t="shared" si="218"/>
        <v>0</v>
      </c>
      <c r="THB22" s="1902">
        <f t="shared" si="218"/>
        <v>0</v>
      </c>
      <c r="THC22" s="1902">
        <f t="shared" si="218"/>
        <v>0</v>
      </c>
      <c r="THD22" s="1902">
        <f t="shared" si="218"/>
        <v>0</v>
      </c>
      <c r="THE22" s="1902">
        <f t="shared" si="218"/>
        <v>0</v>
      </c>
      <c r="THF22" s="1902">
        <f t="shared" si="218"/>
        <v>0</v>
      </c>
      <c r="THG22" s="1902">
        <f t="shared" si="218"/>
        <v>0</v>
      </c>
      <c r="THH22" s="1902">
        <f t="shared" si="218"/>
        <v>0</v>
      </c>
      <c r="THI22" s="1902">
        <f t="shared" si="218"/>
        <v>0</v>
      </c>
      <c r="THJ22" s="1902">
        <f t="shared" si="218"/>
        <v>0</v>
      </c>
      <c r="THK22" s="1902">
        <f t="shared" si="218"/>
        <v>0</v>
      </c>
      <c r="THL22" s="1902">
        <f t="shared" si="218"/>
        <v>0</v>
      </c>
      <c r="THM22" s="1902">
        <f t="shared" si="218"/>
        <v>0</v>
      </c>
      <c r="THN22" s="1902">
        <f t="shared" si="218"/>
        <v>0</v>
      </c>
      <c r="THO22" s="1902">
        <f t="shared" si="218"/>
        <v>0</v>
      </c>
      <c r="THP22" s="1902">
        <f t="shared" si="218"/>
        <v>0</v>
      </c>
      <c r="THQ22" s="1902">
        <f t="shared" si="218"/>
        <v>0</v>
      </c>
      <c r="THR22" s="1902">
        <f t="shared" si="218"/>
        <v>0</v>
      </c>
      <c r="THS22" s="1902">
        <f t="shared" si="218"/>
        <v>0</v>
      </c>
      <c r="THT22" s="1902">
        <f t="shared" si="218"/>
        <v>0</v>
      </c>
      <c r="THU22" s="1902">
        <f t="shared" si="218"/>
        <v>0</v>
      </c>
      <c r="THV22" s="1902">
        <f t="shared" si="218"/>
        <v>0</v>
      </c>
      <c r="THW22" s="1902">
        <f t="shared" si="218"/>
        <v>0</v>
      </c>
      <c r="THX22" s="1902">
        <f t="shared" si="218"/>
        <v>0</v>
      </c>
      <c r="THY22" s="1902">
        <f t="shared" si="218"/>
        <v>0</v>
      </c>
      <c r="THZ22" s="1902">
        <f t="shared" si="218"/>
        <v>0</v>
      </c>
      <c r="TIA22" s="1902">
        <f t="shared" si="218"/>
        <v>0</v>
      </c>
      <c r="TIB22" s="1902">
        <f t="shared" si="218"/>
        <v>0</v>
      </c>
      <c r="TIC22" s="1902">
        <f t="shared" si="218"/>
        <v>0</v>
      </c>
      <c r="TID22" s="1902">
        <f t="shared" si="218"/>
        <v>0</v>
      </c>
      <c r="TIE22" s="1902">
        <f t="shared" si="218"/>
        <v>0</v>
      </c>
      <c r="TIF22" s="1902">
        <f t="shared" si="218"/>
        <v>0</v>
      </c>
      <c r="TIG22" s="1902">
        <f t="shared" si="218"/>
        <v>0</v>
      </c>
      <c r="TIH22" s="1902">
        <f t="shared" si="218"/>
        <v>0</v>
      </c>
      <c r="TII22" s="1902">
        <f t="shared" si="218"/>
        <v>0</v>
      </c>
      <c r="TIJ22" s="1902">
        <f t="shared" si="218"/>
        <v>0</v>
      </c>
      <c r="TIK22" s="1902">
        <f t="shared" si="218"/>
        <v>0</v>
      </c>
      <c r="TIL22" s="1902">
        <f t="shared" si="218"/>
        <v>0</v>
      </c>
      <c r="TIM22" s="1902">
        <f t="shared" si="218"/>
        <v>0</v>
      </c>
      <c r="TIN22" s="1902">
        <f t="shared" si="218"/>
        <v>0</v>
      </c>
      <c r="TIO22" s="1902">
        <f t="shared" si="218"/>
        <v>0</v>
      </c>
      <c r="TIP22" s="1902">
        <f t="shared" si="218"/>
        <v>0</v>
      </c>
      <c r="TIQ22" s="1902">
        <f t="shared" ref="TIQ22:TLB22" si="219">IF(AND(TIQ$26="End of period",TIQ$25="Revenue"),TIQ9,0)</f>
        <v>0</v>
      </c>
      <c r="TIR22" s="1902">
        <f t="shared" si="219"/>
        <v>0</v>
      </c>
      <c r="TIS22" s="1902">
        <f t="shared" si="219"/>
        <v>0</v>
      </c>
      <c r="TIT22" s="1902">
        <f t="shared" si="219"/>
        <v>0</v>
      </c>
      <c r="TIU22" s="1902">
        <f t="shared" si="219"/>
        <v>0</v>
      </c>
      <c r="TIV22" s="1902">
        <f t="shared" si="219"/>
        <v>0</v>
      </c>
      <c r="TIW22" s="1902">
        <f t="shared" si="219"/>
        <v>0</v>
      </c>
      <c r="TIX22" s="1902">
        <f t="shared" si="219"/>
        <v>0</v>
      </c>
      <c r="TIY22" s="1902">
        <f t="shared" si="219"/>
        <v>0</v>
      </c>
      <c r="TIZ22" s="1902">
        <f t="shared" si="219"/>
        <v>0</v>
      </c>
      <c r="TJA22" s="1902">
        <f t="shared" si="219"/>
        <v>0</v>
      </c>
      <c r="TJB22" s="1902">
        <f t="shared" si="219"/>
        <v>0</v>
      </c>
      <c r="TJC22" s="1902">
        <f t="shared" si="219"/>
        <v>0</v>
      </c>
      <c r="TJD22" s="1902">
        <f t="shared" si="219"/>
        <v>0</v>
      </c>
      <c r="TJE22" s="1902">
        <f t="shared" si="219"/>
        <v>0</v>
      </c>
      <c r="TJF22" s="1902">
        <f t="shared" si="219"/>
        <v>0</v>
      </c>
      <c r="TJG22" s="1902">
        <f t="shared" si="219"/>
        <v>0</v>
      </c>
      <c r="TJH22" s="1902">
        <f t="shared" si="219"/>
        <v>0</v>
      </c>
      <c r="TJI22" s="1902">
        <f t="shared" si="219"/>
        <v>0</v>
      </c>
      <c r="TJJ22" s="1902">
        <f t="shared" si="219"/>
        <v>0</v>
      </c>
      <c r="TJK22" s="1902">
        <f t="shared" si="219"/>
        <v>0</v>
      </c>
      <c r="TJL22" s="1902">
        <f t="shared" si="219"/>
        <v>0</v>
      </c>
      <c r="TJM22" s="1902">
        <f t="shared" si="219"/>
        <v>0</v>
      </c>
      <c r="TJN22" s="1902">
        <f t="shared" si="219"/>
        <v>0</v>
      </c>
      <c r="TJO22" s="1902">
        <f t="shared" si="219"/>
        <v>0</v>
      </c>
      <c r="TJP22" s="1902">
        <f t="shared" si="219"/>
        <v>0</v>
      </c>
      <c r="TJQ22" s="1902">
        <f t="shared" si="219"/>
        <v>0</v>
      </c>
      <c r="TJR22" s="1902">
        <f t="shared" si="219"/>
        <v>0</v>
      </c>
      <c r="TJS22" s="1902">
        <f t="shared" si="219"/>
        <v>0</v>
      </c>
      <c r="TJT22" s="1902">
        <f t="shared" si="219"/>
        <v>0</v>
      </c>
      <c r="TJU22" s="1902">
        <f t="shared" si="219"/>
        <v>0</v>
      </c>
      <c r="TJV22" s="1902">
        <f t="shared" si="219"/>
        <v>0</v>
      </c>
      <c r="TJW22" s="1902">
        <f t="shared" si="219"/>
        <v>0</v>
      </c>
      <c r="TJX22" s="1902">
        <f t="shared" si="219"/>
        <v>0</v>
      </c>
      <c r="TJY22" s="1902">
        <f t="shared" si="219"/>
        <v>0</v>
      </c>
      <c r="TJZ22" s="1902">
        <f t="shared" si="219"/>
        <v>0</v>
      </c>
      <c r="TKA22" s="1902">
        <f t="shared" si="219"/>
        <v>0</v>
      </c>
      <c r="TKB22" s="1902">
        <f t="shared" si="219"/>
        <v>0</v>
      </c>
      <c r="TKC22" s="1902">
        <f t="shared" si="219"/>
        <v>0</v>
      </c>
      <c r="TKD22" s="1902">
        <f t="shared" si="219"/>
        <v>0</v>
      </c>
      <c r="TKE22" s="1902">
        <f t="shared" si="219"/>
        <v>0</v>
      </c>
      <c r="TKF22" s="1902">
        <f t="shared" si="219"/>
        <v>0</v>
      </c>
      <c r="TKG22" s="1902">
        <f t="shared" si="219"/>
        <v>0</v>
      </c>
      <c r="TKH22" s="1902">
        <f t="shared" si="219"/>
        <v>0</v>
      </c>
      <c r="TKI22" s="1902">
        <f t="shared" si="219"/>
        <v>0</v>
      </c>
      <c r="TKJ22" s="1902">
        <f t="shared" si="219"/>
        <v>0</v>
      </c>
      <c r="TKK22" s="1902">
        <f t="shared" si="219"/>
        <v>0</v>
      </c>
      <c r="TKL22" s="1902">
        <f t="shared" si="219"/>
        <v>0</v>
      </c>
      <c r="TKM22" s="1902">
        <f t="shared" si="219"/>
        <v>0</v>
      </c>
      <c r="TKN22" s="1902">
        <f t="shared" si="219"/>
        <v>0</v>
      </c>
      <c r="TKO22" s="1902">
        <f t="shared" si="219"/>
        <v>0</v>
      </c>
      <c r="TKP22" s="1902">
        <f t="shared" si="219"/>
        <v>0</v>
      </c>
      <c r="TKQ22" s="1902">
        <f t="shared" si="219"/>
        <v>0</v>
      </c>
      <c r="TKR22" s="1902">
        <f t="shared" si="219"/>
        <v>0</v>
      </c>
      <c r="TKS22" s="1902">
        <f t="shared" si="219"/>
        <v>0</v>
      </c>
      <c r="TKT22" s="1902">
        <f t="shared" si="219"/>
        <v>0</v>
      </c>
      <c r="TKU22" s="1902">
        <f t="shared" si="219"/>
        <v>0</v>
      </c>
      <c r="TKV22" s="1902">
        <f t="shared" si="219"/>
        <v>0</v>
      </c>
      <c r="TKW22" s="1902">
        <f t="shared" si="219"/>
        <v>0</v>
      </c>
      <c r="TKX22" s="1902">
        <f t="shared" si="219"/>
        <v>0</v>
      </c>
      <c r="TKY22" s="1902">
        <f t="shared" si="219"/>
        <v>0</v>
      </c>
      <c r="TKZ22" s="1902">
        <f t="shared" si="219"/>
        <v>0</v>
      </c>
      <c r="TLA22" s="1902">
        <f t="shared" si="219"/>
        <v>0</v>
      </c>
      <c r="TLB22" s="1902">
        <f t="shared" si="219"/>
        <v>0</v>
      </c>
      <c r="TLC22" s="1902">
        <f t="shared" ref="TLC22:TNN22" si="220">IF(AND(TLC$26="End of period",TLC$25="Revenue"),TLC9,0)</f>
        <v>0</v>
      </c>
      <c r="TLD22" s="1902">
        <f t="shared" si="220"/>
        <v>0</v>
      </c>
      <c r="TLE22" s="1902">
        <f t="shared" si="220"/>
        <v>0</v>
      </c>
      <c r="TLF22" s="1902">
        <f t="shared" si="220"/>
        <v>0</v>
      </c>
      <c r="TLG22" s="1902">
        <f t="shared" si="220"/>
        <v>0</v>
      </c>
      <c r="TLH22" s="1902">
        <f t="shared" si="220"/>
        <v>0</v>
      </c>
      <c r="TLI22" s="1902">
        <f t="shared" si="220"/>
        <v>0</v>
      </c>
      <c r="TLJ22" s="1902">
        <f t="shared" si="220"/>
        <v>0</v>
      </c>
      <c r="TLK22" s="1902">
        <f t="shared" si="220"/>
        <v>0</v>
      </c>
      <c r="TLL22" s="1902">
        <f t="shared" si="220"/>
        <v>0</v>
      </c>
      <c r="TLM22" s="1902">
        <f t="shared" si="220"/>
        <v>0</v>
      </c>
      <c r="TLN22" s="1902">
        <f t="shared" si="220"/>
        <v>0</v>
      </c>
      <c r="TLO22" s="1902">
        <f t="shared" si="220"/>
        <v>0</v>
      </c>
      <c r="TLP22" s="1902">
        <f t="shared" si="220"/>
        <v>0</v>
      </c>
      <c r="TLQ22" s="1902">
        <f t="shared" si="220"/>
        <v>0</v>
      </c>
      <c r="TLR22" s="1902">
        <f t="shared" si="220"/>
        <v>0</v>
      </c>
      <c r="TLS22" s="1902">
        <f t="shared" si="220"/>
        <v>0</v>
      </c>
      <c r="TLT22" s="1902">
        <f t="shared" si="220"/>
        <v>0</v>
      </c>
      <c r="TLU22" s="1902">
        <f t="shared" si="220"/>
        <v>0</v>
      </c>
      <c r="TLV22" s="1902">
        <f t="shared" si="220"/>
        <v>0</v>
      </c>
      <c r="TLW22" s="1902">
        <f t="shared" si="220"/>
        <v>0</v>
      </c>
      <c r="TLX22" s="1902">
        <f t="shared" si="220"/>
        <v>0</v>
      </c>
      <c r="TLY22" s="1902">
        <f t="shared" si="220"/>
        <v>0</v>
      </c>
      <c r="TLZ22" s="1902">
        <f t="shared" si="220"/>
        <v>0</v>
      </c>
      <c r="TMA22" s="1902">
        <f t="shared" si="220"/>
        <v>0</v>
      </c>
      <c r="TMB22" s="1902">
        <f t="shared" si="220"/>
        <v>0</v>
      </c>
      <c r="TMC22" s="1902">
        <f t="shared" si="220"/>
        <v>0</v>
      </c>
      <c r="TMD22" s="1902">
        <f t="shared" si="220"/>
        <v>0</v>
      </c>
      <c r="TME22" s="1902">
        <f t="shared" si="220"/>
        <v>0</v>
      </c>
      <c r="TMF22" s="1902">
        <f t="shared" si="220"/>
        <v>0</v>
      </c>
      <c r="TMG22" s="1902">
        <f t="shared" si="220"/>
        <v>0</v>
      </c>
      <c r="TMH22" s="1902">
        <f t="shared" si="220"/>
        <v>0</v>
      </c>
      <c r="TMI22" s="1902">
        <f t="shared" si="220"/>
        <v>0</v>
      </c>
      <c r="TMJ22" s="1902">
        <f t="shared" si="220"/>
        <v>0</v>
      </c>
      <c r="TMK22" s="1902">
        <f t="shared" si="220"/>
        <v>0</v>
      </c>
      <c r="TML22" s="1902">
        <f t="shared" si="220"/>
        <v>0</v>
      </c>
      <c r="TMM22" s="1902">
        <f t="shared" si="220"/>
        <v>0</v>
      </c>
      <c r="TMN22" s="1902">
        <f t="shared" si="220"/>
        <v>0</v>
      </c>
      <c r="TMO22" s="1902">
        <f t="shared" si="220"/>
        <v>0</v>
      </c>
      <c r="TMP22" s="1902">
        <f t="shared" si="220"/>
        <v>0</v>
      </c>
      <c r="TMQ22" s="1902">
        <f t="shared" si="220"/>
        <v>0</v>
      </c>
      <c r="TMR22" s="1902">
        <f t="shared" si="220"/>
        <v>0</v>
      </c>
      <c r="TMS22" s="1902">
        <f t="shared" si="220"/>
        <v>0</v>
      </c>
      <c r="TMT22" s="1902">
        <f t="shared" si="220"/>
        <v>0</v>
      </c>
      <c r="TMU22" s="1902">
        <f t="shared" si="220"/>
        <v>0</v>
      </c>
      <c r="TMV22" s="1902">
        <f t="shared" si="220"/>
        <v>0</v>
      </c>
      <c r="TMW22" s="1902">
        <f t="shared" si="220"/>
        <v>0</v>
      </c>
      <c r="TMX22" s="1902">
        <f t="shared" si="220"/>
        <v>0</v>
      </c>
      <c r="TMY22" s="1902">
        <f t="shared" si="220"/>
        <v>0</v>
      </c>
      <c r="TMZ22" s="1902">
        <f t="shared" si="220"/>
        <v>0</v>
      </c>
      <c r="TNA22" s="1902">
        <f t="shared" si="220"/>
        <v>0</v>
      </c>
      <c r="TNB22" s="1902">
        <f t="shared" si="220"/>
        <v>0</v>
      </c>
      <c r="TNC22" s="1902">
        <f t="shared" si="220"/>
        <v>0</v>
      </c>
      <c r="TND22" s="1902">
        <f t="shared" si="220"/>
        <v>0</v>
      </c>
      <c r="TNE22" s="1902">
        <f t="shared" si="220"/>
        <v>0</v>
      </c>
      <c r="TNF22" s="1902">
        <f t="shared" si="220"/>
        <v>0</v>
      </c>
      <c r="TNG22" s="1902">
        <f t="shared" si="220"/>
        <v>0</v>
      </c>
      <c r="TNH22" s="1902">
        <f t="shared" si="220"/>
        <v>0</v>
      </c>
      <c r="TNI22" s="1902">
        <f t="shared" si="220"/>
        <v>0</v>
      </c>
      <c r="TNJ22" s="1902">
        <f t="shared" si="220"/>
        <v>0</v>
      </c>
      <c r="TNK22" s="1902">
        <f t="shared" si="220"/>
        <v>0</v>
      </c>
      <c r="TNL22" s="1902">
        <f t="shared" si="220"/>
        <v>0</v>
      </c>
      <c r="TNM22" s="1902">
        <f t="shared" si="220"/>
        <v>0</v>
      </c>
      <c r="TNN22" s="1902">
        <f t="shared" si="220"/>
        <v>0</v>
      </c>
      <c r="TNO22" s="1902">
        <f t="shared" ref="TNO22:TPZ22" si="221">IF(AND(TNO$26="End of period",TNO$25="Revenue"),TNO9,0)</f>
        <v>0</v>
      </c>
      <c r="TNP22" s="1902">
        <f t="shared" si="221"/>
        <v>0</v>
      </c>
      <c r="TNQ22" s="1902">
        <f t="shared" si="221"/>
        <v>0</v>
      </c>
      <c r="TNR22" s="1902">
        <f t="shared" si="221"/>
        <v>0</v>
      </c>
      <c r="TNS22" s="1902">
        <f t="shared" si="221"/>
        <v>0</v>
      </c>
      <c r="TNT22" s="1902">
        <f t="shared" si="221"/>
        <v>0</v>
      </c>
      <c r="TNU22" s="1902">
        <f t="shared" si="221"/>
        <v>0</v>
      </c>
      <c r="TNV22" s="1902">
        <f t="shared" si="221"/>
        <v>0</v>
      </c>
      <c r="TNW22" s="1902">
        <f t="shared" si="221"/>
        <v>0</v>
      </c>
      <c r="TNX22" s="1902">
        <f t="shared" si="221"/>
        <v>0</v>
      </c>
      <c r="TNY22" s="1902">
        <f t="shared" si="221"/>
        <v>0</v>
      </c>
      <c r="TNZ22" s="1902">
        <f t="shared" si="221"/>
        <v>0</v>
      </c>
      <c r="TOA22" s="1902">
        <f t="shared" si="221"/>
        <v>0</v>
      </c>
      <c r="TOB22" s="1902">
        <f t="shared" si="221"/>
        <v>0</v>
      </c>
      <c r="TOC22" s="1902">
        <f t="shared" si="221"/>
        <v>0</v>
      </c>
      <c r="TOD22" s="1902">
        <f t="shared" si="221"/>
        <v>0</v>
      </c>
      <c r="TOE22" s="1902">
        <f t="shared" si="221"/>
        <v>0</v>
      </c>
      <c r="TOF22" s="1902">
        <f t="shared" si="221"/>
        <v>0</v>
      </c>
      <c r="TOG22" s="1902">
        <f t="shared" si="221"/>
        <v>0</v>
      </c>
      <c r="TOH22" s="1902">
        <f t="shared" si="221"/>
        <v>0</v>
      </c>
      <c r="TOI22" s="1902">
        <f t="shared" si="221"/>
        <v>0</v>
      </c>
      <c r="TOJ22" s="1902">
        <f t="shared" si="221"/>
        <v>0</v>
      </c>
      <c r="TOK22" s="1902">
        <f t="shared" si="221"/>
        <v>0</v>
      </c>
      <c r="TOL22" s="1902">
        <f t="shared" si="221"/>
        <v>0</v>
      </c>
      <c r="TOM22" s="1902">
        <f t="shared" si="221"/>
        <v>0</v>
      </c>
      <c r="TON22" s="1902">
        <f t="shared" si="221"/>
        <v>0</v>
      </c>
      <c r="TOO22" s="1902">
        <f t="shared" si="221"/>
        <v>0</v>
      </c>
      <c r="TOP22" s="1902">
        <f t="shared" si="221"/>
        <v>0</v>
      </c>
      <c r="TOQ22" s="1902">
        <f t="shared" si="221"/>
        <v>0</v>
      </c>
      <c r="TOR22" s="1902">
        <f t="shared" si="221"/>
        <v>0</v>
      </c>
      <c r="TOS22" s="1902">
        <f t="shared" si="221"/>
        <v>0</v>
      </c>
      <c r="TOT22" s="1902">
        <f t="shared" si="221"/>
        <v>0</v>
      </c>
      <c r="TOU22" s="1902">
        <f t="shared" si="221"/>
        <v>0</v>
      </c>
      <c r="TOV22" s="1902">
        <f t="shared" si="221"/>
        <v>0</v>
      </c>
      <c r="TOW22" s="1902">
        <f t="shared" si="221"/>
        <v>0</v>
      </c>
      <c r="TOX22" s="1902">
        <f t="shared" si="221"/>
        <v>0</v>
      </c>
      <c r="TOY22" s="1902">
        <f t="shared" si="221"/>
        <v>0</v>
      </c>
      <c r="TOZ22" s="1902">
        <f t="shared" si="221"/>
        <v>0</v>
      </c>
      <c r="TPA22" s="1902">
        <f t="shared" si="221"/>
        <v>0</v>
      </c>
      <c r="TPB22" s="1902">
        <f t="shared" si="221"/>
        <v>0</v>
      </c>
      <c r="TPC22" s="1902">
        <f t="shared" si="221"/>
        <v>0</v>
      </c>
      <c r="TPD22" s="1902">
        <f t="shared" si="221"/>
        <v>0</v>
      </c>
      <c r="TPE22" s="1902">
        <f t="shared" si="221"/>
        <v>0</v>
      </c>
      <c r="TPF22" s="1902">
        <f t="shared" si="221"/>
        <v>0</v>
      </c>
      <c r="TPG22" s="1902">
        <f t="shared" si="221"/>
        <v>0</v>
      </c>
      <c r="TPH22" s="1902">
        <f t="shared" si="221"/>
        <v>0</v>
      </c>
      <c r="TPI22" s="1902">
        <f t="shared" si="221"/>
        <v>0</v>
      </c>
      <c r="TPJ22" s="1902">
        <f t="shared" si="221"/>
        <v>0</v>
      </c>
      <c r="TPK22" s="1902">
        <f t="shared" si="221"/>
        <v>0</v>
      </c>
      <c r="TPL22" s="1902">
        <f t="shared" si="221"/>
        <v>0</v>
      </c>
      <c r="TPM22" s="1902">
        <f t="shared" si="221"/>
        <v>0</v>
      </c>
      <c r="TPN22" s="1902">
        <f t="shared" si="221"/>
        <v>0</v>
      </c>
      <c r="TPO22" s="1902">
        <f t="shared" si="221"/>
        <v>0</v>
      </c>
      <c r="TPP22" s="1902">
        <f t="shared" si="221"/>
        <v>0</v>
      </c>
      <c r="TPQ22" s="1902">
        <f t="shared" si="221"/>
        <v>0</v>
      </c>
      <c r="TPR22" s="1902">
        <f t="shared" si="221"/>
        <v>0</v>
      </c>
      <c r="TPS22" s="1902">
        <f t="shared" si="221"/>
        <v>0</v>
      </c>
      <c r="TPT22" s="1902">
        <f t="shared" si="221"/>
        <v>0</v>
      </c>
      <c r="TPU22" s="1902">
        <f t="shared" si="221"/>
        <v>0</v>
      </c>
      <c r="TPV22" s="1902">
        <f t="shared" si="221"/>
        <v>0</v>
      </c>
      <c r="TPW22" s="1902">
        <f t="shared" si="221"/>
        <v>0</v>
      </c>
      <c r="TPX22" s="1902">
        <f t="shared" si="221"/>
        <v>0</v>
      </c>
      <c r="TPY22" s="1902">
        <f t="shared" si="221"/>
        <v>0</v>
      </c>
      <c r="TPZ22" s="1902">
        <f t="shared" si="221"/>
        <v>0</v>
      </c>
      <c r="TQA22" s="1902">
        <f t="shared" ref="TQA22:TSL22" si="222">IF(AND(TQA$26="End of period",TQA$25="Revenue"),TQA9,0)</f>
        <v>0</v>
      </c>
      <c r="TQB22" s="1902">
        <f t="shared" si="222"/>
        <v>0</v>
      </c>
      <c r="TQC22" s="1902">
        <f t="shared" si="222"/>
        <v>0</v>
      </c>
      <c r="TQD22" s="1902">
        <f t="shared" si="222"/>
        <v>0</v>
      </c>
      <c r="TQE22" s="1902">
        <f t="shared" si="222"/>
        <v>0</v>
      </c>
      <c r="TQF22" s="1902">
        <f t="shared" si="222"/>
        <v>0</v>
      </c>
      <c r="TQG22" s="1902">
        <f t="shared" si="222"/>
        <v>0</v>
      </c>
      <c r="TQH22" s="1902">
        <f t="shared" si="222"/>
        <v>0</v>
      </c>
      <c r="TQI22" s="1902">
        <f t="shared" si="222"/>
        <v>0</v>
      </c>
      <c r="TQJ22" s="1902">
        <f t="shared" si="222"/>
        <v>0</v>
      </c>
      <c r="TQK22" s="1902">
        <f t="shared" si="222"/>
        <v>0</v>
      </c>
      <c r="TQL22" s="1902">
        <f t="shared" si="222"/>
        <v>0</v>
      </c>
      <c r="TQM22" s="1902">
        <f t="shared" si="222"/>
        <v>0</v>
      </c>
      <c r="TQN22" s="1902">
        <f t="shared" si="222"/>
        <v>0</v>
      </c>
      <c r="TQO22" s="1902">
        <f t="shared" si="222"/>
        <v>0</v>
      </c>
      <c r="TQP22" s="1902">
        <f t="shared" si="222"/>
        <v>0</v>
      </c>
      <c r="TQQ22" s="1902">
        <f t="shared" si="222"/>
        <v>0</v>
      </c>
      <c r="TQR22" s="1902">
        <f t="shared" si="222"/>
        <v>0</v>
      </c>
      <c r="TQS22" s="1902">
        <f t="shared" si="222"/>
        <v>0</v>
      </c>
      <c r="TQT22" s="1902">
        <f t="shared" si="222"/>
        <v>0</v>
      </c>
      <c r="TQU22" s="1902">
        <f t="shared" si="222"/>
        <v>0</v>
      </c>
      <c r="TQV22" s="1902">
        <f t="shared" si="222"/>
        <v>0</v>
      </c>
      <c r="TQW22" s="1902">
        <f t="shared" si="222"/>
        <v>0</v>
      </c>
      <c r="TQX22" s="1902">
        <f t="shared" si="222"/>
        <v>0</v>
      </c>
      <c r="TQY22" s="1902">
        <f t="shared" si="222"/>
        <v>0</v>
      </c>
      <c r="TQZ22" s="1902">
        <f t="shared" si="222"/>
        <v>0</v>
      </c>
      <c r="TRA22" s="1902">
        <f t="shared" si="222"/>
        <v>0</v>
      </c>
      <c r="TRB22" s="1902">
        <f t="shared" si="222"/>
        <v>0</v>
      </c>
      <c r="TRC22" s="1902">
        <f t="shared" si="222"/>
        <v>0</v>
      </c>
      <c r="TRD22" s="1902">
        <f t="shared" si="222"/>
        <v>0</v>
      </c>
      <c r="TRE22" s="1902">
        <f t="shared" si="222"/>
        <v>0</v>
      </c>
      <c r="TRF22" s="1902">
        <f t="shared" si="222"/>
        <v>0</v>
      </c>
      <c r="TRG22" s="1902">
        <f t="shared" si="222"/>
        <v>0</v>
      </c>
      <c r="TRH22" s="1902">
        <f t="shared" si="222"/>
        <v>0</v>
      </c>
      <c r="TRI22" s="1902">
        <f t="shared" si="222"/>
        <v>0</v>
      </c>
      <c r="TRJ22" s="1902">
        <f t="shared" si="222"/>
        <v>0</v>
      </c>
      <c r="TRK22" s="1902">
        <f t="shared" si="222"/>
        <v>0</v>
      </c>
      <c r="TRL22" s="1902">
        <f t="shared" si="222"/>
        <v>0</v>
      </c>
      <c r="TRM22" s="1902">
        <f t="shared" si="222"/>
        <v>0</v>
      </c>
      <c r="TRN22" s="1902">
        <f t="shared" si="222"/>
        <v>0</v>
      </c>
      <c r="TRO22" s="1902">
        <f t="shared" si="222"/>
        <v>0</v>
      </c>
      <c r="TRP22" s="1902">
        <f t="shared" si="222"/>
        <v>0</v>
      </c>
      <c r="TRQ22" s="1902">
        <f t="shared" si="222"/>
        <v>0</v>
      </c>
      <c r="TRR22" s="1902">
        <f t="shared" si="222"/>
        <v>0</v>
      </c>
      <c r="TRS22" s="1902">
        <f t="shared" si="222"/>
        <v>0</v>
      </c>
      <c r="TRT22" s="1902">
        <f t="shared" si="222"/>
        <v>0</v>
      </c>
      <c r="TRU22" s="1902">
        <f t="shared" si="222"/>
        <v>0</v>
      </c>
      <c r="TRV22" s="1902">
        <f t="shared" si="222"/>
        <v>0</v>
      </c>
      <c r="TRW22" s="1902">
        <f t="shared" si="222"/>
        <v>0</v>
      </c>
      <c r="TRX22" s="1902">
        <f t="shared" si="222"/>
        <v>0</v>
      </c>
      <c r="TRY22" s="1902">
        <f t="shared" si="222"/>
        <v>0</v>
      </c>
      <c r="TRZ22" s="1902">
        <f t="shared" si="222"/>
        <v>0</v>
      </c>
      <c r="TSA22" s="1902">
        <f t="shared" si="222"/>
        <v>0</v>
      </c>
      <c r="TSB22" s="1902">
        <f t="shared" si="222"/>
        <v>0</v>
      </c>
      <c r="TSC22" s="1902">
        <f t="shared" si="222"/>
        <v>0</v>
      </c>
      <c r="TSD22" s="1902">
        <f t="shared" si="222"/>
        <v>0</v>
      </c>
      <c r="TSE22" s="1902">
        <f t="shared" si="222"/>
        <v>0</v>
      </c>
      <c r="TSF22" s="1902">
        <f t="shared" si="222"/>
        <v>0</v>
      </c>
      <c r="TSG22" s="1902">
        <f t="shared" si="222"/>
        <v>0</v>
      </c>
      <c r="TSH22" s="1902">
        <f t="shared" si="222"/>
        <v>0</v>
      </c>
      <c r="TSI22" s="1902">
        <f t="shared" si="222"/>
        <v>0</v>
      </c>
      <c r="TSJ22" s="1902">
        <f t="shared" si="222"/>
        <v>0</v>
      </c>
      <c r="TSK22" s="1902">
        <f t="shared" si="222"/>
        <v>0</v>
      </c>
      <c r="TSL22" s="1902">
        <f t="shared" si="222"/>
        <v>0</v>
      </c>
      <c r="TSM22" s="1902">
        <f t="shared" ref="TSM22:TUX22" si="223">IF(AND(TSM$26="End of period",TSM$25="Revenue"),TSM9,0)</f>
        <v>0</v>
      </c>
      <c r="TSN22" s="1902">
        <f t="shared" si="223"/>
        <v>0</v>
      </c>
      <c r="TSO22" s="1902">
        <f t="shared" si="223"/>
        <v>0</v>
      </c>
      <c r="TSP22" s="1902">
        <f t="shared" si="223"/>
        <v>0</v>
      </c>
      <c r="TSQ22" s="1902">
        <f t="shared" si="223"/>
        <v>0</v>
      </c>
      <c r="TSR22" s="1902">
        <f t="shared" si="223"/>
        <v>0</v>
      </c>
      <c r="TSS22" s="1902">
        <f t="shared" si="223"/>
        <v>0</v>
      </c>
      <c r="TST22" s="1902">
        <f t="shared" si="223"/>
        <v>0</v>
      </c>
      <c r="TSU22" s="1902">
        <f t="shared" si="223"/>
        <v>0</v>
      </c>
      <c r="TSV22" s="1902">
        <f t="shared" si="223"/>
        <v>0</v>
      </c>
      <c r="TSW22" s="1902">
        <f t="shared" si="223"/>
        <v>0</v>
      </c>
      <c r="TSX22" s="1902">
        <f t="shared" si="223"/>
        <v>0</v>
      </c>
      <c r="TSY22" s="1902">
        <f t="shared" si="223"/>
        <v>0</v>
      </c>
      <c r="TSZ22" s="1902">
        <f t="shared" si="223"/>
        <v>0</v>
      </c>
      <c r="TTA22" s="1902">
        <f t="shared" si="223"/>
        <v>0</v>
      </c>
      <c r="TTB22" s="1902">
        <f t="shared" si="223"/>
        <v>0</v>
      </c>
      <c r="TTC22" s="1902">
        <f t="shared" si="223"/>
        <v>0</v>
      </c>
      <c r="TTD22" s="1902">
        <f t="shared" si="223"/>
        <v>0</v>
      </c>
      <c r="TTE22" s="1902">
        <f t="shared" si="223"/>
        <v>0</v>
      </c>
      <c r="TTF22" s="1902">
        <f t="shared" si="223"/>
        <v>0</v>
      </c>
      <c r="TTG22" s="1902">
        <f t="shared" si="223"/>
        <v>0</v>
      </c>
      <c r="TTH22" s="1902">
        <f t="shared" si="223"/>
        <v>0</v>
      </c>
      <c r="TTI22" s="1902">
        <f t="shared" si="223"/>
        <v>0</v>
      </c>
      <c r="TTJ22" s="1902">
        <f t="shared" si="223"/>
        <v>0</v>
      </c>
      <c r="TTK22" s="1902">
        <f t="shared" si="223"/>
        <v>0</v>
      </c>
      <c r="TTL22" s="1902">
        <f t="shared" si="223"/>
        <v>0</v>
      </c>
      <c r="TTM22" s="1902">
        <f t="shared" si="223"/>
        <v>0</v>
      </c>
      <c r="TTN22" s="1902">
        <f t="shared" si="223"/>
        <v>0</v>
      </c>
      <c r="TTO22" s="1902">
        <f t="shared" si="223"/>
        <v>0</v>
      </c>
      <c r="TTP22" s="1902">
        <f t="shared" si="223"/>
        <v>0</v>
      </c>
      <c r="TTQ22" s="1902">
        <f t="shared" si="223"/>
        <v>0</v>
      </c>
      <c r="TTR22" s="1902">
        <f t="shared" si="223"/>
        <v>0</v>
      </c>
      <c r="TTS22" s="1902">
        <f t="shared" si="223"/>
        <v>0</v>
      </c>
      <c r="TTT22" s="1902">
        <f t="shared" si="223"/>
        <v>0</v>
      </c>
      <c r="TTU22" s="1902">
        <f t="shared" si="223"/>
        <v>0</v>
      </c>
      <c r="TTV22" s="1902">
        <f t="shared" si="223"/>
        <v>0</v>
      </c>
      <c r="TTW22" s="1902">
        <f t="shared" si="223"/>
        <v>0</v>
      </c>
      <c r="TTX22" s="1902">
        <f t="shared" si="223"/>
        <v>0</v>
      </c>
      <c r="TTY22" s="1902">
        <f t="shared" si="223"/>
        <v>0</v>
      </c>
      <c r="TTZ22" s="1902">
        <f t="shared" si="223"/>
        <v>0</v>
      </c>
      <c r="TUA22" s="1902">
        <f t="shared" si="223"/>
        <v>0</v>
      </c>
      <c r="TUB22" s="1902">
        <f t="shared" si="223"/>
        <v>0</v>
      </c>
      <c r="TUC22" s="1902">
        <f t="shared" si="223"/>
        <v>0</v>
      </c>
      <c r="TUD22" s="1902">
        <f t="shared" si="223"/>
        <v>0</v>
      </c>
      <c r="TUE22" s="1902">
        <f t="shared" si="223"/>
        <v>0</v>
      </c>
      <c r="TUF22" s="1902">
        <f t="shared" si="223"/>
        <v>0</v>
      </c>
      <c r="TUG22" s="1902">
        <f t="shared" si="223"/>
        <v>0</v>
      </c>
      <c r="TUH22" s="1902">
        <f t="shared" si="223"/>
        <v>0</v>
      </c>
      <c r="TUI22" s="1902">
        <f t="shared" si="223"/>
        <v>0</v>
      </c>
      <c r="TUJ22" s="1902">
        <f t="shared" si="223"/>
        <v>0</v>
      </c>
      <c r="TUK22" s="1902">
        <f t="shared" si="223"/>
        <v>0</v>
      </c>
      <c r="TUL22" s="1902">
        <f t="shared" si="223"/>
        <v>0</v>
      </c>
      <c r="TUM22" s="1902">
        <f t="shared" si="223"/>
        <v>0</v>
      </c>
      <c r="TUN22" s="1902">
        <f t="shared" si="223"/>
        <v>0</v>
      </c>
      <c r="TUO22" s="1902">
        <f t="shared" si="223"/>
        <v>0</v>
      </c>
      <c r="TUP22" s="1902">
        <f t="shared" si="223"/>
        <v>0</v>
      </c>
      <c r="TUQ22" s="1902">
        <f t="shared" si="223"/>
        <v>0</v>
      </c>
      <c r="TUR22" s="1902">
        <f t="shared" si="223"/>
        <v>0</v>
      </c>
      <c r="TUS22" s="1902">
        <f t="shared" si="223"/>
        <v>0</v>
      </c>
      <c r="TUT22" s="1902">
        <f t="shared" si="223"/>
        <v>0</v>
      </c>
      <c r="TUU22" s="1902">
        <f t="shared" si="223"/>
        <v>0</v>
      </c>
      <c r="TUV22" s="1902">
        <f t="shared" si="223"/>
        <v>0</v>
      </c>
      <c r="TUW22" s="1902">
        <f t="shared" si="223"/>
        <v>0</v>
      </c>
      <c r="TUX22" s="1902">
        <f t="shared" si="223"/>
        <v>0</v>
      </c>
      <c r="TUY22" s="1902">
        <f t="shared" ref="TUY22:TXJ22" si="224">IF(AND(TUY$26="End of period",TUY$25="Revenue"),TUY9,0)</f>
        <v>0</v>
      </c>
      <c r="TUZ22" s="1902">
        <f t="shared" si="224"/>
        <v>0</v>
      </c>
      <c r="TVA22" s="1902">
        <f t="shared" si="224"/>
        <v>0</v>
      </c>
      <c r="TVB22" s="1902">
        <f t="shared" si="224"/>
        <v>0</v>
      </c>
      <c r="TVC22" s="1902">
        <f t="shared" si="224"/>
        <v>0</v>
      </c>
      <c r="TVD22" s="1902">
        <f t="shared" si="224"/>
        <v>0</v>
      </c>
      <c r="TVE22" s="1902">
        <f t="shared" si="224"/>
        <v>0</v>
      </c>
      <c r="TVF22" s="1902">
        <f t="shared" si="224"/>
        <v>0</v>
      </c>
      <c r="TVG22" s="1902">
        <f t="shared" si="224"/>
        <v>0</v>
      </c>
      <c r="TVH22" s="1902">
        <f t="shared" si="224"/>
        <v>0</v>
      </c>
      <c r="TVI22" s="1902">
        <f t="shared" si="224"/>
        <v>0</v>
      </c>
      <c r="TVJ22" s="1902">
        <f t="shared" si="224"/>
        <v>0</v>
      </c>
      <c r="TVK22" s="1902">
        <f t="shared" si="224"/>
        <v>0</v>
      </c>
      <c r="TVL22" s="1902">
        <f t="shared" si="224"/>
        <v>0</v>
      </c>
      <c r="TVM22" s="1902">
        <f t="shared" si="224"/>
        <v>0</v>
      </c>
      <c r="TVN22" s="1902">
        <f t="shared" si="224"/>
        <v>0</v>
      </c>
      <c r="TVO22" s="1902">
        <f t="shared" si="224"/>
        <v>0</v>
      </c>
      <c r="TVP22" s="1902">
        <f t="shared" si="224"/>
        <v>0</v>
      </c>
      <c r="TVQ22" s="1902">
        <f t="shared" si="224"/>
        <v>0</v>
      </c>
      <c r="TVR22" s="1902">
        <f t="shared" si="224"/>
        <v>0</v>
      </c>
      <c r="TVS22" s="1902">
        <f t="shared" si="224"/>
        <v>0</v>
      </c>
      <c r="TVT22" s="1902">
        <f t="shared" si="224"/>
        <v>0</v>
      </c>
      <c r="TVU22" s="1902">
        <f t="shared" si="224"/>
        <v>0</v>
      </c>
      <c r="TVV22" s="1902">
        <f t="shared" si="224"/>
        <v>0</v>
      </c>
      <c r="TVW22" s="1902">
        <f t="shared" si="224"/>
        <v>0</v>
      </c>
      <c r="TVX22" s="1902">
        <f t="shared" si="224"/>
        <v>0</v>
      </c>
      <c r="TVY22" s="1902">
        <f t="shared" si="224"/>
        <v>0</v>
      </c>
      <c r="TVZ22" s="1902">
        <f t="shared" si="224"/>
        <v>0</v>
      </c>
      <c r="TWA22" s="1902">
        <f t="shared" si="224"/>
        <v>0</v>
      </c>
      <c r="TWB22" s="1902">
        <f t="shared" si="224"/>
        <v>0</v>
      </c>
      <c r="TWC22" s="1902">
        <f t="shared" si="224"/>
        <v>0</v>
      </c>
      <c r="TWD22" s="1902">
        <f t="shared" si="224"/>
        <v>0</v>
      </c>
      <c r="TWE22" s="1902">
        <f t="shared" si="224"/>
        <v>0</v>
      </c>
      <c r="TWF22" s="1902">
        <f t="shared" si="224"/>
        <v>0</v>
      </c>
      <c r="TWG22" s="1902">
        <f t="shared" si="224"/>
        <v>0</v>
      </c>
      <c r="TWH22" s="1902">
        <f t="shared" si="224"/>
        <v>0</v>
      </c>
      <c r="TWI22" s="1902">
        <f t="shared" si="224"/>
        <v>0</v>
      </c>
      <c r="TWJ22" s="1902">
        <f t="shared" si="224"/>
        <v>0</v>
      </c>
      <c r="TWK22" s="1902">
        <f t="shared" si="224"/>
        <v>0</v>
      </c>
      <c r="TWL22" s="1902">
        <f t="shared" si="224"/>
        <v>0</v>
      </c>
      <c r="TWM22" s="1902">
        <f t="shared" si="224"/>
        <v>0</v>
      </c>
      <c r="TWN22" s="1902">
        <f t="shared" si="224"/>
        <v>0</v>
      </c>
      <c r="TWO22" s="1902">
        <f t="shared" si="224"/>
        <v>0</v>
      </c>
      <c r="TWP22" s="1902">
        <f t="shared" si="224"/>
        <v>0</v>
      </c>
      <c r="TWQ22" s="1902">
        <f t="shared" si="224"/>
        <v>0</v>
      </c>
      <c r="TWR22" s="1902">
        <f t="shared" si="224"/>
        <v>0</v>
      </c>
      <c r="TWS22" s="1902">
        <f t="shared" si="224"/>
        <v>0</v>
      </c>
      <c r="TWT22" s="1902">
        <f t="shared" si="224"/>
        <v>0</v>
      </c>
      <c r="TWU22" s="1902">
        <f t="shared" si="224"/>
        <v>0</v>
      </c>
      <c r="TWV22" s="1902">
        <f t="shared" si="224"/>
        <v>0</v>
      </c>
      <c r="TWW22" s="1902">
        <f t="shared" si="224"/>
        <v>0</v>
      </c>
      <c r="TWX22" s="1902">
        <f t="shared" si="224"/>
        <v>0</v>
      </c>
      <c r="TWY22" s="1902">
        <f t="shared" si="224"/>
        <v>0</v>
      </c>
      <c r="TWZ22" s="1902">
        <f t="shared" si="224"/>
        <v>0</v>
      </c>
      <c r="TXA22" s="1902">
        <f t="shared" si="224"/>
        <v>0</v>
      </c>
      <c r="TXB22" s="1902">
        <f t="shared" si="224"/>
        <v>0</v>
      </c>
      <c r="TXC22" s="1902">
        <f t="shared" si="224"/>
        <v>0</v>
      </c>
      <c r="TXD22" s="1902">
        <f t="shared" si="224"/>
        <v>0</v>
      </c>
      <c r="TXE22" s="1902">
        <f t="shared" si="224"/>
        <v>0</v>
      </c>
      <c r="TXF22" s="1902">
        <f t="shared" si="224"/>
        <v>0</v>
      </c>
      <c r="TXG22" s="1902">
        <f t="shared" si="224"/>
        <v>0</v>
      </c>
      <c r="TXH22" s="1902">
        <f t="shared" si="224"/>
        <v>0</v>
      </c>
      <c r="TXI22" s="1902">
        <f t="shared" si="224"/>
        <v>0</v>
      </c>
      <c r="TXJ22" s="1902">
        <f t="shared" si="224"/>
        <v>0</v>
      </c>
      <c r="TXK22" s="1902">
        <f t="shared" ref="TXK22:TZV22" si="225">IF(AND(TXK$26="End of period",TXK$25="Revenue"),TXK9,0)</f>
        <v>0</v>
      </c>
      <c r="TXL22" s="1902">
        <f t="shared" si="225"/>
        <v>0</v>
      </c>
      <c r="TXM22" s="1902">
        <f t="shared" si="225"/>
        <v>0</v>
      </c>
      <c r="TXN22" s="1902">
        <f t="shared" si="225"/>
        <v>0</v>
      </c>
      <c r="TXO22" s="1902">
        <f t="shared" si="225"/>
        <v>0</v>
      </c>
      <c r="TXP22" s="1902">
        <f t="shared" si="225"/>
        <v>0</v>
      </c>
      <c r="TXQ22" s="1902">
        <f t="shared" si="225"/>
        <v>0</v>
      </c>
      <c r="TXR22" s="1902">
        <f t="shared" si="225"/>
        <v>0</v>
      </c>
      <c r="TXS22" s="1902">
        <f t="shared" si="225"/>
        <v>0</v>
      </c>
      <c r="TXT22" s="1902">
        <f t="shared" si="225"/>
        <v>0</v>
      </c>
      <c r="TXU22" s="1902">
        <f t="shared" si="225"/>
        <v>0</v>
      </c>
      <c r="TXV22" s="1902">
        <f t="shared" si="225"/>
        <v>0</v>
      </c>
      <c r="TXW22" s="1902">
        <f t="shared" si="225"/>
        <v>0</v>
      </c>
      <c r="TXX22" s="1902">
        <f t="shared" si="225"/>
        <v>0</v>
      </c>
      <c r="TXY22" s="1902">
        <f t="shared" si="225"/>
        <v>0</v>
      </c>
      <c r="TXZ22" s="1902">
        <f t="shared" si="225"/>
        <v>0</v>
      </c>
      <c r="TYA22" s="1902">
        <f t="shared" si="225"/>
        <v>0</v>
      </c>
      <c r="TYB22" s="1902">
        <f t="shared" si="225"/>
        <v>0</v>
      </c>
      <c r="TYC22" s="1902">
        <f t="shared" si="225"/>
        <v>0</v>
      </c>
      <c r="TYD22" s="1902">
        <f t="shared" si="225"/>
        <v>0</v>
      </c>
      <c r="TYE22" s="1902">
        <f t="shared" si="225"/>
        <v>0</v>
      </c>
      <c r="TYF22" s="1902">
        <f t="shared" si="225"/>
        <v>0</v>
      </c>
      <c r="TYG22" s="1902">
        <f t="shared" si="225"/>
        <v>0</v>
      </c>
      <c r="TYH22" s="1902">
        <f t="shared" si="225"/>
        <v>0</v>
      </c>
      <c r="TYI22" s="1902">
        <f t="shared" si="225"/>
        <v>0</v>
      </c>
      <c r="TYJ22" s="1902">
        <f t="shared" si="225"/>
        <v>0</v>
      </c>
      <c r="TYK22" s="1902">
        <f t="shared" si="225"/>
        <v>0</v>
      </c>
      <c r="TYL22" s="1902">
        <f t="shared" si="225"/>
        <v>0</v>
      </c>
      <c r="TYM22" s="1902">
        <f t="shared" si="225"/>
        <v>0</v>
      </c>
      <c r="TYN22" s="1902">
        <f t="shared" si="225"/>
        <v>0</v>
      </c>
      <c r="TYO22" s="1902">
        <f t="shared" si="225"/>
        <v>0</v>
      </c>
      <c r="TYP22" s="1902">
        <f t="shared" si="225"/>
        <v>0</v>
      </c>
      <c r="TYQ22" s="1902">
        <f t="shared" si="225"/>
        <v>0</v>
      </c>
      <c r="TYR22" s="1902">
        <f t="shared" si="225"/>
        <v>0</v>
      </c>
      <c r="TYS22" s="1902">
        <f t="shared" si="225"/>
        <v>0</v>
      </c>
      <c r="TYT22" s="1902">
        <f t="shared" si="225"/>
        <v>0</v>
      </c>
      <c r="TYU22" s="1902">
        <f t="shared" si="225"/>
        <v>0</v>
      </c>
      <c r="TYV22" s="1902">
        <f t="shared" si="225"/>
        <v>0</v>
      </c>
      <c r="TYW22" s="1902">
        <f t="shared" si="225"/>
        <v>0</v>
      </c>
      <c r="TYX22" s="1902">
        <f t="shared" si="225"/>
        <v>0</v>
      </c>
      <c r="TYY22" s="1902">
        <f t="shared" si="225"/>
        <v>0</v>
      </c>
      <c r="TYZ22" s="1902">
        <f t="shared" si="225"/>
        <v>0</v>
      </c>
      <c r="TZA22" s="1902">
        <f t="shared" si="225"/>
        <v>0</v>
      </c>
      <c r="TZB22" s="1902">
        <f t="shared" si="225"/>
        <v>0</v>
      </c>
      <c r="TZC22" s="1902">
        <f t="shared" si="225"/>
        <v>0</v>
      </c>
      <c r="TZD22" s="1902">
        <f t="shared" si="225"/>
        <v>0</v>
      </c>
      <c r="TZE22" s="1902">
        <f t="shared" si="225"/>
        <v>0</v>
      </c>
      <c r="TZF22" s="1902">
        <f t="shared" si="225"/>
        <v>0</v>
      </c>
      <c r="TZG22" s="1902">
        <f t="shared" si="225"/>
        <v>0</v>
      </c>
      <c r="TZH22" s="1902">
        <f t="shared" si="225"/>
        <v>0</v>
      </c>
      <c r="TZI22" s="1902">
        <f t="shared" si="225"/>
        <v>0</v>
      </c>
      <c r="TZJ22" s="1902">
        <f t="shared" si="225"/>
        <v>0</v>
      </c>
      <c r="TZK22" s="1902">
        <f t="shared" si="225"/>
        <v>0</v>
      </c>
      <c r="TZL22" s="1902">
        <f t="shared" si="225"/>
        <v>0</v>
      </c>
      <c r="TZM22" s="1902">
        <f t="shared" si="225"/>
        <v>0</v>
      </c>
      <c r="TZN22" s="1902">
        <f t="shared" si="225"/>
        <v>0</v>
      </c>
      <c r="TZO22" s="1902">
        <f t="shared" si="225"/>
        <v>0</v>
      </c>
      <c r="TZP22" s="1902">
        <f t="shared" si="225"/>
        <v>0</v>
      </c>
      <c r="TZQ22" s="1902">
        <f t="shared" si="225"/>
        <v>0</v>
      </c>
      <c r="TZR22" s="1902">
        <f t="shared" si="225"/>
        <v>0</v>
      </c>
      <c r="TZS22" s="1902">
        <f t="shared" si="225"/>
        <v>0</v>
      </c>
      <c r="TZT22" s="1902">
        <f t="shared" si="225"/>
        <v>0</v>
      </c>
      <c r="TZU22" s="1902">
        <f t="shared" si="225"/>
        <v>0</v>
      </c>
      <c r="TZV22" s="1902">
        <f t="shared" si="225"/>
        <v>0</v>
      </c>
      <c r="TZW22" s="1902">
        <f t="shared" ref="TZW22:UCH22" si="226">IF(AND(TZW$26="End of period",TZW$25="Revenue"),TZW9,0)</f>
        <v>0</v>
      </c>
      <c r="TZX22" s="1902">
        <f t="shared" si="226"/>
        <v>0</v>
      </c>
      <c r="TZY22" s="1902">
        <f t="shared" si="226"/>
        <v>0</v>
      </c>
      <c r="TZZ22" s="1902">
        <f t="shared" si="226"/>
        <v>0</v>
      </c>
      <c r="UAA22" s="1902">
        <f t="shared" si="226"/>
        <v>0</v>
      </c>
      <c r="UAB22" s="1902">
        <f t="shared" si="226"/>
        <v>0</v>
      </c>
      <c r="UAC22" s="1902">
        <f t="shared" si="226"/>
        <v>0</v>
      </c>
      <c r="UAD22" s="1902">
        <f t="shared" si="226"/>
        <v>0</v>
      </c>
      <c r="UAE22" s="1902">
        <f t="shared" si="226"/>
        <v>0</v>
      </c>
      <c r="UAF22" s="1902">
        <f t="shared" si="226"/>
        <v>0</v>
      </c>
      <c r="UAG22" s="1902">
        <f t="shared" si="226"/>
        <v>0</v>
      </c>
      <c r="UAH22" s="1902">
        <f t="shared" si="226"/>
        <v>0</v>
      </c>
      <c r="UAI22" s="1902">
        <f t="shared" si="226"/>
        <v>0</v>
      </c>
      <c r="UAJ22" s="1902">
        <f t="shared" si="226"/>
        <v>0</v>
      </c>
      <c r="UAK22" s="1902">
        <f t="shared" si="226"/>
        <v>0</v>
      </c>
      <c r="UAL22" s="1902">
        <f t="shared" si="226"/>
        <v>0</v>
      </c>
      <c r="UAM22" s="1902">
        <f t="shared" si="226"/>
        <v>0</v>
      </c>
      <c r="UAN22" s="1902">
        <f t="shared" si="226"/>
        <v>0</v>
      </c>
      <c r="UAO22" s="1902">
        <f t="shared" si="226"/>
        <v>0</v>
      </c>
      <c r="UAP22" s="1902">
        <f t="shared" si="226"/>
        <v>0</v>
      </c>
      <c r="UAQ22" s="1902">
        <f t="shared" si="226"/>
        <v>0</v>
      </c>
      <c r="UAR22" s="1902">
        <f t="shared" si="226"/>
        <v>0</v>
      </c>
      <c r="UAS22" s="1902">
        <f t="shared" si="226"/>
        <v>0</v>
      </c>
      <c r="UAT22" s="1902">
        <f t="shared" si="226"/>
        <v>0</v>
      </c>
      <c r="UAU22" s="1902">
        <f t="shared" si="226"/>
        <v>0</v>
      </c>
      <c r="UAV22" s="1902">
        <f t="shared" si="226"/>
        <v>0</v>
      </c>
      <c r="UAW22" s="1902">
        <f t="shared" si="226"/>
        <v>0</v>
      </c>
      <c r="UAX22" s="1902">
        <f t="shared" si="226"/>
        <v>0</v>
      </c>
      <c r="UAY22" s="1902">
        <f t="shared" si="226"/>
        <v>0</v>
      </c>
      <c r="UAZ22" s="1902">
        <f t="shared" si="226"/>
        <v>0</v>
      </c>
      <c r="UBA22" s="1902">
        <f t="shared" si="226"/>
        <v>0</v>
      </c>
      <c r="UBB22" s="1902">
        <f t="shared" si="226"/>
        <v>0</v>
      </c>
      <c r="UBC22" s="1902">
        <f t="shared" si="226"/>
        <v>0</v>
      </c>
      <c r="UBD22" s="1902">
        <f t="shared" si="226"/>
        <v>0</v>
      </c>
      <c r="UBE22" s="1902">
        <f t="shared" si="226"/>
        <v>0</v>
      </c>
      <c r="UBF22" s="1902">
        <f t="shared" si="226"/>
        <v>0</v>
      </c>
      <c r="UBG22" s="1902">
        <f t="shared" si="226"/>
        <v>0</v>
      </c>
      <c r="UBH22" s="1902">
        <f t="shared" si="226"/>
        <v>0</v>
      </c>
      <c r="UBI22" s="1902">
        <f t="shared" si="226"/>
        <v>0</v>
      </c>
      <c r="UBJ22" s="1902">
        <f t="shared" si="226"/>
        <v>0</v>
      </c>
      <c r="UBK22" s="1902">
        <f t="shared" si="226"/>
        <v>0</v>
      </c>
      <c r="UBL22" s="1902">
        <f t="shared" si="226"/>
        <v>0</v>
      </c>
      <c r="UBM22" s="1902">
        <f t="shared" si="226"/>
        <v>0</v>
      </c>
      <c r="UBN22" s="1902">
        <f t="shared" si="226"/>
        <v>0</v>
      </c>
      <c r="UBO22" s="1902">
        <f t="shared" si="226"/>
        <v>0</v>
      </c>
      <c r="UBP22" s="1902">
        <f t="shared" si="226"/>
        <v>0</v>
      </c>
      <c r="UBQ22" s="1902">
        <f t="shared" si="226"/>
        <v>0</v>
      </c>
      <c r="UBR22" s="1902">
        <f t="shared" si="226"/>
        <v>0</v>
      </c>
      <c r="UBS22" s="1902">
        <f t="shared" si="226"/>
        <v>0</v>
      </c>
      <c r="UBT22" s="1902">
        <f t="shared" si="226"/>
        <v>0</v>
      </c>
      <c r="UBU22" s="1902">
        <f t="shared" si="226"/>
        <v>0</v>
      </c>
      <c r="UBV22" s="1902">
        <f t="shared" si="226"/>
        <v>0</v>
      </c>
      <c r="UBW22" s="1902">
        <f t="shared" si="226"/>
        <v>0</v>
      </c>
      <c r="UBX22" s="1902">
        <f t="shared" si="226"/>
        <v>0</v>
      </c>
      <c r="UBY22" s="1902">
        <f t="shared" si="226"/>
        <v>0</v>
      </c>
      <c r="UBZ22" s="1902">
        <f t="shared" si="226"/>
        <v>0</v>
      </c>
      <c r="UCA22" s="1902">
        <f t="shared" si="226"/>
        <v>0</v>
      </c>
      <c r="UCB22" s="1902">
        <f t="shared" si="226"/>
        <v>0</v>
      </c>
      <c r="UCC22" s="1902">
        <f t="shared" si="226"/>
        <v>0</v>
      </c>
      <c r="UCD22" s="1902">
        <f t="shared" si="226"/>
        <v>0</v>
      </c>
      <c r="UCE22" s="1902">
        <f t="shared" si="226"/>
        <v>0</v>
      </c>
      <c r="UCF22" s="1902">
        <f t="shared" si="226"/>
        <v>0</v>
      </c>
      <c r="UCG22" s="1902">
        <f t="shared" si="226"/>
        <v>0</v>
      </c>
      <c r="UCH22" s="1902">
        <f t="shared" si="226"/>
        <v>0</v>
      </c>
      <c r="UCI22" s="1902">
        <f t="shared" ref="UCI22:UET22" si="227">IF(AND(UCI$26="End of period",UCI$25="Revenue"),UCI9,0)</f>
        <v>0</v>
      </c>
      <c r="UCJ22" s="1902">
        <f t="shared" si="227"/>
        <v>0</v>
      </c>
      <c r="UCK22" s="1902">
        <f t="shared" si="227"/>
        <v>0</v>
      </c>
      <c r="UCL22" s="1902">
        <f t="shared" si="227"/>
        <v>0</v>
      </c>
      <c r="UCM22" s="1902">
        <f t="shared" si="227"/>
        <v>0</v>
      </c>
      <c r="UCN22" s="1902">
        <f t="shared" si="227"/>
        <v>0</v>
      </c>
      <c r="UCO22" s="1902">
        <f t="shared" si="227"/>
        <v>0</v>
      </c>
      <c r="UCP22" s="1902">
        <f t="shared" si="227"/>
        <v>0</v>
      </c>
      <c r="UCQ22" s="1902">
        <f t="shared" si="227"/>
        <v>0</v>
      </c>
      <c r="UCR22" s="1902">
        <f t="shared" si="227"/>
        <v>0</v>
      </c>
      <c r="UCS22" s="1902">
        <f t="shared" si="227"/>
        <v>0</v>
      </c>
      <c r="UCT22" s="1902">
        <f t="shared" si="227"/>
        <v>0</v>
      </c>
      <c r="UCU22" s="1902">
        <f t="shared" si="227"/>
        <v>0</v>
      </c>
      <c r="UCV22" s="1902">
        <f t="shared" si="227"/>
        <v>0</v>
      </c>
      <c r="UCW22" s="1902">
        <f t="shared" si="227"/>
        <v>0</v>
      </c>
      <c r="UCX22" s="1902">
        <f t="shared" si="227"/>
        <v>0</v>
      </c>
      <c r="UCY22" s="1902">
        <f t="shared" si="227"/>
        <v>0</v>
      </c>
      <c r="UCZ22" s="1902">
        <f t="shared" si="227"/>
        <v>0</v>
      </c>
      <c r="UDA22" s="1902">
        <f t="shared" si="227"/>
        <v>0</v>
      </c>
      <c r="UDB22" s="1902">
        <f t="shared" si="227"/>
        <v>0</v>
      </c>
      <c r="UDC22" s="1902">
        <f t="shared" si="227"/>
        <v>0</v>
      </c>
      <c r="UDD22" s="1902">
        <f t="shared" si="227"/>
        <v>0</v>
      </c>
      <c r="UDE22" s="1902">
        <f t="shared" si="227"/>
        <v>0</v>
      </c>
      <c r="UDF22" s="1902">
        <f t="shared" si="227"/>
        <v>0</v>
      </c>
      <c r="UDG22" s="1902">
        <f t="shared" si="227"/>
        <v>0</v>
      </c>
      <c r="UDH22" s="1902">
        <f t="shared" si="227"/>
        <v>0</v>
      </c>
      <c r="UDI22" s="1902">
        <f t="shared" si="227"/>
        <v>0</v>
      </c>
      <c r="UDJ22" s="1902">
        <f t="shared" si="227"/>
        <v>0</v>
      </c>
      <c r="UDK22" s="1902">
        <f t="shared" si="227"/>
        <v>0</v>
      </c>
      <c r="UDL22" s="1902">
        <f t="shared" si="227"/>
        <v>0</v>
      </c>
      <c r="UDM22" s="1902">
        <f t="shared" si="227"/>
        <v>0</v>
      </c>
      <c r="UDN22" s="1902">
        <f t="shared" si="227"/>
        <v>0</v>
      </c>
      <c r="UDO22" s="1902">
        <f t="shared" si="227"/>
        <v>0</v>
      </c>
      <c r="UDP22" s="1902">
        <f t="shared" si="227"/>
        <v>0</v>
      </c>
      <c r="UDQ22" s="1902">
        <f t="shared" si="227"/>
        <v>0</v>
      </c>
      <c r="UDR22" s="1902">
        <f t="shared" si="227"/>
        <v>0</v>
      </c>
      <c r="UDS22" s="1902">
        <f t="shared" si="227"/>
        <v>0</v>
      </c>
      <c r="UDT22" s="1902">
        <f t="shared" si="227"/>
        <v>0</v>
      </c>
      <c r="UDU22" s="1902">
        <f t="shared" si="227"/>
        <v>0</v>
      </c>
      <c r="UDV22" s="1902">
        <f t="shared" si="227"/>
        <v>0</v>
      </c>
      <c r="UDW22" s="1902">
        <f t="shared" si="227"/>
        <v>0</v>
      </c>
      <c r="UDX22" s="1902">
        <f t="shared" si="227"/>
        <v>0</v>
      </c>
      <c r="UDY22" s="1902">
        <f t="shared" si="227"/>
        <v>0</v>
      </c>
      <c r="UDZ22" s="1902">
        <f t="shared" si="227"/>
        <v>0</v>
      </c>
      <c r="UEA22" s="1902">
        <f t="shared" si="227"/>
        <v>0</v>
      </c>
      <c r="UEB22" s="1902">
        <f t="shared" si="227"/>
        <v>0</v>
      </c>
      <c r="UEC22" s="1902">
        <f t="shared" si="227"/>
        <v>0</v>
      </c>
      <c r="UED22" s="1902">
        <f t="shared" si="227"/>
        <v>0</v>
      </c>
      <c r="UEE22" s="1902">
        <f t="shared" si="227"/>
        <v>0</v>
      </c>
      <c r="UEF22" s="1902">
        <f t="shared" si="227"/>
        <v>0</v>
      </c>
      <c r="UEG22" s="1902">
        <f t="shared" si="227"/>
        <v>0</v>
      </c>
      <c r="UEH22" s="1902">
        <f t="shared" si="227"/>
        <v>0</v>
      </c>
      <c r="UEI22" s="1902">
        <f t="shared" si="227"/>
        <v>0</v>
      </c>
      <c r="UEJ22" s="1902">
        <f t="shared" si="227"/>
        <v>0</v>
      </c>
      <c r="UEK22" s="1902">
        <f t="shared" si="227"/>
        <v>0</v>
      </c>
      <c r="UEL22" s="1902">
        <f t="shared" si="227"/>
        <v>0</v>
      </c>
      <c r="UEM22" s="1902">
        <f t="shared" si="227"/>
        <v>0</v>
      </c>
      <c r="UEN22" s="1902">
        <f t="shared" si="227"/>
        <v>0</v>
      </c>
      <c r="UEO22" s="1902">
        <f t="shared" si="227"/>
        <v>0</v>
      </c>
      <c r="UEP22" s="1902">
        <f t="shared" si="227"/>
        <v>0</v>
      </c>
      <c r="UEQ22" s="1902">
        <f t="shared" si="227"/>
        <v>0</v>
      </c>
      <c r="UER22" s="1902">
        <f t="shared" si="227"/>
        <v>0</v>
      </c>
      <c r="UES22" s="1902">
        <f t="shared" si="227"/>
        <v>0</v>
      </c>
      <c r="UET22" s="1902">
        <f t="shared" si="227"/>
        <v>0</v>
      </c>
      <c r="UEU22" s="1902">
        <f t="shared" ref="UEU22:UHF22" si="228">IF(AND(UEU$26="End of period",UEU$25="Revenue"),UEU9,0)</f>
        <v>0</v>
      </c>
      <c r="UEV22" s="1902">
        <f t="shared" si="228"/>
        <v>0</v>
      </c>
      <c r="UEW22" s="1902">
        <f t="shared" si="228"/>
        <v>0</v>
      </c>
      <c r="UEX22" s="1902">
        <f t="shared" si="228"/>
        <v>0</v>
      </c>
      <c r="UEY22" s="1902">
        <f t="shared" si="228"/>
        <v>0</v>
      </c>
      <c r="UEZ22" s="1902">
        <f t="shared" si="228"/>
        <v>0</v>
      </c>
      <c r="UFA22" s="1902">
        <f t="shared" si="228"/>
        <v>0</v>
      </c>
      <c r="UFB22" s="1902">
        <f t="shared" si="228"/>
        <v>0</v>
      </c>
      <c r="UFC22" s="1902">
        <f t="shared" si="228"/>
        <v>0</v>
      </c>
      <c r="UFD22" s="1902">
        <f t="shared" si="228"/>
        <v>0</v>
      </c>
      <c r="UFE22" s="1902">
        <f t="shared" si="228"/>
        <v>0</v>
      </c>
      <c r="UFF22" s="1902">
        <f t="shared" si="228"/>
        <v>0</v>
      </c>
      <c r="UFG22" s="1902">
        <f t="shared" si="228"/>
        <v>0</v>
      </c>
      <c r="UFH22" s="1902">
        <f t="shared" si="228"/>
        <v>0</v>
      </c>
      <c r="UFI22" s="1902">
        <f t="shared" si="228"/>
        <v>0</v>
      </c>
      <c r="UFJ22" s="1902">
        <f t="shared" si="228"/>
        <v>0</v>
      </c>
      <c r="UFK22" s="1902">
        <f t="shared" si="228"/>
        <v>0</v>
      </c>
      <c r="UFL22" s="1902">
        <f t="shared" si="228"/>
        <v>0</v>
      </c>
      <c r="UFM22" s="1902">
        <f t="shared" si="228"/>
        <v>0</v>
      </c>
      <c r="UFN22" s="1902">
        <f t="shared" si="228"/>
        <v>0</v>
      </c>
      <c r="UFO22" s="1902">
        <f t="shared" si="228"/>
        <v>0</v>
      </c>
      <c r="UFP22" s="1902">
        <f t="shared" si="228"/>
        <v>0</v>
      </c>
      <c r="UFQ22" s="1902">
        <f t="shared" si="228"/>
        <v>0</v>
      </c>
      <c r="UFR22" s="1902">
        <f t="shared" si="228"/>
        <v>0</v>
      </c>
      <c r="UFS22" s="1902">
        <f t="shared" si="228"/>
        <v>0</v>
      </c>
      <c r="UFT22" s="1902">
        <f t="shared" si="228"/>
        <v>0</v>
      </c>
      <c r="UFU22" s="1902">
        <f t="shared" si="228"/>
        <v>0</v>
      </c>
      <c r="UFV22" s="1902">
        <f t="shared" si="228"/>
        <v>0</v>
      </c>
      <c r="UFW22" s="1902">
        <f t="shared" si="228"/>
        <v>0</v>
      </c>
      <c r="UFX22" s="1902">
        <f t="shared" si="228"/>
        <v>0</v>
      </c>
      <c r="UFY22" s="1902">
        <f t="shared" si="228"/>
        <v>0</v>
      </c>
      <c r="UFZ22" s="1902">
        <f t="shared" si="228"/>
        <v>0</v>
      </c>
      <c r="UGA22" s="1902">
        <f t="shared" si="228"/>
        <v>0</v>
      </c>
      <c r="UGB22" s="1902">
        <f t="shared" si="228"/>
        <v>0</v>
      </c>
      <c r="UGC22" s="1902">
        <f t="shared" si="228"/>
        <v>0</v>
      </c>
      <c r="UGD22" s="1902">
        <f t="shared" si="228"/>
        <v>0</v>
      </c>
      <c r="UGE22" s="1902">
        <f t="shared" si="228"/>
        <v>0</v>
      </c>
      <c r="UGF22" s="1902">
        <f t="shared" si="228"/>
        <v>0</v>
      </c>
      <c r="UGG22" s="1902">
        <f t="shared" si="228"/>
        <v>0</v>
      </c>
      <c r="UGH22" s="1902">
        <f t="shared" si="228"/>
        <v>0</v>
      </c>
      <c r="UGI22" s="1902">
        <f t="shared" si="228"/>
        <v>0</v>
      </c>
      <c r="UGJ22" s="1902">
        <f t="shared" si="228"/>
        <v>0</v>
      </c>
      <c r="UGK22" s="1902">
        <f t="shared" si="228"/>
        <v>0</v>
      </c>
      <c r="UGL22" s="1902">
        <f t="shared" si="228"/>
        <v>0</v>
      </c>
      <c r="UGM22" s="1902">
        <f t="shared" si="228"/>
        <v>0</v>
      </c>
      <c r="UGN22" s="1902">
        <f t="shared" si="228"/>
        <v>0</v>
      </c>
      <c r="UGO22" s="1902">
        <f t="shared" si="228"/>
        <v>0</v>
      </c>
      <c r="UGP22" s="1902">
        <f t="shared" si="228"/>
        <v>0</v>
      </c>
      <c r="UGQ22" s="1902">
        <f t="shared" si="228"/>
        <v>0</v>
      </c>
      <c r="UGR22" s="1902">
        <f t="shared" si="228"/>
        <v>0</v>
      </c>
      <c r="UGS22" s="1902">
        <f t="shared" si="228"/>
        <v>0</v>
      </c>
      <c r="UGT22" s="1902">
        <f t="shared" si="228"/>
        <v>0</v>
      </c>
      <c r="UGU22" s="1902">
        <f t="shared" si="228"/>
        <v>0</v>
      </c>
      <c r="UGV22" s="1902">
        <f t="shared" si="228"/>
        <v>0</v>
      </c>
      <c r="UGW22" s="1902">
        <f t="shared" si="228"/>
        <v>0</v>
      </c>
      <c r="UGX22" s="1902">
        <f t="shared" si="228"/>
        <v>0</v>
      </c>
      <c r="UGY22" s="1902">
        <f t="shared" si="228"/>
        <v>0</v>
      </c>
      <c r="UGZ22" s="1902">
        <f t="shared" si="228"/>
        <v>0</v>
      </c>
      <c r="UHA22" s="1902">
        <f t="shared" si="228"/>
        <v>0</v>
      </c>
      <c r="UHB22" s="1902">
        <f t="shared" si="228"/>
        <v>0</v>
      </c>
      <c r="UHC22" s="1902">
        <f t="shared" si="228"/>
        <v>0</v>
      </c>
      <c r="UHD22" s="1902">
        <f t="shared" si="228"/>
        <v>0</v>
      </c>
      <c r="UHE22" s="1902">
        <f t="shared" si="228"/>
        <v>0</v>
      </c>
      <c r="UHF22" s="1902">
        <f t="shared" si="228"/>
        <v>0</v>
      </c>
      <c r="UHG22" s="1902">
        <f t="shared" ref="UHG22:UJR22" si="229">IF(AND(UHG$26="End of period",UHG$25="Revenue"),UHG9,0)</f>
        <v>0</v>
      </c>
      <c r="UHH22" s="1902">
        <f t="shared" si="229"/>
        <v>0</v>
      </c>
      <c r="UHI22" s="1902">
        <f t="shared" si="229"/>
        <v>0</v>
      </c>
      <c r="UHJ22" s="1902">
        <f t="shared" si="229"/>
        <v>0</v>
      </c>
      <c r="UHK22" s="1902">
        <f t="shared" si="229"/>
        <v>0</v>
      </c>
      <c r="UHL22" s="1902">
        <f t="shared" si="229"/>
        <v>0</v>
      </c>
      <c r="UHM22" s="1902">
        <f t="shared" si="229"/>
        <v>0</v>
      </c>
      <c r="UHN22" s="1902">
        <f t="shared" si="229"/>
        <v>0</v>
      </c>
      <c r="UHO22" s="1902">
        <f t="shared" si="229"/>
        <v>0</v>
      </c>
      <c r="UHP22" s="1902">
        <f t="shared" si="229"/>
        <v>0</v>
      </c>
      <c r="UHQ22" s="1902">
        <f t="shared" si="229"/>
        <v>0</v>
      </c>
      <c r="UHR22" s="1902">
        <f t="shared" si="229"/>
        <v>0</v>
      </c>
      <c r="UHS22" s="1902">
        <f t="shared" si="229"/>
        <v>0</v>
      </c>
      <c r="UHT22" s="1902">
        <f t="shared" si="229"/>
        <v>0</v>
      </c>
      <c r="UHU22" s="1902">
        <f t="shared" si="229"/>
        <v>0</v>
      </c>
      <c r="UHV22" s="1902">
        <f t="shared" si="229"/>
        <v>0</v>
      </c>
      <c r="UHW22" s="1902">
        <f t="shared" si="229"/>
        <v>0</v>
      </c>
      <c r="UHX22" s="1902">
        <f t="shared" si="229"/>
        <v>0</v>
      </c>
      <c r="UHY22" s="1902">
        <f t="shared" si="229"/>
        <v>0</v>
      </c>
      <c r="UHZ22" s="1902">
        <f t="shared" si="229"/>
        <v>0</v>
      </c>
      <c r="UIA22" s="1902">
        <f t="shared" si="229"/>
        <v>0</v>
      </c>
      <c r="UIB22" s="1902">
        <f t="shared" si="229"/>
        <v>0</v>
      </c>
      <c r="UIC22" s="1902">
        <f t="shared" si="229"/>
        <v>0</v>
      </c>
      <c r="UID22" s="1902">
        <f t="shared" si="229"/>
        <v>0</v>
      </c>
      <c r="UIE22" s="1902">
        <f t="shared" si="229"/>
        <v>0</v>
      </c>
      <c r="UIF22" s="1902">
        <f t="shared" si="229"/>
        <v>0</v>
      </c>
      <c r="UIG22" s="1902">
        <f t="shared" si="229"/>
        <v>0</v>
      </c>
      <c r="UIH22" s="1902">
        <f t="shared" si="229"/>
        <v>0</v>
      </c>
      <c r="UII22" s="1902">
        <f t="shared" si="229"/>
        <v>0</v>
      </c>
      <c r="UIJ22" s="1902">
        <f t="shared" si="229"/>
        <v>0</v>
      </c>
      <c r="UIK22" s="1902">
        <f t="shared" si="229"/>
        <v>0</v>
      </c>
      <c r="UIL22" s="1902">
        <f t="shared" si="229"/>
        <v>0</v>
      </c>
      <c r="UIM22" s="1902">
        <f t="shared" si="229"/>
        <v>0</v>
      </c>
      <c r="UIN22" s="1902">
        <f t="shared" si="229"/>
        <v>0</v>
      </c>
      <c r="UIO22" s="1902">
        <f t="shared" si="229"/>
        <v>0</v>
      </c>
      <c r="UIP22" s="1902">
        <f t="shared" si="229"/>
        <v>0</v>
      </c>
      <c r="UIQ22" s="1902">
        <f t="shared" si="229"/>
        <v>0</v>
      </c>
      <c r="UIR22" s="1902">
        <f t="shared" si="229"/>
        <v>0</v>
      </c>
      <c r="UIS22" s="1902">
        <f t="shared" si="229"/>
        <v>0</v>
      </c>
      <c r="UIT22" s="1902">
        <f t="shared" si="229"/>
        <v>0</v>
      </c>
      <c r="UIU22" s="1902">
        <f t="shared" si="229"/>
        <v>0</v>
      </c>
      <c r="UIV22" s="1902">
        <f t="shared" si="229"/>
        <v>0</v>
      </c>
      <c r="UIW22" s="1902">
        <f t="shared" si="229"/>
        <v>0</v>
      </c>
      <c r="UIX22" s="1902">
        <f t="shared" si="229"/>
        <v>0</v>
      </c>
      <c r="UIY22" s="1902">
        <f t="shared" si="229"/>
        <v>0</v>
      </c>
      <c r="UIZ22" s="1902">
        <f t="shared" si="229"/>
        <v>0</v>
      </c>
      <c r="UJA22" s="1902">
        <f t="shared" si="229"/>
        <v>0</v>
      </c>
      <c r="UJB22" s="1902">
        <f t="shared" si="229"/>
        <v>0</v>
      </c>
      <c r="UJC22" s="1902">
        <f t="shared" si="229"/>
        <v>0</v>
      </c>
      <c r="UJD22" s="1902">
        <f t="shared" si="229"/>
        <v>0</v>
      </c>
      <c r="UJE22" s="1902">
        <f t="shared" si="229"/>
        <v>0</v>
      </c>
      <c r="UJF22" s="1902">
        <f t="shared" si="229"/>
        <v>0</v>
      </c>
      <c r="UJG22" s="1902">
        <f t="shared" si="229"/>
        <v>0</v>
      </c>
      <c r="UJH22" s="1902">
        <f t="shared" si="229"/>
        <v>0</v>
      </c>
      <c r="UJI22" s="1902">
        <f t="shared" si="229"/>
        <v>0</v>
      </c>
      <c r="UJJ22" s="1902">
        <f t="shared" si="229"/>
        <v>0</v>
      </c>
      <c r="UJK22" s="1902">
        <f t="shared" si="229"/>
        <v>0</v>
      </c>
      <c r="UJL22" s="1902">
        <f t="shared" si="229"/>
        <v>0</v>
      </c>
      <c r="UJM22" s="1902">
        <f t="shared" si="229"/>
        <v>0</v>
      </c>
      <c r="UJN22" s="1902">
        <f t="shared" si="229"/>
        <v>0</v>
      </c>
      <c r="UJO22" s="1902">
        <f t="shared" si="229"/>
        <v>0</v>
      </c>
      <c r="UJP22" s="1902">
        <f t="shared" si="229"/>
        <v>0</v>
      </c>
      <c r="UJQ22" s="1902">
        <f t="shared" si="229"/>
        <v>0</v>
      </c>
      <c r="UJR22" s="1902">
        <f t="shared" si="229"/>
        <v>0</v>
      </c>
      <c r="UJS22" s="1902">
        <f t="shared" ref="UJS22:UMD22" si="230">IF(AND(UJS$26="End of period",UJS$25="Revenue"),UJS9,0)</f>
        <v>0</v>
      </c>
      <c r="UJT22" s="1902">
        <f t="shared" si="230"/>
        <v>0</v>
      </c>
      <c r="UJU22" s="1902">
        <f t="shared" si="230"/>
        <v>0</v>
      </c>
      <c r="UJV22" s="1902">
        <f t="shared" si="230"/>
        <v>0</v>
      </c>
      <c r="UJW22" s="1902">
        <f t="shared" si="230"/>
        <v>0</v>
      </c>
      <c r="UJX22" s="1902">
        <f t="shared" si="230"/>
        <v>0</v>
      </c>
      <c r="UJY22" s="1902">
        <f t="shared" si="230"/>
        <v>0</v>
      </c>
      <c r="UJZ22" s="1902">
        <f t="shared" si="230"/>
        <v>0</v>
      </c>
      <c r="UKA22" s="1902">
        <f t="shared" si="230"/>
        <v>0</v>
      </c>
      <c r="UKB22" s="1902">
        <f t="shared" si="230"/>
        <v>0</v>
      </c>
      <c r="UKC22" s="1902">
        <f t="shared" si="230"/>
        <v>0</v>
      </c>
      <c r="UKD22" s="1902">
        <f t="shared" si="230"/>
        <v>0</v>
      </c>
      <c r="UKE22" s="1902">
        <f t="shared" si="230"/>
        <v>0</v>
      </c>
      <c r="UKF22" s="1902">
        <f t="shared" si="230"/>
        <v>0</v>
      </c>
      <c r="UKG22" s="1902">
        <f t="shared" si="230"/>
        <v>0</v>
      </c>
      <c r="UKH22" s="1902">
        <f t="shared" si="230"/>
        <v>0</v>
      </c>
      <c r="UKI22" s="1902">
        <f t="shared" si="230"/>
        <v>0</v>
      </c>
      <c r="UKJ22" s="1902">
        <f t="shared" si="230"/>
        <v>0</v>
      </c>
      <c r="UKK22" s="1902">
        <f t="shared" si="230"/>
        <v>0</v>
      </c>
      <c r="UKL22" s="1902">
        <f t="shared" si="230"/>
        <v>0</v>
      </c>
      <c r="UKM22" s="1902">
        <f t="shared" si="230"/>
        <v>0</v>
      </c>
      <c r="UKN22" s="1902">
        <f t="shared" si="230"/>
        <v>0</v>
      </c>
      <c r="UKO22" s="1902">
        <f t="shared" si="230"/>
        <v>0</v>
      </c>
      <c r="UKP22" s="1902">
        <f t="shared" si="230"/>
        <v>0</v>
      </c>
      <c r="UKQ22" s="1902">
        <f t="shared" si="230"/>
        <v>0</v>
      </c>
      <c r="UKR22" s="1902">
        <f t="shared" si="230"/>
        <v>0</v>
      </c>
      <c r="UKS22" s="1902">
        <f t="shared" si="230"/>
        <v>0</v>
      </c>
      <c r="UKT22" s="1902">
        <f t="shared" si="230"/>
        <v>0</v>
      </c>
      <c r="UKU22" s="1902">
        <f t="shared" si="230"/>
        <v>0</v>
      </c>
      <c r="UKV22" s="1902">
        <f t="shared" si="230"/>
        <v>0</v>
      </c>
      <c r="UKW22" s="1902">
        <f t="shared" si="230"/>
        <v>0</v>
      </c>
      <c r="UKX22" s="1902">
        <f t="shared" si="230"/>
        <v>0</v>
      </c>
      <c r="UKY22" s="1902">
        <f t="shared" si="230"/>
        <v>0</v>
      </c>
      <c r="UKZ22" s="1902">
        <f t="shared" si="230"/>
        <v>0</v>
      </c>
      <c r="ULA22" s="1902">
        <f t="shared" si="230"/>
        <v>0</v>
      </c>
      <c r="ULB22" s="1902">
        <f t="shared" si="230"/>
        <v>0</v>
      </c>
      <c r="ULC22" s="1902">
        <f t="shared" si="230"/>
        <v>0</v>
      </c>
      <c r="ULD22" s="1902">
        <f t="shared" si="230"/>
        <v>0</v>
      </c>
      <c r="ULE22" s="1902">
        <f t="shared" si="230"/>
        <v>0</v>
      </c>
      <c r="ULF22" s="1902">
        <f t="shared" si="230"/>
        <v>0</v>
      </c>
      <c r="ULG22" s="1902">
        <f t="shared" si="230"/>
        <v>0</v>
      </c>
      <c r="ULH22" s="1902">
        <f t="shared" si="230"/>
        <v>0</v>
      </c>
      <c r="ULI22" s="1902">
        <f t="shared" si="230"/>
        <v>0</v>
      </c>
      <c r="ULJ22" s="1902">
        <f t="shared" si="230"/>
        <v>0</v>
      </c>
      <c r="ULK22" s="1902">
        <f t="shared" si="230"/>
        <v>0</v>
      </c>
      <c r="ULL22" s="1902">
        <f t="shared" si="230"/>
        <v>0</v>
      </c>
      <c r="ULM22" s="1902">
        <f t="shared" si="230"/>
        <v>0</v>
      </c>
      <c r="ULN22" s="1902">
        <f t="shared" si="230"/>
        <v>0</v>
      </c>
      <c r="ULO22" s="1902">
        <f t="shared" si="230"/>
        <v>0</v>
      </c>
      <c r="ULP22" s="1902">
        <f t="shared" si="230"/>
        <v>0</v>
      </c>
      <c r="ULQ22" s="1902">
        <f t="shared" si="230"/>
        <v>0</v>
      </c>
      <c r="ULR22" s="1902">
        <f t="shared" si="230"/>
        <v>0</v>
      </c>
      <c r="ULS22" s="1902">
        <f t="shared" si="230"/>
        <v>0</v>
      </c>
      <c r="ULT22" s="1902">
        <f t="shared" si="230"/>
        <v>0</v>
      </c>
      <c r="ULU22" s="1902">
        <f t="shared" si="230"/>
        <v>0</v>
      </c>
      <c r="ULV22" s="1902">
        <f t="shared" si="230"/>
        <v>0</v>
      </c>
      <c r="ULW22" s="1902">
        <f t="shared" si="230"/>
        <v>0</v>
      </c>
      <c r="ULX22" s="1902">
        <f t="shared" si="230"/>
        <v>0</v>
      </c>
      <c r="ULY22" s="1902">
        <f t="shared" si="230"/>
        <v>0</v>
      </c>
      <c r="ULZ22" s="1902">
        <f t="shared" si="230"/>
        <v>0</v>
      </c>
      <c r="UMA22" s="1902">
        <f t="shared" si="230"/>
        <v>0</v>
      </c>
      <c r="UMB22" s="1902">
        <f t="shared" si="230"/>
        <v>0</v>
      </c>
      <c r="UMC22" s="1902">
        <f t="shared" si="230"/>
        <v>0</v>
      </c>
      <c r="UMD22" s="1902">
        <f t="shared" si="230"/>
        <v>0</v>
      </c>
      <c r="UME22" s="1902">
        <f t="shared" ref="UME22:UOP22" si="231">IF(AND(UME$26="End of period",UME$25="Revenue"),UME9,0)</f>
        <v>0</v>
      </c>
      <c r="UMF22" s="1902">
        <f t="shared" si="231"/>
        <v>0</v>
      </c>
      <c r="UMG22" s="1902">
        <f t="shared" si="231"/>
        <v>0</v>
      </c>
      <c r="UMH22" s="1902">
        <f t="shared" si="231"/>
        <v>0</v>
      </c>
      <c r="UMI22" s="1902">
        <f t="shared" si="231"/>
        <v>0</v>
      </c>
      <c r="UMJ22" s="1902">
        <f t="shared" si="231"/>
        <v>0</v>
      </c>
      <c r="UMK22" s="1902">
        <f t="shared" si="231"/>
        <v>0</v>
      </c>
      <c r="UML22" s="1902">
        <f t="shared" si="231"/>
        <v>0</v>
      </c>
      <c r="UMM22" s="1902">
        <f t="shared" si="231"/>
        <v>0</v>
      </c>
      <c r="UMN22" s="1902">
        <f t="shared" si="231"/>
        <v>0</v>
      </c>
      <c r="UMO22" s="1902">
        <f t="shared" si="231"/>
        <v>0</v>
      </c>
      <c r="UMP22" s="1902">
        <f t="shared" si="231"/>
        <v>0</v>
      </c>
      <c r="UMQ22" s="1902">
        <f t="shared" si="231"/>
        <v>0</v>
      </c>
      <c r="UMR22" s="1902">
        <f t="shared" si="231"/>
        <v>0</v>
      </c>
      <c r="UMS22" s="1902">
        <f t="shared" si="231"/>
        <v>0</v>
      </c>
      <c r="UMT22" s="1902">
        <f t="shared" si="231"/>
        <v>0</v>
      </c>
      <c r="UMU22" s="1902">
        <f t="shared" si="231"/>
        <v>0</v>
      </c>
      <c r="UMV22" s="1902">
        <f t="shared" si="231"/>
        <v>0</v>
      </c>
      <c r="UMW22" s="1902">
        <f t="shared" si="231"/>
        <v>0</v>
      </c>
      <c r="UMX22" s="1902">
        <f t="shared" si="231"/>
        <v>0</v>
      </c>
      <c r="UMY22" s="1902">
        <f t="shared" si="231"/>
        <v>0</v>
      </c>
      <c r="UMZ22" s="1902">
        <f t="shared" si="231"/>
        <v>0</v>
      </c>
      <c r="UNA22" s="1902">
        <f t="shared" si="231"/>
        <v>0</v>
      </c>
      <c r="UNB22" s="1902">
        <f t="shared" si="231"/>
        <v>0</v>
      </c>
      <c r="UNC22" s="1902">
        <f t="shared" si="231"/>
        <v>0</v>
      </c>
      <c r="UND22" s="1902">
        <f t="shared" si="231"/>
        <v>0</v>
      </c>
      <c r="UNE22" s="1902">
        <f t="shared" si="231"/>
        <v>0</v>
      </c>
      <c r="UNF22" s="1902">
        <f t="shared" si="231"/>
        <v>0</v>
      </c>
      <c r="UNG22" s="1902">
        <f t="shared" si="231"/>
        <v>0</v>
      </c>
      <c r="UNH22" s="1902">
        <f t="shared" si="231"/>
        <v>0</v>
      </c>
      <c r="UNI22" s="1902">
        <f t="shared" si="231"/>
        <v>0</v>
      </c>
      <c r="UNJ22" s="1902">
        <f t="shared" si="231"/>
        <v>0</v>
      </c>
      <c r="UNK22" s="1902">
        <f t="shared" si="231"/>
        <v>0</v>
      </c>
      <c r="UNL22" s="1902">
        <f t="shared" si="231"/>
        <v>0</v>
      </c>
      <c r="UNM22" s="1902">
        <f t="shared" si="231"/>
        <v>0</v>
      </c>
      <c r="UNN22" s="1902">
        <f t="shared" si="231"/>
        <v>0</v>
      </c>
      <c r="UNO22" s="1902">
        <f t="shared" si="231"/>
        <v>0</v>
      </c>
      <c r="UNP22" s="1902">
        <f t="shared" si="231"/>
        <v>0</v>
      </c>
      <c r="UNQ22" s="1902">
        <f t="shared" si="231"/>
        <v>0</v>
      </c>
      <c r="UNR22" s="1902">
        <f t="shared" si="231"/>
        <v>0</v>
      </c>
      <c r="UNS22" s="1902">
        <f t="shared" si="231"/>
        <v>0</v>
      </c>
      <c r="UNT22" s="1902">
        <f t="shared" si="231"/>
        <v>0</v>
      </c>
      <c r="UNU22" s="1902">
        <f t="shared" si="231"/>
        <v>0</v>
      </c>
      <c r="UNV22" s="1902">
        <f t="shared" si="231"/>
        <v>0</v>
      </c>
      <c r="UNW22" s="1902">
        <f t="shared" si="231"/>
        <v>0</v>
      </c>
      <c r="UNX22" s="1902">
        <f t="shared" si="231"/>
        <v>0</v>
      </c>
      <c r="UNY22" s="1902">
        <f t="shared" si="231"/>
        <v>0</v>
      </c>
      <c r="UNZ22" s="1902">
        <f t="shared" si="231"/>
        <v>0</v>
      </c>
      <c r="UOA22" s="1902">
        <f t="shared" si="231"/>
        <v>0</v>
      </c>
      <c r="UOB22" s="1902">
        <f t="shared" si="231"/>
        <v>0</v>
      </c>
      <c r="UOC22" s="1902">
        <f t="shared" si="231"/>
        <v>0</v>
      </c>
      <c r="UOD22" s="1902">
        <f t="shared" si="231"/>
        <v>0</v>
      </c>
      <c r="UOE22" s="1902">
        <f t="shared" si="231"/>
        <v>0</v>
      </c>
      <c r="UOF22" s="1902">
        <f t="shared" si="231"/>
        <v>0</v>
      </c>
      <c r="UOG22" s="1902">
        <f t="shared" si="231"/>
        <v>0</v>
      </c>
      <c r="UOH22" s="1902">
        <f t="shared" si="231"/>
        <v>0</v>
      </c>
      <c r="UOI22" s="1902">
        <f t="shared" si="231"/>
        <v>0</v>
      </c>
      <c r="UOJ22" s="1902">
        <f t="shared" si="231"/>
        <v>0</v>
      </c>
      <c r="UOK22" s="1902">
        <f t="shared" si="231"/>
        <v>0</v>
      </c>
      <c r="UOL22" s="1902">
        <f t="shared" si="231"/>
        <v>0</v>
      </c>
      <c r="UOM22" s="1902">
        <f t="shared" si="231"/>
        <v>0</v>
      </c>
      <c r="UON22" s="1902">
        <f t="shared" si="231"/>
        <v>0</v>
      </c>
      <c r="UOO22" s="1902">
        <f t="shared" si="231"/>
        <v>0</v>
      </c>
      <c r="UOP22" s="1902">
        <f t="shared" si="231"/>
        <v>0</v>
      </c>
      <c r="UOQ22" s="1902">
        <f t="shared" ref="UOQ22:URB22" si="232">IF(AND(UOQ$26="End of period",UOQ$25="Revenue"),UOQ9,0)</f>
        <v>0</v>
      </c>
      <c r="UOR22" s="1902">
        <f t="shared" si="232"/>
        <v>0</v>
      </c>
      <c r="UOS22" s="1902">
        <f t="shared" si="232"/>
        <v>0</v>
      </c>
      <c r="UOT22" s="1902">
        <f t="shared" si="232"/>
        <v>0</v>
      </c>
      <c r="UOU22" s="1902">
        <f t="shared" si="232"/>
        <v>0</v>
      </c>
      <c r="UOV22" s="1902">
        <f t="shared" si="232"/>
        <v>0</v>
      </c>
      <c r="UOW22" s="1902">
        <f t="shared" si="232"/>
        <v>0</v>
      </c>
      <c r="UOX22" s="1902">
        <f t="shared" si="232"/>
        <v>0</v>
      </c>
      <c r="UOY22" s="1902">
        <f t="shared" si="232"/>
        <v>0</v>
      </c>
      <c r="UOZ22" s="1902">
        <f t="shared" si="232"/>
        <v>0</v>
      </c>
      <c r="UPA22" s="1902">
        <f t="shared" si="232"/>
        <v>0</v>
      </c>
      <c r="UPB22" s="1902">
        <f t="shared" si="232"/>
        <v>0</v>
      </c>
      <c r="UPC22" s="1902">
        <f t="shared" si="232"/>
        <v>0</v>
      </c>
      <c r="UPD22" s="1902">
        <f t="shared" si="232"/>
        <v>0</v>
      </c>
      <c r="UPE22" s="1902">
        <f t="shared" si="232"/>
        <v>0</v>
      </c>
      <c r="UPF22" s="1902">
        <f t="shared" si="232"/>
        <v>0</v>
      </c>
      <c r="UPG22" s="1902">
        <f t="shared" si="232"/>
        <v>0</v>
      </c>
      <c r="UPH22" s="1902">
        <f t="shared" si="232"/>
        <v>0</v>
      </c>
      <c r="UPI22" s="1902">
        <f t="shared" si="232"/>
        <v>0</v>
      </c>
      <c r="UPJ22" s="1902">
        <f t="shared" si="232"/>
        <v>0</v>
      </c>
      <c r="UPK22" s="1902">
        <f t="shared" si="232"/>
        <v>0</v>
      </c>
      <c r="UPL22" s="1902">
        <f t="shared" si="232"/>
        <v>0</v>
      </c>
      <c r="UPM22" s="1902">
        <f t="shared" si="232"/>
        <v>0</v>
      </c>
      <c r="UPN22" s="1902">
        <f t="shared" si="232"/>
        <v>0</v>
      </c>
      <c r="UPO22" s="1902">
        <f t="shared" si="232"/>
        <v>0</v>
      </c>
      <c r="UPP22" s="1902">
        <f t="shared" si="232"/>
        <v>0</v>
      </c>
      <c r="UPQ22" s="1902">
        <f t="shared" si="232"/>
        <v>0</v>
      </c>
      <c r="UPR22" s="1902">
        <f t="shared" si="232"/>
        <v>0</v>
      </c>
      <c r="UPS22" s="1902">
        <f t="shared" si="232"/>
        <v>0</v>
      </c>
      <c r="UPT22" s="1902">
        <f t="shared" si="232"/>
        <v>0</v>
      </c>
      <c r="UPU22" s="1902">
        <f t="shared" si="232"/>
        <v>0</v>
      </c>
      <c r="UPV22" s="1902">
        <f t="shared" si="232"/>
        <v>0</v>
      </c>
      <c r="UPW22" s="1902">
        <f t="shared" si="232"/>
        <v>0</v>
      </c>
      <c r="UPX22" s="1902">
        <f t="shared" si="232"/>
        <v>0</v>
      </c>
      <c r="UPY22" s="1902">
        <f t="shared" si="232"/>
        <v>0</v>
      </c>
      <c r="UPZ22" s="1902">
        <f t="shared" si="232"/>
        <v>0</v>
      </c>
      <c r="UQA22" s="1902">
        <f t="shared" si="232"/>
        <v>0</v>
      </c>
      <c r="UQB22" s="1902">
        <f t="shared" si="232"/>
        <v>0</v>
      </c>
      <c r="UQC22" s="1902">
        <f t="shared" si="232"/>
        <v>0</v>
      </c>
      <c r="UQD22" s="1902">
        <f t="shared" si="232"/>
        <v>0</v>
      </c>
      <c r="UQE22" s="1902">
        <f t="shared" si="232"/>
        <v>0</v>
      </c>
      <c r="UQF22" s="1902">
        <f t="shared" si="232"/>
        <v>0</v>
      </c>
      <c r="UQG22" s="1902">
        <f t="shared" si="232"/>
        <v>0</v>
      </c>
      <c r="UQH22" s="1902">
        <f t="shared" si="232"/>
        <v>0</v>
      </c>
      <c r="UQI22" s="1902">
        <f t="shared" si="232"/>
        <v>0</v>
      </c>
      <c r="UQJ22" s="1902">
        <f t="shared" si="232"/>
        <v>0</v>
      </c>
      <c r="UQK22" s="1902">
        <f t="shared" si="232"/>
        <v>0</v>
      </c>
      <c r="UQL22" s="1902">
        <f t="shared" si="232"/>
        <v>0</v>
      </c>
      <c r="UQM22" s="1902">
        <f t="shared" si="232"/>
        <v>0</v>
      </c>
      <c r="UQN22" s="1902">
        <f t="shared" si="232"/>
        <v>0</v>
      </c>
      <c r="UQO22" s="1902">
        <f t="shared" si="232"/>
        <v>0</v>
      </c>
      <c r="UQP22" s="1902">
        <f t="shared" si="232"/>
        <v>0</v>
      </c>
      <c r="UQQ22" s="1902">
        <f t="shared" si="232"/>
        <v>0</v>
      </c>
      <c r="UQR22" s="1902">
        <f t="shared" si="232"/>
        <v>0</v>
      </c>
      <c r="UQS22" s="1902">
        <f t="shared" si="232"/>
        <v>0</v>
      </c>
      <c r="UQT22" s="1902">
        <f t="shared" si="232"/>
        <v>0</v>
      </c>
      <c r="UQU22" s="1902">
        <f t="shared" si="232"/>
        <v>0</v>
      </c>
      <c r="UQV22" s="1902">
        <f t="shared" si="232"/>
        <v>0</v>
      </c>
      <c r="UQW22" s="1902">
        <f t="shared" si="232"/>
        <v>0</v>
      </c>
      <c r="UQX22" s="1902">
        <f t="shared" si="232"/>
        <v>0</v>
      </c>
      <c r="UQY22" s="1902">
        <f t="shared" si="232"/>
        <v>0</v>
      </c>
      <c r="UQZ22" s="1902">
        <f t="shared" si="232"/>
        <v>0</v>
      </c>
      <c r="URA22" s="1902">
        <f t="shared" si="232"/>
        <v>0</v>
      </c>
      <c r="URB22" s="1902">
        <f t="shared" si="232"/>
        <v>0</v>
      </c>
      <c r="URC22" s="1902">
        <f t="shared" ref="URC22:UTN22" si="233">IF(AND(URC$26="End of period",URC$25="Revenue"),URC9,0)</f>
        <v>0</v>
      </c>
      <c r="URD22" s="1902">
        <f t="shared" si="233"/>
        <v>0</v>
      </c>
      <c r="URE22" s="1902">
        <f t="shared" si="233"/>
        <v>0</v>
      </c>
      <c r="URF22" s="1902">
        <f t="shared" si="233"/>
        <v>0</v>
      </c>
      <c r="URG22" s="1902">
        <f t="shared" si="233"/>
        <v>0</v>
      </c>
      <c r="URH22" s="1902">
        <f t="shared" si="233"/>
        <v>0</v>
      </c>
      <c r="URI22" s="1902">
        <f t="shared" si="233"/>
        <v>0</v>
      </c>
      <c r="URJ22" s="1902">
        <f t="shared" si="233"/>
        <v>0</v>
      </c>
      <c r="URK22" s="1902">
        <f t="shared" si="233"/>
        <v>0</v>
      </c>
      <c r="URL22" s="1902">
        <f t="shared" si="233"/>
        <v>0</v>
      </c>
      <c r="URM22" s="1902">
        <f t="shared" si="233"/>
        <v>0</v>
      </c>
      <c r="URN22" s="1902">
        <f t="shared" si="233"/>
        <v>0</v>
      </c>
      <c r="URO22" s="1902">
        <f t="shared" si="233"/>
        <v>0</v>
      </c>
      <c r="URP22" s="1902">
        <f t="shared" si="233"/>
        <v>0</v>
      </c>
      <c r="URQ22" s="1902">
        <f t="shared" si="233"/>
        <v>0</v>
      </c>
      <c r="URR22" s="1902">
        <f t="shared" si="233"/>
        <v>0</v>
      </c>
      <c r="URS22" s="1902">
        <f t="shared" si="233"/>
        <v>0</v>
      </c>
      <c r="URT22" s="1902">
        <f t="shared" si="233"/>
        <v>0</v>
      </c>
      <c r="URU22" s="1902">
        <f t="shared" si="233"/>
        <v>0</v>
      </c>
      <c r="URV22" s="1902">
        <f t="shared" si="233"/>
        <v>0</v>
      </c>
      <c r="URW22" s="1902">
        <f t="shared" si="233"/>
        <v>0</v>
      </c>
      <c r="URX22" s="1902">
        <f t="shared" si="233"/>
        <v>0</v>
      </c>
      <c r="URY22" s="1902">
        <f t="shared" si="233"/>
        <v>0</v>
      </c>
      <c r="URZ22" s="1902">
        <f t="shared" si="233"/>
        <v>0</v>
      </c>
      <c r="USA22" s="1902">
        <f t="shared" si="233"/>
        <v>0</v>
      </c>
      <c r="USB22" s="1902">
        <f t="shared" si="233"/>
        <v>0</v>
      </c>
      <c r="USC22" s="1902">
        <f t="shared" si="233"/>
        <v>0</v>
      </c>
      <c r="USD22" s="1902">
        <f t="shared" si="233"/>
        <v>0</v>
      </c>
      <c r="USE22" s="1902">
        <f t="shared" si="233"/>
        <v>0</v>
      </c>
      <c r="USF22" s="1902">
        <f t="shared" si="233"/>
        <v>0</v>
      </c>
      <c r="USG22" s="1902">
        <f t="shared" si="233"/>
        <v>0</v>
      </c>
      <c r="USH22" s="1902">
        <f t="shared" si="233"/>
        <v>0</v>
      </c>
      <c r="USI22" s="1902">
        <f t="shared" si="233"/>
        <v>0</v>
      </c>
      <c r="USJ22" s="1902">
        <f t="shared" si="233"/>
        <v>0</v>
      </c>
      <c r="USK22" s="1902">
        <f t="shared" si="233"/>
        <v>0</v>
      </c>
      <c r="USL22" s="1902">
        <f t="shared" si="233"/>
        <v>0</v>
      </c>
      <c r="USM22" s="1902">
        <f t="shared" si="233"/>
        <v>0</v>
      </c>
      <c r="USN22" s="1902">
        <f t="shared" si="233"/>
        <v>0</v>
      </c>
      <c r="USO22" s="1902">
        <f t="shared" si="233"/>
        <v>0</v>
      </c>
      <c r="USP22" s="1902">
        <f t="shared" si="233"/>
        <v>0</v>
      </c>
      <c r="USQ22" s="1902">
        <f t="shared" si="233"/>
        <v>0</v>
      </c>
      <c r="USR22" s="1902">
        <f t="shared" si="233"/>
        <v>0</v>
      </c>
      <c r="USS22" s="1902">
        <f t="shared" si="233"/>
        <v>0</v>
      </c>
      <c r="UST22" s="1902">
        <f t="shared" si="233"/>
        <v>0</v>
      </c>
      <c r="USU22" s="1902">
        <f t="shared" si="233"/>
        <v>0</v>
      </c>
      <c r="USV22" s="1902">
        <f t="shared" si="233"/>
        <v>0</v>
      </c>
      <c r="USW22" s="1902">
        <f t="shared" si="233"/>
        <v>0</v>
      </c>
      <c r="USX22" s="1902">
        <f t="shared" si="233"/>
        <v>0</v>
      </c>
      <c r="USY22" s="1902">
        <f t="shared" si="233"/>
        <v>0</v>
      </c>
      <c r="USZ22" s="1902">
        <f t="shared" si="233"/>
        <v>0</v>
      </c>
      <c r="UTA22" s="1902">
        <f t="shared" si="233"/>
        <v>0</v>
      </c>
      <c r="UTB22" s="1902">
        <f t="shared" si="233"/>
        <v>0</v>
      </c>
      <c r="UTC22" s="1902">
        <f t="shared" si="233"/>
        <v>0</v>
      </c>
      <c r="UTD22" s="1902">
        <f t="shared" si="233"/>
        <v>0</v>
      </c>
      <c r="UTE22" s="1902">
        <f t="shared" si="233"/>
        <v>0</v>
      </c>
      <c r="UTF22" s="1902">
        <f t="shared" si="233"/>
        <v>0</v>
      </c>
      <c r="UTG22" s="1902">
        <f t="shared" si="233"/>
        <v>0</v>
      </c>
      <c r="UTH22" s="1902">
        <f t="shared" si="233"/>
        <v>0</v>
      </c>
      <c r="UTI22" s="1902">
        <f t="shared" si="233"/>
        <v>0</v>
      </c>
      <c r="UTJ22" s="1902">
        <f t="shared" si="233"/>
        <v>0</v>
      </c>
      <c r="UTK22" s="1902">
        <f t="shared" si="233"/>
        <v>0</v>
      </c>
      <c r="UTL22" s="1902">
        <f t="shared" si="233"/>
        <v>0</v>
      </c>
      <c r="UTM22" s="1902">
        <f t="shared" si="233"/>
        <v>0</v>
      </c>
      <c r="UTN22" s="1902">
        <f t="shared" si="233"/>
        <v>0</v>
      </c>
      <c r="UTO22" s="1902">
        <f t="shared" ref="UTO22:UVZ22" si="234">IF(AND(UTO$26="End of period",UTO$25="Revenue"),UTO9,0)</f>
        <v>0</v>
      </c>
      <c r="UTP22" s="1902">
        <f t="shared" si="234"/>
        <v>0</v>
      </c>
      <c r="UTQ22" s="1902">
        <f t="shared" si="234"/>
        <v>0</v>
      </c>
      <c r="UTR22" s="1902">
        <f t="shared" si="234"/>
        <v>0</v>
      </c>
      <c r="UTS22" s="1902">
        <f t="shared" si="234"/>
        <v>0</v>
      </c>
      <c r="UTT22" s="1902">
        <f t="shared" si="234"/>
        <v>0</v>
      </c>
      <c r="UTU22" s="1902">
        <f t="shared" si="234"/>
        <v>0</v>
      </c>
      <c r="UTV22" s="1902">
        <f t="shared" si="234"/>
        <v>0</v>
      </c>
      <c r="UTW22" s="1902">
        <f t="shared" si="234"/>
        <v>0</v>
      </c>
      <c r="UTX22" s="1902">
        <f t="shared" si="234"/>
        <v>0</v>
      </c>
      <c r="UTY22" s="1902">
        <f t="shared" si="234"/>
        <v>0</v>
      </c>
      <c r="UTZ22" s="1902">
        <f t="shared" si="234"/>
        <v>0</v>
      </c>
      <c r="UUA22" s="1902">
        <f t="shared" si="234"/>
        <v>0</v>
      </c>
      <c r="UUB22" s="1902">
        <f t="shared" si="234"/>
        <v>0</v>
      </c>
      <c r="UUC22" s="1902">
        <f t="shared" si="234"/>
        <v>0</v>
      </c>
      <c r="UUD22" s="1902">
        <f t="shared" si="234"/>
        <v>0</v>
      </c>
      <c r="UUE22" s="1902">
        <f t="shared" si="234"/>
        <v>0</v>
      </c>
      <c r="UUF22" s="1902">
        <f t="shared" si="234"/>
        <v>0</v>
      </c>
      <c r="UUG22" s="1902">
        <f t="shared" si="234"/>
        <v>0</v>
      </c>
      <c r="UUH22" s="1902">
        <f t="shared" si="234"/>
        <v>0</v>
      </c>
      <c r="UUI22" s="1902">
        <f t="shared" si="234"/>
        <v>0</v>
      </c>
      <c r="UUJ22" s="1902">
        <f t="shared" si="234"/>
        <v>0</v>
      </c>
      <c r="UUK22" s="1902">
        <f t="shared" si="234"/>
        <v>0</v>
      </c>
      <c r="UUL22" s="1902">
        <f t="shared" si="234"/>
        <v>0</v>
      </c>
      <c r="UUM22" s="1902">
        <f t="shared" si="234"/>
        <v>0</v>
      </c>
      <c r="UUN22" s="1902">
        <f t="shared" si="234"/>
        <v>0</v>
      </c>
      <c r="UUO22" s="1902">
        <f t="shared" si="234"/>
        <v>0</v>
      </c>
      <c r="UUP22" s="1902">
        <f t="shared" si="234"/>
        <v>0</v>
      </c>
      <c r="UUQ22" s="1902">
        <f t="shared" si="234"/>
        <v>0</v>
      </c>
      <c r="UUR22" s="1902">
        <f t="shared" si="234"/>
        <v>0</v>
      </c>
      <c r="UUS22" s="1902">
        <f t="shared" si="234"/>
        <v>0</v>
      </c>
      <c r="UUT22" s="1902">
        <f t="shared" si="234"/>
        <v>0</v>
      </c>
      <c r="UUU22" s="1902">
        <f t="shared" si="234"/>
        <v>0</v>
      </c>
      <c r="UUV22" s="1902">
        <f t="shared" si="234"/>
        <v>0</v>
      </c>
      <c r="UUW22" s="1902">
        <f t="shared" si="234"/>
        <v>0</v>
      </c>
      <c r="UUX22" s="1902">
        <f t="shared" si="234"/>
        <v>0</v>
      </c>
      <c r="UUY22" s="1902">
        <f t="shared" si="234"/>
        <v>0</v>
      </c>
      <c r="UUZ22" s="1902">
        <f t="shared" si="234"/>
        <v>0</v>
      </c>
      <c r="UVA22" s="1902">
        <f t="shared" si="234"/>
        <v>0</v>
      </c>
      <c r="UVB22" s="1902">
        <f t="shared" si="234"/>
        <v>0</v>
      </c>
      <c r="UVC22" s="1902">
        <f t="shared" si="234"/>
        <v>0</v>
      </c>
      <c r="UVD22" s="1902">
        <f t="shared" si="234"/>
        <v>0</v>
      </c>
      <c r="UVE22" s="1902">
        <f t="shared" si="234"/>
        <v>0</v>
      </c>
      <c r="UVF22" s="1902">
        <f t="shared" si="234"/>
        <v>0</v>
      </c>
      <c r="UVG22" s="1902">
        <f t="shared" si="234"/>
        <v>0</v>
      </c>
      <c r="UVH22" s="1902">
        <f t="shared" si="234"/>
        <v>0</v>
      </c>
      <c r="UVI22" s="1902">
        <f t="shared" si="234"/>
        <v>0</v>
      </c>
      <c r="UVJ22" s="1902">
        <f t="shared" si="234"/>
        <v>0</v>
      </c>
      <c r="UVK22" s="1902">
        <f t="shared" si="234"/>
        <v>0</v>
      </c>
      <c r="UVL22" s="1902">
        <f t="shared" si="234"/>
        <v>0</v>
      </c>
      <c r="UVM22" s="1902">
        <f t="shared" si="234"/>
        <v>0</v>
      </c>
      <c r="UVN22" s="1902">
        <f t="shared" si="234"/>
        <v>0</v>
      </c>
      <c r="UVO22" s="1902">
        <f t="shared" si="234"/>
        <v>0</v>
      </c>
      <c r="UVP22" s="1902">
        <f t="shared" si="234"/>
        <v>0</v>
      </c>
      <c r="UVQ22" s="1902">
        <f t="shared" si="234"/>
        <v>0</v>
      </c>
      <c r="UVR22" s="1902">
        <f t="shared" si="234"/>
        <v>0</v>
      </c>
      <c r="UVS22" s="1902">
        <f t="shared" si="234"/>
        <v>0</v>
      </c>
      <c r="UVT22" s="1902">
        <f t="shared" si="234"/>
        <v>0</v>
      </c>
      <c r="UVU22" s="1902">
        <f t="shared" si="234"/>
        <v>0</v>
      </c>
      <c r="UVV22" s="1902">
        <f t="shared" si="234"/>
        <v>0</v>
      </c>
      <c r="UVW22" s="1902">
        <f t="shared" si="234"/>
        <v>0</v>
      </c>
      <c r="UVX22" s="1902">
        <f t="shared" si="234"/>
        <v>0</v>
      </c>
      <c r="UVY22" s="1902">
        <f t="shared" si="234"/>
        <v>0</v>
      </c>
      <c r="UVZ22" s="1902">
        <f t="shared" si="234"/>
        <v>0</v>
      </c>
      <c r="UWA22" s="1902">
        <f t="shared" ref="UWA22:UYL22" si="235">IF(AND(UWA$26="End of period",UWA$25="Revenue"),UWA9,0)</f>
        <v>0</v>
      </c>
      <c r="UWB22" s="1902">
        <f t="shared" si="235"/>
        <v>0</v>
      </c>
      <c r="UWC22" s="1902">
        <f t="shared" si="235"/>
        <v>0</v>
      </c>
      <c r="UWD22" s="1902">
        <f t="shared" si="235"/>
        <v>0</v>
      </c>
      <c r="UWE22" s="1902">
        <f t="shared" si="235"/>
        <v>0</v>
      </c>
      <c r="UWF22" s="1902">
        <f t="shared" si="235"/>
        <v>0</v>
      </c>
      <c r="UWG22" s="1902">
        <f t="shared" si="235"/>
        <v>0</v>
      </c>
      <c r="UWH22" s="1902">
        <f t="shared" si="235"/>
        <v>0</v>
      </c>
      <c r="UWI22" s="1902">
        <f t="shared" si="235"/>
        <v>0</v>
      </c>
      <c r="UWJ22" s="1902">
        <f t="shared" si="235"/>
        <v>0</v>
      </c>
      <c r="UWK22" s="1902">
        <f t="shared" si="235"/>
        <v>0</v>
      </c>
      <c r="UWL22" s="1902">
        <f t="shared" si="235"/>
        <v>0</v>
      </c>
      <c r="UWM22" s="1902">
        <f t="shared" si="235"/>
        <v>0</v>
      </c>
      <c r="UWN22" s="1902">
        <f t="shared" si="235"/>
        <v>0</v>
      </c>
      <c r="UWO22" s="1902">
        <f t="shared" si="235"/>
        <v>0</v>
      </c>
      <c r="UWP22" s="1902">
        <f t="shared" si="235"/>
        <v>0</v>
      </c>
      <c r="UWQ22" s="1902">
        <f t="shared" si="235"/>
        <v>0</v>
      </c>
      <c r="UWR22" s="1902">
        <f t="shared" si="235"/>
        <v>0</v>
      </c>
      <c r="UWS22" s="1902">
        <f t="shared" si="235"/>
        <v>0</v>
      </c>
      <c r="UWT22" s="1902">
        <f t="shared" si="235"/>
        <v>0</v>
      </c>
      <c r="UWU22" s="1902">
        <f t="shared" si="235"/>
        <v>0</v>
      </c>
      <c r="UWV22" s="1902">
        <f t="shared" si="235"/>
        <v>0</v>
      </c>
      <c r="UWW22" s="1902">
        <f t="shared" si="235"/>
        <v>0</v>
      </c>
      <c r="UWX22" s="1902">
        <f t="shared" si="235"/>
        <v>0</v>
      </c>
      <c r="UWY22" s="1902">
        <f t="shared" si="235"/>
        <v>0</v>
      </c>
      <c r="UWZ22" s="1902">
        <f t="shared" si="235"/>
        <v>0</v>
      </c>
      <c r="UXA22" s="1902">
        <f t="shared" si="235"/>
        <v>0</v>
      </c>
      <c r="UXB22" s="1902">
        <f t="shared" si="235"/>
        <v>0</v>
      </c>
      <c r="UXC22" s="1902">
        <f t="shared" si="235"/>
        <v>0</v>
      </c>
      <c r="UXD22" s="1902">
        <f t="shared" si="235"/>
        <v>0</v>
      </c>
      <c r="UXE22" s="1902">
        <f t="shared" si="235"/>
        <v>0</v>
      </c>
      <c r="UXF22" s="1902">
        <f t="shared" si="235"/>
        <v>0</v>
      </c>
      <c r="UXG22" s="1902">
        <f t="shared" si="235"/>
        <v>0</v>
      </c>
      <c r="UXH22" s="1902">
        <f t="shared" si="235"/>
        <v>0</v>
      </c>
      <c r="UXI22" s="1902">
        <f t="shared" si="235"/>
        <v>0</v>
      </c>
      <c r="UXJ22" s="1902">
        <f t="shared" si="235"/>
        <v>0</v>
      </c>
      <c r="UXK22" s="1902">
        <f t="shared" si="235"/>
        <v>0</v>
      </c>
      <c r="UXL22" s="1902">
        <f t="shared" si="235"/>
        <v>0</v>
      </c>
      <c r="UXM22" s="1902">
        <f t="shared" si="235"/>
        <v>0</v>
      </c>
      <c r="UXN22" s="1902">
        <f t="shared" si="235"/>
        <v>0</v>
      </c>
      <c r="UXO22" s="1902">
        <f t="shared" si="235"/>
        <v>0</v>
      </c>
      <c r="UXP22" s="1902">
        <f t="shared" si="235"/>
        <v>0</v>
      </c>
      <c r="UXQ22" s="1902">
        <f t="shared" si="235"/>
        <v>0</v>
      </c>
      <c r="UXR22" s="1902">
        <f t="shared" si="235"/>
        <v>0</v>
      </c>
      <c r="UXS22" s="1902">
        <f t="shared" si="235"/>
        <v>0</v>
      </c>
      <c r="UXT22" s="1902">
        <f t="shared" si="235"/>
        <v>0</v>
      </c>
      <c r="UXU22" s="1902">
        <f t="shared" si="235"/>
        <v>0</v>
      </c>
      <c r="UXV22" s="1902">
        <f t="shared" si="235"/>
        <v>0</v>
      </c>
      <c r="UXW22" s="1902">
        <f t="shared" si="235"/>
        <v>0</v>
      </c>
      <c r="UXX22" s="1902">
        <f t="shared" si="235"/>
        <v>0</v>
      </c>
      <c r="UXY22" s="1902">
        <f t="shared" si="235"/>
        <v>0</v>
      </c>
      <c r="UXZ22" s="1902">
        <f t="shared" si="235"/>
        <v>0</v>
      </c>
      <c r="UYA22" s="1902">
        <f t="shared" si="235"/>
        <v>0</v>
      </c>
      <c r="UYB22" s="1902">
        <f t="shared" si="235"/>
        <v>0</v>
      </c>
      <c r="UYC22" s="1902">
        <f t="shared" si="235"/>
        <v>0</v>
      </c>
      <c r="UYD22" s="1902">
        <f t="shared" si="235"/>
        <v>0</v>
      </c>
      <c r="UYE22" s="1902">
        <f t="shared" si="235"/>
        <v>0</v>
      </c>
      <c r="UYF22" s="1902">
        <f t="shared" si="235"/>
        <v>0</v>
      </c>
      <c r="UYG22" s="1902">
        <f t="shared" si="235"/>
        <v>0</v>
      </c>
      <c r="UYH22" s="1902">
        <f t="shared" si="235"/>
        <v>0</v>
      </c>
      <c r="UYI22" s="1902">
        <f t="shared" si="235"/>
        <v>0</v>
      </c>
      <c r="UYJ22" s="1902">
        <f t="shared" si="235"/>
        <v>0</v>
      </c>
      <c r="UYK22" s="1902">
        <f t="shared" si="235"/>
        <v>0</v>
      </c>
      <c r="UYL22" s="1902">
        <f t="shared" si="235"/>
        <v>0</v>
      </c>
      <c r="UYM22" s="1902">
        <f t="shared" ref="UYM22:VAX22" si="236">IF(AND(UYM$26="End of period",UYM$25="Revenue"),UYM9,0)</f>
        <v>0</v>
      </c>
      <c r="UYN22" s="1902">
        <f t="shared" si="236"/>
        <v>0</v>
      </c>
      <c r="UYO22" s="1902">
        <f t="shared" si="236"/>
        <v>0</v>
      </c>
      <c r="UYP22" s="1902">
        <f t="shared" si="236"/>
        <v>0</v>
      </c>
      <c r="UYQ22" s="1902">
        <f t="shared" si="236"/>
        <v>0</v>
      </c>
      <c r="UYR22" s="1902">
        <f t="shared" si="236"/>
        <v>0</v>
      </c>
      <c r="UYS22" s="1902">
        <f t="shared" si="236"/>
        <v>0</v>
      </c>
      <c r="UYT22" s="1902">
        <f t="shared" si="236"/>
        <v>0</v>
      </c>
      <c r="UYU22" s="1902">
        <f t="shared" si="236"/>
        <v>0</v>
      </c>
      <c r="UYV22" s="1902">
        <f t="shared" si="236"/>
        <v>0</v>
      </c>
      <c r="UYW22" s="1902">
        <f t="shared" si="236"/>
        <v>0</v>
      </c>
      <c r="UYX22" s="1902">
        <f t="shared" si="236"/>
        <v>0</v>
      </c>
      <c r="UYY22" s="1902">
        <f t="shared" si="236"/>
        <v>0</v>
      </c>
      <c r="UYZ22" s="1902">
        <f t="shared" si="236"/>
        <v>0</v>
      </c>
      <c r="UZA22" s="1902">
        <f t="shared" si="236"/>
        <v>0</v>
      </c>
      <c r="UZB22" s="1902">
        <f t="shared" si="236"/>
        <v>0</v>
      </c>
      <c r="UZC22" s="1902">
        <f t="shared" si="236"/>
        <v>0</v>
      </c>
      <c r="UZD22" s="1902">
        <f t="shared" si="236"/>
        <v>0</v>
      </c>
      <c r="UZE22" s="1902">
        <f t="shared" si="236"/>
        <v>0</v>
      </c>
      <c r="UZF22" s="1902">
        <f t="shared" si="236"/>
        <v>0</v>
      </c>
      <c r="UZG22" s="1902">
        <f t="shared" si="236"/>
        <v>0</v>
      </c>
      <c r="UZH22" s="1902">
        <f t="shared" si="236"/>
        <v>0</v>
      </c>
      <c r="UZI22" s="1902">
        <f t="shared" si="236"/>
        <v>0</v>
      </c>
      <c r="UZJ22" s="1902">
        <f t="shared" si="236"/>
        <v>0</v>
      </c>
      <c r="UZK22" s="1902">
        <f t="shared" si="236"/>
        <v>0</v>
      </c>
      <c r="UZL22" s="1902">
        <f t="shared" si="236"/>
        <v>0</v>
      </c>
      <c r="UZM22" s="1902">
        <f t="shared" si="236"/>
        <v>0</v>
      </c>
      <c r="UZN22" s="1902">
        <f t="shared" si="236"/>
        <v>0</v>
      </c>
      <c r="UZO22" s="1902">
        <f t="shared" si="236"/>
        <v>0</v>
      </c>
      <c r="UZP22" s="1902">
        <f t="shared" si="236"/>
        <v>0</v>
      </c>
      <c r="UZQ22" s="1902">
        <f t="shared" si="236"/>
        <v>0</v>
      </c>
      <c r="UZR22" s="1902">
        <f t="shared" si="236"/>
        <v>0</v>
      </c>
      <c r="UZS22" s="1902">
        <f t="shared" si="236"/>
        <v>0</v>
      </c>
      <c r="UZT22" s="1902">
        <f t="shared" si="236"/>
        <v>0</v>
      </c>
      <c r="UZU22" s="1902">
        <f t="shared" si="236"/>
        <v>0</v>
      </c>
      <c r="UZV22" s="1902">
        <f t="shared" si="236"/>
        <v>0</v>
      </c>
      <c r="UZW22" s="1902">
        <f t="shared" si="236"/>
        <v>0</v>
      </c>
      <c r="UZX22" s="1902">
        <f t="shared" si="236"/>
        <v>0</v>
      </c>
      <c r="UZY22" s="1902">
        <f t="shared" si="236"/>
        <v>0</v>
      </c>
      <c r="UZZ22" s="1902">
        <f t="shared" si="236"/>
        <v>0</v>
      </c>
      <c r="VAA22" s="1902">
        <f t="shared" si="236"/>
        <v>0</v>
      </c>
      <c r="VAB22" s="1902">
        <f t="shared" si="236"/>
        <v>0</v>
      </c>
      <c r="VAC22" s="1902">
        <f t="shared" si="236"/>
        <v>0</v>
      </c>
      <c r="VAD22" s="1902">
        <f t="shared" si="236"/>
        <v>0</v>
      </c>
      <c r="VAE22" s="1902">
        <f t="shared" si="236"/>
        <v>0</v>
      </c>
      <c r="VAF22" s="1902">
        <f t="shared" si="236"/>
        <v>0</v>
      </c>
      <c r="VAG22" s="1902">
        <f t="shared" si="236"/>
        <v>0</v>
      </c>
      <c r="VAH22" s="1902">
        <f t="shared" si="236"/>
        <v>0</v>
      </c>
      <c r="VAI22" s="1902">
        <f t="shared" si="236"/>
        <v>0</v>
      </c>
      <c r="VAJ22" s="1902">
        <f t="shared" si="236"/>
        <v>0</v>
      </c>
      <c r="VAK22" s="1902">
        <f t="shared" si="236"/>
        <v>0</v>
      </c>
      <c r="VAL22" s="1902">
        <f t="shared" si="236"/>
        <v>0</v>
      </c>
      <c r="VAM22" s="1902">
        <f t="shared" si="236"/>
        <v>0</v>
      </c>
      <c r="VAN22" s="1902">
        <f t="shared" si="236"/>
        <v>0</v>
      </c>
      <c r="VAO22" s="1902">
        <f t="shared" si="236"/>
        <v>0</v>
      </c>
      <c r="VAP22" s="1902">
        <f t="shared" si="236"/>
        <v>0</v>
      </c>
      <c r="VAQ22" s="1902">
        <f t="shared" si="236"/>
        <v>0</v>
      </c>
      <c r="VAR22" s="1902">
        <f t="shared" si="236"/>
        <v>0</v>
      </c>
      <c r="VAS22" s="1902">
        <f t="shared" si="236"/>
        <v>0</v>
      </c>
      <c r="VAT22" s="1902">
        <f t="shared" si="236"/>
        <v>0</v>
      </c>
      <c r="VAU22" s="1902">
        <f t="shared" si="236"/>
        <v>0</v>
      </c>
      <c r="VAV22" s="1902">
        <f t="shared" si="236"/>
        <v>0</v>
      </c>
      <c r="VAW22" s="1902">
        <f t="shared" si="236"/>
        <v>0</v>
      </c>
      <c r="VAX22" s="1902">
        <f t="shared" si="236"/>
        <v>0</v>
      </c>
      <c r="VAY22" s="1902">
        <f t="shared" ref="VAY22:VDJ22" si="237">IF(AND(VAY$26="End of period",VAY$25="Revenue"),VAY9,0)</f>
        <v>0</v>
      </c>
      <c r="VAZ22" s="1902">
        <f t="shared" si="237"/>
        <v>0</v>
      </c>
      <c r="VBA22" s="1902">
        <f t="shared" si="237"/>
        <v>0</v>
      </c>
      <c r="VBB22" s="1902">
        <f t="shared" si="237"/>
        <v>0</v>
      </c>
      <c r="VBC22" s="1902">
        <f t="shared" si="237"/>
        <v>0</v>
      </c>
      <c r="VBD22" s="1902">
        <f t="shared" si="237"/>
        <v>0</v>
      </c>
      <c r="VBE22" s="1902">
        <f t="shared" si="237"/>
        <v>0</v>
      </c>
      <c r="VBF22" s="1902">
        <f t="shared" si="237"/>
        <v>0</v>
      </c>
      <c r="VBG22" s="1902">
        <f t="shared" si="237"/>
        <v>0</v>
      </c>
      <c r="VBH22" s="1902">
        <f t="shared" si="237"/>
        <v>0</v>
      </c>
      <c r="VBI22" s="1902">
        <f t="shared" si="237"/>
        <v>0</v>
      </c>
      <c r="VBJ22" s="1902">
        <f t="shared" si="237"/>
        <v>0</v>
      </c>
      <c r="VBK22" s="1902">
        <f t="shared" si="237"/>
        <v>0</v>
      </c>
      <c r="VBL22" s="1902">
        <f t="shared" si="237"/>
        <v>0</v>
      </c>
      <c r="VBM22" s="1902">
        <f t="shared" si="237"/>
        <v>0</v>
      </c>
      <c r="VBN22" s="1902">
        <f t="shared" si="237"/>
        <v>0</v>
      </c>
      <c r="VBO22" s="1902">
        <f t="shared" si="237"/>
        <v>0</v>
      </c>
      <c r="VBP22" s="1902">
        <f t="shared" si="237"/>
        <v>0</v>
      </c>
      <c r="VBQ22" s="1902">
        <f t="shared" si="237"/>
        <v>0</v>
      </c>
      <c r="VBR22" s="1902">
        <f t="shared" si="237"/>
        <v>0</v>
      </c>
      <c r="VBS22" s="1902">
        <f t="shared" si="237"/>
        <v>0</v>
      </c>
      <c r="VBT22" s="1902">
        <f t="shared" si="237"/>
        <v>0</v>
      </c>
      <c r="VBU22" s="1902">
        <f t="shared" si="237"/>
        <v>0</v>
      </c>
      <c r="VBV22" s="1902">
        <f t="shared" si="237"/>
        <v>0</v>
      </c>
      <c r="VBW22" s="1902">
        <f t="shared" si="237"/>
        <v>0</v>
      </c>
      <c r="VBX22" s="1902">
        <f t="shared" si="237"/>
        <v>0</v>
      </c>
      <c r="VBY22" s="1902">
        <f t="shared" si="237"/>
        <v>0</v>
      </c>
      <c r="VBZ22" s="1902">
        <f t="shared" si="237"/>
        <v>0</v>
      </c>
      <c r="VCA22" s="1902">
        <f t="shared" si="237"/>
        <v>0</v>
      </c>
      <c r="VCB22" s="1902">
        <f t="shared" si="237"/>
        <v>0</v>
      </c>
      <c r="VCC22" s="1902">
        <f t="shared" si="237"/>
        <v>0</v>
      </c>
      <c r="VCD22" s="1902">
        <f t="shared" si="237"/>
        <v>0</v>
      </c>
      <c r="VCE22" s="1902">
        <f t="shared" si="237"/>
        <v>0</v>
      </c>
      <c r="VCF22" s="1902">
        <f t="shared" si="237"/>
        <v>0</v>
      </c>
      <c r="VCG22" s="1902">
        <f t="shared" si="237"/>
        <v>0</v>
      </c>
      <c r="VCH22" s="1902">
        <f t="shared" si="237"/>
        <v>0</v>
      </c>
      <c r="VCI22" s="1902">
        <f t="shared" si="237"/>
        <v>0</v>
      </c>
      <c r="VCJ22" s="1902">
        <f t="shared" si="237"/>
        <v>0</v>
      </c>
      <c r="VCK22" s="1902">
        <f t="shared" si="237"/>
        <v>0</v>
      </c>
      <c r="VCL22" s="1902">
        <f t="shared" si="237"/>
        <v>0</v>
      </c>
      <c r="VCM22" s="1902">
        <f t="shared" si="237"/>
        <v>0</v>
      </c>
      <c r="VCN22" s="1902">
        <f t="shared" si="237"/>
        <v>0</v>
      </c>
      <c r="VCO22" s="1902">
        <f t="shared" si="237"/>
        <v>0</v>
      </c>
      <c r="VCP22" s="1902">
        <f t="shared" si="237"/>
        <v>0</v>
      </c>
      <c r="VCQ22" s="1902">
        <f t="shared" si="237"/>
        <v>0</v>
      </c>
      <c r="VCR22" s="1902">
        <f t="shared" si="237"/>
        <v>0</v>
      </c>
      <c r="VCS22" s="1902">
        <f t="shared" si="237"/>
        <v>0</v>
      </c>
      <c r="VCT22" s="1902">
        <f t="shared" si="237"/>
        <v>0</v>
      </c>
      <c r="VCU22" s="1902">
        <f t="shared" si="237"/>
        <v>0</v>
      </c>
      <c r="VCV22" s="1902">
        <f t="shared" si="237"/>
        <v>0</v>
      </c>
      <c r="VCW22" s="1902">
        <f t="shared" si="237"/>
        <v>0</v>
      </c>
      <c r="VCX22" s="1902">
        <f t="shared" si="237"/>
        <v>0</v>
      </c>
      <c r="VCY22" s="1902">
        <f t="shared" si="237"/>
        <v>0</v>
      </c>
      <c r="VCZ22" s="1902">
        <f t="shared" si="237"/>
        <v>0</v>
      </c>
      <c r="VDA22" s="1902">
        <f t="shared" si="237"/>
        <v>0</v>
      </c>
      <c r="VDB22" s="1902">
        <f t="shared" si="237"/>
        <v>0</v>
      </c>
      <c r="VDC22" s="1902">
        <f t="shared" si="237"/>
        <v>0</v>
      </c>
      <c r="VDD22" s="1902">
        <f t="shared" si="237"/>
        <v>0</v>
      </c>
      <c r="VDE22" s="1902">
        <f t="shared" si="237"/>
        <v>0</v>
      </c>
      <c r="VDF22" s="1902">
        <f t="shared" si="237"/>
        <v>0</v>
      </c>
      <c r="VDG22" s="1902">
        <f t="shared" si="237"/>
        <v>0</v>
      </c>
      <c r="VDH22" s="1902">
        <f t="shared" si="237"/>
        <v>0</v>
      </c>
      <c r="VDI22" s="1902">
        <f t="shared" si="237"/>
        <v>0</v>
      </c>
      <c r="VDJ22" s="1902">
        <f t="shared" si="237"/>
        <v>0</v>
      </c>
      <c r="VDK22" s="1902">
        <f t="shared" ref="VDK22:VFV22" si="238">IF(AND(VDK$26="End of period",VDK$25="Revenue"),VDK9,0)</f>
        <v>0</v>
      </c>
      <c r="VDL22" s="1902">
        <f t="shared" si="238"/>
        <v>0</v>
      </c>
      <c r="VDM22" s="1902">
        <f t="shared" si="238"/>
        <v>0</v>
      </c>
      <c r="VDN22" s="1902">
        <f t="shared" si="238"/>
        <v>0</v>
      </c>
      <c r="VDO22" s="1902">
        <f t="shared" si="238"/>
        <v>0</v>
      </c>
      <c r="VDP22" s="1902">
        <f t="shared" si="238"/>
        <v>0</v>
      </c>
      <c r="VDQ22" s="1902">
        <f t="shared" si="238"/>
        <v>0</v>
      </c>
      <c r="VDR22" s="1902">
        <f t="shared" si="238"/>
        <v>0</v>
      </c>
      <c r="VDS22" s="1902">
        <f t="shared" si="238"/>
        <v>0</v>
      </c>
      <c r="VDT22" s="1902">
        <f t="shared" si="238"/>
        <v>0</v>
      </c>
      <c r="VDU22" s="1902">
        <f t="shared" si="238"/>
        <v>0</v>
      </c>
      <c r="VDV22" s="1902">
        <f t="shared" si="238"/>
        <v>0</v>
      </c>
      <c r="VDW22" s="1902">
        <f t="shared" si="238"/>
        <v>0</v>
      </c>
      <c r="VDX22" s="1902">
        <f t="shared" si="238"/>
        <v>0</v>
      </c>
      <c r="VDY22" s="1902">
        <f t="shared" si="238"/>
        <v>0</v>
      </c>
      <c r="VDZ22" s="1902">
        <f t="shared" si="238"/>
        <v>0</v>
      </c>
      <c r="VEA22" s="1902">
        <f t="shared" si="238"/>
        <v>0</v>
      </c>
      <c r="VEB22" s="1902">
        <f t="shared" si="238"/>
        <v>0</v>
      </c>
      <c r="VEC22" s="1902">
        <f t="shared" si="238"/>
        <v>0</v>
      </c>
      <c r="VED22" s="1902">
        <f t="shared" si="238"/>
        <v>0</v>
      </c>
      <c r="VEE22" s="1902">
        <f t="shared" si="238"/>
        <v>0</v>
      </c>
      <c r="VEF22" s="1902">
        <f t="shared" si="238"/>
        <v>0</v>
      </c>
      <c r="VEG22" s="1902">
        <f t="shared" si="238"/>
        <v>0</v>
      </c>
      <c r="VEH22" s="1902">
        <f t="shared" si="238"/>
        <v>0</v>
      </c>
      <c r="VEI22" s="1902">
        <f t="shared" si="238"/>
        <v>0</v>
      </c>
      <c r="VEJ22" s="1902">
        <f t="shared" si="238"/>
        <v>0</v>
      </c>
      <c r="VEK22" s="1902">
        <f t="shared" si="238"/>
        <v>0</v>
      </c>
      <c r="VEL22" s="1902">
        <f t="shared" si="238"/>
        <v>0</v>
      </c>
      <c r="VEM22" s="1902">
        <f t="shared" si="238"/>
        <v>0</v>
      </c>
      <c r="VEN22" s="1902">
        <f t="shared" si="238"/>
        <v>0</v>
      </c>
      <c r="VEO22" s="1902">
        <f t="shared" si="238"/>
        <v>0</v>
      </c>
      <c r="VEP22" s="1902">
        <f t="shared" si="238"/>
        <v>0</v>
      </c>
      <c r="VEQ22" s="1902">
        <f t="shared" si="238"/>
        <v>0</v>
      </c>
      <c r="VER22" s="1902">
        <f t="shared" si="238"/>
        <v>0</v>
      </c>
      <c r="VES22" s="1902">
        <f t="shared" si="238"/>
        <v>0</v>
      </c>
      <c r="VET22" s="1902">
        <f t="shared" si="238"/>
        <v>0</v>
      </c>
      <c r="VEU22" s="1902">
        <f t="shared" si="238"/>
        <v>0</v>
      </c>
      <c r="VEV22" s="1902">
        <f t="shared" si="238"/>
        <v>0</v>
      </c>
      <c r="VEW22" s="1902">
        <f t="shared" si="238"/>
        <v>0</v>
      </c>
      <c r="VEX22" s="1902">
        <f t="shared" si="238"/>
        <v>0</v>
      </c>
      <c r="VEY22" s="1902">
        <f t="shared" si="238"/>
        <v>0</v>
      </c>
      <c r="VEZ22" s="1902">
        <f t="shared" si="238"/>
        <v>0</v>
      </c>
      <c r="VFA22" s="1902">
        <f t="shared" si="238"/>
        <v>0</v>
      </c>
      <c r="VFB22" s="1902">
        <f t="shared" si="238"/>
        <v>0</v>
      </c>
      <c r="VFC22" s="1902">
        <f t="shared" si="238"/>
        <v>0</v>
      </c>
      <c r="VFD22" s="1902">
        <f t="shared" si="238"/>
        <v>0</v>
      </c>
      <c r="VFE22" s="1902">
        <f t="shared" si="238"/>
        <v>0</v>
      </c>
      <c r="VFF22" s="1902">
        <f t="shared" si="238"/>
        <v>0</v>
      </c>
      <c r="VFG22" s="1902">
        <f t="shared" si="238"/>
        <v>0</v>
      </c>
      <c r="VFH22" s="1902">
        <f t="shared" si="238"/>
        <v>0</v>
      </c>
      <c r="VFI22" s="1902">
        <f t="shared" si="238"/>
        <v>0</v>
      </c>
      <c r="VFJ22" s="1902">
        <f t="shared" si="238"/>
        <v>0</v>
      </c>
      <c r="VFK22" s="1902">
        <f t="shared" si="238"/>
        <v>0</v>
      </c>
      <c r="VFL22" s="1902">
        <f t="shared" si="238"/>
        <v>0</v>
      </c>
      <c r="VFM22" s="1902">
        <f t="shared" si="238"/>
        <v>0</v>
      </c>
      <c r="VFN22" s="1902">
        <f t="shared" si="238"/>
        <v>0</v>
      </c>
      <c r="VFO22" s="1902">
        <f t="shared" si="238"/>
        <v>0</v>
      </c>
      <c r="VFP22" s="1902">
        <f t="shared" si="238"/>
        <v>0</v>
      </c>
      <c r="VFQ22" s="1902">
        <f t="shared" si="238"/>
        <v>0</v>
      </c>
      <c r="VFR22" s="1902">
        <f t="shared" si="238"/>
        <v>0</v>
      </c>
      <c r="VFS22" s="1902">
        <f t="shared" si="238"/>
        <v>0</v>
      </c>
      <c r="VFT22" s="1902">
        <f t="shared" si="238"/>
        <v>0</v>
      </c>
      <c r="VFU22" s="1902">
        <f t="shared" si="238"/>
        <v>0</v>
      </c>
      <c r="VFV22" s="1902">
        <f t="shared" si="238"/>
        <v>0</v>
      </c>
      <c r="VFW22" s="1902">
        <f t="shared" ref="VFW22:VIH22" si="239">IF(AND(VFW$26="End of period",VFW$25="Revenue"),VFW9,0)</f>
        <v>0</v>
      </c>
      <c r="VFX22" s="1902">
        <f t="shared" si="239"/>
        <v>0</v>
      </c>
      <c r="VFY22" s="1902">
        <f t="shared" si="239"/>
        <v>0</v>
      </c>
      <c r="VFZ22" s="1902">
        <f t="shared" si="239"/>
        <v>0</v>
      </c>
      <c r="VGA22" s="1902">
        <f t="shared" si="239"/>
        <v>0</v>
      </c>
      <c r="VGB22" s="1902">
        <f t="shared" si="239"/>
        <v>0</v>
      </c>
      <c r="VGC22" s="1902">
        <f t="shared" si="239"/>
        <v>0</v>
      </c>
      <c r="VGD22" s="1902">
        <f t="shared" si="239"/>
        <v>0</v>
      </c>
      <c r="VGE22" s="1902">
        <f t="shared" si="239"/>
        <v>0</v>
      </c>
      <c r="VGF22" s="1902">
        <f t="shared" si="239"/>
        <v>0</v>
      </c>
      <c r="VGG22" s="1902">
        <f t="shared" si="239"/>
        <v>0</v>
      </c>
      <c r="VGH22" s="1902">
        <f t="shared" si="239"/>
        <v>0</v>
      </c>
      <c r="VGI22" s="1902">
        <f t="shared" si="239"/>
        <v>0</v>
      </c>
      <c r="VGJ22" s="1902">
        <f t="shared" si="239"/>
        <v>0</v>
      </c>
      <c r="VGK22" s="1902">
        <f t="shared" si="239"/>
        <v>0</v>
      </c>
      <c r="VGL22" s="1902">
        <f t="shared" si="239"/>
        <v>0</v>
      </c>
      <c r="VGM22" s="1902">
        <f t="shared" si="239"/>
        <v>0</v>
      </c>
      <c r="VGN22" s="1902">
        <f t="shared" si="239"/>
        <v>0</v>
      </c>
      <c r="VGO22" s="1902">
        <f t="shared" si="239"/>
        <v>0</v>
      </c>
      <c r="VGP22" s="1902">
        <f t="shared" si="239"/>
        <v>0</v>
      </c>
      <c r="VGQ22" s="1902">
        <f t="shared" si="239"/>
        <v>0</v>
      </c>
      <c r="VGR22" s="1902">
        <f t="shared" si="239"/>
        <v>0</v>
      </c>
      <c r="VGS22" s="1902">
        <f t="shared" si="239"/>
        <v>0</v>
      </c>
      <c r="VGT22" s="1902">
        <f t="shared" si="239"/>
        <v>0</v>
      </c>
      <c r="VGU22" s="1902">
        <f t="shared" si="239"/>
        <v>0</v>
      </c>
      <c r="VGV22" s="1902">
        <f t="shared" si="239"/>
        <v>0</v>
      </c>
      <c r="VGW22" s="1902">
        <f t="shared" si="239"/>
        <v>0</v>
      </c>
      <c r="VGX22" s="1902">
        <f t="shared" si="239"/>
        <v>0</v>
      </c>
      <c r="VGY22" s="1902">
        <f t="shared" si="239"/>
        <v>0</v>
      </c>
      <c r="VGZ22" s="1902">
        <f t="shared" si="239"/>
        <v>0</v>
      </c>
      <c r="VHA22" s="1902">
        <f t="shared" si="239"/>
        <v>0</v>
      </c>
      <c r="VHB22" s="1902">
        <f t="shared" si="239"/>
        <v>0</v>
      </c>
      <c r="VHC22" s="1902">
        <f t="shared" si="239"/>
        <v>0</v>
      </c>
      <c r="VHD22" s="1902">
        <f t="shared" si="239"/>
        <v>0</v>
      </c>
      <c r="VHE22" s="1902">
        <f t="shared" si="239"/>
        <v>0</v>
      </c>
      <c r="VHF22" s="1902">
        <f t="shared" si="239"/>
        <v>0</v>
      </c>
      <c r="VHG22" s="1902">
        <f t="shared" si="239"/>
        <v>0</v>
      </c>
      <c r="VHH22" s="1902">
        <f t="shared" si="239"/>
        <v>0</v>
      </c>
      <c r="VHI22" s="1902">
        <f t="shared" si="239"/>
        <v>0</v>
      </c>
      <c r="VHJ22" s="1902">
        <f t="shared" si="239"/>
        <v>0</v>
      </c>
      <c r="VHK22" s="1902">
        <f t="shared" si="239"/>
        <v>0</v>
      </c>
      <c r="VHL22" s="1902">
        <f t="shared" si="239"/>
        <v>0</v>
      </c>
      <c r="VHM22" s="1902">
        <f t="shared" si="239"/>
        <v>0</v>
      </c>
      <c r="VHN22" s="1902">
        <f t="shared" si="239"/>
        <v>0</v>
      </c>
      <c r="VHO22" s="1902">
        <f t="shared" si="239"/>
        <v>0</v>
      </c>
      <c r="VHP22" s="1902">
        <f t="shared" si="239"/>
        <v>0</v>
      </c>
      <c r="VHQ22" s="1902">
        <f t="shared" si="239"/>
        <v>0</v>
      </c>
      <c r="VHR22" s="1902">
        <f t="shared" si="239"/>
        <v>0</v>
      </c>
      <c r="VHS22" s="1902">
        <f t="shared" si="239"/>
        <v>0</v>
      </c>
      <c r="VHT22" s="1902">
        <f t="shared" si="239"/>
        <v>0</v>
      </c>
      <c r="VHU22" s="1902">
        <f t="shared" si="239"/>
        <v>0</v>
      </c>
      <c r="VHV22" s="1902">
        <f t="shared" si="239"/>
        <v>0</v>
      </c>
      <c r="VHW22" s="1902">
        <f t="shared" si="239"/>
        <v>0</v>
      </c>
      <c r="VHX22" s="1902">
        <f t="shared" si="239"/>
        <v>0</v>
      </c>
      <c r="VHY22" s="1902">
        <f t="shared" si="239"/>
        <v>0</v>
      </c>
      <c r="VHZ22" s="1902">
        <f t="shared" si="239"/>
        <v>0</v>
      </c>
      <c r="VIA22" s="1902">
        <f t="shared" si="239"/>
        <v>0</v>
      </c>
      <c r="VIB22" s="1902">
        <f t="shared" si="239"/>
        <v>0</v>
      </c>
      <c r="VIC22" s="1902">
        <f t="shared" si="239"/>
        <v>0</v>
      </c>
      <c r="VID22" s="1902">
        <f t="shared" si="239"/>
        <v>0</v>
      </c>
      <c r="VIE22" s="1902">
        <f t="shared" si="239"/>
        <v>0</v>
      </c>
      <c r="VIF22" s="1902">
        <f t="shared" si="239"/>
        <v>0</v>
      </c>
      <c r="VIG22" s="1902">
        <f t="shared" si="239"/>
        <v>0</v>
      </c>
      <c r="VIH22" s="1902">
        <f t="shared" si="239"/>
        <v>0</v>
      </c>
      <c r="VII22" s="1902">
        <f t="shared" ref="VII22:VKT22" si="240">IF(AND(VII$26="End of period",VII$25="Revenue"),VII9,0)</f>
        <v>0</v>
      </c>
      <c r="VIJ22" s="1902">
        <f t="shared" si="240"/>
        <v>0</v>
      </c>
      <c r="VIK22" s="1902">
        <f t="shared" si="240"/>
        <v>0</v>
      </c>
      <c r="VIL22" s="1902">
        <f t="shared" si="240"/>
        <v>0</v>
      </c>
      <c r="VIM22" s="1902">
        <f t="shared" si="240"/>
        <v>0</v>
      </c>
      <c r="VIN22" s="1902">
        <f t="shared" si="240"/>
        <v>0</v>
      </c>
      <c r="VIO22" s="1902">
        <f t="shared" si="240"/>
        <v>0</v>
      </c>
      <c r="VIP22" s="1902">
        <f t="shared" si="240"/>
        <v>0</v>
      </c>
      <c r="VIQ22" s="1902">
        <f t="shared" si="240"/>
        <v>0</v>
      </c>
      <c r="VIR22" s="1902">
        <f t="shared" si="240"/>
        <v>0</v>
      </c>
      <c r="VIS22" s="1902">
        <f t="shared" si="240"/>
        <v>0</v>
      </c>
      <c r="VIT22" s="1902">
        <f t="shared" si="240"/>
        <v>0</v>
      </c>
      <c r="VIU22" s="1902">
        <f t="shared" si="240"/>
        <v>0</v>
      </c>
      <c r="VIV22" s="1902">
        <f t="shared" si="240"/>
        <v>0</v>
      </c>
      <c r="VIW22" s="1902">
        <f t="shared" si="240"/>
        <v>0</v>
      </c>
      <c r="VIX22" s="1902">
        <f t="shared" si="240"/>
        <v>0</v>
      </c>
      <c r="VIY22" s="1902">
        <f t="shared" si="240"/>
        <v>0</v>
      </c>
      <c r="VIZ22" s="1902">
        <f t="shared" si="240"/>
        <v>0</v>
      </c>
      <c r="VJA22" s="1902">
        <f t="shared" si="240"/>
        <v>0</v>
      </c>
      <c r="VJB22" s="1902">
        <f t="shared" si="240"/>
        <v>0</v>
      </c>
      <c r="VJC22" s="1902">
        <f t="shared" si="240"/>
        <v>0</v>
      </c>
      <c r="VJD22" s="1902">
        <f t="shared" si="240"/>
        <v>0</v>
      </c>
      <c r="VJE22" s="1902">
        <f t="shared" si="240"/>
        <v>0</v>
      </c>
      <c r="VJF22" s="1902">
        <f t="shared" si="240"/>
        <v>0</v>
      </c>
      <c r="VJG22" s="1902">
        <f t="shared" si="240"/>
        <v>0</v>
      </c>
      <c r="VJH22" s="1902">
        <f t="shared" si="240"/>
        <v>0</v>
      </c>
      <c r="VJI22" s="1902">
        <f t="shared" si="240"/>
        <v>0</v>
      </c>
      <c r="VJJ22" s="1902">
        <f t="shared" si="240"/>
        <v>0</v>
      </c>
      <c r="VJK22" s="1902">
        <f t="shared" si="240"/>
        <v>0</v>
      </c>
      <c r="VJL22" s="1902">
        <f t="shared" si="240"/>
        <v>0</v>
      </c>
      <c r="VJM22" s="1902">
        <f t="shared" si="240"/>
        <v>0</v>
      </c>
      <c r="VJN22" s="1902">
        <f t="shared" si="240"/>
        <v>0</v>
      </c>
      <c r="VJO22" s="1902">
        <f t="shared" si="240"/>
        <v>0</v>
      </c>
      <c r="VJP22" s="1902">
        <f t="shared" si="240"/>
        <v>0</v>
      </c>
      <c r="VJQ22" s="1902">
        <f t="shared" si="240"/>
        <v>0</v>
      </c>
      <c r="VJR22" s="1902">
        <f t="shared" si="240"/>
        <v>0</v>
      </c>
      <c r="VJS22" s="1902">
        <f t="shared" si="240"/>
        <v>0</v>
      </c>
      <c r="VJT22" s="1902">
        <f t="shared" si="240"/>
        <v>0</v>
      </c>
      <c r="VJU22" s="1902">
        <f t="shared" si="240"/>
        <v>0</v>
      </c>
      <c r="VJV22" s="1902">
        <f t="shared" si="240"/>
        <v>0</v>
      </c>
      <c r="VJW22" s="1902">
        <f t="shared" si="240"/>
        <v>0</v>
      </c>
      <c r="VJX22" s="1902">
        <f t="shared" si="240"/>
        <v>0</v>
      </c>
      <c r="VJY22" s="1902">
        <f t="shared" si="240"/>
        <v>0</v>
      </c>
      <c r="VJZ22" s="1902">
        <f t="shared" si="240"/>
        <v>0</v>
      </c>
      <c r="VKA22" s="1902">
        <f t="shared" si="240"/>
        <v>0</v>
      </c>
      <c r="VKB22" s="1902">
        <f t="shared" si="240"/>
        <v>0</v>
      </c>
      <c r="VKC22" s="1902">
        <f t="shared" si="240"/>
        <v>0</v>
      </c>
      <c r="VKD22" s="1902">
        <f t="shared" si="240"/>
        <v>0</v>
      </c>
      <c r="VKE22" s="1902">
        <f t="shared" si="240"/>
        <v>0</v>
      </c>
      <c r="VKF22" s="1902">
        <f t="shared" si="240"/>
        <v>0</v>
      </c>
      <c r="VKG22" s="1902">
        <f t="shared" si="240"/>
        <v>0</v>
      </c>
      <c r="VKH22" s="1902">
        <f t="shared" si="240"/>
        <v>0</v>
      </c>
      <c r="VKI22" s="1902">
        <f t="shared" si="240"/>
        <v>0</v>
      </c>
      <c r="VKJ22" s="1902">
        <f t="shared" si="240"/>
        <v>0</v>
      </c>
      <c r="VKK22" s="1902">
        <f t="shared" si="240"/>
        <v>0</v>
      </c>
      <c r="VKL22" s="1902">
        <f t="shared" si="240"/>
        <v>0</v>
      </c>
      <c r="VKM22" s="1902">
        <f t="shared" si="240"/>
        <v>0</v>
      </c>
      <c r="VKN22" s="1902">
        <f t="shared" si="240"/>
        <v>0</v>
      </c>
      <c r="VKO22" s="1902">
        <f t="shared" si="240"/>
        <v>0</v>
      </c>
      <c r="VKP22" s="1902">
        <f t="shared" si="240"/>
        <v>0</v>
      </c>
      <c r="VKQ22" s="1902">
        <f t="shared" si="240"/>
        <v>0</v>
      </c>
      <c r="VKR22" s="1902">
        <f t="shared" si="240"/>
        <v>0</v>
      </c>
      <c r="VKS22" s="1902">
        <f t="shared" si="240"/>
        <v>0</v>
      </c>
      <c r="VKT22" s="1902">
        <f t="shared" si="240"/>
        <v>0</v>
      </c>
      <c r="VKU22" s="1902">
        <f t="shared" ref="VKU22:VNF22" si="241">IF(AND(VKU$26="End of period",VKU$25="Revenue"),VKU9,0)</f>
        <v>0</v>
      </c>
      <c r="VKV22" s="1902">
        <f t="shared" si="241"/>
        <v>0</v>
      </c>
      <c r="VKW22" s="1902">
        <f t="shared" si="241"/>
        <v>0</v>
      </c>
      <c r="VKX22" s="1902">
        <f t="shared" si="241"/>
        <v>0</v>
      </c>
      <c r="VKY22" s="1902">
        <f t="shared" si="241"/>
        <v>0</v>
      </c>
      <c r="VKZ22" s="1902">
        <f t="shared" si="241"/>
        <v>0</v>
      </c>
      <c r="VLA22" s="1902">
        <f t="shared" si="241"/>
        <v>0</v>
      </c>
      <c r="VLB22" s="1902">
        <f t="shared" si="241"/>
        <v>0</v>
      </c>
      <c r="VLC22" s="1902">
        <f t="shared" si="241"/>
        <v>0</v>
      </c>
      <c r="VLD22" s="1902">
        <f t="shared" si="241"/>
        <v>0</v>
      </c>
      <c r="VLE22" s="1902">
        <f t="shared" si="241"/>
        <v>0</v>
      </c>
      <c r="VLF22" s="1902">
        <f t="shared" si="241"/>
        <v>0</v>
      </c>
      <c r="VLG22" s="1902">
        <f t="shared" si="241"/>
        <v>0</v>
      </c>
      <c r="VLH22" s="1902">
        <f t="shared" si="241"/>
        <v>0</v>
      </c>
      <c r="VLI22" s="1902">
        <f t="shared" si="241"/>
        <v>0</v>
      </c>
      <c r="VLJ22" s="1902">
        <f t="shared" si="241"/>
        <v>0</v>
      </c>
      <c r="VLK22" s="1902">
        <f t="shared" si="241"/>
        <v>0</v>
      </c>
      <c r="VLL22" s="1902">
        <f t="shared" si="241"/>
        <v>0</v>
      </c>
      <c r="VLM22" s="1902">
        <f t="shared" si="241"/>
        <v>0</v>
      </c>
      <c r="VLN22" s="1902">
        <f t="shared" si="241"/>
        <v>0</v>
      </c>
      <c r="VLO22" s="1902">
        <f t="shared" si="241"/>
        <v>0</v>
      </c>
      <c r="VLP22" s="1902">
        <f t="shared" si="241"/>
        <v>0</v>
      </c>
      <c r="VLQ22" s="1902">
        <f t="shared" si="241"/>
        <v>0</v>
      </c>
      <c r="VLR22" s="1902">
        <f t="shared" si="241"/>
        <v>0</v>
      </c>
      <c r="VLS22" s="1902">
        <f t="shared" si="241"/>
        <v>0</v>
      </c>
      <c r="VLT22" s="1902">
        <f t="shared" si="241"/>
        <v>0</v>
      </c>
      <c r="VLU22" s="1902">
        <f t="shared" si="241"/>
        <v>0</v>
      </c>
      <c r="VLV22" s="1902">
        <f t="shared" si="241"/>
        <v>0</v>
      </c>
      <c r="VLW22" s="1902">
        <f t="shared" si="241"/>
        <v>0</v>
      </c>
      <c r="VLX22" s="1902">
        <f t="shared" si="241"/>
        <v>0</v>
      </c>
      <c r="VLY22" s="1902">
        <f t="shared" si="241"/>
        <v>0</v>
      </c>
      <c r="VLZ22" s="1902">
        <f t="shared" si="241"/>
        <v>0</v>
      </c>
      <c r="VMA22" s="1902">
        <f t="shared" si="241"/>
        <v>0</v>
      </c>
      <c r="VMB22" s="1902">
        <f t="shared" si="241"/>
        <v>0</v>
      </c>
      <c r="VMC22" s="1902">
        <f t="shared" si="241"/>
        <v>0</v>
      </c>
      <c r="VMD22" s="1902">
        <f t="shared" si="241"/>
        <v>0</v>
      </c>
      <c r="VME22" s="1902">
        <f t="shared" si="241"/>
        <v>0</v>
      </c>
      <c r="VMF22" s="1902">
        <f t="shared" si="241"/>
        <v>0</v>
      </c>
      <c r="VMG22" s="1902">
        <f t="shared" si="241"/>
        <v>0</v>
      </c>
      <c r="VMH22" s="1902">
        <f t="shared" si="241"/>
        <v>0</v>
      </c>
      <c r="VMI22" s="1902">
        <f t="shared" si="241"/>
        <v>0</v>
      </c>
      <c r="VMJ22" s="1902">
        <f t="shared" si="241"/>
        <v>0</v>
      </c>
      <c r="VMK22" s="1902">
        <f t="shared" si="241"/>
        <v>0</v>
      </c>
      <c r="VML22" s="1902">
        <f t="shared" si="241"/>
        <v>0</v>
      </c>
      <c r="VMM22" s="1902">
        <f t="shared" si="241"/>
        <v>0</v>
      </c>
      <c r="VMN22" s="1902">
        <f t="shared" si="241"/>
        <v>0</v>
      </c>
      <c r="VMO22" s="1902">
        <f t="shared" si="241"/>
        <v>0</v>
      </c>
      <c r="VMP22" s="1902">
        <f t="shared" si="241"/>
        <v>0</v>
      </c>
      <c r="VMQ22" s="1902">
        <f t="shared" si="241"/>
        <v>0</v>
      </c>
      <c r="VMR22" s="1902">
        <f t="shared" si="241"/>
        <v>0</v>
      </c>
      <c r="VMS22" s="1902">
        <f t="shared" si="241"/>
        <v>0</v>
      </c>
      <c r="VMT22" s="1902">
        <f t="shared" si="241"/>
        <v>0</v>
      </c>
      <c r="VMU22" s="1902">
        <f t="shared" si="241"/>
        <v>0</v>
      </c>
      <c r="VMV22" s="1902">
        <f t="shared" si="241"/>
        <v>0</v>
      </c>
      <c r="VMW22" s="1902">
        <f t="shared" si="241"/>
        <v>0</v>
      </c>
      <c r="VMX22" s="1902">
        <f t="shared" si="241"/>
        <v>0</v>
      </c>
      <c r="VMY22" s="1902">
        <f t="shared" si="241"/>
        <v>0</v>
      </c>
      <c r="VMZ22" s="1902">
        <f t="shared" si="241"/>
        <v>0</v>
      </c>
      <c r="VNA22" s="1902">
        <f t="shared" si="241"/>
        <v>0</v>
      </c>
      <c r="VNB22" s="1902">
        <f t="shared" si="241"/>
        <v>0</v>
      </c>
      <c r="VNC22" s="1902">
        <f t="shared" si="241"/>
        <v>0</v>
      </c>
      <c r="VND22" s="1902">
        <f t="shared" si="241"/>
        <v>0</v>
      </c>
      <c r="VNE22" s="1902">
        <f t="shared" si="241"/>
        <v>0</v>
      </c>
      <c r="VNF22" s="1902">
        <f t="shared" si="241"/>
        <v>0</v>
      </c>
      <c r="VNG22" s="1902">
        <f t="shared" ref="VNG22:VPR22" si="242">IF(AND(VNG$26="End of period",VNG$25="Revenue"),VNG9,0)</f>
        <v>0</v>
      </c>
      <c r="VNH22" s="1902">
        <f t="shared" si="242"/>
        <v>0</v>
      </c>
      <c r="VNI22" s="1902">
        <f t="shared" si="242"/>
        <v>0</v>
      </c>
      <c r="VNJ22" s="1902">
        <f t="shared" si="242"/>
        <v>0</v>
      </c>
      <c r="VNK22" s="1902">
        <f t="shared" si="242"/>
        <v>0</v>
      </c>
      <c r="VNL22" s="1902">
        <f t="shared" si="242"/>
        <v>0</v>
      </c>
      <c r="VNM22" s="1902">
        <f t="shared" si="242"/>
        <v>0</v>
      </c>
      <c r="VNN22" s="1902">
        <f t="shared" si="242"/>
        <v>0</v>
      </c>
      <c r="VNO22" s="1902">
        <f t="shared" si="242"/>
        <v>0</v>
      </c>
      <c r="VNP22" s="1902">
        <f t="shared" si="242"/>
        <v>0</v>
      </c>
      <c r="VNQ22" s="1902">
        <f t="shared" si="242"/>
        <v>0</v>
      </c>
      <c r="VNR22" s="1902">
        <f t="shared" si="242"/>
        <v>0</v>
      </c>
      <c r="VNS22" s="1902">
        <f t="shared" si="242"/>
        <v>0</v>
      </c>
      <c r="VNT22" s="1902">
        <f t="shared" si="242"/>
        <v>0</v>
      </c>
      <c r="VNU22" s="1902">
        <f t="shared" si="242"/>
        <v>0</v>
      </c>
      <c r="VNV22" s="1902">
        <f t="shared" si="242"/>
        <v>0</v>
      </c>
      <c r="VNW22" s="1902">
        <f t="shared" si="242"/>
        <v>0</v>
      </c>
      <c r="VNX22" s="1902">
        <f t="shared" si="242"/>
        <v>0</v>
      </c>
      <c r="VNY22" s="1902">
        <f t="shared" si="242"/>
        <v>0</v>
      </c>
      <c r="VNZ22" s="1902">
        <f t="shared" si="242"/>
        <v>0</v>
      </c>
      <c r="VOA22" s="1902">
        <f t="shared" si="242"/>
        <v>0</v>
      </c>
      <c r="VOB22" s="1902">
        <f t="shared" si="242"/>
        <v>0</v>
      </c>
      <c r="VOC22" s="1902">
        <f t="shared" si="242"/>
        <v>0</v>
      </c>
      <c r="VOD22" s="1902">
        <f t="shared" si="242"/>
        <v>0</v>
      </c>
      <c r="VOE22" s="1902">
        <f t="shared" si="242"/>
        <v>0</v>
      </c>
      <c r="VOF22" s="1902">
        <f t="shared" si="242"/>
        <v>0</v>
      </c>
      <c r="VOG22" s="1902">
        <f t="shared" si="242"/>
        <v>0</v>
      </c>
      <c r="VOH22" s="1902">
        <f t="shared" si="242"/>
        <v>0</v>
      </c>
      <c r="VOI22" s="1902">
        <f t="shared" si="242"/>
        <v>0</v>
      </c>
      <c r="VOJ22" s="1902">
        <f t="shared" si="242"/>
        <v>0</v>
      </c>
      <c r="VOK22" s="1902">
        <f t="shared" si="242"/>
        <v>0</v>
      </c>
      <c r="VOL22" s="1902">
        <f t="shared" si="242"/>
        <v>0</v>
      </c>
      <c r="VOM22" s="1902">
        <f t="shared" si="242"/>
        <v>0</v>
      </c>
      <c r="VON22" s="1902">
        <f t="shared" si="242"/>
        <v>0</v>
      </c>
      <c r="VOO22" s="1902">
        <f t="shared" si="242"/>
        <v>0</v>
      </c>
      <c r="VOP22" s="1902">
        <f t="shared" si="242"/>
        <v>0</v>
      </c>
      <c r="VOQ22" s="1902">
        <f t="shared" si="242"/>
        <v>0</v>
      </c>
      <c r="VOR22" s="1902">
        <f t="shared" si="242"/>
        <v>0</v>
      </c>
      <c r="VOS22" s="1902">
        <f t="shared" si="242"/>
        <v>0</v>
      </c>
      <c r="VOT22" s="1902">
        <f t="shared" si="242"/>
        <v>0</v>
      </c>
      <c r="VOU22" s="1902">
        <f t="shared" si="242"/>
        <v>0</v>
      </c>
      <c r="VOV22" s="1902">
        <f t="shared" si="242"/>
        <v>0</v>
      </c>
      <c r="VOW22" s="1902">
        <f t="shared" si="242"/>
        <v>0</v>
      </c>
      <c r="VOX22" s="1902">
        <f t="shared" si="242"/>
        <v>0</v>
      </c>
      <c r="VOY22" s="1902">
        <f t="shared" si="242"/>
        <v>0</v>
      </c>
      <c r="VOZ22" s="1902">
        <f t="shared" si="242"/>
        <v>0</v>
      </c>
      <c r="VPA22" s="1902">
        <f t="shared" si="242"/>
        <v>0</v>
      </c>
      <c r="VPB22" s="1902">
        <f t="shared" si="242"/>
        <v>0</v>
      </c>
      <c r="VPC22" s="1902">
        <f t="shared" si="242"/>
        <v>0</v>
      </c>
      <c r="VPD22" s="1902">
        <f t="shared" si="242"/>
        <v>0</v>
      </c>
      <c r="VPE22" s="1902">
        <f t="shared" si="242"/>
        <v>0</v>
      </c>
      <c r="VPF22" s="1902">
        <f t="shared" si="242"/>
        <v>0</v>
      </c>
      <c r="VPG22" s="1902">
        <f t="shared" si="242"/>
        <v>0</v>
      </c>
      <c r="VPH22" s="1902">
        <f t="shared" si="242"/>
        <v>0</v>
      </c>
      <c r="VPI22" s="1902">
        <f t="shared" si="242"/>
        <v>0</v>
      </c>
      <c r="VPJ22" s="1902">
        <f t="shared" si="242"/>
        <v>0</v>
      </c>
      <c r="VPK22" s="1902">
        <f t="shared" si="242"/>
        <v>0</v>
      </c>
      <c r="VPL22" s="1902">
        <f t="shared" si="242"/>
        <v>0</v>
      </c>
      <c r="VPM22" s="1902">
        <f t="shared" si="242"/>
        <v>0</v>
      </c>
      <c r="VPN22" s="1902">
        <f t="shared" si="242"/>
        <v>0</v>
      </c>
      <c r="VPO22" s="1902">
        <f t="shared" si="242"/>
        <v>0</v>
      </c>
      <c r="VPP22" s="1902">
        <f t="shared" si="242"/>
        <v>0</v>
      </c>
      <c r="VPQ22" s="1902">
        <f t="shared" si="242"/>
        <v>0</v>
      </c>
      <c r="VPR22" s="1902">
        <f t="shared" si="242"/>
        <v>0</v>
      </c>
      <c r="VPS22" s="1902">
        <f t="shared" ref="VPS22:VSD22" si="243">IF(AND(VPS$26="End of period",VPS$25="Revenue"),VPS9,0)</f>
        <v>0</v>
      </c>
      <c r="VPT22" s="1902">
        <f t="shared" si="243"/>
        <v>0</v>
      </c>
      <c r="VPU22" s="1902">
        <f t="shared" si="243"/>
        <v>0</v>
      </c>
      <c r="VPV22" s="1902">
        <f t="shared" si="243"/>
        <v>0</v>
      </c>
      <c r="VPW22" s="1902">
        <f t="shared" si="243"/>
        <v>0</v>
      </c>
      <c r="VPX22" s="1902">
        <f t="shared" si="243"/>
        <v>0</v>
      </c>
      <c r="VPY22" s="1902">
        <f t="shared" si="243"/>
        <v>0</v>
      </c>
      <c r="VPZ22" s="1902">
        <f t="shared" si="243"/>
        <v>0</v>
      </c>
      <c r="VQA22" s="1902">
        <f t="shared" si="243"/>
        <v>0</v>
      </c>
      <c r="VQB22" s="1902">
        <f t="shared" si="243"/>
        <v>0</v>
      </c>
      <c r="VQC22" s="1902">
        <f t="shared" si="243"/>
        <v>0</v>
      </c>
      <c r="VQD22" s="1902">
        <f t="shared" si="243"/>
        <v>0</v>
      </c>
      <c r="VQE22" s="1902">
        <f t="shared" si="243"/>
        <v>0</v>
      </c>
      <c r="VQF22" s="1902">
        <f t="shared" si="243"/>
        <v>0</v>
      </c>
      <c r="VQG22" s="1902">
        <f t="shared" si="243"/>
        <v>0</v>
      </c>
      <c r="VQH22" s="1902">
        <f t="shared" si="243"/>
        <v>0</v>
      </c>
      <c r="VQI22" s="1902">
        <f t="shared" si="243"/>
        <v>0</v>
      </c>
      <c r="VQJ22" s="1902">
        <f t="shared" si="243"/>
        <v>0</v>
      </c>
      <c r="VQK22" s="1902">
        <f t="shared" si="243"/>
        <v>0</v>
      </c>
      <c r="VQL22" s="1902">
        <f t="shared" si="243"/>
        <v>0</v>
      </c>
      <c r="VQM22" s="1902">
        <f t="shared" si="243"/>
        <v>0</v>
      </c>
      <c r="VQN22" s="1902">
        <f t="shared" si="243"/>
        <v>0</v>
      </c>
      <c r="VQO22" s="1902">
        <f t="shared" si="243"/>
        <v>0</v>
      </c>
      <c r="VQP22" s="1902">
        <f t="shared" si="243"/>
        <v>0</v>
      </c>
      <c r="VQQ22" s="1902">
        <f t="shared" si="243"/>
        <v>0</v>
      </c>
      <c r="VQR22" s="1902">
        <f t="shared" si="243"/>
        <v>0</v>
      </c>
      <c r="VQS22" s="1902">
        <f t="shared" si="243"/>
        <v>0</v>
      </c>
      <c r="VQT22" s="1902">
        <f t="shared" si="243"/>
        <v>0</v>
      </c>
      <c r="VQU22" s="1902">
        <f t="shared" si="243"/>
        <v>0</v>
      </c>
      <c r="VQV22" s="1902">
        <f t="shared" si="243"/>
        <v>0</v>
      </c>
      <c r="VQW22" s="1902">
        <f t="shared" si="243"/>
        <v>0</v>
      </c>
      <c r="VQX22" s="1902">
        <f t="shared" si="243"/>
        <v>0</v>
      </c>
      <c r="VQY22" s="1902">
        <f t="shared" si="243"/>
        <v>0</v>
      </c>
      <c r="VQZ22" s="1902">
        <f t="shared" si="243"/>
        <v>0</v>
      </c>
      <c r="VRA22" s="1902">
        <f t="shared" si="243"/>
        <v>0</v>
      </c>
      <c r="VRB22" s="1902">
        <f t="shared" si="243"/>
        <v>0</v>
      </c>
      <c r="VRC22" s="1902">
        <f t="shared" si="243"/>
        <v>0</v>
      </c>
      <c r="VRD22" s="1902">
        <f t="shared" si="243"/>
        <v>0</v>
      </c>
      <c r="VRE22" s="1902">
        <f t="shared" si="243"/>
        <v>0</v>
      </c>
      <c r="VRF22" s="1902">
        <f t="shared" si="243"/>
        <v>0</v>
      </c>
      <c r="VRG22" s="1902">
        <f t="shared" si="243"/>
        <v>0</v>
      </c>
      <c r="VRH22" s="1902">
        <f t="shared" si="243"/>
        <v>0</v>
      </c>
      <c r="VRI22" s="1902">
        <f t="shared" si="243"/>
        <v>0</v>
      </c>
      <c r="VRJ22" s="1902">
        <f t="shared" si="243"/>
        <v>0</v>
      </c>
      <c r="VRK22" s="1902">
        <f t="shared" si="243"/>
        <v>0</v>
      </c>
      <c r="VRL22" s="1902">
        <f t="shared" si="243"/>
        <v>0</v>
      </c>
      <c r="VRM22" s="1902">
        <f t="shared" si="243"/>
        <v>0</v>
      </c>
      <c r="VRN22" s="1902">
        <f t="shared" si="243"/>
        <v>0</v>
      </c>
      <c r="VRO22" s="1902">
        <f t="shared" si="243"/>
        <v>0</v>
      </c>
      <c r="VRP22" s="1902">
        <f t="shared" si="243"/>
        <v>0</v>
      </c>
      <c r="VRQ22" s="1902">
        <f t="shared" si="243"/>
        <v>0</v>
      </c>
      <c r="VRR22" s="1902">
        <f t="shared" si="243"/>
        <v>0</v>
      </c>
      <c r="VRS22" s="1902">
        <f t="shared" si="243"/>
        <v>0</v>
      </c>
      <c r="VRT22" s="1902">
        <f t="shared" si="243"/>
        <v>0</v>
      </c>
      <c r="VRU22" s="1902">
        <f t="shared" si="243"/>
        <v>0</v>
      </c>
      <c r="VRV22" s="1902">
        <f t="shared" si="243"/>
        <v>0</v>
      </c>
      <c r="VRW22" s="1902">
        <f t="shared" si="243"/>
        <v>0</v>
      </c>
      <c r="VRX22" s="1902">
        <f t="shared" si="243"/>
        <v>0</v>
      </c>
      <c r="VRY22" s="1902">
        <f t="shared" si="243"/>
        <v>0</v>
      </c>
      <c r="VRZ22" s="1902">
        <f t="shared" si="243"/>
        <v>0</v>
      </c>
      <c r="VSA22" s="1902">
        <f t="shared" si="243"/>
        <v>0</v>
      </c>
      <c r="VSB22" s="1902">
        <f t="shared" si="243"/>
        <v>0</v>
      </c>
      <c r="VSC22" s="1902">
        <f t="shared" si="243"/>
        <v>0</v>
      </c>
      <c r="VSD22" s="1902">
        <f t="shared" si="243"/>
        <v>0</v>
      </c>
      <c r="VSE22" s="1902">
        <f t="shared" ref="VSE22:VUP22" si="244">IF(AND(VSE$26="End of period",VSE$25="Revenue"),VSE9,0)</f>
        <v>0</v>
      </c>
      <c r="VSF22" s="1902">
        <f t="shared" si="244"/>
        <v>0</v>
      </c>
      <c r="VSG22" s="1902">
        <f t="shared" si="244"/>
        <v>0</v>
      </c>
      <c r="VSH22" s="1902">
        <f t="shared" si="244"/>
        <v>0</v>
      </c>
      <c r="VSI22" s="1902">
        <f t="shared" si="244"/>
        <v>0</v>
      </c>
      <c r="VSJ22" s="1902">
        <f t="shared" si="244"/>
        <v>0</v>
      </c>
      <c r="VSK22" s="1902">
        <f t="shared" si="244"/>
        <v>0</v>
      </c>
      <c r="VSL22" s="1902">
        <f t="shared" si="244"/>
        <v>0</v>
      </c>
      <c r="VSM22" s="1902">
        <f t="shared" si="244"/>
        <v>0</v>
      </c>
      <c r="VSN22" s="1902">
        <f t="shared" si="244"/>
        <v>0</v>
      </c>
      <c r="VSO22" s="1902">
        <f t="shared" si="244"/>
        <v>0</v>
      </c>
      <c r="VSP22" s="1902">
        <f t="shared" si="244"/>
        <v>0</v>
      </c>
      <c r="VSQ22" s="1902">
        <f t="shared" si="244"/>
        <v>0</v>
      </c>
      <c r="VSR22" s="1902">
        <f t="shared" si="244"/>
        <v>0</v>
      </c>
      <c r="VSS22" s="1902">
        <f t="shared" si="244"/>
        <v>0</v>
      </c>
      <c r="VST22" s="1902">
        <f t="shared" si="244"/>
        <v>0</v>
      </c>
      <c r="VSU22" s="1902">
        <f t="shared" si="244"/>
        <v>0</v>
      </c>
      <c r="VSV22" s="1902">
        <f t="shared" si="244"/>
        <v>0</v>
      </c>
      <c r="VSW22" s="1902">
        <f t="shared" si="244"/>
        <v>0</v>
      </c>
      <c r="VSX22" s="1902">
        <f t="shared" si="244"/>
        <v>0</v>
      </c>
      <c r="VSY22" s="1902">
        <f t="shared" si="244"/>
        <v>0</v>
      </c>
      <c r="VSZ22" s="1902">
        <f t="shared" si="244"/>
        <v>0</v>
      </c>
      <c r="VTA22" s="1902">
        <f t="shared" si="244"/>
        <v>0</v>
      </c>
      <c r="VTB22" s="1902">
        <f t="shared" si="244"/>
        <v>0</v>
      </c>
      <c r="VTC22" s="1902">
        <f t="shared" si="244"/>
        <v>0</v>
      </c>
      <c r="VTD22" s="1902">
        <f t="shared" si="244"/>
        <v>0</v>
      </c>
      <c r="VTE22" s="1902">
        <f t="shared" si="244"/>
        <v>0</v>
      </c>
      <c r="VTF22" s="1902">
        <f t="shared" si="244"/>
        <v>0</v>
      </c>
      <c r="VTG22" s="1902">
        <f t="shared" si="244"/>
        <v>0</v>
      </c>
      <c r="VTH22" s="1902">
        <f t="shared" si="244"/>
        <v>0</v>
      </c>
      <c r="VTI22" s="1902">
        <f t="shared" si="244"/>
        <v>0</v>
      </c>
      <c r="VTJ22" s="1902">
        <f t="shared" si="244"/>
        <v>0</v>
      </c>
      <c r="VTK22" s="1902">
        <f t="shared" si="244"/>
        <v>0</v>
      </c>
      <c r="VTL22" s="1902">
        <f t="shared" si="244"/>
        <v>0</v>
      </c>
      <c r="VTM22" s="1902">
        <f t="shared" si="244"/>
        <v>0</v>
      </c>
      <c r="VTN22" s="1902">
        <f t="shared" si="244"/>
        <v>0</v>
      </c>
      <c r="VTO22" s="1902">
        <f t="shared" si="244"/>
        <v>0</v>
      </c>
      <c r="VTP22" s="1902">
        <f t="shared" si="244"/>
        <v>0</v>
      </c>
      <c r="VTQ22" s="1902">
        <f t="shared" si="244"/>
        <v>0</v>
      </c>
      <c r="VTR22" s="1902">
        <f t="shared" si="244"/>
        <v>0</v>
      </c>
      <c r="VTS22" s="1902">
        <f t="shared" si="244"/>
        <v>0</v>
      </c>
      <c r="VTT22" s="1902">
        <f t="shared" si="244"/>
        <v>0</v>
      </c>
      <c r="VTU22" s="1902">
        <f t="shared" si="244"/>
        <v>0</v>
      </c>
      <c r="VTV22" s="1902">
        <f t="shared" si="244"/>
        <v>0</v>
      </c>
      <c r="VTW22" s="1902">
        <f t="shared" si="244"/>
        <v>0</v>
      </c>
      <c r="VTX22" s="1902">
        <f t="shared" si="244"/>
        <v>0</v>
      </c>
      <c r="VTY22" s="1902">
        <f t="shared" si="244"/>
        <v>0</v>
      </c>
      <c r="VTZ22" s="1902">
        <f t="shared" si="244"/>
        <v>0</v>
      </c>
      <c r="VUA22" s="1902">
        <f t="shared" si="244"/>
        <v>0</v>
      </c>
      <c r="VUB22" s="1902">
        <f t="shared" si="244"/>
        <v>0</v>
      </c>
      <c r="VUC22" s="1902">
        <f t="shared" si="244"/>
        <v>0</v>
      </c>
      <c r="VUD22" s="1902">
        <f t="shared" si="244"/>
        <v>0</v>
      </c>
      <c r="VUE22" s="1902">
        <f t="shared" si="244"/>
        <v>0</v>
      </c>
      <c r="VUF22" s="1902">
        <f t="shared" si="244"/>
        <v>0</v>
      </c>
      <c r="VUG22" s="1902">
        <f t="shared" si="244"/>
        <v>0</v>
      </c>
      <c r="VUH22" s="1902">
        <f t="shared" si="244"/>
        <v>0</v>
      </c>
      <c r="VUI22" s="1902">
        <f t="shared" si="244"/>
        <v>0</v>
      </c>
      <c r="VUJ22" s="1902">
        <f t="shared" si="244"/>
        <v>0</v>
      </c>
      <c r="VUK22" s="1902">
        <f t="shared" si="244"/>
        <v>0</v>
      </c>
      <c r="VUL22" s="1902">
        <f t="shared" si="244"/>
        <v>0</v>
      </c>
      <c r="VUM22" s="1902">
        <f t="shared" si="244"/>
        <v>0</v>
      </c>
      <c r="VUN22" s="1902">
        <f t="shared" si="244"/>
        <v>0</v>
      </c>
      <c r="VUO22" s="1902">
        <f t="shared" si="244"/>
        <v>0</v>
      </c>
      <c r="VUP22" s="1902">
        <f t="shared" si="244"/>
        <v>0</v>
      </c>
      <c r="VUQ22" s="1902">
        <f t="shared" ref="VUQ22:VXB22" si="245">IF(AND(VUQ$26="End of period",VUQ$25="Revenue"),VUQ9,0)</f>
        <v>0</v>
      </c>
      <c r="VUR22" s="1902">
        <f t="shared" si="245"/>
        <v>0</v>
      </c>
      <c r="VUS22" s="1902">
        <f t="shared" si="245"/>
        <v>0</v>
      </c>
      <c r="VUT22" s="1902">
        <f t="shared" si="245"/>
        <v>0</v>
      </c>
      <c r="VUU22" s="1902">
        <f t="shared" si="245"/>
        <v>0</v>
      </c>
      <c r="VUV22" s="1902">
        <f t="shared" si="245"/>
        <v>0</v>
      </c>
      <c r="VUW22" s="1902">
        <f t="shared" si="245"/>
        <v>0</v>
      </c>
      <c r="VUX22" s="1902">
        <f t="shared" si="245"/>
        <v>0</v>
      </c>
      <c r="VUY22" s="1902">
        <f t="shared" si="245"/>
        <v>0</v>
      </c>
      <c r="VUZ22" s="1902">
        <f t="shared" si="245"/>
        <v>0</v>
      </c>
      <c r="VVA22" s="1902">
        <f t="shared" si="245"/>
        <v>0</v>
      </c>
      <c r="VVB22" s="1902">
        <f t="shared" si="245"/>
        <v>0</v>
      </c>
      <c r="VVC22" s="1902">
        <f t="shared" si="245"/>
        <v>0</v>
      </c>
      <c r="VVD22" s="1902">
        <f t="shared" si="245"/>
        <v>0</v>
      </c>
      <c r="VVE22" s="1902">
        <f t="shared" si="245"/>
        <v>0</v>
      </c>
      <c r="VVF22" s="1902">
        <f t="shared" si="245"/>
        <v>0</v>
      </c>
      <c r="VVG22" s="1902">
        <f t="shared" si="245"/>
        <v>0</v>
      </c>
      <c r="VVH22" s="1902">
        <f t="shared" si="245"/>
        <v>0</v>
      </c>
      <c r="VVI22" s="1902">
        <f t="shared" si="245"/>
        <v>0</v>
      </c>
      <c r="VVJ22" s="1902">
        <f t="shared" si="245"/>
        <v>0</v>
      </c>
      <c r="VVK22" s="1902">
        <f t="shared" si="245"/>
        <v>0</v>
      </c>
      <c r="VVL22" s="1902">
        <f t="shared" si="245"/>
        <v>0</v>
      </c>
      <c r="VVM22" s="1902">
        <f t="shared" si="245"/>
        <v>0</v>
      </c>
      <c r="VVN22" s="1902">
        <f t="shared" si="245"/>
        <v>0</v>
      </c>
      <c r="VVO22" s="1902">
        <f t="shared" si="245"/>
        <v>0</v>
      </c>
      <c r="VVP22" s="1902">
        <f t="shared" si="245"/>
        <v>0</v>
      </c>
      <c r="VVQ22" s="1902">
        <f t="shared" si="245"/>
        <v>0</v>
      </c>
      <c r="VVR22" s="1902">
        <f t="shared" si="245"/>
        <v>0</v>
      </c>
      <c r="VVS22" s="1902">
        <f t="shared" si="245"/>
        <v>0</v>
      </c>
      <c r="VVT22" s="1902">
        <f t="shared" si="245"/>
        <v>0</v>
      </c>
      <c r="VVU22" s="1902">
        <f t="shared" si="245"/>
        <v>0</v>
      </c>
      <c r="VVV22" s="1902">
        <f t="shared" si="245"/>
        <v>0</v>
      </c>
      <c r="VVW22" s="1902">
        <f t="shared" si="245"/>
        <v>0</v>
      </c>
      <c r="VVX22" s="1902">
        <f t="shared" si="245"/>
        <v>0</v>
      </c>
      <c r="VVY22" s="1902">
        <f t="shared" si="245"/>
        <v>0</v>
      </c>
      <c r="VVZ22" s="1902">
        <f t="shared" si="245"/>
        <v>0</v>
      </c>
      <c r="VWA22" s="1902">
        <f t="shared" si="245"/>
        <v>0</v>
      </c>
      <c r="VWB22" s="1902">
        <f t="shared" si="245"/>
        <v>0</v>
      </c>
      <c r="VWC22" s="1902">
        <f t="shared" si="245"/>
        <v>0</v>
      </c>
      <c r="VWD22" s="1902">
        <f t="shared" si="245"/>
        <v>0</v>
      </c>
      <c r="VWE22" s="1902">
        <f t="shared" si="245"/>
        <v>0</v>
      </c>
      <c r="VWF22" s="1902">
        <f t="shared" si="245"/>
        <v>0</v>
      </c>
      <c r="VWG22" s="1902">
        <f t="shared" si="245"/>
        <v>0</v>
      </c>
      <c r="VWH22" s="1902">
        <f t="shared" si="245"/>
        <v>0</v>
      </c>
      <c r="VWI22" s="1902">
        <f t="shared" si="245"/>
        <v>0</v>
      </c>
      <c r="VWJ22" s="1902">
        <f t="shared" si="245"/>
        <v>0</v>
      </c>
      <c r="VWK22" s="1902">
        <f t="shared" si="245"/>
        <v>0</v>
      </c>
      <c r="VWL22" s="1902">
        <f t="shared" si="245"/>
        <v>0</v>
      </c>
      <c r="VWM22" s="1902">
        <f t="shared" si="245"/>
        <v>0</v>
      </c>
      <c r="VWN22" s="1902">
        <f t="shared" si="245"/>
        <v>0</v>
      </c>
      <c r="VWO22" s="1902">
        <f t="shared" si="245"/>
        <v>0</v>
      </c>
      <c r="VWP22" s="1902">
        <f t="shared" si="245"/>
        <v>0</v>
      </c>
      <c r="VWQ22" s="1902">
        <f t="shared" si="245"/>
        <v>0</v>
      </c>
      <c r="VWR22" s="1902">
        <f t="shared" si="245"/>
        <v>0</v>
      </c>
      <c r="VWS22" s="1902">
        <f t="shared" si="245"/>
        <v>0</v>
      </c>
      <c r="VWT22" s="1902">
        <f t="shared" si="245"/>
        <v>0</v>
      </c>
      <c r="VWU22" s="1902">
        <f t="shared" si="245"/>
        <v>0</v>
      </c>
      <c r="VWV22" s="1902">
        <f t="shared" si="245"/>
        <v>0</v>
      </c>
      <c r="VWW22" s="1902">
        <f t="shared" si="245"/>
        <v>0</v>
      </c>
      <c r="VWX22" s="1902">
        <f t="shared" si="245"/>
        <v>0</v>
      </c>
      <c r="VWY22" s="1902">
        <f t="shared" si="245"/>
        <v>0</v>
      </c>
      <c r="VWZ22" s="1902">
        <f t="shared" si="245"/>
        <v>0</v>
      </c>
      <c r="VXA22" s="1902">
        <f t="shared" si="245"/>
        <v>0</v>
      </c>
      <c r="VXB22" s="1902">
        <f t="shared" si="245"/>
        <v>0</v>
      </c>
      <c r="VXC22" s="1902">
        <f t="shared" ref="VXC22:VZN22" si="246">IF(AND(VXC$26="End of period",VXC$25="Revenue"),VXC9,0)</f>
        <v>0</v>
      </c>
      <c r="VXD22" s="1902">
        <f t="shared" si="246"/>
        <v>0</v>
      </c>
      <c r="VXE22" s="1902">
        <f t="shared" si="246"/>
        <v>0</v>
      </c>
      <c r="VXF22" s="1902">
        <f t="shared" si="246"/>
        <v>0</v>
      </c>
      <c r="VXG22" s="1902">
        <f t="shared" si="246"/>
        <v>0</v>
      </c>
      <c r="VXH22" s="1902">
        <f t="shared" si="246"/>
        <v>0</v>
      </c>
      <c r="VXI22" s="1902">
        <f t="shared" si="246"/>
        <v>0</v>
      </c>
      <c r="VXJ22" s="1902">
        <f t="shared" si="246"/>
        <v>0</v>
      </c>
      <c r="VXK22" s="1902">
        <f t="shared" si="246"/>
        <v>0</v>
      </c>
      <c r="VXL22" s="1902">
        <f t="shared" si="246"/>
        <v>0</v>
      </c>
      <c r="VXM22" s="1902">
        <f t="shared" si="246"/>
        <v>0</v>
      </c>
      <c r="VXN22" s="1902">
        <f t="shared" si="246"/>
        <v>0</v>
      </c>
      <c r="VXO22" s="1902">
        <f t="shared" si="246"/>
        <v>0</v>
      </c>
      <c r="VXP22" s="1902">
        <f t="shared" si="246"/>
        <v>0</v>
      </c>
      <c r="VXQ22" s="1902">
        <f t="shared" si="246"/>
        <v>0</v>
      </c>
      <c r="VXR22" s="1902">
        <f t="shared" si="246"/>
        <v>0</v>
      </c>
      <c r="VXS22" s="1902">
        <f t="shared" si="246"/>
        <v>0</v>
      </c>
      <c r="VXT22" s="1902">
        <f t="shared" si="246"/>
        <v>0</v>
      </c>
      <c r="VXU22" s="1902">
        <f t="shared" si="246"/>
        <v>0</v>
      </c>
      <c r="VXV22" s="1902">
        <f t="shared" si="246"/>
        <v>0</v>
      </c>
      <c r="VXW22" s="1902">
        <f t="shared" si="246"/>
        <v>0</v>
      </c>
      <c r="VXX22" s="1902">
        <f t="shared" si="246"/>
        <v>0</v>
      </c>
      <c r="VXY22" s="1902">
        <f t="shared" si="246"/>
        <v>0</v>
      </c>
      <c r="VXZ22" s="1902">
        <f t="shared" si="246"/>
        <v>0</v>
      </c>
      <c r="VYA22" s="1902">
        <f t="shared" si="246"/>
        <v>0</v>
      </c>
      <c r="VYB22" s="1902">
        <f t="shared" si="246"/>
        <v>0</v>
      </c>
      <c r="VYC22" s="1902">
        <f t="shared" si="246"/>
        <v>0</v>
      </c>
      <c r="VYD22" s="1902">
        <f t="shared" si="246"/>
        <v>0</v>
      </c>
      <c r="VYE22" s="1902">
        <f t="shared" si="246"/>
        <v>0</v>
      </c>
      <c r="VYF22" s="1902">
        <f t="shared" si="246"/>
        <v>0</v>
      </c>
      <c r="VYG22" s="1902">
        <f t="shared" si="246"/>
        <v>0</v>
      </c>
      <c r="VYH22" s="1902">
        <f t="shared" si="246"/>
        <v>0</v>
      </c>
      <c r="VYI22" s="1902">
        <f t="shared" si="246"/>
        <v>0</v>
      </c>
      <c r="VYJ22" s="1902">
        <f t="shared" si="246"/>
        <v>0</v>
      </c>
      <c r="VYK22" s="1902">
        <f t="shared" si="246"/>
        <v>0</v>
      </c>
      <c r="VYL22" s="1902">
        <f t="shared" si="246"/>
        <v>0</v>
      </c>
      <c r="VYM22" s="1902">
        <f t="shared" si="246"/>
        <v>0</v>
      </c>
      <c r="VYN22" s="1902">
        <f t="shared" si="246"/>
        <v>0</v>
      </c>
      <c r="VYO22" s="1902">
        <f t="shared" si="246"/>
        <v>0</v>
      </c>
      <c r="VYP22" s="1902">
        <f t="shared" si="246"/>
        <v>0</v>
      </c>
      <c r="VYQ22" s="1902">
        <f t="shared" si="246"/>
        <v>0</v>
      </c>
      <c r="VYR22" s="1902">
        <f t="shared" si="246"/>
        <v>0</v>
      </c>
      <c r="VYS22" s="1902">
        <f t="shared" si="246"/>
        <v>0</v>
      </c>
      <c r="VYT22" s="1902">
        <f t="shared" si="246"/>
        <v>0</v>
      </c>
      <c r="VYU22" s="1902">
        <f t="shared" si="246"/>
        <v>0</v>
      </c>
      <c r="VYV22" s="1902">
        <f t="shared" si="246"/>
        <v>0</v>
      </c>
      <c r="VYW22" s="1902">
        <f t="shared" si="246"/>
        <v>0</v>
      </c>
      <c r="VYX22" s="1902">
        <f t="shared" si="246"/>
        <v>0</v>
      </c>
      <c r="VYY22" s="1902">
        <f t="shared" si="246"/>
        <v>0</v>
      </c>
      <c r="VYZ22" s="1902">
        <f t="shared" si="246"/>
        <v>0</v>
      </c>
      <c r="VZA22" s="1902">
        <f t="shared" si="246"/>
        <v>0</v>
      </c>
      <c r="VZB22" s="1902">
        <f t="shared" si="246"/>
        <v>0</v>
      </c>
      <c r="VZC22" s="1902">
        <f t="shared" si="246"/>
        <v>0</v>
      </c>
      <c r="VZD22" s="1902">
        <f t="shared" si="246"/>
        <v>0</v>
      </c>
      <c r="VZE22" s="1902">
        <f t="shared" si="246"/>
        <v>0</v>
      </c>
      <c r="VZF22" s="1902">
        <f t="shared" si="246"/>
        <v>0</v>
      </c>
      <c r="VZG22" s="1902">
        <f t="shared" si="246"/>
        <v>0</v>
      </c>
      <c r="VZH22" s="1902">
        <f t="shared" si="246"/>
        <v>0</v>
      </c>
      <c r="VZI22" s="1902">
        <f t="shared" si="246"/>
        <v>0</v>
      </c>
      <c r="VZJ22" s="1902">
        <f t="shared" si="246"/>
        <v>0</v>
      </c>
      <c r="VZK22" s="1902">
        <f t="shared" si="246"/>
        <v>0</v>
      </c>
      <c r="VZL22" s="1902">
        <f t="shared" si="246"/>
        <v>0</v>
      </c>
      <c r="VZM22" s="1902">
        <f t="shared" si="246"/>
        <v>0</v>
      </c>
      <c r="VZN22" s="1902">
        <f t="shared" si="246"/>
        <v>0</v>
      </c>
      <c r="VZO22" s="1902">
        <f t="shared" ref="VZO22:WBZ22" si="247">IF(AND(VZO$26="End of period",VZO$25="Revenue"),VZO9,0)</f>
        <v>0</v>
      </c>
      <c r="VZP22" s="1902">
        <f t="shared" si="247"/>
        <v>0</v>
      </c>
      <c r="VZQ22" s="1902">
        <f t="shared" si="247"/>
        <v>0</v>
      </c>
      <c r="VZR22" s="1902">
        <f t="shared" si="247"/>
        <v>0</v>
      </c>
      <c r="VZS22" s="1902">
        <f t="shared" si="247"/>
        <v>0</v>
      </c>
      <c r="VZT22" s="1902">
        <f t="shared" si="247"/>
        <v>0</v>
      </c>
      <c r="VZU22" s="1902">
        <f t="shared" si="247"/>
        <v>0</v>
      </c>
      <c r="VZV22" s="1902">
        <f t="shared" si="247"/>
        <v>0</v>
      </c>
      <c r="VZW22" s="1902">
        <f t="shared" si="247"/>
        <v>0</v>
      </c>
      <c r="VZX22" s="1902">
        <f t="shared" si="247"/>
        <v>0</v>
      </c>
      <c r="VZY22" s="1902">
        <f t="shared" si="247"/>
        <v>0</v>
      </c>
      <c r="VZZ22" s="1902">
        <f t="shared" si="247"/>
        <v>0</v>
      </c>
      <c r="WAA22" s="1902">
        <f t="shared" si="247"/>
        <v>0</v>
      </c>
      <c r="WAB22" s="1902">
        <f t="shared" si="247"/>
        <v>0</v>
      </c>
      <c r="WAC22" s="1902">
        <f t="shared" si="247"/>
        <v>0</v>
      </c>
      <c r="WAD22" s="1902">
        <f t="shared" si="247"/>
        <v>0</v>
      </c>
      <c r="WAE22" s="1902">
        <f t="shared" si="247"/>
        <v>0</v>
      </c>
      <c r="WAF22" s="1902">
        <f t="shared" si="247"/>
        <v>0</v>
      </c>
      <c r="WAG22" s="1902">
        <f t="shared" si="247"/>
        <v>0</v>
      </c>
      <c r="WAH22" s="1902">
        <f t="shared" si="247"/>
        <v>0</v>
      </c>
      <c r="WAI22" s="1902">
        <f t="shared" si="247"/>
        <v>0</v>
      </c>
      <c r="WAJ22" s="1902">
        <f t="shared" si="247"/>
        <v>0</v>
      </c>
      <c r="WAK22" s="1902">
        <f t="shared" si="247"/>
        <v>0</v>
      </c>
      <c r="WAL22" s="1902">
        <f t="shared" si="247"/>
        <v>0</v>
      </c>
      <c r="WAM22" s="1902">
        <f t="shared" si="247"/>
        <v>0</v>
      </c>
      <c r="WAN22" s="1902">
        <f t="shared" si="247"/>
        <v>0</v>
      </c>
      <c r="WAO22" s="1902">
        <f t="shared" si="247"/>
        <v>0</v>
      </c>
      <c r="WAP22" s="1902">
        <f t="shared" si="247"/>
        <v>0</v>
      </c>
      <c r="WAQ22" s="1902">
        <f t="shared" si="247"/>
        <v>0</v>
      </c>
      <c r="WAR22" s="1902">
        <f t="shared" si="247"/>
        <v>0</v>
      </c>
      <c r="WAS22" s="1902">
        <f t="shared" si="247"/>
        <v>0</v>
      </c>
      <c r="WAT22" s="1902">
        <f t="shared" si="247"/>
        <v>0</v>
      </c>
      <c r="WAU22" s="1902">
        <f t="shared" si="247"/>
        <v>0</v>
      </c>
      <c r="WAV22" s="1902">
        <f t="shared" si="247"/>
        <v>0</v>
      </c>
      <c r="WAW22" s="1902">
        <f t="shared" si="247"/>
        <v>0</v>
      </c>
      <c r="WAX22" s="1902">
        <f t="shared" si="247"/>
        <v>0</v>
      </c>
      <c r="WAY22" s="1902">
        <f t="shared" si="247"/>
        <v>0</v>
      </c>
      <c r="WAZ22" s="1902">
        <f t="shared" si="247"/>
        <v>0</v>
      </c>
      <c r="WBA22" s="1902">
        <f t="shared" si="247"/>
        <v>0</v>
      </c>
      <c r="WBB22" s="1902">
        <f t="shared" si="247"/>
        <v>0</v>
      </c>
      <c r="WBC22" s="1902">
        <f t="shared" si="247"/>
        <v>0</v>
      </c>
      <c r="WBD22" s="1902">
        <f t="shared" si="247"/>
        <v>0</v>
      </c>
      <c r="WBE22" s="1902">
        <f t="shared" si="247"/>
        <v>0</v>
      </c>
      <c r="WBF22" s="1902">
        <f t="shared" si="247"/>
        <v>0</v>
      </c>
      <c r="WBG22" s="1902">
        <f t="shared" si="247"/>
        <v>0</v>
      </c>
      <c r="WBH22" s="1902">
        <f t="shared" si="247"/>
        <v>0</v>
      </c>
      <c r="WBI22" s="1902">
        <f t="shared" si="247"/>
        <v>0</v>
      </c>
      <c r="WBJ22" s="1902">
        <f t="shared" si="247"/>
        <v>0</v>
      </c>
      <c r="WBK22" s="1902">
        <f t="shared" si="247"/>
        <v>0</v>
      </c>
      <c r="WBL22" s="1902">
        <f t="shared" si="247"/>
        <v>0</v>
      </c>
      <c r="WBM22" s="1902">
        <f t="shared" si="247"/>
        <v>0</v>
      </c>
      <c r="WBN22" s="1902">
        <f t="shared" si="247"/>
        <v>0</v>
      </c>
      <c r="WBO22" s="1902">
        <f t="shared" si="247"/>
        <v>0</v>
      </c>
      <c r="WBP22" s="1902">
        <f t="shared" si="247"/>
        <v>0</v>
      </c>
      <c r="WBQ22" s="1902">
        <f t="shared" si="247"/>
        <v>0</v>
      </c>
      <c r="WBR22" s="1902">
        <f t="shared" si="247"/>
        <v>0</v>
      </c>
      <c r="WBS22" s="1902">
        <f t="shared" si="247"/>
        <v>0</v>
      </c>
      <c r="WBT22" s="1902">
        <f t="shared" si="247"/>
        <v>0</v>
      </c>
      <c r="WBU22" s="1902">
        <f t="shared" si="247"/>
        <v>0</v>
      </c>
      <c r="WBV22" s="1902">
        <f t="shared" si="247"/>
        <v>0</v>
      </c>
      <c r="WBW22" s="1902">
        <f t="shared" si="247"/>
        <v>0</v>
      </c>
      <c r="WBX22" s="1902">
        <f t="shared" si="247"/>
        <v>0</v>
      </c>
      <c r="WBY22" s="1902">
        <f t="shared" si="247"/>
        <v>0</v>
      </c>
      <c r="WBZ22" s="1902">
        <f t="shared" si="247"/>
        <v>0</v>
      </c>
      <c r="WCA22" s="1902">
        <f t="shared" ref="WCA22:WEL22" si="248">IF(AND(WCA$26="End of period",WCA$25="Revenue"),WCA9,0)</f>
        <v>0</v>
      </c>
      <c r="WCB22" s="1902">
        <f t="shared" si="248"/>
        <v>0</v>
      </c>
      <c r="WCC22" s="1902">
        <f t="shared" si="248"/>
        <v>0</v>
      </c>
      <c r="WCD22" s="1902">
        <f t="shared" si="248"/>
        <v>0</v>
      </c>
      <c r="WCE22" s="1902">
        <f t="shared" si="248"/>
        <v>0</v>
      </c>
      <c r="WCF22" s="1902">
        <f t="shared" si="248"/>
        <v>0</v>
      </c>
      <c r="WCG22" s="1902">
        <f t="shared" si="248"/>
        <v>0</v>
      </c>
      <c r="WCH22" s="1902">
        <f t="shared" si="248"/>
        <v>0</v>
      </c>
      <c r="WCI22" s="1902">
        <f t="shared" si="248"/>
        <v>0</v>
      </c>
      <c r="WCJ22" s="1902">
        <f t="shared" si="248"/>
        <v>0</v>
      </c>
      <c r="WCK22" s="1902">
        <f t="shared" si="248"/>
        <v>0</v>
      </c>
      <c r="WCL22" s="1902">
        <f t="shared" si="248"/>
        <v>0</v>
      </c>
      <c r="WCM22" s="1902">
        <f t="shared" si="248"/>
        <v>0</v>
      </c>
      <c r="WCN22" s="1902">
        <f t="shared" si="248"/>
        <v>0</v>
      </c>
      <c r="WCO22" s="1902">
        <f t="shared" si="248"/>
        <v>0</v>
      </c>
      <c r="WCP22" s="1902">
        <f t="shared" si="248"/>
        <v>0</v>
      </c>
      <c r="WCQ22" s="1902">
        <f t="shared" si="248"/>
        <v>0</v>
      </c>
      <c r="WCR22" s="1902">
        <f t="shared" si="248"/>
        <v>0</v>
      </c>
      <c r="WCS22" s="1902">
        <f t="shared" si="248"/>
        <v>0</v>
      </c>
      <c r="WCT22" s="1902">
        <f t="shared" si="248"/>
        <v>0</v>
      </c>
      <c r="WCU22" s="1902">
        <f t="shared" si="248"/>
        <v>0</v>
      </c>
      <c r="WCV22" s="1902">
        <f t="shared" si="248"/>
        <v>0</v>
      </c>
      <c r="WCW22" s="1902">
        <f t="shared" si="248"/>
        <v>0</v>
      </c>
      <c r="WCX22" s="1902">
        <f t="shared" si="248"/>
        <v>0</v>
      </c>
      <c r="WCY22" s="1902">
        <f t="shared" si="248"/>
        <v>0</v>
      </c>
      <c r="WCZ22" s="1902">
        <f t="shared" si="248"/>
        <v>0</v>
      </c>
      <c r="WDA22" s="1902">
        <f t="shared" si="248"/>
        <v>0</v>
      </c>
      <c r="WDB22" s="1902">
        <f t="shared" si="248"/>
        <v>0</v>
      </c>
      <c r="WDC22" s="1902">
        <f t="shared" si="248"/>
        <v>0</v>
      </c>
      <c r="WDD22" s="1902">
        <f t="shared" si="248"/>
        <v>0</v>
      </c>
      <c r="WDE22" s="1902">
        <f t="shared" si="248"/>
        <v>0</v>
      </c>
      <c r="WDF22" s="1902">
        <f t="shared" si="248"/>
        <v>0</v>
      </c>
      <c r="WDG22" s="1902">
        <f t="shared" si="248"/>
        <v>0</v>
      </c>
      <c r="WDH22" s="1902">
        <f t="shared" si="248"/>
        <v>0</v>
      </c>
      <c r="WDI22" s="1902">
        <f t="shared" si="248"/>
        <v>0</v>
      </c>
      <c r="WDJ22" s="1902">
        <f t="shared" si="248"/>
        <v>0</v>
      </c>
      <c r="WDK22" s="1902">
        <f t="shared" si="248"/>
        <v>0</v>
      </c>
      <c r="WDL22" s="1902">
        <f t="shared" si="248"/>
        <v>0</v>
      </c>
      <c r="WDM22" s="1902">
        <f t="shared" si="248"/>
        <v>0</v>
      </c>
      <c r="WDN22" s="1902">
        <f t="shared" si="248"/>
        <v>0</v>
      </c>
      <c r="WDO22" s="1902">
        <f t="shared" si="248"/>
        <v>0</v>
      </c>
      <c r="WDP22" s="1902">
        <f t="shared" si="248"/>
        <v>0</v>
      </c>
      <c r="WDQ22" s="1902">
        <f t="shared" si="248"/>
        <v>0</v>
      </c>
      <c r="WDR22" s="1902">
        <f t="shared" si="248"/>
        <v>0</v>
      </c>
      <c r="WDS22" s="1902">
        <f t="shared" si="248"/>
        <v>0</v>
      </c>
      <c r="WDT22" s="1902">
        <f t="shared" si="248"/>
        <v>0</v>
      </c>
      <c r="WDU22" s="1902">
        <f t="shared" si="248"/>
        <v>0</v>
      </c>
      <c r="WDV22" s="1902">
        <f t="shared" si="248"/>
        <v>0</v>
      </c>
      <c r="WDW22" s="1902">
        <f t="shared" si="248"/>
        <v>0</v>
      </c>
      <c r="WDX22" s="1902">
        <f t="shared" si="248"/>
        <v>0</v>
      </c>
      <c r="WDY22" s="1902">
        <f t="shared" si="248"/>
        <v>0</v>
      </c>
      <c r="WDZ22" s="1902">
        <f t="shared" si="248"/>
        <v>0</v>
      </c>
      <c r="WEA22" s="1902">
        <f t="shared" si="248"/>
        <v>0</v>
      </c>
      <c r="WEB22" s="1902">
        <f t="shared" si="248"/>
        <v>0</v>
      </c>
      <c r="WEC22" s="1902">
        <f t="shared" si="248"/>
        <v>0</v>
      </c>
      <c r="WED22" s="1902">
        <f t="shared" si="248"/>
        <v>0</v>
      </c>
      <c r="WEE22" s="1902">
        <f t="shared" si="248"/>
        <v>0</v>
      </c>
      <c r="WEF22" s="1902">
        <f t="shared" si="248"/>
        <v>0</v>
      </c>
      <c r="WEG22" s="1902">
        <f t="shared" si="248"/>
        <v>0</v>
      </c>
      <c r="WEH22" s="1902">
        <f t="shared" si="248"/>
        <v>0</v>
      </c>
      <c r="WEI22" s="1902">
        <f t="shared" si="248"/>
        <v>0</v>
      </c>
      <c r="WEJ22" s="1902">
        <f t="shared" si="248"/>
        <v>0</v>
      </c>
      <c r="WEK22" s="1902">
        <f t="shared" si="248"/>
        <v>0</v>
      </c>
      <c r="WEL22" s="1902">
        <f t="shared" si="248"/>
        <v>0</v>
      </c>
      <c r="WEM22" s="1902">
        <f t="shared" ref="WEM22:WGX22" si="249">IF(AND(WEM$26="End of period",WEM$25="Revenue"),WEM9,0)</f>
        <v>0</v>
      </c>
      <c r="WEN22" s="1902">
        <f t="shared" si="249"/>
        <v>0</v>
      </c>
      <c r="WEO22" s="1902">
        <f t="shared" si="249"/>
        <v>0</v>
      </c>
      <c r="WEP22" s="1902">
        <f t="shared" si="249"/>
        <v>0</v>
      </c>
      <c r="WEQ22" s="1902">
        <f t="shared" si="249"/>
        <v>0</v>
      </c>
      <c r="WER22" s="1902">
        <f t="shared" si="249"/>
        <v>0</v>
      </c>
      <c r="WES22" s="1902">
        <f t="shared" si="249"/>
        <v>0</v>
      </c>
      <c r="WET22" s="1902">
        <f t="shared" si="249"/>
        <v>0</v>
      </c>
      <c r="WEU22" s="1902">
        <f t="shared" si="249"/>
        <v>0</v>
      </c>
      <c r="WEV22" s="1902">
        <f t="shared" si="249"/>
        <v>0</v>
      </c>
      <c r="WEW22" s="1902">
        <f t="shared" si="249"/>
        <v>0</v>
      </c>
      <c r="WEX22" s="1902">
        <f t="shared" si="249"/>
        <v>0</v>
      </c>
      <c r="WEY22" s="1902">
        <f t="shared" si="249"/>
        <v>0</v>
      </c>
      <c r="WEZ22" s="1902">
        <f t="shared" si="249"/>
        <v>0</v>
      </c>
      <c r="WFA22" s="1902">
        <f t="shared" si="249"/>
        <v>0</v>
      </c>
      <c r="WFB22" s="1902">
        <f t="shared" si="249"/>
        <v>0</v>
      </c>
      <c r="WFC22" s="1902">
        <f t="shared" si="249"/>
        <v>0</v>
      </c>
      <c r="WFD22" s="1902">
        <f t="shared" si="249"/>
        <v>0</v>
      </c>
      <c r="WFE22" s="1902">
        <f t="shared" si="249"/>
        <v>0</v>
      </c>
      <c r="WFF22" s="1902">
        <f t="shared" si="249"/>
        <v>0</v>
      </c>
      <c r="WFG22" s="1902">
        <f t="shared" si="249"/>
        <v>0</v>
      </c>
      <c r="WFH22" s="1902">
        <f t="shared" si="249"/>
        <v>0</v>
      </c>
      <c r="WFI22" s="1902">
        <f t="shared" si="249"/>
        <v>0</v>
      </c>
      <c r="WFJ22" s="1902">
        <f t="shared" si="249"/>
        <v>0</v>
      </c>
      <c r="WFK22" s="1902">
        <f t="shared" si="249"/>
        <v>0</v>
      </c>
      <c r="WFL22" s="1902">
        <f t="shared" si="249"/>
        <v>0</v>
      </c>
      <c r="WFM22" s="1902">
        <f t="shared" si="249"/>
        <v>0</v>
      </c>
      <c r="WFN22" s="1902">
        <f t="shared" si="249"/>
        <v>0</v>
      </c>
      <c r="WFO22" s="1902">
        <f t="shared" si="249"/>
        <v>0</v>
      </c>
      <c r="WFP22" s="1902">
        <f t="shared" si="249"/>
        <v>0</v>
      </c>
      <c r="WFQ22" s="1902">
        <f t="shared" si="249"/>
        <v>0</v>
      </c>
      <c r="WFR22" s="1902">
        <f t="shared" si="249"/>
        <v>0</v>
      </c>
      <c r="WFS22" s="1902">
        <f t="shared" si="249"/>
        <v>0</v>
      </c>
      <c r="WFT22" s="1902">
        <f t="shared" si="249"/>
        <v>0</v>
      </c>
      <c r="WFU22" s="1902">
        <f t="shared" si="249"/>
        <v>0</v>
      </c>
      <c r="WFV22" s="1902">
        <f t="shared" si="249"/>
        <v>0</v>
      </c>
      <c r="WFW22" s="1902">
        <f t="shared" si="249"/>
        <v>0</v>
      </c>
      <c r="WFX22" s="1902">
        <f t="shared" si="249"/>
        <v>0</v>
      </c>
      <c r="WFY22" s="1902">
        <f t="shared" si="249"/>
        <v>0</v>
      </c>
      <c r="WFZ22" s="1902">
        <f t="shared" si="249"/>
        <v>0</v>
      </c>
      <c r="WGA22" s="1902">
        <f t="shared" si="249"/>
        <v>0</v>
      </c>
      <c r="WGB22" s="1902">
        <f t="shared" si="249"/>
        <v>0</v>
      </c>
      <c r="WGC22" s="1902">
        <f t="shared" si="249"/>
        <v>0</v>
      </c>
      <c r="WGD22" s="1902">
        <f t="shared" si="249"/>
        <v>0</v>
      </c>
      <c r="WGE22" s="1902">
        <f t="shared" si="249"/>
        <v>0</v>
      </c>
      <c r="WGF22" s="1902">
        <f t="shared" si="249"/>
        <v>0</v>
      </c>
      <c r="WGG22" s="1902">
        <f t="shared" si="249"/>
        <v>0</v>
      </c>
      <c r="WGH22" s="1902">
        <f t="shared" si="249"/>
        <v>0</v>
      </c>
      <c r="WGI22" s="1902">
        <f t="shared" si="249"/>
        <v>0</v>
      </c>
      <c r="WGJ22" s="1902">
        <f t="shared" si="249"/>
        <v>0</v>
      </c>
      <c r="WGK22" s="1902">
        <f t="shared" si="249"/>
        <v>0</v>
      </c>
      <c r="WGL22" s="1902">
        <f t="shared" si="249"/>
        <v>0</v>
      </c>
      <c r="WGM22" s="1902">
        <f t="shared" si="249"/>
        <v>0</v>
      </c>
      <c r="WGN22" s="1902">
        <f t="shared" si="249"/>
        <v>0</v>
      </c>
      <c r="WGO22" s="1902">
        <f t="shared" si="249"/>
        <v>0</v>
      </c>
      <c r="WGP22" s="1902">
        <f t="shared" si="249"/>
        <v>0</v>
      </c>
      <c r="WGQ22" s="1902">
        <f t="shared" si="249"/>
        <v>0</v>
      </c>
      <c r="WGR22" s="1902">
        <f t="shared" si="249"/>
        <v>0</v>
      </c>
      <c r="WGS22" s="1902">
        <f t="shared" si="249"/>
        <v>0</v>
      </c>
      <c r="WGT22" s="1902">
        <f t="shared" si="249"/>
        <v>0</v>
      </c>
      <c r="WGU22" s="1902">
        <f t="shared" si="249"/>
        <v>0</v>
      </c>
      <c r="WGV22" s="1902">
        <f t="shared" si="249"/>
        <v>0</v>
      </c>
      <c r="WGW22" s="1902">
        <f t="shared" si="249"/>
        <v>0</v>
      </c>
      <c r="WGX22" s="1902">
        <f t="shared" si="249"/>
        <v>0</v>
      </c>
      <c r="WGY22" s="1902">
        <f t="shared" ref="WGY22:WJJ22" si="250">IF(AND(WGY$26="End of period",WGY$25="Revenue"),WGY9,0)</f>
        <v>0</v>
      </c>
      <c r="WGZ22" s="1902">
        <f t="shared" si="250"/>
        <v>0</v>
      </c>
      <c r="WHA22" s="1902">
        <f t="shared" si="250"/>
        <v>0</v>
      </c>
      <c r="WHB22" s="1902">
        <f t="shared" si="250"/>
        <v>0</v>
      </c>
      <c r="WHC22" s="1902">
        <f t="shared" si="250"/>
        <v>0</v>
      </c>
      <c r="WHD22" s="1902">
        <f t="shared" si="250"/>
        <v>0</v>
      </c>
      <c r="WHE22" s="1902">
        <f t="shared" si="250"/>
        <v>0</v>
      </c>
      <c r="WHF22" s="1902">
        <f t="shared" si="250"/>
        <v>0</v>
      </c>
      <c r="WHG22" s="1902">
        <f t="shared" si="250"/>
        <v>0</v>
      </c>
      <c r="WHH22" s="1902">
        <f t="shared" si="250"/>
        <v>0</v>
      </c>
      <c r="WHI22" s="1902">
        <f t="shared" si="250"/>
        <v>0</v>
      </c>
      <c r="WHJ22" s="1902">
        <f t="shared" si="250"/>
        <v>0</v>
      </c>
      <c r="WHK22" s="1902">
        <f t="shared" si="250"/>
        <v>0</v>
      </c>
      <c r="WHL22" s="1902">
        <f t="shared" si="250"/>
        <v>0</v>
      </c>
      <c r="WHM22" s="1902">
        <f t="shared" si="250"/>
        <v>0</v>
      </c>
      <c r="WHN22" s="1902">
        <f t="shared" si="250"/>
        <v>0</v>
      </c>
      <c r="WHO22" s="1902">
        <f t="shared" si="250"/>
        <v>0</v>
      </c>
      <c r="WHP22" s="1902">
        <f t="shared" si="250"/>
        <v>0</v>
      </c>
      <c r="WHQ22" s="1902">
        <f t="shared" si="250"/>
        <v>0</v>
      </c>
      <c r="WHR22" s="1902">
        <f t="shared" si="250"/>
        <v>0</v>
      </c>
      <c r="WHS22" s="1902">
        <f t="shared" si="250"/>
        <v>0</v>
      </c>
      <c r="WHT22" s="1902">
        <f t="shared" si="250"/>
        <v>0</v>
      </c>
      <c r="WHU22" s="1902">
        <f t="shared" si="250"/>
        <v>0</v>
      </c>
      <c r="WHV22" s="1902">
        <f t="shared" si="250"/>
        <v>0</v>
      </c>
      <c r="WHW22" s="1902">
        <f t="shared" si="250"/>
        <v>0</v>
      </c>
      <c r="WHX22" s="1902">
        <f t="shared" si="250"/>
        <v>0</v>
      </c>
      <c r="WHY22" s="1902">
        <f t="shared" si="250"/>
        <v>0</v>
      </c>
      <c r="WHZ22" s="1902">
        <f t="shared" si="250"/>
        <v>0</v>
      </c>
      <c r="WIA22" s="1902">
        <f t="shared" si="250"/>
        <v>0</v>
      </c>
      <c r="WIB22" s="1902">
        <f t="shared" si="250"/>
        <v>0</v>
      </c>
      <c r="WIC22" s="1902">
        <f t="shared" si="250"/>
        <v>0</v>
      </c>
      <c r="WID22" s="1902">
        <f t="shared" si="250"/>
        <v>0</v>
      </c>
      <c r="WIE22" s="1902">
        <f t="shared" si="250"/>
        <v>0</v>
      </c>
      <c r="WIF22" s="1902">
        <f t="shared" si="250"/>
        <v>0</v>
      </c>
      <c r="WIG22" s="1902">
        <f t="shared" si="250"/>
        <v>0</v>
      </c>
      <c r="WIH22" s="1902">
        <f t="shared" si="250"/>
        <v>0</v>
      </c>
      <c r="WII22" s="1902">
        <f t="shared" si="250"/>
        <v>0</v>
      </c>
      <c r="WIJ22" s="1902">
        <f t="shared" si="250"/>
        <v>0</v>
      </c>
      <c r="WIK22" s="1902">
        <f t="shared" si="250"/>
        <v>0</v>
      </c>
      <c r="WIL22" s="1902">
        <f t="shared" si="250"/>
        <v>0</v>
      </c>
      <c r="WIM22" s="1902">
        <f t="shared" si="250"/>
        <v>0</v>
      </c>
      <c r="WIN22" s="1902">
        <f t="shared" si="250"/>
        <v>0</v>
      </c>
      <c r="WIO22" s="1902">
        <f t="shared" si="250"/>
        <v>0</v>
      </c>
      <c r="WIP22" s="1902">
        <f t="shared" si="250"/>
        <v>0</v>
      </c>
      <c r="WIQ22" s="1902">
        <f t="shared" si="250"/>
        <v>0</v>
      </c>
      <c r="WIR22" s="1902">
        <f t="shared" si="250"/>
        <v>0</v>
      </c>
      <c r="WIS22" s="1902">
        <f t="shared" si="250"/>
        <v>0</v>
      </c>
      <c r="WIT22" s="1902">
        <f t="shared" si="250"/>
        <v>0</v>
      </c>
      <c r="WIU22" s="1902">
        <f t="shared" si="250"/>
        <v>0</v>
      </c>
      <c r="WIV22" s="1902">
        <f t="shared" si="250"/>
        <v>0</v>
      </c>
      <c r="WIW22" s="1902">
        <f t="shared" si="250"/>
        <v>0</v>
      </c>
      <c r="WIX22" s="1902">
        <f t="shared" si="250"/>
        <v>0</v>
      </c>
      <c r="WIY22" s="1902">
        <f t="shared" si="250"/>
        <v>0</v>
      </c>
      <c r="WIZ22" s="1902">
        <f t="shared" si="250"/>
        <v>0</v>
      </c>
      <c r="WJA22" s="1902">
        <f t="shared" si="250"/>
        <v>0</v>
      </c>
      <c r="WJB22" s="1902">
        <f t="shared" si="250"/>
        <v>0</v>
      </c>
      <c r="WJC22" s="1902">
        <f t="shared" si="250"/>
        <v>0</v>
      </c>
      <c r="WJD22" s="1902">
        <f t="shared" si="250"/>
        <v>0</v>
      </c>
      <c r="WJE22" s="1902">
        <f t="shared" si="250"/>
        <v>0</v>
      </c>
      <c r="WJF22" s="1902">
        <f t="shared" si="250"/>
        <v>0</v>
      </c>
      <c r="WJG22" s="1902">
        <f t="shared" si="250"/>
        <v>0</v>
      </c>
      <c r="WJH22" s="1902">
        <f t="shared" si="250"/>
        <v>0</v>
      </c>
      <c r="WJI22" s="1902">
        <f t="shared" si="250"/>
        <v>0</v>
      </c>
      <c r="WJJ22" s="1902">
        <f t="shared" si="250"/>
        <v>0</v>
      </c>
      <c r="WJK22" s="1902">
        <f t="shared" ref="WJK22:WLV22" si="251">IF(AND(WJK$26="End of period",WJK$25="Revenue"),WJK9,0)</f>
        <v>0</v>
      </c>
      <c r="WJL22" s="1902">
        <f t="shared" si="251"/>
        <v>0</v>
      </c>
      <c r="WJM22" s="1902">
        <f t="shared" si="251"/>
        <v>0</v>
      </c>
      <c r="WJN22" s="1902">
        <f t="shared" si="251"/>
        <v>0</v>
      </c>
      <c r="WJO22" s="1902">
        <f t="shared" si="251"/>
        <v>0</v>
      </c>
      <c r="WJP22" s="1902">
        <f t="shared" si="251"/>
        <v>0</v>
      </c>
      <c r="WJQ22" s="1902">
        <f t="shared" si="251"/>
        <v>0</v>
      </c>
      <c r="WJR22" s="1902">
        <f t="shared" si="251"/>
        <v>0</v>
      </c>
      <c r="WJS22" s="1902">
        <f t="shared" si="251"/>
        <v>0</v>
      </c>
      <c r="WJT22" s="1902">
        <f t="shared" si="251"/>
        <v>0</v>
      </c>
      <c r="WJU22" s="1902">
        <f t="shared" si="251"/>
        <v>0</v>
      </c>
      <c r="WJV22" s="1902">
        <f t="shared" si="251"/>
        <v>0</v>
      </c>
      <c r="WJW22" s="1902">
        <f t="shared" si="251"/>
        <v>0</v>
      </c>
      <c r="WJX22" s="1902">
        <f t="shared" si="251"/>
        <v>0</v>
      </c>
      <c r="WJY22" s="1902">
        <f t="shared" si="251"/>
        <v>0</v>
      </c>
      <c r="WJZ22" s="1902">
        <f t="shared" si="251"/>
        <v>0</v>
      </c>
      <c r="WKA22" s="1902">
        <f t="shared" si="251"/>
        <v>0</v>
      </c>
      <c r="WKB22" s="1902">
        <f t="shared" si="251"/>
        <v>0</v>
      </c>
      <c r="WKC22" s="1902">
        <f t="shared" si="251"/>
        <v>0</v>
      </c>
      <c r="WKD22" s="1902">
        <f t="shared" si="251"/>
        <v>0</v>
      </c>
      <c r="WKE22" s="1902">
        <f t="shared" si="251"/>
        <v>0</v>
      </c>
      <c r="WKF22" s="1902">
        <f t="shared" si="251"/>
        <v>0</v>
      </c>
      <c r="WKG22" s="1902">
        <f t="shared" si="251"/>
        <v>0</v>
      </c>
      <c r="WKH22" s="1902">
        <f t="shared" si="251"/>
        <v>0</v>
      </c>
      <c r="WKI22" s="1902">
        <f t="shared" si="251"/>
        <v>0</v>
      </c>
      <c r="WKJ22" s="1902">
        <f t="shared" si="251"/>
        <v>0</v>
      </c>
      <c r="WKK22" s="1902">
        <f t="shared" si="251"/>
        <v>0</v>
      </c>
      <c r="WKL22" s="1902">
        <f t="shared" si="251"/>
        <v>0</v>
      </c>
      <c r="WKM22" s="1902">
        <f t="shared" si="251"/>
        <v>0</v>
      </c>
      <c r="WKN22" s="1902">
        <f t="shared" si="251"/>
        <v>0</v>
      </c>
      <c r="WKO22" s="1902">
        <f t="shared" si="251"/>
        <v>0</v>
      </c>
      <c r="WKP22" s="1902">
        <f t="shared" si="251"/>
        <v>0</v>
      </c>
      <c r="WKQ22" s="1902">
        <f t="shared" si="251"/>
        <v>0</v>
      </c>
      <c r="WKR22" s="1902">
        <f t="shared" si="251"/>
        <v>0</v>
      </c>
      <c r="WKS22" s="1902">
        <f t="shared" si="251"/>
        <v>0</v>
      </c>
      <c r="WKT22" s="1902">
        <f t="shared" si="251"/>
        <v>0</v>
      </c>
      <c r="WKU22" s="1902">
        <f t="shared" si="251"/>
        <v>0</v>
      </c>
      <c r="WKV22" s="1902">
        <f t="shared" si="251"/>
        <v>0</v>
      </c>
      <c r="WKW22" s="1902">
        <f t="shared" si="251"/>
        <v>0</v>
      </c>
      <c r="WKX22" s="1902">
        <f t="shared" si="251"/>
        <v>0</v>
      </c>
      <c r="WKY22" s="1902">
        <f t="shared" si="251"/>
        <v>0</v>
      </c>
      <c r="WKZ22" s="1902">
        <f t="shared" si="251"/>
        <v>0</v>
      </c>
      <c r="WLA22" s="1902">
        <f t="shared" si="251"/>
        <v>0</v>
      </c>
      <c r="WLB22" s="1902">
        <f t="shared" si="251"/>
        <v>0</v>
      </c>
      <c r="WLC22" s="1902">
        <f t="shared" si="251"/>
        <v>0</v>
      </c>
      <c r="WLD22" s="1902">
        <f t="shared" si="251"/>
        <v>0</v>
      </c>
      <c r="WLE22" s="1902">
        <f t="shared" si="251"/>
        <v>0</v>
      </c>
      <c r="WLF22" s="1902">
        <f t="shared" si="251"/>
        <v>0</v>
      </c>
      <c r="WLG22" s="1902">
        <f t="shared" si="251"/>
        <v>0</v>
      </c>
      <c r="WLH22" s="1902">
        <f t="shared" si="251"/>
        <v>0</v>
      </c>
      <c r="WLI22" s="1902">
        <f t="shared" si="251"/>
        <v>0</v>
      </c>
      <c r="WLJ22" s="1902">
        <f t="shared" si="251"/>
        <v>0</v>
      </c>
      <c r="WLK22" s="1902">
        <f t="shared" si="251"/>
        <v>0</v>
      </c>
      <c r="WLL22" s="1902">
        <f t="shared" si="251"/>
        <v>0</v>
      </c>
      <c r="WLM22" s="1902">
        <f t="shared" si="251"/>
        <v>0</v>
      </c>
      <c r="WLN22" s="1902">
        <f t="shared" si="251"/>
        <v>0</v>
      </c>
      <c r="WLO22" s="1902">
        <f t="shared" si="251"/>
        <v>0</v>
      </c>
      <c r="WLP22" s="1902">
        <f t="shared" si="251"/>
        <v>0</v>
      </c>
      <c r="WLQ22" s="1902">
        <f t="shared" si="251"/>
        <v>0</v>
      </c>
      <c r="WLR22" s="1902">
        <f t="shared" si="251"/>
        <v>0</v>
      </c>
      <c r="WLS22" s="1902">
        <f t="shared" si="251"/>
        <v>0</v>
      </c>
      <c r="WLT22" s="1902">
        <f t="shared" si="251"/>
        <v>0</v>
      </c>
      <c r="WLU22" s="1902">
        <f t="shared" si="251"/>
        <v>0</v>
      </c>
      <c r="WLV22" s="1902">
        <f t="shared" si="251"/>
        <v>0</v>
      </c>
      <c r="WLW22" s="1902">
        <f t="shared" ref="WLW22:WOH22" si="252">IF(AND(WLW$26="End of period",WLW$25="Revenue"),WLW9,0)</f>
        <v>0</v>
      </c>
      <c r="WLX22" s="1902">
        <f t="shared" si="252"/>
        <v>0</v>
      </c>
      <c r="WLY22" s="1902">
        <f t="shared" si="252"/>
        <v>0</v>
      </c>
      <c r="WLZ22" s="1902">
        <f t="shared" si="252"/>
        <v>0</v>
      </c>
      <c r="WMA22" s="1902">
        <f t="shared" si="252"/>
        <v>0</v>
      </c>
      <c r="WMB22" s="1902">
        <f t="shared" si="252"/>
        <v>0</v>
      </c>
      <c r="WMC22" s="1902">
        <f t="shared" si="252"/>
        <v>0</v>
      </c>
      <c r="WMD22" s="1902">
        <f t="shared" si="252"/>
        <v>0</v>
      </c>
      <c r="WME22" s="1902">
        <f t="shared" si="252"/>
        <v>0</v>
      </c>
      <c r="WMF22" s="1902">
        <f t="shared" si="252"/>
        <v>0</v>
      </c>
      <c r="WMG22" s="1902">
        <f t="shared" si="252"/>
        <v>0</v>
      </c>
      <c r="WMH22" s="1902">
        <f t="shared" si="252"/>
        <v>0</v>
      </c>
      <c r="WMI22" s="1902">
        <f t="shared" si="252"/>
        <v>0</v>
      </c>
      <c r="WMJ22" s="1902">
        <f t="shared" si="252"/>
        <v>0</v>
      </c>
      <c r="WMK22" s="1902">
        <f t="shared" si="252"/>
        <v>0</v>
      </c>
      <c r="WML22" s="1902">
        <f t="shared" si="252"/>
        <v>0</v>
      </c>
      <c r="WMM22" s="1902">
        <f t="shared" si="252"/>
        <v>0</v>
      </c>
      <c r="WMN22" s="1902">
        <f t="shared" si="252"/>
        <v>0</v>
      </c>
      <c r="WMO22" s="1902">
        <f t="shared" si="252"/>
        <v>0</v>
      </c>
      <c r="WMP22" s="1902">
        <f t="shared" si="252"/>
        <v>0</v>
      </c>
      <c r="WMQ22" s="1902">
        <f t="shared" si="252"/>
        <v>0</v>
      </c>
      <c r="WMR22" s="1902">
        <f t="shared" si="252"/>
        <v>0</v>
      </c>
      <c r="WMS22" s="1902">
        <f t="shared" si="252"/>
        <v>0</v>
      </c>
      <c r="WMT22" s="1902">
        <f t="shared" si="252"/>
        <v>0</v>
      </c>
      <c r="WMU22" s="1902">
        <f t="shared" si="252"/>
        <v>0</v>
      </c>
      <c r="WMV22" s="1902">
        <f t="shared" si="252"/>
        <v>0</v>
      </c>
      <c r="WMW22" s="1902">
        <f t="shared" si="252"/>
        <v>0</v>
      </c>
      <c r="WMX22" s="1902">
        <f t="shared" si="252"/>
        <v>0</v>
      </c>
      <c r="WMY22" s="1902">
        <f t="shared" si="252"/>
        <v>0</v>
      </c>
      <c r="WMZ22" s="1902">
        <f t="shared" si="252"/>
        <v>0</v>
      </c>
      <c r="WNA22" s="1902">
        <f t="shared" si="252"/>
        <v>0</v>
      </c>
      <c r="WNB22" s="1902">
        <f t="shared" si="252"/>
        <v>0</v>
      </c>
      <c r="WNC22" s="1902">
        <f t="shared" si="252"/>
        <v>0</v>
      </c>
      <c r="WND22" s="1902">
        <f t="shared" si="252"/>
        <v>0</v>
      </c>
      <c r="WNE22" s="1902">
        <f t="shared" si="252"/>
        <v>0</v>
      </c>
      <c r="WNF22" s="1902">
        <f t="shared" si="252"/>
        <v>0</v>
      </c>
      <c r="WNG22" s="1902">
        <f t="shared" si="252"/>
        <v>0</v>
      </c>
      <c r="WNH22" s="1902">
        <f t="shared" si="252"/>
        <v>0</v>
      </c>
      <c r="WNI22" s="1902">
        <f t="shared" si="252"/>
        <v>0</v>
      </c>
      <c r="WNJ22" s="1902">
        <f t="shared" si="252"/>
        <v>0</v>
      </c>
      <c r="WNK22" s="1902">
        <f t="shared" si="252"/>
        <v>0</v>
      </c>
      <c r="WNL22" s="1902">
        <f t="shared" si="252"/>
        <v>0</v>
      </c>
      <c r="WNM22" s="1902">
        <f t="shared" si="252"/>
        <v>0</v>
      </c>
      <c r="WNN22" s="1902">
        <f t="shared" si="252"/>
        <v>0</v>
      </c>
      <c r="WNO22" s="1902">
        <f t="shared" si="252"/>
        <v>0</v>
      </c>
      <c r="WNP22" s="1902">
        <f t="shared" si="252"/>
        <v>0</v>
      </c>
      <c r="WNQ22" s="1902">
        <f t="shared" si="252"/>
        <v>0</v>
      </c>
      <c r="WNR22" s="1902">
        <f t="shared" si="252"/>
        <v>0</v>
      </c>
      <c r="WNS22" s="1902">
        <f t="shared" si="252"/>
        <v>0</v>
      </c>
      <c r="WNT22" s="1902">
        <f t="shared" si="252"/>
        <v>0</v>
      </c>
      <c r="WNU22" s="1902">
        <f t="shared" si="252"/>
        <v>0</v>
      </c>
      <c r="WNV22" s="1902">
        <f t="shared" si="252"/>
        <v>0</v>
      </c>
      <c r="WNW22" s="1902">
        <f t="shared" si="252"/>
        <v>0</v>
      </c>
      <c r="WNX22" s="1902">
        <f t="shared" si="252"/>
        <v>0</v>
      </c>
      <c r="WNY22" s="1902">
        <f t="shared" si="252"/>
        <v>0</v>
      </c>
      <c r="WNZ22" s="1902">
        <f t="shared" si="252"/>
        <v>0</v>
      </c>
      <c r="WOA22" s="1902">
        <f t="shared" si="252"/>
        <v>0</v>
      </c>
      <c r="WOB22" s="1902">
        <f t="shared" si="252"/>
        <v>0</v>
      </c>
      <c r="WOC22" s="1902">
        <f t="shared" si="252"/>
        <v>0</v>
      </c>
      <c r="WOD22" s="1902">
        <f t="shared" si="252"/>
        <v>0</v>
      </c>
      <c r="WOE22" s="1902">
        <f t="shared" si="252"/>
        <v>0</v>
      </c>
      <c r="WOF22" s="1902">
        <f t="shared" si="252"/>
        <v>0</v>
      </c>
      <c r="WOG22" s="1902">
        <f t="shared" si="252"/>
        <v>0</v>
      </c>
      <c r="WOH22" s="1902">
        <f t="shared" si="252"/>
        <v>0</v>
      </c>
      <c r="WOI22" s="1902">
        <f t="shared" ref="WOI22:WQT22" si="253">IF(AND(WOI$26="End of period",WOI$25="Revenue"),WOI9,0)</f>
        <v>0</v>
      </c>
      <c r="WOJ22" s="1902">
        <f t="shared" si="253"/>
        <v>0</v>
      </c>
      <c r="WOK22" s="1902">
        <f t="shared" si="253"/>
        <v>0</v>
      </c>
      <c r="WOL22" s="1902">
        <f t="shared" si="253"/>
        <v>0</v>
      </c>
      <c r="WOM22" s="1902">
        <f t="shared" si="253"/>
        <v>0</v>
      </c>
      <c r="WON22" s="1902">
        <f t="shared" si="253"/>
        <v>0</v>
      </c>
      <c r="WOO22" s="1902">
        <f t="shared" si="253"/>
        <v>0</v>
      </c>
      <c r="WOP22" s="1902">
        <f t="shared" si="253"/>
        <v>0</v>
      </c>
      <c r="WOQ22" s="1902">
        <f t="shared" si="253"/>
        <v>0</v>
      </c>
      <c r="WOR22" s="1902">
        <f t="shared" si="253"/>
        <v>0</v>
      </c>
      <c r="WOS22" s="1902">
        <f t="shared" si="253"/>
        <v>0</v>
      </c>
      <c r="WOT22" s="1902">
        <f t="shared" si="253"/>
        <v>0</v>
      </c>
      <c r="WOU22" s="1902">
        <f t="shared" si="253"/>
        <v>0</v>
      </c>
      <c r="WOV22" s="1902">
        <f t="shared" si="253"/>
        <v>0</v>
      </c>
      <c r="WOW22" s="1902">
        <f t="shared" si="253"/>
        <v>0</v>
      </c>
      <c r="WOX22" s="1902">
        <f t="shared" si="253"/>
        <v>0</v>
      </c>
      <c r="WOY22" s="1902">
        <f t="shared" si="253"/>
        <v>0</v>
      </c>
      <c r="WOZ22" s="1902">
        <f t="shared" si="253"/>
        <v>0</v>
      </c>
      <c r="WPA22" s="1902">
        <f t="shared" si="253"/>
        <v>0</v>
      </c>
      <c r="WPB22" s="1902">
        <f t="shared" si="253"/>
        <v>0</v>
      </c>
      <c r="WPC22" s="1902">
        <f t="shared" si="253"/>
        <v>0</v>
      </c>
      <c r="WPD22" s="1902">
        <f t="shared" si="253"/>
        <v>0</v>
      </c>
      <c r="WPE22" s="1902">
        <f t="shared" si="253"/>
        <v>0</v>
      </c>
      <c r="WPF22" s="1902">
        <f t="shared" si="253"/>
        <v>0</v>
      </c>
      <c r="WPG22" s="1902">
        <f t="shared" si="253"/>
        <v>0</v>
      </c>
      <c r="WPH22" s="1902">
        <f t="shared" si="253"/>
        <v>0</v>
      </c>
      <c r="WPI22" s="1902">
        <f t="shared" si="253"/>
        <v>0</v>
      </c>
      <c r="WPJ22" s="1902">
        <f t="shared" si="253"/>
        <v>0</v>
      </c>
      <c r="WPK22" s="1902">
        <f t="shared" si="253"/>
        <v>0</v>
      </c>
      <c r="WPL22" s="1902">
        <f t="shared" si="253"/>
        <v>0</v>
      </c>
      <c r="WPM22" s="1902">
        <f t="shared" si="253"/>
        <v>0</v>
      </c>
      <c r="WPN22" s="1902">
        <f t="shared" si="253"/>
        <v>0</v>
      </c>
      <c r="WPO22" s="1902">
        <f t="shared" si="253"/>
        <v>0</v>
      </c>
      <c r="WPP22" s="1902">
        <f t="shared" si="253"/>
        <v>0</v>
      </c>
      <c r="WPQ22" s="1902">
        <f t="shared" si="253"/>
        <v>0</v>
      </c>
      <c r="WPR22" s="1902">
        <f t="shared" si="253"/>
        <v>0</v>
      </c>
      <c r="WPS22" s="1902">
        <f t="shared" si="253"/>
        <v>0</v>
      </c>
      <c r="WPT22" s="1902">
        <f t="shared" si="253"/>
        <v>0</v>
      </c>
      <c r="WPU22" s="1902">
        <f t="shared" si="253"/>
        <v>0</v>
      </c>
      <c r="WPV22" s="1902">
        <f t="shared" si="253"/>
        <v>0</v>
      </c>
      <c r="WPW22" s="1902">
        <f t="shared" si="253"/>
        <v>0</v>
      </c>
      <c r="WPX22" s="1902">
        <f t="shared" si="253"/>
        <v>0</v>
      </c>
      <c r="WPY22" s="1902">
        <f t="shared" si="253"/>
        <v>0</v>
      </c>
      <c r="WPZ22" s="1902">
        <f t="shared" si="253"/>
        <v>0</v>
      </c>
      <c r="WQA22" s="1902">
        <f t="shared" si="253"/>
        <v>0</v>
      </c>
      <c r="WQB22" s="1902">
        <f t="shared" si="253"/>
        <v>0</v>
      </c>
      <c r="WQC22" s="1902">
        <f t="shared" si="253"/>
        <v>0</v>
      </c>
      <c r="WQD22" s="1902">
        <f t="shared" si="253"/>
        <v>0</v>
      </c>
      <c r="WQE22" s="1902">
        <f t="shared" si="253"/>
        <v>0</v>
      </c>
      <c r="WQF22" s="1902">
        <f t="shared" si="253"/>
        <v>0</v>
      </c>
      <c r="WQG22" s="1902">
        <f t="shared" si="253"/>
        <v>0</v>
      </c>
      <c r="WQH22" s="1902">
        <f t="shared" si="253"/>
        <v>0</v>
      </c>
      <c r="WQI22" s="1902">
        <f t="shared" si="253"/>
        <v>0</v>
      </c>
      <c r="WQJ22" s="1902">
        <f t="shared" si="253"/>
        <v>0</v>
      </c>
      <c r="WQK22" s="1902">
        <f t="shared" si="253"/>
        <v>0</v>
      </c>
      <c r="WQL22" s="1902">
        <f t="shared" si="253"/>
        <v>0</v>
      </c>
      <c r="WQM22" s="1902">
        <f t="shared" si="253"/>
        <v>0</v>
      </c>
      <c r="WQN22" s="1902">
        <f t="shared" si="253"/>
        <v>0</v>
      </c>
      <c r="WQO22" s="1902">
        <f t="shared" si="253"/>
        <v>0</v>
      </c>
      <c r="WQP22" s="1902">
        <f t="shared" si="253"/>
        <v>0</v>
      </c>
      <c r="WQQ22" s="1902">
        <f t="shared" si="253"/>
        <v>0</v>
      </c>
      <c r="WQR22" s="1902">
        <f t="shared" si="253"/>
        <v>0</v>
      </c>
      <c r="WQS22" s="1902">
        <f t="shared" si="253"/>
        <v>0</v>
      </c>
      <c r="WQT22" s="1902">
        <f t="shared" si="253"/>
        <v>0</v>
      </c>
      <c r="WQU22" s="1902">
        <f t="shared" ref="WQU22:WTF22" si="254">IF(AND(WQU$26="End of period",WQU$25="Revenue"),WQU9,0)</f>
        <v>0</v>
      </c>
      <c r="WQV22" s="1902">
        <f t="shared" si="254"/>
        <v>0</v>
      </c>
      <c r="WQW22" s="1902">
        <f t="shared" si="254"/>
        <v>0</v>
      </c>
      <c r="WQX22" s="1902">
        <f t="shared" si="254"/>
        <v>0</v>
      </c>
      <c r="WQY22" s="1902">
        <f t="shared" si="254"/>
        <v>0</v>
      </c>
      <c r="WQZ22" s="1902">
        <f t="shared" si="254"/>
        <v>0</v>
      </c>
      <c r="WRA22" s="1902">
        <f t="shared" si="254"/>
        <v>0</v>
      </c>
      <c r="WRB22" s="1902">
        <f t="shared" si="254"/>
        <v>0</v>
      </c>
      <c r="WRC22" s="1902">
        <f t="shared" si="254"/>
        <v>0</v>
      </c>
      <c r="WRD22" s="1902">
        <f t="shared" si="254"/>
        <v>0</v>
      </c>
      <c r="WRE22" s="1902">
        <f t="shared" si="254"/>
        <v>0</v>
      </c>
      <c r="WRF22" s="1902">
        <f t="shared" si="254"/>
        <v>0</v>
      </c>
      <c r="WRG22" s="1902">
        <f t="shared" si="254"/>
        <v>0</v>
      </c>
      <c r="WRH22" s="1902">
        <f t="shared" si="254"/>
        <v>0</v>
      </c>
      <c r="WRI22" s="1902">
        <f t="shared" si="254"/>
        <v>0</v>
      </c>
      <c r="WRJ22" s="1902">
        <f t="shared" si="254"/>
        <v>0</v>
      </c>
      <c r="WRK22" s="1902">
        <f t="shared" si="254"/>
        <v>0</v>
      </c>
      <c r="WRL22" s="1902">
        <f t="shared" si="254"/>
        <v>0</v>
      </c>
      <c r="WRM22" s="1902">
        <f t="shared" si="254"/>
        <v>0</v>
      </c>
      <c r="WRN22" s="1902">
        <f t="shared" si="254"/>
        <v>0</v>
      </c>
      <c r="WRO22" s="1902">
        <f t="shared" si="254"/>
        <v>0</v>
      </c>
      <c r="WRP22" s="1902">
        <f t="shared" si="254"/>
        <v>0</v>
      </c>
      <c r="WRQ22" s="1902">
        <f t="shared" si="254"/>
        <v>0</v>
      </c>
      <c r="WRR22" s="1902">
        <f t="shared" si="254"/>
        <v>0</v>
      </c>
      <c r="WRS22" s="1902">
        <f t="shared" si="254"/>
        <v>0</v>
      </c>
      <c r="WRT22" s="1902">
        <f t="shared" si="254"/>
        <v>0</v>
      </c>
      <c r="WRU22" s="1902">
        <f t="shared" si="254"/>
        <v>0</v>
      </c>
      <c r="WRV22" s="1902">
        <f t="shared" si="254"/>
        <v>0</v>
      </c>
      <c r="WRW22" s="1902">
        <f t="shared" si="254"/>
        <v>0</v>
      </c>
      <c r="WRX22" s="1902">
        <f t="shared" si="254"/>
        <v>0</v>
      </c>
      <c r="WRY22" s="1902">
        <f t="shared" si="254"/>
        <v>0</v>
      </c>
      <c r="WRZ22" s="1902">
        <f t="shared" si="254"/>
        <v>0</v>
      </c>
      <c r="WSA22" s="1902">
        <f t="shared" si="254"/>
        <v>0</v>
      </c>
      <c r="WSB22" s="1902">
        <f t="shared" si="254"/>
        <v>0</v>
      </c>
      <c r="WSC22" s="1902">
        <f t="shared" si="254"/>
        <v>0</v>
      </c>
      <c r="WSD22" s="1902">
        <f t="shared" si="254"/>
        <v>0</v>
      </c>
      <c r="WSE22" s="1902">
        <f t="shared" si="254"/>
        <v>0</v>
      </c>
      <c r="WSF22" s="1902">
        <f t="shared" si="254"/>
        <v>0</v>
      </c>
      <c r="WSG22" s="1902">
        <f t="shared" si="254"/>
        <v>0</v>
      </c>
      <c r="WSH22" s="1902">
        <f t="shared" si="254"/>
        <v>0</v>
      </c>
      <c r="WSI22" s="1902">
        <f t="shared" si="254"/>
        <v>0</v>
      </c>
      <c r="WSJ22" s="1902">
        <f t="shared" si="254"/>
        <v>0</v>
      </c>
      <c r="WSK22" s="1902">
        <f t="shared" si="254"/>
        <v>0</v>
      </c>
      <c r="WSL22" s="1902">
        <f t="shared" si="254"/>
        <v>0</v>
      </c>
      <c r="WSM22" s="1902">
        <f t="shared" si="254"/>
        <v>0</v>
      </c>
      <c r="WSN22" s="1902">
        <f t="shared" si="254"/>
        <v>0</v>
      </c>
      <c r="WSO22" s="1902">
        <f t="shared" si="254"/>
        <v>0</v>
      </c>
      <c r="WSP22" s="1902">
        <f t="shared" si="254"/>
        <v>0</v>
      </c>
      <c r="WSQ22" s="1902">
        <f t="shared" si="254"/>
        <v>0</v>
      </c>
      <c r="WSR22" s="1902">
        <f t="shared" si="254"/>
        <v>0</v>
      </c>
      <c r="WSS22" s="1902">
        <f t="shared" si="254"/>
        <v>0</v>
      </c>
      <c r="WST22" s="1902">
        <f t="shared" si="254"/>
        <v>0</v>
      </c>
      <c r="WSU22" s="1902">
        <f t="shared" si="254"/>
        <v>0</v>
      </c>
      <c r="WSV22" s="1902">
        <f t="shared" si="254"/>
        <v>0</v>
      </c>
      <c r="WSW22" s="1902">
        <f t="shared" si="254"/>
        <v>0</v>
      </c>
      <c r="WSX22" s="1902">
        <f t="shared" si="254"/>
        <v>0</v>
      </c>
      <c r="WSY22" s="1902">
        <f t="shared" si="254"/>
        <v>0</v>
      </c>
      <c r="WSZ22" s="1902">
        <f t="shared" si="254"/>
        <v>0</v>
      </c>
      <c r="WTA22" s="1902">
        <f t="shared" si="254"/>
        <v>0</v>
      </c>
      <c r="WTB22" s="1902">
        <f t="shared" si="254"/>
        <v>0</v>
      </c>
      <c r="WTC22" s="1902">
        <f t="shared" si="254"/>
        <v>0</v>
      </c>
      <c r="WTD22" s="1902">
        <f t="shared" si="254"/>
        <v>0</v>
      </c>
      <c r="WTE22" s="1902">
        <f t="shared" si="254"/>
        <v>0</v>
      </c>
      <c r="WTF22" s="1902">
        <f t="shared" si="254"/>
        <v>0</v>
      </c>
      <c r="WTG22" s="1902">
        <f t="shared" ref="WTG22:WVR22" si="255">IF(AND(WTG$26="End of period",WTG$25="Revenue"),WTG9,0)</f>
        <v>0</v>
      </c>
      <c r="WTH22" s="1902">
        <f t="shared" si="255"/>
        <v>0</v>
      </c>
      <c r="WTI22" s="1902">
        <f t="shared" si="255"/>
        <v>0</v>
      </c>
      <c r="WTJ22" s="1902">
        <f t="shared" si="255"/>
        <v>0</v>
      </c>
      <c r="WTK22" s="1902">
        <f t="shared" si="255"/>
        <v>0</v>
      </c>
      <c r="WTL22" s="1902">
        <f t="shared" si="255"/>
        <v>0</v>
      </c>
      <c r="WTM22" s="1902">
        <f t="shared" si="255"/>
        <v>0</v>
      </c>
      <c r="WTN22" s="1902">
        <f t="shared" si="255"/>
        <v>0</v>
      </c>
      <c r="WTO22" s="1902">
        <f t="shared" si="255"/>
        <v>0</v>
      </c>
      <c r="WTP22" s="1902">
        <f t="shared" si="255"/>
        <v>0</v>
      </c>
      <c r="WTQ22" s="1902">
        <f t="shared" si="255"/>
        <v>0</v>
      </c>
      <c r="WTR22" s="1902">
        <f t="shared" si="255"/>
        <v>0</v>
      </c>
      <c r="WTS22" s="1902">
        <f t="shared" si="255"/>
        <v>0</v>
      </c>
      <c r="WTT22" s="1902">
        <f t="shared" si="255"/>
        <v>0</v>
      </c>
      <c r="WTU22" s="1902">
        <f t="shared" si="255"/>
        <v>0</v>
      </c>
      <c r="WTV22" s="1902">
        <f t="shared" si="255"/>
        <v>0</v>
      </c>
      <c r="WTW22" s="1902">
        <f t="shared" si="255"/>
        <v>0</v>
      </c>
      <c r="WTX22" s="1902">
        <f t="shared" si="255"/>
        <v>0</v>
      </c>
      <c r="WTY22" s="1902">
        <f t="shared" si="255"/>
        <v>0</v>
      </c>
      <c r="WTZ22" s="1902">
        <f t="shared" si="255"/>
        <v>0</v>
      </c>
      <c r="WUA22" s="1902">
        <f t="shared" si="255"/>
        <v>0</v>
      </c>
      <c r="WUB22" s="1902">
        <f t="shared" si="255"/>
        <v>0</v>
      </c>
      <c r="WUC22" s="1902">
        <f t="shared" si="255"/>
        <v>0</v>
      </c>
      <c r="WUD22" s="1902">
        <f t="shared" si="255"/>
        <v>0</v>
      </c>
      <c r="WUE22" s="1902">
        <f t="shared" si="255"/>
        <v>0</v>
      </c>
      <c r="WUF22" s="1902">
        <f t="shared" si="255"/>
        <v>0</v>
      </c>
      <c r="WUG22" s="1902">
        <f t="shared" si="255"/>
        <v>0</v>
      </c>
      <c r="WUH22" s="1902">
        <f t="shared" si="255"/>
        <v>0</v>
      </c>
      <c r="WUI22" s="1902">
        <f t="shared" si="255"/>
        <v>0</v>
      </c>
      <c r="WUJ22" s="1902">
        <f t="shared" si="255"/>
        <v>0</v>
      </c>
      <c r="WUK22" s="1902">
        <f t="shared" si="255"/>
        <v>0</v>
      </c>
      <c r="WUL22" s="1902">
        <f t="shared" si="255"/>
        <v>0</v>
      </c>
      <c r="WUM22" s="1902">
        <f t="shared" si="255"/>
        <v>0</v>
      </c>
      <c r="WUN22" s="1902">
        <f t="shared" si="255"/>
        <v>0</v>
      </c>
      <c r="WUO22" s="1902">
        <f t="shared" si="255"/>
        <v>0</v>
      </c>
      <c r="WUP22" s="1902">
        <f t="shared" si="255"/>
        <v>0</v>
      </c>
      <c r="WUQ22" s="1902">
        <f t="shared" si="255"/>
        <v>0</v>
      </c>
      <c r="WUR22" s="1902">
        <f t="shared" si="255"/>
        <v>0</v>
      </c>
      <c r="WUS22" s="1902">
        <f t="shared" si="255"/>
        <v>0</v>
      </c>
      <c r="WUT22" s="1902">
        <f t="shared" si="255"/>
        <v>0</v>
      </c>
      <c r="WUU22" s="1902">
        <f t="shared" si="255"/>
        <v>0</v>
      </c>
      <c r="WUV22" s="1902">
        <f t="shared" si="255"/>
        <v>0</v>
      </c>
      <c r="WUW22" s="1902">
        <f t="shared" si="255"/>
        <v>0</v>
      </c>
      <c r="WUX22" s="1902">
        <f t="shared" si="255"/>
        <v>0</v>
      </c>
      <c r="WUY22" s="1902">
        <f t="shared" si="255"/>
        <v>0</v>
      </c>
      <c r="WUZ22" s="1902">
        <f t="shared" si="255"/>
        <v>0</v>
      </c>
      <c r="WVA22" s="1902">
        <f t="shared" si="255"/>
        <v>0</v>
      </c>
      <c r="WVB22" s="1902">
        <f t="shared" si="255"/>
        <v>0</v>
      </c>
      <c r="WVC22" s="1902">
        <f t="shared" si="255"/>
        <v>0</v>
      </c>
      <c r="WVD22" s="1902">
        <f t="shared" si="255"/>
        <v>0</v>
      </c>
      <c r="WVE22" s="1902">
        <f t="shared" si="255"/>
        <v>0</v>
      </c>
      <c r="WVF22" s="1902">
        <f t="shared" si="255"/>
        <v>0</v>
      </c>
      <c r="WVG22" s="1902">
        <f t="shared" si="255"/>
        <v>0</v>
      </c>
      <c r="WVH22" s="1902">
        <f t="shared" si="255"/>
        <v>0</v>
      </c>
      <c r="WVI22" s="1902">
        <f t="shared" si="255"/>
        <v>0</v>
      </c>
      <c r="WVJ22" s="1902">
        <f t="shared" si="255"/>
        <v>0</v>
      </c>
      <c r="WVK22" s="1902">
        <f t="shared" si="255"/>
        <v>0</v>
      </c>
      <c r="WVL22" s="1902">
        <f t="shared" si="255"/>
        <v>0</v>
      </c>
      <c r="WVM22" s="1902">
        <f t="shared" si="255"/>
        <v>0</v>
      </c>
      <c r="WVN22" s="1902">
        <f t="shared" si="255"/>
        <v>0</v>
      </c>
      <c r="WVO22" s="1902">
        <f t="shared" si="255"/>
        <v>0</v>
      </c>
      <c r="WVP22" s="1902">
        <f t="shared" si="255"/>
        <v>0</v>
      </c>
      <c r="WVQ22" s="1902">
        <f t="shared" si="255"/>
        <v>0</v>
      </c>
      <c r="WVR22" s="1902">
        <f t="shared" si="255"/>
        <v>0</v>
      </c>
      <c r="WVS22" s="1902">
        <f t="shared" ref="WVS22:WYD22" si="256">IF(AND(WVS$26="End of period",WVS$25="Revenue"),WVS9,0)</f>
        <v>0</v>
      </c>
      <c r="WVT22" s="1902">
        <f t="shared" si="256"/>
        <v>0</v>
      </c>
      <c r="WVU22" s="1902">
        <f t="shared" si="256"/>
        <v>0</v>
      </c>
      <c r="WVV22" s="1902">
        <f t="shared" si="256"/>
        <v>0</v>
      </c>
      <c r="WVW22" s="1902">
        <f t="shared" si="256"/>
        <v>0</v>
      </c>
      <c r="WVX22" s="1902">
        <f t="shared" si="256"/>
        <v>0</v>
      </c>
      <c r="WVY22" s="1902">
        <f t="shared" si="256"/>
        <v>0</v>
      </c>
      <c r="WVZ22" s="1902">
        <f t="shared" si="256"/>
        <v>0</v>
      </c>
      <c r="WWA22" s="1902">
        <f t="shared" si="256"/>
        <v>0</v>
      </c>
      <c r="WWB22" s="1902">
        <f t="shared" si="256"/>
        <v>0</v>
      </c>
      <c r="WWC22" s="1902">
        <f t="shared" si="256"/>
        <v>0</v>
      </c>
      <c r="WWD22" s="1902">
        <f t="shared" si="256"/>
        <v>0</v>
      </c>
      <c r="WWE22" s="1902">
        <f t="shared" si="256"/>
        <v>0</v>
      </c>
      <c r="WWF22" s="1902">
        <f t="shared" si="256"/>
        <v>0</v>
      </c>
      <c r="WWG22" s="1902">
        <f t="shared" si="256"/>
        <v>0</v>
      </c>
      <c r="WWH22" s="1902">
        <f t="shared" si="256"/>
        <v>0</v>
      </c>
      <c r="WWI22" s="1902">
        <f t="shared" si="256"/>
        <v>0</v>
      </c>
      <c r="WWJ22" s="1902">
        <f t="shared" si="256"/>
        <v>0</v>
      </c>
      <c r="WWK22" s="1902">
        <f t="shared" si="256"/>
        <v>0</v>
      </c>
      <c r="WWL22" s="1902">
        <f t="shared" si="256"/>
        <v>0</v>
      </c>
      <c r="WWM22" s="1902">
        <f t="shared" si="256"/>
        <v>0</v>
      </c>
      <c r="WWN22" s="1902">
        <f t="shared" si="256"/>
        <v>0</v>
      </c>
      <c r="WWO22" s="1902">
        <f t="shared" si="256"/>
        <v>0</v>
      </c>
      <c r="WWP22" s="1902">
        <f t="shared" si="256"/>
        <v>0</v>
      </c>
      <c r="WWQ22" s="1902">
        <f t="shared" si="256"/>
        <v>0</v>
      </c>
      <c r="WWR22" s="1902">
        <f t="shared" si="256"/>
        <v>0</v>
      </c>
      <c r="WWS22" s="1902">
        <f t="shared" si="256"/>
        <v>0</v>
      </c>
      <c r="WWT22" s="1902">
        <f t="shared" si="256"/>
        <v>0</v>
      </c>
      <c r="WWU22" s="1902">
        <f t="shared" si="256"/>
        <v>0</v>
      </c>
      <c r="WWV22" s="1902">
        <f t="shared" si="256"/>
        <v>0</v>
      </c>
      <c r="WWW22" s="1902">
        <f t="shared" si="256"/>
        <v>0</v>
      </c>
      <c r="WWX22" s="1902">
        <f t="shared" si="256"/>
        <v>0</v>
      </c>
      <c r="WWY22" s="1902">
        <f t="shared" si="256"/>
        <v>0</v>
      </c>
      <c r="WWZ22" s="1902">
        <f t="shared" si="256"/>
        <v>0</v>
      </c>
      <c r="WXA22" s="1902">
        <f t="shared" si="256"/>
        <v>0</v>
      </c>
      <c r="WXB22" s="1902">
        <f t="shared" si="256"/>
        <v>0</v>
      </c>
      <c r="WXC22" s="1902">
        <f t="shared" si="256"/>
        <v>0</v>
      </c>
      <c r="WXD22" s="1902">
        <f t="shared" si="256"/>
        <v>0</v>
      </c>
      <c r="WXE22" s="1902">
        <f t="shared" si="256"/>
        <v>0</v>
      </c>
      <c r="WXF22" s="1902">
        <f t="shared" si="256"/>
        <v>0</v>
      </c>
      <c r="WXG22" s="1902">
        <f t="shared" si="256"/>
        <v>0</v>
      </c>
      <c r="WXH22" s="1902">
        <f t="shared" si="256"/>
        <v>0</v>
      </c>
      <c r="WXI22" s="1902">
        <f t="shared" si="256"/>
        <v>0</v>
      </c>
      <c r="WXJ22" s="1902">
        <f t="shared" si="256"/>
        <v>0</v>
      </c>
      <c r="WXK22" s="1902">
        <f t="shared" si="256"/>
        <v>0</v>
      </c>
      <c r="WXL22" s="1902">
        <f t="shared" si="256"/>
        <v>0</v>
      </c>
      <c r="WXM22" s="1902">
        <f t="shared" si="256"/>
        <v>0</v>
      </c>
      <c r="WXN22" s="1902">
        <f t="shared" si="256"/>
        <v>0</v>
      </c>
      <c r="WXO22" s="1902">
        <f t="shared" si="256"/>
        <v>0</v>
      </c>
      <c r="WXP22" s="1902">
        <f t="shared" si="256"/>
        <v>0</v>
      </c>
      <c r="WXQ22" s="1902">
        <f t="shared" si="256"/>
        <v>0</v>
      </c>
      <c r="WXR22" s="1902">
        <f t="shared" si="256"/>
        <v>0</v>
      </c>
      <c r="WXS22" s="1902">
        <f t="shared" si="256"/>
        <v>0</v>
      </c>
      <c r="WXT22" s="1902">
        <f t="shared" si="256"/>
        <v>0</v>
      </c>
      <c r="WXU22" s="1902">
        <f t="shared" si="256"/>
        <v>0</v>
      </c>
      <c r="WXV22" s="1902">
        <f t="shared" si="256"/>
        <v>0</v>
      </c>
      <c r="WXW22" s="1902">
        <f t="shared" si="256"/>
        <v>0</v>
      </c>
      <c r="WXX22" s="1902">
        <f t="shared" si="256"/>
        <v>0</v>
      </c>
      <c r="WXY22" s="1902">
        <f t="shared" si="256"/>
        <v>0</v>
      </c>
      <c r="WXZ22" s="1902">
        <f t="shared" si="256"/>
        <v>0</v>
      </c>
      <c r="WYA22" s="1902">
        <f t="shared" si="256"/>
        <v>0</v>
      </c>
      <c r="WYB22" s="1902">
        <f t="shared" si="256"/>
        <v>0</v>
      </c>
      <c r="WYC22" s="1902">
        <f t="shared" si="256"/>
        <v>0</v>
      </c>
      <c r="WYD22" s="1902">
        <f t="shared" si="256"/>
        <v>0</v>
      </c>
      <c r="WYE22" s="1902">
        <f t="shared" ref="WYE22:XAP22" si="257">IF(AND(WYE$26="End of period",WYE$25="Revenue"),WYE9,0)</f>
        <v>0</v>
      </c>
      <c r="WYF22" s="1902">
        <f t="shared" si="257"/>
        <v>0</v>
      </c>
      <c r="WYG22" s="1902">
        <f t="shared" si="257"/>
        <v>0</v>
      </c>
      <c r="WYH22" s="1902">
        <f t="shared" si="257"/>
        <v>0</v>
      </c>
      <c r="WYI22" s="1902">
        <f t="shared" si="257"/>
        <v>0</v>
      </c>
      <c r="WYJ22" s="1902">
        <f t="shared" si="257"/>
        <v>0</v>
      </c>
      <c r="WYK22" s="1902">
        <f t="shared" si="257"/>
        <v>0</v>
      </c>
      <c r="WYL22" s="1902">
        <f t="shared" si="257"/>
        <v>0</v>
      </c>
      <c r="WYM22" s="1902">
        <f t="shared" si="257"/>
        <v>0</v>
      </c>
      <c r="WYN22" s="1902">
        <f t="shared" si="257"/>
        <v>0</v>
      </c>
      <c r="WYO22" s="1902">
        <f t="shared" si="257"/>
        <v>0</v>
      </c>
      <c r="WYP22" s="1902">
        <f t="shared" si="257"/>
        <v>0</v>
      </c>
      <c r="WYQ22" s="1902">
        <f t="shared" si="257"/>
        <v>0</v>
      </c>
      <c r="WYR22" s="1902">
        <f t="shared" si="257"/>
        <v>0</v>
      </c>
      <c r="WYS22" s="1902">
        <f t="shared" si="257"/>
        <v>0</v>
      </c>
      <c r="WYT22" s="1902">
        <f t="shared" si="257"/>
        <v>0</v>
      </c>
      <c r="WYU22" s="1902">
        <f t="shared" si="257"/>
        <v>0</v>
      </c>
      <c r="WYV22" s="1902">
        <f t="shared" si="257"/>
        <v>0</v>
      </c>
      <c r="WYW22" s="1902">
        <f t="shared" si="257"/>
        <v>0</v>
      </c>
      <c r="WYX22" s="1902">
        <f t="shared" si="257"/>
        <v>0</v>
      </c>
      <c r="WYY22" s="1902">
        <f t="shared" si="257"/>
        <v>0</v>
      </c>
      <c r="WYZ22" s="1902">
        <f t="shared" si="257"/>
        <v>0</v>
      </c>
      <c r="WZA22" s="1902">
        <f t="shared" si="257"/>
        <v>0</v>
      </c>
      <c r="WZB22" s="1902">
        <f t="shared" si="257"/>
        <v>0</v>
      </c>
      <c r="WZC22" s="1902">
        <f t="shared" si="257"/>
        <v>0</v>
      </c>
      <c r="WZD22" s="1902">
        <f t="shared" si="257"/>
        <v>0</v>
      </c>
      <c r="WZE22" s="1902">
        <f t="shared" si="257"/>
        <v>0</v>
      </c>
      <c r="WZF22" s="1902">
        <f t="shared" si="257"/>
        <v>0</v>
      </c>
      <c r="WZG22" s="1902">
        <f t="shared" si="257"/>
        <v>0</v>
      </c>
      <c r="WZH22" s="1902">
        <f t="shared" si="257"/>
        <v>0</v>
      </c>
      <c r="WZI22" s="1902">
        <f t="shared" si="257"/>
        <v>0</v>
      </c>
      <c r="WZJ22" s="1902">
        <f t="shared" si="257"/>
        <v>0</v>
      </c>
      <c r="WZK22" s="1902">
        <f t="shared" si="257"/>
        <v>0</v>
      </c>
      <c r="WZL22" s="1902">
        <f t="shared" si="257"/>
        <v>0</v>
      </c>
      <c r="WZM22" s="1902">
        <f t="shared" si="257"/>
        <v>0</v>
      </c>
      <c r="WZN22" s="1902">
        <f t="shared" si="257"/>
        <v>0</v>
      </c>
      <c r="WZO22" s="1902">
        <f t="shared" si="257"/>
        <v>0</v>
      </c>
      <c r="WZP22" s="1902">
        <f t="shared" si="257"/>
        <v>0</v>
      </c>
      <c r="WZQ22" s="1902">
        <f t="shared" si="257"/>
        <v>0</v>
      </c>
      <c r="WZR22" s="1902">
        <f t="shared" si="257"/>
        <v>0</v>
      </c>
      <c r="WZS22" s="1902">
        <f t="shared" si="257"/>
        <v>0</v>
      </c>
      <c r="WZT22" s="1902">
        <f t="shared" si="257"/>
        <v>0</v>
      </c>
      <c r="WZU22" s="1902">
        <f t="shared" si="257"/>
        <v>0</v>
      </c>
      <c r="WZV22" s="1902">
        <f t="shared" si="257"/>
        <v>0</v>
      </c>
      <c r="WZW22" s="1902">
        <f t="shared" si="257"/>
        <v>0</v>
      </c>
      <c r="WZX22" s="1902">
        <f t="shared" si="257"/>
        <v>0</v>
      </c>
      <c r="WZY22" s="1902">
        <f t="shared" si="257"/>
        <v>0</v>
      </c>
      <c r="WZZ22" s="1902">
        <f t="shared" si="257"/>
        <v>0</v>
      </c>
      <c r="XAA22" s="1902">
        <f t="shared" si="257"/>
        <v>0</v>
      </c>
      <c r="XAB22" s="1902">
        <f t="shared" si="257"/>
        <v>0</v>
      </c>
      <c r="XAC22" s="1902">
        <f t="shared" si="257"/>
        <v>0</v>
      </c>
      <c r="XAD22" s="1902">
        <f t="shared" si="257"/>
        <v>0</v>
      </c>
      <c r="XAE22" s="1902">
        <f t="shared" si="257"/>
        <v>0</v>
      </c>
      <c r="XAF22" s="1902">
        <f t="shared" si="257"/>
        <v>0</v>
      </c>
      <c r="XAG22" s="1902">
        <f t="shared" si="257"/>
        <v>0</v>
      </c>
      <c r="XAH22" s="1902">
        <f t="shared" si="257"/>
        <v>0</v>
      </c>
      <c r="XAI22" s="1902">
        <f t="shared" si="257"/>
        <v>0</v>
      </c>
      <c r="XAJ22" s="1902">
        <f t="shared" si="257"/>
        <v>0</v>
      </c>
      <c r="XAK22" s="1902">
        <f t="shared" si="257"/>
        <v>0</v>
      </c>
      <c r="XAL22" s="1902">
        <f t="shared" si="257"/>
        <v>0</v>
      </c>
      <c r="XAM22" s="1902">
        <f t="shared" si="257"/>
        <v>0</v>
      </c>
      <c r="XAN22" s="1902">
        <f t="shared" si="257"/>
        <v>0</v>
      </c>
      <c r="XAO22" s="1902">
        <f t="shared" si="257"/>
        <v>0</v>
      </c>
      <c r="XAP22" s="1902">
        <f t="shared" si="257"/>
        <v>0</v>
      </c>
      <c r="XAQ22" s="1902">
        <f t="shared" ref="XAQ22:XDB22" si="258">IF(AND(XAQ$26="End of period",XAQ$25="Revenue"),XAQ9,0)</f>
        <v>0</v>
      </c>
      <c r="XAR22" s="1902">
        <f t="shared" si="258"/>
        <v>0</v>
      </c>
      <c r="XAS22" s="1902">
        <f t="shared" si="258"/>
        <v>0</v>
      </c>
      <c r="XAT22" s="1902">
        <f t="shared" si="258"/>
        <v>0</v>
      </c>
      <c r="XAU22" s="1902">
        <f t="shared" si="258"/>
        <v>0</v>
      </c>
      <c r="XAV22" s="1902">
        <f t="shared" si="258"/>
        <v>0</v>
      </c>
      <c r="XAW22" s="1902">
        <f t="shared" si="258"/>
        <v>0</v>
      </c>
      <c r="XAX22" s="1902">
        <f t="shared" si="258"/>
        <v>0</v>
      </c>
      <c r="XAY22" s="1902">
        <f t="shared" si="258"/>
        <v>0</v>
      </c>
      <c r="XAZ22" s="1902">
        <f t="shared" si="258"/>
        <v>0</v>
      </c>
      <c r="XBA22" s="1902">
        <f t="shared" si="258"/>
        <v>0</v>
      </c>
      <c r="XBB22" s="1902">
        <f t="shared" si="258"/>
        <v>0</v>
      </c>
      <c r="XBC22" s="1902">
        <f t="shared" si="258"/>
        <v>0</v>
      </c>
      <c r="XBD22" s="1902">
        <f t="shared" si="258"/>
        <v>0</v>
      </c>
      <c r="XBE22" s="1902">
        <f t="shared" si="258"/>
        <v>0</v>
      </c>
      <c r="XBF22" s="1902">
        <f t="shared" si="258"/>
        <v>0</v>
      </c>
      <c r="XBG22" s="1902">
        <f t="shared" si="258"/>
        <v>0</v>
      </c>
      <c r="XBH22" s="1902">
        <f t="shared" si="258"/>
        <v>0</v>
      </c>
      <c r="XBI22" s="1902">
        <f t="shared" si="258"/>
        <v>0</v>
      </c>
      <c r="XBJ22" s="1902">
        <f t="shared" si="258"/>
        <v>0</v>
      </c>
      <c r="XBK22" s="1902">
        <f t="shared" si="258"/>
        <v>0</v>
      </c>
      <c r="XBL22" s="1902">
        <f t="shared" si="258"/>
        <v>0</v>
      </c>
      <c r="XBM22" s="1902">
        <f t="shared" si="258"/>
        <v>0</v>
      </c>
      <c r="XBN22" s="1902">
        <f t="shared" si="258"/>
        <v>0</v>
      </c>
      <c r="XBO22" s="1902">
        <f t="shared" si="258"/>
        <v>0</v>
      </c>
      <c r="XBP22" s="1902">
        <f t="shared" si="258"/>
        <v>0</v>
      </c>
      <c r="XBQ22" s="1902">
        <f t="shared" si="258"/>
        <v>0</v>
      </c>
      <c r="XBR22" s="1902">
        <f t="shared" si="258"/>
        <v>0</v>
      </c>
      <c r="XBS22" s="1902">
        <f t="shared" si="258"/>
        <v>0</v>
      </c>
      <c r="XBT22" s="1902">
        <f t="shared" si="258"/>
        <v>0</v>
      </c>
      <c r="XBU22" s="1902">
        <f t="shared" si="258"/>
        <v>0</v>
      </c>
      <c r="XBV22" s="1902">
        <f t="shared" si="258"/>
        <v>0</v>
      </c>
      <c r="XBW22" s="1902">
        <f t="shared" si="258"/>
        <v>0</v>
      </c>
      <c r="XBX22" s="1902">
        <f t="shared" si="258"/>
        <v>0</v>
      </c>
      <c r="XBY22" s="1902">
        <f t="shared" si="258"/>
        <v>0</v>
      </c>
      <c r="XBZ22" s="1902">
        <f t="shared" si="258"/>
        <v>0</v>
      </c>
      <c r="XCA22" s="1902">
        <f t="shared" si="258"/>
        <v>0</v>
      </c>
      <c r="XCB22" s="1902">
        <f t="shared" si="258"/>
        <v>0</v>
      </c>
      <c r="XCC22" s="1902">
        <f t="shared" si="258"/>
        <v>0</v>
      </c>
      <c r="XCD22" s="1902">
        <f t="shared" si="258"/>
        <v>0</v>
      </c>
      <c r="XCE22" s="1902">
        <f t="shared" si="258"/>
        <v>0</v>
      </c>
      <c r="XCF22" s="1902">
        <f t="shared" si="258"/>
        <v>0</v>
      </c>
      <c r="XCG22" s="1902">
        <f t="shared" si="258"/>
        <v>0</v>
      </c>
      <c r="XCH22" s="1902">
        <f t="shared" si="258"/>
        <v>0</v>
      </c>
      <c r="XCI22" s="1902">
        <f t="shared" si="258"/>
        <v>0</v>
      </c>
      <c r="XCJ22" s="1902">
        <f t="shared" si="258"/>
        <v>0</v>
      </c>
      <c r="XCK22" s="1902">
        <f t="shared" si="258"/>
        <v>0</v>
      </c>
      <c r="XCL22" s="1902">
        <f t="shared" si="258"/>
        <v>0</v>
      </c>
      <c r="XCM22" s="1902">
        <f t="shared" si="258"/>
        <v>0</v>
      </c>
      <c r="XCN22" s="1902">
        <f t="shared" si="258"/>
        <v>0</v>
      </c>
      <c r="XCO22" s="1902">
        <f t="shared" si="258"/>
        <v>0</v>
      </c>
      <c r="XCP22" s="1902">
        <f t="shared" si="258"/>
        <v>0</v>
      </c>
      <c r="XCQ22" s="1902">
        <f t="shared" si="258"/>
        <v>0</v>
      </c>
      <c r="XCR22" s="1902">
        <f t="shared" si="258"/>
        <v>0</v>
      </c>
      <c r="XCS22" s="1902">
        <f t="shared" si="258"/>
        <v>0</v>
      </c>
      <c r="XCT22" s="1902">
        <f t="shared" si="258"/>
        <v>0</v>
      </c>
      <c r="XCU22" s="1902">
        <f t="shared" si="258"/>
        <v>0</v>
      </c>
      <c r="XCV22" s="1902">
        <f t="shared" si="258"/>
        <v>0</v>
      </c>
      <c r="XCW22" s="1902">
        <f t="shared" si="258"/>
        <v>0</v>
      </c>
      <c r="XCX22" s="1902">
        <f t="shared" si="258"/>
        <v>0</v>
      </c>
      <c r="XCY22" s="1902">
        <f t="shared" si="258"/>
        <v>0</v>
      </c>
      <c r="XCZ22" s="1902">
        <f t="shared" si="258"/>
        <v>0</v>
      </c>
      <c r="XDA22" s="1902">
        <f t="shared" si="258"/>
        <v>0</v>
      </c>
      <c r="XDB22" s="1902">
        <f t="shared" si="258"/>
        <v>0</v>
      </c>
      <c r="XDC22" s="1902">
        <f t="shared" ref="XDC22:XFD22" si="259">IF(AND(XDC$26="End of period",XDC$25="Revenue"),XDC9,0)</f>
        <v>0</v>
      </c>
      <c r="XDD22" s="1902">
        <f t="shared" si="259"/>
        <v>0</v>
      </c>
      <c r="XDE22" s="1902">
        <f t="shared" si="259"/>
        <v>0</v>
      </c>
      <c r="XDF22" s="1902">
        <f t="shared" si="259"/>
        <v>0</v>
      </c>
      <c r="XDG22" s="1902">
        <f t="shared" si="259"/>
        <v>0</v>
      </c>
      <c r="XDH22" s="1902">
        <f t="shared" si="259"/>
        <v>0</v>
      </c>
      <c r="XDI22" s="1902">
        <f t="shared" si="259"/>
        <v>0</v>
      </c>
      <c r="XDJ22" s="1902">
        <f t="shared" si="259"/>
        <v>0</v>
      </c>
      <c r="XDK22" s="1902">
        <f t="shared" si="259"/>
        <v>0</v>
      </c>
      <c r="XDL22" s="1902">
        <f t="shared" si="259"/>
        <v>0</v>
      </c>
      <c r="XDM22" s="1902">
        <f t="shared" si="259"/>
        <v>0</v>
      </c>
      <c r="XDN22" s="1902">
        <f t="shared" si="259"/>
        <v>0</v>
      </c>
      <c r="XDO22" s="1902">
        <f t="shared" si="259"/>
        <v>0</v>
      </c>
      <c r="XDP22" s="1902">
        <f t="shared" si="259"/>
        <v>0</v>
      </c>
      <c r="XDQ22" s="1902">
        <f t="shared" si="259"/>
        <v>0</v>
      </c>
      <c r="XDR22" s="1902">
        <f t="shared" si="259"/>
        <v>0</v>
      </c>
      <c r="XDS22" s="1902">
        <f t="shared" si="259"/>
        <v>0</v>
      </c>
      <c r="XDT22" s="1902">
        <f t="shared" si="259"/>
        <v>0</v>
      </c>
      <c r="XDU22" s="1902">
        <f t="shared" si="259"/>
        <v>0</v>
      </c>
      <c r="XDV22" s="1902">
        <f t="shared" si="259"/>
        <v>0</v>
      </c>
      <c r="XDW22" s="1902">
        <f t="shared" si="259"/>
        <v>0</v>
      </c>
      <c r="XDX22" s="1902">
        <f t="shared" si="259"/>
        <v>0</v>
      </c>
      <c r="XDY22" s="1902">
        <f t="shared" si="259"/>
        <v>0</v>
      </c>
      <c r="XDZ22" s="1902">
        <f t="shared" si="259"/>
        <v>0</v>
      </c>
      <c r="XEA22" s="1902">
        <f t="shared" si="259"/>
        <v>0</v>
      </c>
      <c r="XEB22" s="1902">
        <f t="shared" si="259"/>
        <v>0</v>
      </c>
      <c r="XEC22" s="1902">
        <f t="shared" si="259"/>
        <v>0</v>
      </c>
      <c r="XED22" s="1902">
        <f t="shared" si="259"/>
        <v>0</v>
      </c>
      <c r="XEE22" s="1902">
        <f t="shared" si="259"/>
        <v>0</v>
      </c>
      <c r="XEF22" s="1902">
        <f t="shared" si="259"/>
        <v>0</v>
      </c>
      <c r="XEG22" s="1902">
        <f t="shared" si="259"/>
        <v>0</v>
      </c>
      <c r="XEH22" s="1902">
        <f t="shared" si="259"/>
        <v>0</v>
      </c>
      <c r="XEI22" s="1902">
        <f t="shared" si="259"/>
        <v>0</v>
      </c>
      <c r="XEJ22" s="1902">
        <f t="shared" si="259"/>
        <v>0</v>
      </c>
      <c r="XEK22" s="1902">
        <f t="shared" si="259"/>
        <v>0</v>
      </c>
      <c r="XEL22" s="1902">
        <f t="shared" si="259"/>
        <v>0</v>
      </c>
      <c r="XEM22" s="1902">
        <f t="shared" si="259"/>
        <v>0</v>
      </c>
      <c r="XEN22" s="1902">
        <f t="shared" si="259"/>
        <v>0</v>
      </c>
      <c r="XEO22" s="1902">
        <f t="shared" si="259"/>
        <v>0</v>
      </c>
      <c r="XEP22" s="1902">
        <f t="shared" si="259"/>
        <v>0</v>
      </c>
      <c r="XEQ22" s="1902">
        <f t="shared" si="259"/>
        <v>0</v>
      </c>
      <c r="XER22" s="1902">
        <f t="shared" si="259"/>
        <v>0</v>
      </c>
      <c r="XES22" s="1902">
        <f t="shared" si="259"/>
        <v>0</v>
      </c>
      <c r="XET22" s="1902">
        <f t="shared" si="259"/>
        <v>0</v>
      </c>
      <c r="XEU22" s="1902">
        <f t="shared" si="259"/>
        <v>0</v>
      </c>
      <c r="XEV22" s="1902">
        <f t="shared" si="259"/>
        <v>0</v>
      </c>
      <c r="XEW22" s="1902">
        <f t="shared" si="259"/>
        <v>0</v>
      </c>
      <c r="XEX22" s="1902">
        <f t="shared" si="259"/>
        <v>0</v>
      </c>
      <c r="XEY22" s="1902">
        <f t="shared" si="259"/>
        <v>0</v>
      </c>
      <c r="XEZ22" s="1902">
        <f t="shared" si="259"/>
        <v>0</v>
      </c>
      <c r="XFA22" s="1902">
        <f t="shared" si="259"/>
        <v>0</v>
      </c>
      <c r="XFB22" s="1902">
        <f t="shared" si="259"/>
        <v>0</v>
      </c>
      <c r="XFC22" s="1902">
        <f t="shared" si="259"/>
        <v>0</v>
      </c>
      <c r="XFD22" s="1902">
        <f t="shared" si="259"/>
        <v>0</v>
      </c>
    </row>
    <row r="23" spans="1:16384" s="165" customFormat="1" ht="15">
      <c r="A23" s="1329"/>
      <c r="B23" s="1329"/>
      <c r="C23" s="1329"/>
      <c r="D23" s="1329"/>
      <c r="E23" s="560" t="s">
        <v>4872</v>
      </c>
      <c r="F23" s="1343"/>
      <c r="G23" s="560" t="s">
        <v>804</v>
      </c>
      <c r="H23" s="1343"/>
      <c r="I23" s="1343"/>
      <c r="J23" s="1902">
        <f>IF(AND(J$26="End of period",J$25="Revenue"),J10,0)</f>
        <v>0</v>
      </c>
      <c r="K23" s="1902">
        <f t="shared" ref="K23:BV23" si="260">IF(AND(K$26="End of period",K$25="Revenue"),K10,0)</f>
        <v>0</v>
      </c>
      <c r="L23" s="1902">
        <f t="shared" si="260"/>
        <v>0</v>
      </c>
      <c r="M23" s="1902">
        <f t="shared" si="260"/>
        <v>0</v>
      </c>
      <c r="N23" s="1902">
        <f t="shared" si="260"/>
        <v>-0.48620000000000002</v>
      </c>
      <c r="O23" s="1902">
        <f t="shared" si="260"/>
        <v>0</v>
      </c>
      <c r="P23" s="1902">
        <f t="shared" si="260"/>
        <v>0</v>
      </c>
      <c r="Q23" s="1918">
        <f t="shared" si="260"/>
        <v>0</v>
      </c>
      <c r="R23" s="1902">
        <f t="shared" si="260"/>
        <v>0</v>
      </c>
      <c r="S23" s="1902">
        <f t="shared" si="260"/>
        <v>0</v>
      </c>
      <c r="T23" s="1902">
        <f t="shared" si="260"/>
        <v>0</v>
      </c>
      <c r="U23" s="1902">
        <f t="shared" si="260"/>
        <v>0</v>
      </c>
      <c r="V23" s="1902">
        <f t="shared" si="260"/>
        <v>0</v>
      </c>
      <c r="W23" s="1902">
        <f t="shared" si="260"/>
        <v>0</v>
      </c>
      <c r="X23" s="1902">
        <f t="shared" si="260"/>
        <v>0</v>
      </c>
      <c r="Y23" s="1902">
        <f t="shared" si="260"/>
        <v>0</v>
      </c>
      <c r="Z23" s="1902">
        <f t="shared" si="260"/>
        <v>0</v>
      </c>
      <c r="AA23" s="1902">
        <f t="shared" si="260"/>
        <v>0</v>
      </c>
      <c r="AB23" s="1902">
        <f t="shared" si="260"/>
        <v>0</v>
      </c>
      <c r="AC23" s="1902">
        <f t="shared" si="260"/>
        <v>0</v>
      </c>
      <c r="AD23" s="1902">
        <f t="shared" si="260"/>
        <v>0</v>
      </c>
      <c r="AE23" s="1902">
        <f t="shared" si="260"/>
        <v>0</v>
      </c>
      <c r="AF23" s="1902">
        <f t="shared" si="260"/>
        <v>0</v>
      </c>
      <c r="AG23" s="1902">
        <f t="shared" si="260"/>
        <v>0</v>
      </c>
      <c r="AH23" s="1902">
        <f t="shared" si="260"/>
        <v>0</v>
      </c>
      <c r="AI23" s="1902">
        <f t="shared" si="260"/>
        <v>0</v>
      </c>
      <c r="AJ23" s="1902">
        <f t="shared" si="260"/>
        <v>0</v>
      </c>
      <c r="AK23" s="1918">
        <f t="shared" si="260"/>
        <v>0</v>
      </c>
      <c r="AL23" s="1902">
        <f t="shared" si="260"/>
        <v>0</v>
      </c>
      <c r="AM23" s="1902">
        <f t="shared" si="260"/>
        <v>0</v>
      </c>
      <c r="AN23" s="1902">
        <f t="shared" si="260"/>
        <v>0</v>
      </c>
      <c r="AO23" s="1918">
        <f t="shared" si="260"/>
        <v>0</v>
      </c>
      <c r="AP23" s="1902">
        <f t="shared" si="260"/>
        <v>0</v>
      </c>
      <c r="AQ23" s="1902">
        <f t="shared" si="260"/>
        <v>-1.1240000000000001</v>
      </c>
      <c r="AR23" s="1902">
        <f t="shared" si="260"/>
        <v>0</v>
      </c>
      <c r="AS23" s="1902">
        <f t="shared" si="260"/>
        <v>0</v>
      </c>
      <c r="AT23" s="1902">
        <f t="shared" si="260"/>
        <v>0</v>
      </c>
      <c r="AU23" s="1902">
        <f t="shared" si="260"/>
        <v>0</v>
      </c>
      <c r="AV23" s="1902">
        <f t="shared" si="260"/>
        <v>0</v>
      </c>
      <c r="AW23" s="1902">
        <f t="shared" si="260"/>
        <v>0</v>
      </c>
      <c r="AX23" s="1902">
        <f t="shared" si="260"/>
        <v>0</v>
      </c>
      <c r="AY23" s="1902">
        <f t="shared" si="260"/>
        <v>0</v>
      </c>
      <c r="AZ23" s="1902">
        <f t="shared" si="260"/>
        <v>0</v>
      </c>
      <c r="BA23" s="1902">
        <f t="shared" si="260"/>
        <v>0</v>
      </c>
      <c r="BB23" s="1902">
        <f t="shared" si="260"/>
        <v>0</v>
      </c>
      <c r="BC23" s="1902">
        <f t="shared" si="260"/>
        <v>0</v>
      </c>
      <c r="BD23" s="1902">
        <f t="shared" si="260"/>
        <v>0</v>
      </c>
      <c r="BE23" s="1902">
        <f t="shared" si="260"/>
        <v>0</v>
      </c>
      <c r="BF23" s="1902">
        <f t="shared" si="260"/>
        <v>0</v>
      </c>
      <c r="BG23" s="1902">
        <f t="shared" si="260"/>
        <v>0</v>
      </c>
      <c r="BH23" s="1902">
        <f t="shared" si="260"/>
        <v>0</v>
      </c>
      <c r="BI23" s="1902">
        <f t="shared" si="260"/>
        <v>0</v>
      </c>
      <c r="BJ23" s="1902">
        <f t="shared" si="260"/>
        <v>0</v>
      </c>
      <c r="BK23" s="1902">
        <f t="shared" si="260"/>
        <v>0</v>
      </c>
      <c r="BL23" s="1902">
        <f t="shared" si="260"/>
        <v>0</v>
      </c>
      <c r="BM23" s="1902">
        <f t="shared" si="260"/>
        <v>0</v>
      </c>
      <c r="BN23" s="1902">
        <f t="shared" si="260"/>
        <v>0</v>
      </c>
      <c r="BO23" s="1902">
        <f t="shared" si="260"/>
        <v>0</v>
      </c>
      <c r="BP23" s="1902">
        <f t="shared" si="260"/>
        <v>0</v>
      </c>
      <c r="BQ23" s="1902">
        <f t="shared" si="260"/>
        <v>0</v>
      </c>
      <c r="BR23" s="1902">
        <f t="shared" si="260"/>
        <v>0</v>
      </c>
      <c r="BS23" s="1902">
        <f t="shared" si="260"/>
        <v>0</v>
      </c>
      <c r="BT23" s="1902">
        <f t="shared" si="260"/>
        <v>0</v>
      </c>
      <c r="BU23" s="1902">
        <f t="shared" si="260"/>
        <v>0</v>
      </c>
      <c r="BV23" s="1902">
        <f t="shared" si="260"/>
        <v>0</v>
      </c>
      <c r="BW23" s="1902">
        <f t="shared" ref="BW23:EH23" si="261">IF(AND(BW$26="End of period",BW$25="Revenue"),BW10,0)</f>
        <v>0</v>
      </c>
      <c r="BX23" s="1902">
        <f t="shared" si="261"/>
        <v>0</v>
      </c>
      <c r="BY23" s="1902">
        <f t="shared" si="261"/>
        <v>0</v>
      </c>
      <c r="BZ23" s="1902">
        <f t="shared" si="261"/>
        <v>0</v>
      </c>
      <c r="CA23" s="1902">
        <f t="shared" si="261"/>
        <v>0</v>
      </c>
      <c r="CB23" s="1902">
        <f t="shared" si="261"/>
        <v>0</v>
      </c>
      <c r="CC23" s="1902">
        <f t="shared" si="261"/>
        <v>0</v>
      </c>
      <c r="CD23" s="1902">
        <f t="shared" si="261"/>
        <v>0</v>
      </c>
      <c r="CE23" s="1902">
        <f t="shared" si="261"/>
        <v>0</v>
      </c>
      <c r="CF23" s="1902">
        <f t="shared" si="261"/>
        <v>0</v>
      </c>
      <c r="CG23" s="1902">
        <f t="shared" si="261"/>
        <v>0</v>
      </c>
      <c r="CH23" s="1902">
        <f t="shared" si="261"/>
        <v>0</v>
      </c>
      <c r="CI23" s="1902">
        <f t="shared" si="261"/>
        <v>0</v>
      </c>
      <c r="CJ23" s="1902">
        <f t="shared" si="261"/>
        <v>0</v>
      </c>
      <c r="CK23" s="1902">
        <f t="shared" si="261"/>
        <v>0</v>
      </c>
      <c r="CL23" s="1902">
        <f t="shared" si="261"/>
        <v>0</v>
      </c>
      <c r="CM23" s="1902">
        <f t="shared" si="261"/>
        <v>0</v>
      </c>
      <c r="CN23" s="1902">
        <f t="shared" si="261"/>
        <v>0</v>
      </c>
      <c r="CO23" s="1902">
        <f t="shared" si="261"/>
        <v>0</v>
      </c>
      <c r="CP23" s="1902">
        <f t="shared" si="261"/>
        <v>0</v>
      </c>
      <c r="CQ23" s="1902">
        <f t="shared" si="261"/>
        <v>0</v>
      </c>
      <c r="CR23" s="1902">
        <f t="shared" si="261"/>
        <v>0</v>
      </c>
      <c r="CS23" s="1902">
        <f t="shared" si="261"/>
        <v>0</v>
      </c>
      <c r="CT23" s="1902">
        <f t="shared" si="261"/>
        <v>0</v>
      </c>
      <c r="CU23" s="1902">
        <f t="shared" si="261"/>
        <v>0</v>
      </c>
      <c r="CV23" s="1902">
        <f t="shared" si="261"/>
        <v>0</v>
      </c>
      <c r="CW23" s="1902">
        <f t="shared" si="261"/>
        <v>0</v>
      </c>
      <c r="CX23" s="1902">
        <f t="shared" si="261"/>
        <v>0</v>
      </c>
      <c r="CY23" s="1902">
        <f t="shared" si="261"/>
        <v>0</v>
      </c>
      <c r="CZ23" s="1902">
        <f t="shared" si="261"/>
        <v>0</v>
      </c>
      <c r="DA23" s="1902">
        <f t="shared" si="261"/>
        <v>0</v>
      </c>
      <c r="DB23" s="1902">
        <f t="shared" si="261"/>
        <v>0</v>
      </c>
      <c r="DC23" s="1902">
        <f t="shared" si="261"/>
        <v>0</v>
      </c>
      <c r="DD23" s="1902">
        <f t="shared" si="261"/>
        <v>0</v>
      </c>
      <c r="DE23" s="1902">
        <f t="shared" si="261"/>
        <v>0</v>
      </c>
      <c r="DF23" s="1902">
        <f t="shared" si="261"/>
        <v>0</v>
      </c>
      <c r="DG23" s="1902">
        <f t="shared" si="261"/>
        <v>0</v>
      </c>
      <c r="DH23" s="1902">
        <f t="shared" si="261"/>
        <v>0</v>
      </c>
      <c r="DI23" s="1902">
        <f t="shared" si="261"/>
        <v>0</v>
      </c>
      <c r="DJ23" s="1902">
        <f t="shared" si="261"/>
        <v>0</v>
      </c>
      <c r="DK23" s="1902">
        <f t="shared" si="261"/>
        <v>0</v>
      </c>
      <c r="DL23" s="1902">
        <f t="shared" si="261"/>
        <v>0</v>
      </c>
      <c r="DM23" s="1902">
        <f t="shared" si="261"/>
        <v>0</v>
      </c>
      <c r="DN23" s="1902">
        <f t="shared" si="261"/>
        <v>0</v>
      </c>
      <c r="DO23" s="1902">
        <f t="shared" si="261"/>
        <v>0</v>
      </c>
      <c r="DP23" s="1902">
        <f t="shared" si="261"/>
        <v>0</v>
      </c>
      <c r="DQ23" s="1902">
        <f t="shared" si="261"/>
        <v>0</v>
      </c>
      <c r="DR23" s="1902">
        <f t="shared" si="261"/>
        <v>0</v>
      </c>
      <c r="DS23" s="1902">
        <f t="shared" si="261"/>
        <v>0</v>
      </c>
      <c r="DT23" s="1902">
        <f t="shared" si="261"/>
        <v>0</v>
      </c>
      <c r="DU23" s="1902">
        <f t="shared" si="261"/>
        <v>0</v>
      </c>
      <c r="DV23" s="1902">
        <f t="shared" si="261"/>
        <v>0</v>
      </c>
      <c r="DW23" s="1902">
        <f t="shared" si="261"/>
        <v>0</v>
      </c>
      <c r="DX23" s="1902">
        <f t="shared" si="261"/>
        <v>0</v>
      </c>
      <c r="DY23" s="1902">
        <f t="shared" si="261"/>
        <v>0</v>
      </c>
      <c r="DZ23" s="1902">
        <f t="shared" si="261"/>
        <v>0</v>
      </c>
      <c r="EA23" s="1902">
        <f t="shared" si="261"/>
        <v>0</v>
      </c>
      <c r="EB23" s="1902">
        <f t="shared" si="261"/>
        <v>0</v>
      </c>
      <c r="EC23" s="1902">
        <f t="shared" si="261"/>
        <v>0</v>
      </c>
      <c r="ED23" s="1902">
        <f t="shared" si="261"/>
        <v>0</v>
      </c>
      <c r="EE23" s="1902">
        <f t="shared" si="261"/>
        <v>0</v>
      </c>
      <c r="EF23" s="1902">
        <f t="shared" si="261"/>
        <v>0</v>
      </c>
      <c r="EG23" s="1902">
        <f t="shared" si="261"/>
        <v>0</v>
      </c>
      <c r="EH23" s="1902">
        <f t="shared" si="261"/>
        <v>0</v>
      </c>
      <c r="EI23" s="1902">
        <f t="shared" ref="EI23:GT23" si="262">IF(AND(EI$26="End of period",EI$25="Revenue"),EI10,0)</f>
        <v>0</v>
      </c>
      <c r="EJ23" s="1902">
        <f t="shared" si="262"/>
        <v>0</v>
      </c>
      <c r="EK23" s="1902">
        <f t="shared" si="262"/>
        <v>0</v>
      </c>
      <c r="EL23" s="1902">
        <f t="shared" si="262"/>
        <v>0</v>
      </c>
      <c r="EM23" s="1902">
        <f t="shared" si="262"/>
        <v>0</v>
      </c>
      <c r="EN23" s="1902">
        <f t="shared" si="262"/>
        <v>0</v>
      </c>
      <c r="EO23" s="1902">
        <f t="shared" si="262"/>
        <v>0</v>
      </c>
      <c r="EP23" s="1902">
        <f t="shared" si="262"/>
        <v>0</v>
      </c>
      <c r="EQ23" s="1902">
        <f t="shared" si="262"/>
        <v>0</v>
      </c>
      <c r="ER23" s="1902">
        <f t="shared" si="262"/>
        <v>0</v>
      </c>
      <c r="ES23" s="1902">
        <f t="shared" si="262"/>
        <v>0</v>
      </c>
      <c r="ET23" s="1902">
        <f t="shared" si="262"/>
        <v>0</v>
      </c>
      <c r="EU23" s="1902">
        <f t="shared" si="262"/>
        <v>0</v>
      </c>
      <c r="EV23" s="1902">
        <f t="shared" si="262"/>
        <v>0</v>
      </c>
      <c r="EW23" s="1902">
        <f t="shared" si="262"/>
        <v>0</v>
      </c>
      <c r="EX23" s="1902">
        <f t="shared" si="262"/>
        <v>0</v>
      </c>
      <c r="EY23" s="1902">
        <f t="shared" si="262"/>
        <v>0</v>
      </c>
      <c r="EZ23" s="1902">
        <f t="shared" si="262"/>
        <v>0</v>
      </c>
      <c r="FA23" s="1902">
        <f t="shared" si="262"/>
        <v>0</v>
      </c>
      <c r="FB23" s="1902">
        <f t="shared" si="262"/>
        <v>0</v>
      </c>
      <c r="FC23" s="1902">
        <f t="shared" si="262"/>
        <v>0</v>
      </c>
      <c r="FD23" s="1902">
        <f t="shared" si="262"/>
        <v>0</v>
      </c>
      <c r="FE23" s="1902">
        <f t="shared" si="262"/>
        <v>0</v>
      </c>
      <c r="FF23" s="1902">
        <f t="shared" si="262"/>
        <v>0</v>
      </c>
      <c r="FG23" s="1902">
        <f t="shared" si="262"/>
        <v>0</v>
      </c>
      <c r="FH23" s="1902">
        <f t="shared" si="262"/>
        <v>0</v>
      </c>
      <c r="FI23" s="1902">
        <f t="shared" si="262"/>
        <v>0</v>
      </c>
      <c r="FJ23" s="1902">
        <f t="shared" si="262"/>
        <v>0</v>
      </c>
      <c r="FK23" s="1902">
        <f t="shared" si="262"/>
        <v>0</v>
      </c>
      <c r="FL23" s="1902">
        <f t="shared" si="262"/>
        <v>0</v>
      </c>
      <c r="FM23" s="1902">
        <f t="shared" si="262"/>
        <v>0</v>
      </c>
      <c r="FN23" s="1902">
        <f t="shared" si="262"/>
        <v>0</v>
      </c>
      <c r="FO23" s="1902">
        <f t="shared" si="262"/>
        <v>0</v>
      </c>
      <c r="FP23" s="1902">
        <f t="shared" si="262"/>
        <v>0</v>
      </c>
      <c r="FQ23" s="1902">
        <f t="shared" si="262"/>
        <v>0</v>
      </c>
      <c r="FR23" s="1902">
        <f t="shared" si="262"/>
        <v>0</v>
      </c>
      <c r="FS23" s="1902">
        <f t="shared" si="262"/>
        <v>0</v>
      </c>
      <c r="FT23" s="1902">
        <f t="shared" si="262"/>
        <v>0</v>
      </c>
      <c r="FU23" s="1902">
        <f t="shared" si="262"/>
        <v>0</v>
      </c>
      <c r="FV23" s="1902">
        <f t="shared" si="262"/>
        <v>0</v>
      </c>
      <c r="FW23" s="1902">
        <f t="shared" si="262"/>
        <v>0</v>
      </c>
      <c r="FX23" s="1902">
        <f t="shared" si="262"/>
        <v>0</v>
      </c>
      <c r="FY23" s="1902">
        <f t="shared" si="262"/>
        <v>0</v>
      </c>
      <c r="FZ23" s="1902">
        <f t="shared" si="262"/>
        <v>0</v>
      </c>
      <c r="GA23" s="1902">
        <f t="shared" si="262"/>
        <v>0</v>
      </c>
      <c r="GB23" s="1902">
        <f t="shared" si="262"/>
        <v>0</v>
      </c>
      <c r="GC23" s="1902">
        <f t="shared" si="262"/>
        <v>0</v>
      </c>
      <c r="GD23" s="1902">
        <f t="shared" si="262"/>
        <v>0</v>
      </c>
      <c r="GE23" s="1902">
        <f t="shared" si="262"/>
        <v>0</v>
      </c>
      <c r="GF23" s="1902">
        <f t="shared" si="262"/>
        <v>0</v>
      </c>
      <c r="GG23" s="1902">
        <f t="shared" si="262"/>
        <v>0</v>
      </c>
      <c r="GH23" s="1902">
        <f t="shared" si="262"/>
        <v>0</v>
      </c>
      <c r="GI23" s="1902">
        <f t="shared" si="262"/>
        <v>0</v>
      </c>
      <c r="GJ23" s="1902">
        <f t="shared" si="262"/>
        <v>0</v>
      </c>
      <c r="GK23" s="1902">
        <f t="shared" si="262"/>
        <v>0</v>
      </c>
      <c r="GL23" s="1902">
        <f t="shared" si="262"/>
        <v>0</v>
      </c>
      <c r="GM23" s="1902">
        <f t="shared" si="262"/>
        <v>0</v>
      </c>
      <c r="GN23" s="1902">
        <f t="shared" si="262"/>
        <v>0</v>
      </c>
      <c r="GO23" s="1902">
        <f t="shared" si="262"/>
        <v>0</v>
      </c>
      <c r="GP23" s="1902">
        <f t="shared" si="262"/>
        <v>0</v>
      </c>
      <c r="GQ23" s="1902">
        <f t="shared" si="262"/>
        <v>0</v>
      </c>
      <c r="GR23" s="1902">
        <f t="shared" si="262"/>
        <v>0</v>
      </c>
      <c r="GS23" s="1902">
        <f t="shared" si="262"/>
        <v>0</v>
      </c>
      <c r="GT23" s="1902">
        <f t="shared" si="262"/>
        <v>0</v>
      </c>
      <c r="GU23" s="1902">
        <f t="shared" ref="GU23:JF23" si="263">IF(AND(GU$26="End of period",GU$25="Revenue"),GU10,0)</f>
        <v>0</v>
      </c>
      <c r="GV23" s="1902">
        <f t="shared" si="263"/>
        <v>0</v>
      </c>
      <c r="GW23" s="1902">
        <f t="shared" si="263"/>
        <v>0</v>
      </c>
      <c r="GX23" s="1902">
        <f t="shared" si="263"/>
        <v>0</v>
      </c>
      <c r="GY23" s="1902">
        <f t="shared" si="263"/>
        <v>0</v>
      </c>
      <c r="GZ23" s="1902">
        <f t="shared" si="263"/>
        <v>0</v>
      </c>
      <c r="HA23" s="1902">
        <f t="shared" si="263"/>
        <v>0</v>
      </c>
      <c r="HB23" s="1902">
        <f t="shared" si="263"/>
        <v>0</v>
      </c>
      <c r="HC23" s="1902">
        <f t="shared" si="263"/>
        <v>0</v>
      </c>
      <c r="HD23" s="1902">
        <f t="shared" si="263"/>
        <v>0</v>
      </c>
      <c r="HE23" s="1902">
        <f t="shared" si="263"/>
        <v>0</v>
      </c>
      <c r="HF23" s="1902">
        <f t="shared" si="263"/>
        <v>0</v>
      </c>
      <c r="HG23" s="1902">
        <f t="shared" si="263"/>
        <v>0</v>
      </c>
      <c r="HH23" s="1902">
        <f t="shared" si="263"/>
        <v>0</v>
      </c>
      <c r="HI23" s="1902">
        <f t="shared" si="263"/>
        <v>0</v>
      </c>
      <c r="HJ23" s="1902">
        <f t="shared" si="263"/>
        <v>0</v>
      </c>
      <c r="HK23" s="1902">
        <f t="shared" si="263"/>
        <v>0</v>
      </c>
      <c r="HL23" s="1902">
        <f t="shared" si="263"/>
        <v>0</v>
      </c>
      <c r="HM23" s="1902">
        <f t="shared" si="263"/>
        <v>0</v>
      </c>
      <c r="HN23" s="1902">
        <f t="shared" si="263"/>
        <v>0</v>
      </c>
      <c r="HO23" s="1902">
        <f t="shared" si="263"/>
        <v>0</v>
      </c>
      <c r="HP23" s="1902">
        <f t="shared" si="263"/>
        <v>0</v>
      </c>
      <c r="HQ23" s="1902">
        <f t="shared" si="263"/>
        <v>0</v>
      </c>
      <c r="HR23" s="1902">
        <f t="shared" si="263"/>
        <v>0</v>
      </c>
      <c r="HS23" s="1902">
        <f t="shared" si="263"/>
        <v>0</v>
      </c>
      <c r="HT23" s="1902">
        <f t="shared" si="263"/>
        <v>0</v>
      </c>
      <c r="HU23" s="1902">
        <f t="shared" si="263"/>
        <v>0</v>
      </c>
      <c r="HV23" s="1902">
        <f t="shared" si="263"/>
        <v>0</v>
      </c>
      <c r="HW23" s="1902">
        <f t="shared" si="263"/>
        <v>0</v>
      </c>
      <c r="HX23" s="1902">
        <f t="shared" si="263"/>
        <v>0</v>
      </c>
      <c r="HY23" s="1902">
        <f t="shared" si="263"/>
        <v>0</v>
      </c>
      <c r="HZ23" s="1902">
        <f t="shared" si="263"/>
        <v>0</v>
      </c>
      <c r="IA23" s="1902">
        <f t="shared" si="263"/>
        <v>0</v>
      </c>
      <c r="IB23" s="1902">
        <f t="shared" si="263"/>
        <v>0</v>
      </c>
      <c r="IC23" s="1902">
        <f t="shared" si="263"/>
        <v>0</v>
      </c>
      <c r="ID23" s="1902">
        <f t="shared" si="263"/>
        <v>0</v>
      </c>
      <c r="IE23" s="1902">
        <f t="shared" si="263"/>
        <v>0</v>
      </c>
      <c r="IF23" s="1902">
        <f t="shared" si="263"/>
        <v>0</v>
      </c>
      <c r="IG23" s="1902">
        <f t="shared" si="263"/>
        <v>0</v>
      </c>
      <c r="IH23" s="1902">
        <f t="shared" si="263"/>
        <v>0</v>
      </c>
      <c r="II23" s="1902">
        <f t="shared" si="263"/>
        <v>0</v>
      </c>
      <c r="IJ23" s="1902">
        <f t="shared" si="263"/>
        <v>0</v>
      </c>
      <c r="IK23" s="1902">
        <f t="shared" si="263"/>
        <v>0</v>
      </c>
      <c r="IL23" s="1902">
        <f t="shared" si="263"/>
        <v>0</v>
      </c>
      <c r="IM23" s="1902">
        <f t="shared" si="263"/>
        <v>0</v>
      </c>
      <c r="IN23" s="1902">
        <f t="shared" si="263"/>
        <v>0</v>
      </c>
      <c r="IO23" s="1902">
        <f t="shared" si="263"/>
        <v>0</v>
      </c>
      <c r="IP23" s="1902">
        <f t="shared" si="263"/>
        <v>0</v>
      </c>
      <c r="IQ23" s="1902">
        <f t="shared" si="263"/>
        <v>0</v>
      </c>
      <c r="IR23" s="1902">
        <f t="shared" si="263"/>
        <v>0</v>
      </c>
      <c r="IS23" s="1902">
        <f t="shared" si="263"/>
        <v>0</v>
      </c>
      <c r="IT23" s="1902">
        <f t="shared" si="263"/>
        <v>0</v>
      </c>
      <c r="IU23" s="1902">
        <f t="shared" si="263"/>
        <v>0</v>
      </c>
      <c r="IV23" s="1902">
        <f t="shared" si="263"/>
        <v>0</v>
      </c>
      <c r="IW23" s="1902">
        <f t="shared" si="263"/>
        <v>0</v>
      </c>
      <c r="IX23" s="1902">
        <f t="shared" si="263"/>
        <v>0</v>
      </c>
      <c r="IY23" s="1902">
        <f t="shared" si="263"/>
        <v>0</v>
      </c>
      <c r="IZ23" s="1902">
        <f t="shared" si="263"/>
        <v>0</v>
      </c>
      <c r="JA23" s="1902">
        <f t="shared" si="263"/>
        <v>0</v>
      </c>
      <c r="JB23" s="1902">
        <f t="shared" si="263"/>
        <v>0</v>
      </c>
      <c r="JC23" s="1902">
        <f t="shared" si="263"/>
        <v>0</v>
      </c>
      <c r="JD23" s="1902">
        <f t="shared" si="263"/>
        <v>0</v>
      </c>
      <c r="JE23" s="1902">
        <f t="shared" si="263"/>
        <v>0</v>
      </c>
      <c r="JF23" s="1902">
        <f t="shared" si="263"/>
        <v>0</v>
      </c>
      <c r="JG23" s="1902">
        <f t="shared" ref="JG23:LR23" si="264">IF(AND(JG$26="End of period",JG$25="Revenue"),JG10,0)</f>
        <v>0</v>
      </c>
      <c r="JH23" s="1902">
        <f t="shared" si="264"/>
        <v>0</v>
      </c>
      <c r="JI23" s="1902">
        <f t="shared" si="264"/>
        <v>0</v>
      </c>
      <c r="JJ23" s="1902">
        <f t="shared" si="264"/>
        <v>0</v>
      </c>
      <c r="JK23" s="1902">
        <f t="shared" si="264"/>
        <v>0</v>
      </c>
      <c r="JL23" s="1902">
        <f t="shared" si="264"/>
        <v>0</v>
      </c>
      <c r="JM23" s="1902">
        <f t="shared" si="264"/>
        <v>0</v>
      </c>
      <c r="JN23" s="1902">
        <f t="shared" si="264"/>
        <v>0</v>
      </c>
      <c r="JO23" s="1902">
        <f t="shared" si="264"/>
        <v>0</v>
      </c>
      <c r="JP23" s="1902">
        <f t="shared" si="264"/>
        <v>0</v>
      </c>
      <c r="JQ23" s="1902">
        <f t="shared" si="264"/>
        <v>0</v>
      </c>
      <c r="JR23" s="1902">
        <f t="shared" si="264"/>
        <v>0</v>
      </c>
      <c r="JS23" s="1902">
        <f t="shared" si="264"/>
        <v>0</v>
      </c>
      <c r="JT23" s="1902">
        <f t="shared" si="264"/>
        <v>0</v>
      </c>
      <c r="JU23" s="1902">
        <f t="shared" si="264"/>
        <v>0</v>
      </c>
      <c r="JV23" s="1902">
        <f t="shared" si="264"/>
        <v>0</v>
      </c>
      <c r="JW23" s="1902">
        <f t="shared" si="264"/>
        <v>0</v>
      </c>
      <c r="JX23" s="1902">
        <f t="shared" si="264"/>
        <v>0</v>
      </c>
      <c r="JY23" s="1902">
        <f t="shared" si="264"/>
        <v>0</v>
      </c>
      <c r="JZ23" s="1902">
        <f t="shared" si="264"/>
        <v>0</v>
      </c>
      <c r="KA23" s="1902">
        <f t="shared" si="264"/>
        <v>0</v>
      </c>
      <c r="KB23" s="1902">
        <f t="shared" si="264"/>
        <v>0</v>
      </c>
      <c r="KC23" s="1902">
        <f t="shared" si="264"/>
        <v>0</v>
      </c>
      <c r="KD23" s="1902">
        <f t="shared" si="264"/>
        <v>0</v>
      </c>
      <c r="KE23" s="1902">
        <f t="shared" si="264"/>
        <v>0</v>
      </c>
      <c r="KF23" s="1902">
        <f t="shared" si="264"/>
        <v>0</v>
      </c>
      <c r="KG23" s="1902">
        <f t="shared" si="264"/>
        <v>0</v>
      </c>
      <c r="KH23" s="1902">
        <f t="shared" si="264"/>
        <v>0</v>
      </c>
      <c r="KI23" s="1902">
        <f t="shared" si="264"/>
        <v>0</v>
      </c>
      <c r="KJ23" s="1902">
        <f t="shared" si="264"/>
        <v>0</v>
      </c>
      <c r="KK23" s="1902">
        <f t="shared" si="264"/>
        <v>0</v>
      </c>
      <c r="KL23" s="1902">
        <f t="shared" si="264"/>
        <v>0</v>
      </c>
      <c r="KM23" s="1902">
        <f t="shared" si="264"/>
        <v>0</v>
      </c>
      <c r="KN23" s="1902">
        <f t="shared" si="264"/>
        <v>0</v>
      </c>
      <c r="KO23" s="1902">
        <f t="shared" si="264"/>
        <v>0</v>
      </c>
      <c r="KP23" s="1902">
        <f t="shared" si="264"/>
        <v>0</v>
      </c>
      <c r="KQ23" s="1902">
        <f t="shared" si="264"/>
        <v>0</v>
      </c>
      <c r="KR23" s="1902">
        <f t="shared" si="264"/>
        <v>0</v>
      </c>
      <c r="KS23" s="1902">
        <f t="shared" si="264"/>
        <v>0</v>
      </c>
      <c r="KT23" s="1902">
        <f t="shared" si="264"/>
        <v>0</v>
      </c>
      <c r="KU23" s="1902">
        <f t="shared" si="264"/>
        <v>0</v>
      </c>
      <c r="KV23" s="1902">
        <f t="shared" si="264"/>
        <v>0</v>
      </c>
      <c r="KW23" s="1902">
        <f t="shared" si="264"/>
        <v>0</v>
      </c>
      <c r="KX23" s="1902">
        <f t="shared" si="264"/>
        <v>0</v>
      </c>
      <c r="KY23" s="1902">
        <f t="shared" si="264"/>
        <v>0</v>
      </c>
      <c r="KZ23" s="1902">
        <f t="shared" si="264"/>
        <v>0</v>
      </c>
      <c r="LA23" s="1902">
        <f t="shared" si="264"/>
        <v>0</v>
      </c>
      <c r="LB23" s="1902">
        <f t="shared" si="264"/>
        <v>0</v>
      </c>
      <c r="LC23" s="1902">
        <f t="shared" si="264"/>
        <v>0</v>
      </c>
      <c r="LD23" s="1902">
        <f t="shared" si="264"/>
        <v>0</v>
      </c>
      <c r="LE23" s="1902">
        <f t="shared" si="264"/>
        <v>0</v>
      </c>
      <c r="LF23" s="1902">
        <f t="shared" si="264"/>
        <v>0</v>
      </c>
      <c r="LG23" s="1902">
        <f t="shared" si="264"/>
        <v>0</v>
      </c>
      <c r="LH23" s="1902">
        <f t="shared" si="264"/>
        <v>0</v>
      </c>
      <c r="LI23" s="1902">
        <f t="shared" si="264"/>
        <v>0</v>
      </c>
      <c r="LJ23" s="1902">
        <f t="shared" si="264"/>
        <v>0</v>
      </c>
      <c r="LK23" s="1902">
        <f t="shared" si="264"/>
        <v>0</v>
      </c>
      <c r="LL23" s="1902">
        <f t="shared" si="264"/>
        <v>0</v>
      </c>
      <c r="LM23" s="1902">
        <f t="shared" si="264"/>
        <v>0</v>
      </c>
      <c r="LN23" s="1902">
        <f t="shared" si="264"/>
        <v>0</v>
      </c>
      <c r="LO23" s="1902">
        <f t="shared" si="264"/>
        <v>0</v>
      </c>
      <c r="LP23" s="1902">
        <f t="shared" si="264"/>
        <v>0</v>
      </c>
      <c r="LQ23" s="1902">
        <f t="shared" si="264"/>
        <v>0</v>
      </c>
      <c r="LR23" s="1902">
        <f t="shared" si="264"/>
        <v>0</v>
      </c>
      <c r="LS23" s="1902">
        <f t="shared" ref="LS23:OD23" si="265">IF(AND(LS$26="End of period",LS$25="Revenue"),LS10,0)</f>
        <v>0</v>
      </c>
      <c r="LT23" s="1902">
        <f t="shared" si="265"/>
        <v>0</v>
      </c>
      <c r="LU23" s="1902">
        <f t="shared" si="265"/>
        <v>0</v>
      </c>
      <c r="LV23" s="1902">
        <f t="shared" si="265"/>
        <v>0</v>
      </c>
      <c r="LW23" s="1902">
        <f t="shared" si="265"/>
        <v>0</v>
      </c>
      <c r="LX23" s="1902">
        <f t="shared" si="265"/>
        <v>0</v>
      </c>
      <c r="LY23" s="1902">
        <f t="shared" si="265"/>
        <v>0</v>
      </c>
      <c r="LZ23" s="1902">
        <f t="shared" si="265"/>
        <v>0</v>
      </c>
      <c r="MA23" s="1902">
        <f t="shared" si="265"/>
        <v>0</v>
      </c>
      <c r="MB23" s="1902">
        <f t="shared" si="265"/>
        <v>0</v>
      </c>
      <c r="MC23" s="1902">
        <f t="shared" si="265"/>
        <v>0</v>
      </c>
      <c r="MD23" s="1902">
        <f t="shared" si="265"/>
        <v>0</v>
      </c>
      <c r="ME23" s="1902">
        <f t="shared" si="265"/>
        <v>0</v>
      </c>
      <c r="MF23" s="1902">
        <f t="shared" si="265"/>
        <v>0</v>
      </c>
      <c r="MG23" s="1902">
        <f t="shared" si="265"/>
        <v>0</v>
      </c>
      <c r="MH23" s="1902">
        <f t="shared" si="265"/>
        <v>0</v>
      </c>
      <c r="MI23" s="1902">
        <f t="shared" si="265"/>
        <v>0</v>
      </c>
      <c r="MJ23" s="1902">
        <f t="shared" si="265"/>
        <v>0</v>
      </c>
      <c r="MK23" s="1902">
        <f t="shared" si="265"/>
        <v>0</v>
      </c>
      <c r="ML23" s="1902">
        <f t="shared" si="265"/>
        <v>0</v>
      </c>
      <c r="MM23" s="1902">
        <f t="shared" si="265"/>
        <v>0</v>
      </c>
      <c r="MN23" s="1902">
        <f t="shared" si="265"/>
        <v>0</v>
      </c>
      <c r="MO23" s="1902">
        <f t="shared" si="265"/>
        <v>0</v>
      </c>
      <c r="MP23" s="1902">
        <f t="shared" si="265"/>
        <v>0</v>
      </c>
      <c r="MQ23" s="1902">
        <f t="shared" si="265"/>
        <v>0</v>
      </c>
      <c r="MR23" s="1902">
        <f t="shared" si="265"/>
        <v>0</v>
      </c>
      <c r="MS23" s="1902">
        <f t="shared" si="265"/>
        <v>0</v>
      </c>
      <c r="MT23" s="1902">
        <f t="shared" si="265"/>
        <v>0</v>
      </c>
      <c r="MU23" s="1902">
        <f t="shared" si="265"/>
        <v>0</v>
      </c>
      <c r="MV23" s="1902">
        <f t="shared" si="265"/>
        <v>0</v>
      </c>
      <c r="MW23" s="1902">
        <f t="shared" si="265"/>
        <v>0</v>
      </c>
      <c r="MX23" s="1902">
        <f t="shared" si="265"/>
        <v>0</v>
      </c>
      <c r="MY23" s="1902">
        <f t="shared" si="265"/>
        <v>0</v>
      </c>
      <c r="MZ23" s="1902">
        <f t="shared" si="265"/>
        <v>0</v>
      </c>
      <c r="NA23" s="1902">
        <f t="shared" si="265"/>
        <v>0</v>
      </c>
      <c r="NB23" s="1902">
        <f t="shared" si="265"/>
        <v>0</v>
      </c>
      <c r="NC23" s="1902">
        <f t="shared" si="265"/>
        <v>0</v>
      </c>
      <c r="ND23" s="1902">
        <f t="shared" si="265"/>
        <v>0</v>
      </c>
      <c r="NE23" s="1902">
        <f t="shared" si="265"/>
        <v>0</v>
      </c>
      <c r="NF23" s="1902">
        <f t="shared" si="265"/>
        <v>0</v>
      </c>
      <c r="NG23" s="1902">
        <f t="shared" si="265"/>
        <v>0</v>
      </c>
      <c r="NH23" s="1902">
        <f t="shared" si="265"/>
        <v>0</v>
      </c>
      <c r="NI23" s="1902">
        <f t="shared" si="265"/>
        <v>0</v>
      </c>
      <c r="NJ23" s="1902">
        <f t="shared" si="265"/>
        <v>0</v>
      </c>
      <c r="NK23" s="1902">
        <f t="shared" si="265"/>
        <v>0</v>
      </c>
      <c r="NL23" s="1902">
        <f t="shared" si="265"/>
        <v>0</v>
      </c>
      <c r="NM23" s="1902">
        <f t="shared" si="265"/>
        <v>0</v>
      </c>
      <c r="NN23" s="1902">
        <f t="shared" si="265"/>
        <v>0</v>
      </c>
      <c r="NO23" s="1902">
        <f t="shared" si="265"/>
        <v>0</v>
      </c>
      <c r="NP23" s="1902">
        <f t="shared" si="265"/>
        <v>0</v>
      </c>
      <c r="NQ23" s="1902">
        <f t="shared" si="265"/>
        <v>0</v>
      </c>
      <c r="NR23" s="1902">
        <f t="shared" si="265"/>
        <v>0</v>
      </c>
      <c r="NS23" s="1902">
        <f t="shared" si="265"/>
        <v>0</v>
      </c>
      <c r="NT23" s="1902">
        <f t="shared" si="265"/>
        <v>0</v>
      </c>
      <c r="NU23" s="1902">
        <f t="shared" si="265"/>
        <v>0</v>
      </c>
      <c r="NV23" s="1902">
        <f t="shared" si="265"/>
        <v>0</v>
      </c>
      <c r="NW23" s="1902">
        <f t="shared" si="265"/>
        <v>0</v>
      </c>
      <c r="NX23" s="1902">
        <f t="shared" si="265"/>
        <v>0</v>
      </c>
      <c r="NY23" s="1902">
        <f t="shared" si="265"/>
        <v>0</v>
      </c>
      <c r="NZ23" s="1902">
        <f t="shared" si="265"/>
        <v>0</v>
      </c>
      <c r="OA23" s="1902">
        <f t="shared" si="265"/>
        <v>0</v>
      </c>
      <c r="OB23" s="1902">
        <f t="shared" si="265"/>
        <v>0</v>
      </c>
      <c r="OC23" s="1902">
        <f t="shared" si="265"/>
        <v>0</v>
      </c>
      <c r="OD23" s="1902">
        <f t="shared" si="265"/>
        <v>0</v>
      </c>
      <c r="OE23" s="1902">
        <f t="shared" ref="OE23:QP23" si="266">IF(AND(OE$26="End of period",OE$25="Revenue"),OE10,0)</f>
        <v>0</v>
      </c>
      <c r="OF23" s="1902">
        <f t="shared" si="266"/>
        <v>0</v>
      </c>
      <c r="OG23" s="1902">
        <f t="shared" si="266"/>
        <v>0</v>
      </c>
      <c r="OH23" s="1902">
        <f t="shared" si="266"/>
        <v>0</v>
      </c>
      <c r="OI23" s="1902">
        <f t="shared" si="266"/>
        <v>0</v>
      </c>
      <c r="OJ23" s="1902">
        <f t="shared" si="266"/>
        <v>0</v>
      </c>
      <c r="OK23" s="1902">
        <f t="shared" si="266"/>
        <v>0</v>
      </c>
      <c r="OL23" s="1902">
        <f t="shared" si="266"/>
        <v>0</v>
      </c>
      <c r="OM23" s="1902">
        <f t="shared" si="266"/>
        <v>0</v>
      </c>
      <c r="ON23" s="1902">
        <f t="shared" si="266"/>
        <v>0</v>
      </c>
      <c r="OO23" s="1902">
        <f t="shared" si="266"/>
        <v>0</v>
      </c>
      <c r="OP23" s="1902">
        <f t="shared" si="266"/>
        <v>0</v>
      </c>
      <c r="OQ23" s="1902">
        <f t="shared" si="266"/>
        <v>0</v>
      </c>
      <c r="OR23" s="1902">
        <f t="shared" si="266"/>
        <v>0</v>
      </c>
      <c r="OS23" s="1902">
        <f t="shared" si="266"/>
        <v>0</v>
      </c>
      <c r="OT23" s="1902">
        <f t="shared" si="266"/>
        <v>0</v>
      </c>
      <c r="OU23" s="1902">
        <f t="shared" si="266"/>
        <v>0</v>
      </c>
      <c r="OV23" s="1902">
        <f t="shared" si="266"/>
        <v>0</v>
      </c>
      <c r="OW23" s="1902">
        <f t="shared" si="266"/>
        <v>0</v>
      </c>
      <c r="OX23" s="1902">
        <f t="shared" si="266"/>
        <v>0</v>
      </c>
      <c r="OY23" s="1902">
        <f t="shared" si="266"/>
        <v>0</v>
      </c>
      <c r="OZ23" s="1902">
        <f t="shared" si="266"/>
        <v>0</v>
      </c>
      <c r="PA23" s="1902">
        <f t="shared" si="266"/>
        <v>0</v>
      </c>
      <c r="PB23" s="1902">
        <f t="shared" si="266"/>
        <v>0</v>
      </c>
      <c r="PC23" s="1902">
        <f t="shared" si="266"/>
        <v>0</v>
      </c>
      <c r="PD23" s="1902">
        <f t="shared" si="266"/>
        <v>0</v>
      </c>
      <c r="PE23" s="1902">
        <f t="shared" si="266"/>
        <v>0</v>
      </c>
      <c r="PF23" s="1902">
        <f t="shared" si="266"/>
        <v>0</v>
      </c>
      <c r="PG23" s="1902">
        <f t="shared" si="266"/>
        <v>0</v>
      </c>
      <c r="PH23" s="1902">
        <f t="shared" si="266"/>
        <v>0</v>
      </c>
      <c r="PI23" s="1902">
        <f t="shared" si="266"/>
        <v>0</v>
      </c>
      <c r="PJ23" s="1902">
        <f t="shared" si="266"/>
        <v>0</v>
      </c>
      <c r="PK23" s="1902">
        <f t="shared" si="266"/>
        <v>0</v>
      </c>
      <c r="PL23" s="1902">
        <f t="shared" si="266"/>
        <v>0</v>
      </c>
      <c r="PM23" s="1902">
        <f t="shared" si="266"/>
        <v>0</v>
      </c>
      <c r="PN23" s="1902">
        <f t="shared" si="266"/>
        <v>0</v>
      </c>
      <c r="PO23" s="1902">
        <f t="shared" si="266"/>
        <v>0</v>
      </c>
      <c r="PP23" s="1902">
        <f t="shared" si="266"/>
        <v>0</v>
      </c>
      <c r="PQ23" s="1902">
        <f t="shared" si="266"/>
        <v>0</v>
      </c>
      <c r="PR23" s="1902">
        <f t="shared" si="266"/>
        <v>0</v>
      </c>
      <c r="PS23" s="1902">
        <f t="shared" si="266"/>
        <v>0</v>
      </c>
      <c r="PT23" s="1902">
        <f t="shared" si="266"/>
        <v>0</v>
      </c>
      <c r="PU23" s="1902">
        <f t="shared" si="266"/>
        <v>0</v>
      </c>
      <c r="PV23" s="1902">
        <f t="shared" si="266"/>
        <v>0</v>
      </c>
      <c r="PW23" s="1902">
        <f t="shared" si="266"/>
        <v>0</v>
      </c>
      <c r="PX23" s="1902">
        <f t="shared" si="266"/>
        <v>0</v>
      </c>
      <c r="PY23" s="1902">
        <f t="shared" si="266"/>
        <v>0</v>
      </c>
      <c r="PZ23" s="1902">
        <f t="shared" si="266"/>
        <v>0</v>
      </c>
      <c r="QA23" s="1902">
        <f t="shared" si="266"/>
        <v>0</v>
      </c>
      <c r="QB23" s="1902">
        <f t="shared" si="266"/>
        <v>0</v>
      </c>
      <c r="QC23" s="1902">
        <f t="shared" si="266"/>
        <v>0</v>
      </c>
      <c r="QD23" s="1902">
        <f t="shared" si="266"/>
        <v>0</v>
      </c>
      <c r="QE23" s="1902">
        <f t="shared" si="266"/>
        <v>0</v>
      </c>
      <c r="QF23" s="1902">
        <f t="shared" si="266"/>
        <v>0</v>
      </c>
      <c r="QG23" s="1902">
        <f t="shared" si="266"/>
        <v>0</v>
      </c>
      <c r="QH23" s="1902">
        <f t="shared" si="266"/>
        <v>0</v>
      </c>
      <c r="QI23" s="1902">
        <f t="shared" si="266"/>
        <v>0</v>
      </c>
      <c r="QJ23" s="1902">
        <f t="shared" si="266"/>
        <v>0</v>
      </c>
      <c r="QK23" s="1902">
        <f t="shared" si="266"/>
        <v>0</v>
      </c>
      <c r="QL23" s="1902">
        <f t="shared" si="266"/>
        <v>0</v>
      </c>
      <c r="QM23" s="1902">
        <f t="shared" si="266"/>
        <v>0</v>
      </c>
      <c r="QN23" s="1902">
        <f t="shared" si="266"/>
        <v>0</v>
      </c>
      <c r="QO23" s="1902">
        <f t="shared" si="266"/>
        <v>0</v>
      </c>
      <c r="QP23" s="1902">
        <f t="shared" si="266"/>
        <v>0</v>
      </c>
      <c r="QQ23" s="1902">
        <f t="shared" ref="QQ23:TB23" si="267">IF(AND(QQ$26="End of period",QQ$25="Revenue"),QQ10,0)</f>
        <v>0</v>
      </c>
      <c r="QR23" s="1902">
        <f t="shared" si="267"/>
        <v>0</v>
      </c>
      <c r="QS23" s="1902">
        <f t="shared" si="267"/>
        <v>0</v>
      </c>
      <c r="QT23" s="1902">
        <f t="shared" si="267"/>
        <v>0</v>
      </c>
      <c r="QU23" s="1902">
        <f t="shared" si="267"/>
        <v>0</v>
      </c>
      <c r="QV23" s="1902">
        <f t="shared" si="267"/>
        <v>0</v>
      </c>
      <c r="QW23" s="1902">
        <f t="shared" si="267"/>
        <v>0</v>
      </c>
      <c r="QX23" s="1902">
        <f t="shared" si="267"/>
        <v>0</v>
      </c>
      <c r="QY23" s="1902">
        <f t="shared" si="267"/>
        <v>0</v>
      </c>
      <c r="QZ23" s="1902">
        <f t="shared" si="267"/>
        <v>0</v>
      </c>
      <c r="RA23" s="1902">
        <f t="shared" si="267"/>
        <v>0</v>
      </c>
      <c r="RB23" s="1902">
        <f t="shared" si="267"/>
        <v>0</v>
      </c>
      <c r="RC23" s="1902">
        <f t="shared" si="267"/>
        <v>0</v>
      </c>
      <c r="RD23" s="1902">
        <f t="shared" si="267"/>
        <v>0</v>
      </c>
      <c r="RE23" s="1902">
        <f t="shared" si="267"/>
        <v>0</v>
      </c>
      <c r="RF23" s="1902">
        <f t="shared" si="267"/>
        <v>0</v>
      </c>
      <c r="RG23" s="1902">
        <f t="shared" si="267"/>
        <v>0</v>
      </c>
      <c r="RH23" s="1902">
        <f t="shared" si="267"/>
        <v>0</v>
      </c>
      <c r="RI23" s="1902">
        <f t="shared" si="267"/>
        <v>0</v>
      </c>
      <c r="RJ23" s="1902">
        <f t="shared" si="267"/>
        <v>0</v>
      </c>
      <c r="RK23" s="1902">
        <f t="shared" si="267"/>
        <v>0</v>
      </c>
      <c r="RL23" s="1902">
        <f t="shared" si="267"/>
        <v>0</v>
      </c>
      <c r="RM23" s="1902">
        <f t="shared" si="267"/>
        <v>0</v>
      </c>
      <c r="RN23" s="1902">
        <f t="shared" si="267"/>
        <v>0</v>
      </c>
      <c r="RO23" s="1902">
        <f t="shared" si="267"/>
        <v>0</v>
      </c>
      <c r="RP23" s="1902">
        <f t="shared" si="267"/>
        <v>0</v>
      </c>
      <c r="RQ23" s="1902">
        <f t="shared" si="267"/>
        <v>0</v>
      </c>
      <c r="RR23" s="1902">
        <f t="shared" si="267"/>
        <v>0</v>
      </c>
      <c r="RS23" s="1902">
        <f t="shared" si="267"/>
        <v>0</v>
      </c>
      <c r="RT23" s="1902">
        <f t="shared" si="267"/>
        <v>0</v>
      </c>
      <c r="RU23" s="1902">
        <f t="shared" si="267"/>
        <v>0</v>
      </c>
      <c r="RV23" s="1902">
        <f t="shared" si="267"/>
        <v>0</v>
      </c>
      <c r="RW23" s="1902">
        <f t="shared" si="267"/>
        <v>0</v>
      </c>
      <c r="RX23" s="1902">
        <f t="shared" si="267"/>
        <v>0</v>
      </c>
      <c r="RY23" s="1902">
        <f t="shared" si="267"/>
        <v>0</v>
      </c>
      <c r="RZ23" s="1902">
        <f t="shared" si="267"/>
        <v>0</v>
      </c>
      <c r="SA23" s="1902">
        <f t="shared" si="267"/>
        <v>0</v>
      </c>
      <c r="SB23" s="1902">
        <f t="shared" si="267"/>
        <v>0</v>
      </c>
      <c r="SC23" s="1902">
        <f t="shared" si="267"/>
        <v>0</v>
      </c>
      <c r="SD23" s="1902">
        <f t="shared" si="267"/>
        <v>0</v>
      </c>
      <c r="SE23" s="1902">
        <f t="shared" si="267"/>
        <v>0</v>
      </c>
      <c r="SF23" s="1902">
        <f t="shared" si="267"/>
        <v>0</v>
      </c>
      <c r="SG23" s="1902">
        <f t="shared" si="267"/>
        <v>0</v>
      </c>
      <c r="SH23" s="1902">
        <f t="shared" si="267"/>
        <v>0</v>
      </c>
      <c r="SI23" s="1902">
        <f t="shared" si="267"/>
        <v>0</v>
      </c>
      <c r="SJ23" s="1902">
        <f t="shared" si="267"/>
        <v>0</v>
      </c>
      <c r="SK23" s="1902">
        <f t="shared" si="267"/>
        <v>0</v>
      </c>
      <c r="SL23" s="1902">
        <f t="shared" si="267"/>
        <v>0</v>
      </c>
      <c r="SM23" s="1902">
        <f t="shared" si="267"/>
        <v>0</v>
      </c>
      <c r="SN23" s="1902">
        <f t="shared" si="267"/>
        <v>0</v>
      </c>
      <c r="SO23" s="1902">
        <f t="shared" si="267"/>
        <v>0</v>
      </c>
      <c r="SP23" s="1902">
        <f t="shared" si="267"/>
        <v>0</v>
      </c>
      <c r="SQ23" s="1902">
        <f t="shared" si="267"/>
        <v>0</v>
      </c>
      <c r="SR23" s="1902">
        <f t="shared" si="267"/>
        <v>0</v>
      </c>
      <c r="SS23" s="1902">
        <f t="shared" si="267"/>
        <v>0</v>
      </c>
      <c r="ST23" s="1902">
        <f t="shared" si="267"/>
        <v>0</v>
      </c>
      <c r="SU23" s="1902">
        <f t="shared" si="267"/>
        <v>0</v>
      </c>
      <c r="SV23" s="1902">
        <f t="shared" si="267"/>
        <v>0</v>
      </c>
      <c r="SW23" s="1902">
        <f t="shared" si="267"/>
        <v>0</v>
      </c>
      <c r="SX23" s="1902">
        <f t="shared" si="267"/>
        <v>0</v>
      </c>
      <c r="SY23" s="1902">
        <f t="shared" si="267"/>
        <v>0</v>
      </c>
      <c r="SZ23" s="1902">
        <f t="shared" si="267"/>
        <v>0</v>
      </c>
      <c r="TA23" s="1902">
        <f t="shared" si="267"/>
        <v>0</v>
      </c>
      <c r="TB23" s="1902">
        <f t="shared" si="267"/>
        <v>0</v>
      </c>
      <c r="TC23" s="1902">
        <f t="shared" ref="TC23:VN23" si="268">IF(AND(TC$26="End of period",TC$25="Revenue"),TC10,0)</f>
        <v>0</v>
      </c>
      <c r="TD23" s="1902">
        <f t="shared" si="268"/>
        <v>0</v>
      </c>
      <c r="TE23" s="1902">
        <f t="shared" si="268"/>
        <v>0</v>
      </c>
      <c r="TF23" s="1902">
        <f t="shared" si="268"/>
        <v>0</v>
      </c>
      <c r="TG23" s="1902">
        <f t="shared" si="268"/>
        <v>0</v>
      </c>
      <c r="TH23" s="1902">
        <f t="shared" si="268"/>
        <v>0</v>
      </c>
      <c r="TI23" s="1902">
        <f t="shared" si="268"/>
        <v>0</v>
      </c>
      <c r="TJ23" s="1902">
        <f t="shared" si="268"/>
        <v>0</v>
      </c>
      <c r="TK23" s="1902">
        <f t="shared" si="268"/>
        <v>0</v>
      </c>
      <c r="TL23" s="1902">
        <f t="shared" si="268"/>
        <v>0</v>
      </c>
      <c r="TM23" s="1902">
        <f t="shared" si="268"/>
        <v>0</v>
      </c>
      <c r="TN23" s="1902">
        <f t="shared" si="268"/>
        <v>0</v>
      </c>
      <c r="TO23" s="1902">
        <f t="shared" si="268"/>
        <v>0</v>
      </c>
      <c r="TP23" s="1902">
        <f t="shared" si="268"/>
        <v>0</v>
      </c>
      <c r="TQ23" s="1902">
        <f t="shared" si="268"/>
        <v>0</v>
      </c>
      <c r="TR23" s="1902">
        <f t="shared" si="268"/>
        <v>0</v>
      </c>
      <c r="TS23" s="1902">
        <f t="shared" si="268"/>
        <v>0</v>
      </c>
      <c r="TT23" s="1902">
        <f t="shared" si="268"/>
        <v>0</v>
      </c>
      <c r="TU23" s="1902">
        <f t="shared" si="268"/>
        <v>0</v>
      </c>
      <c r="TV23" s="1902">
        <f t="shared" si="268"/>
        <v>0</v>
      </c>
      <c r="TW23" s="1902">
        <f t="shared" si="268"/>
        <v>0</v>
      </c>
      <c r="TX23" s="1902">
        <f t="shared" si="268"/>
        <v>0</v>
      </c>
      <c r="TY23" s="1902">
        <f t="shared" si="268"/>
        <v>0</v>
      </c>
      <c r="TZ23" s="1902">
        <f t="shared" si="268"/>
        <v>0</v>
      </c>
      <c r="UA23" s="1902">
        <f t="shared" si="268"/>
        <v>0</v>
      </c>
      <c r="UB23" s="1902">
        <f t="shared" si="268"/>
        <v>0</v>
      </c>
      <c r="UC23" s="1902">
        <f t="shared" si="268"/>
        <v>0</v>
      </c>
      <c r="UD23" s="1902">
        <f t="shared" si="268"/>
        <v>0</v>
      </c>
      <c r="UE23" s="1902">
        <f t="shared" si="268"/>
        <v>0</v>
      </c>
      <c r="UF23" s="1902">
        <f t="shared" si="268"/>
        <v>0</v>
      </c>
      <c r="UG23" s="1902">
        <f t="shared" si="268"/>
        <v>0</v>
      </c>
      <c r="UH23" s="1902">
        <f t="shared" si="268"/>
        <v>0</v>
      </c>
      <c r="UI23" s="1902">
        <f t="shared" si="268"/>
        <v>0</v>
      </c>
      <c r="UJ23" s="1902">
        <f t="shared" si="268"/>
        <v>0</v>
      </c>
      <c r="UK23" s="1902">
        <f t="shared" si="268"/>
        <v>0</v>
      </c>
      <c r="UL23" s="1902">
        <f t="shared" si="268"/>
        <v>0</v>
      </c>
      <c r="UM23" s="1902">
        <f t="shared" si="268"/>
        <v>0</v>
      </c>
      <c r="UN23" s="1902">
        <f t="shared" si="268"/>
        <v>0</v>
      </c>
      <c r="UO23" s="1902">
        <f t="shared" si="268"/>
        <v>0</v>
      </c>
      <c r="UP23" s="1902">
        <f t="shared" si="268"/>
        <v>0</v>
      </c>
      <c r="UQ23" s="1902">
        <f t="shared" si="268"/>
        <v>0</v>
      </c>
      <c r="UR23" s="1902">
        <f t="shared" si="268"/>
        <v>0</v>
      </c>
      <c r="US23" s="1902">
        <f t="shared" si="268"/>
        <v>0</v>
      </c>
      <c r="UT23" s="1902">
        <f t="shared" si="268"/>
        <v>0</v>
      </c>
      <c r="UU23" s="1902">
        <f t="shared" si="268"/>
        <v>0</v>
      </c>
      <c r="UV23" s="1902">
        <f t="shared" si="268"/>
        <v>0</v>
      </c>
      <c r="UW23" s="1902">
        <f t="shared" si="268"/>
        <v>0</v>
      </c>
      <c r="UX23" s="1902">
        <f t="shared" si="268"/>
        <v>0</v>
      </c>
      <c r="UY23" s="1902">
        <f t="shared" si="268"/>
        <v>0</v>
      </c>
      <c r="UZ23" s="1902">
        <f t="shared" si="268"/>
        <v>0</v>
      </c>
      <c r="VA23" s="1902">
        <f t="shared" si="268"/>
        <v>0</v>
      </c>
      <c r="VB23" s="1902">
        <f t="shared" si="268"/>
        <v>0</v>
      </c>
      <c r="VC23" s="1902">
        <f t="shared" si="268"/>
        <v>0</v>
      </c>
      <c r="VD23" s="1902">
        <f t="shared" si="268"/>
        <v>0</v>
      </c>
      <c r="VE23" s="1902">
        <f t="shared" si="268"/>
        <v>0</v>
      </c>
      <c r="VF23" s="1902">
        <f t="shared" si="268"/>
        <v>0</v>
      </c>
      <c r="VG23" s="1902">
        <f t="shared" si="268"/>
        <v>0</v>
      </c>
      <c r="VH23" s="1902">
        <f t="shared" si="268"/>
        <v>0</v>
      </c>
      <c r="VI23" s="1902">
        <f t="shared" si="268"/>
        <v>0</v>
      </c>
      <c r="VJ23" s="1902">
        <f t="shared" si="268"/>
        <v>0</v>
      </c>
      <c r="VK23" s="1902">
        <f t="shared" si="268"/>
        <v>0</v>
      </c>
      <c r="VL23" s="1902">
        <f t="shared" si="268"/>
        <v>0</v>
      </c>
      <c r="VM23" s="1902">
        <f t="shared" si="268"/>
        <v>0</v>
      </c>
      <c r="VN23" s="1902">
        <f t="shared" si="268"/>
        <v>0</v>
      </c>
      <c r="VO23" s="1902">
        <f t="shared" ref="VO23:XZ23" si="269">IF(AND(VO$26="End of period",VO$25="Revenue"),VO10,0)</f>
        <v>0</v>
      </c>
      <c r="VP23" s="1902">
        <f t="shared" si="269"/>
        <v>0</v>
      </c>
      <c r="VQ23" s="1902">
        <f t="shared" si="269"/>
        <v>0</v>
      </c>
      <c r="VR23" s="1902">
        <f t="shared" si="269"/>
        <v>0</v>
      </c>
      <c r="VS23" s="1902">
        <f t="shared" si="269"/>
        <v>0</v>
      </c>
      <c r="VT23" s="1902">
        <f t="shared" si="269"/>
        <v>0</v>
      </c>
      <c r="VU23" s="1902">
        <f t="shared" si="269"/>
        <v>0</v>
      </c>
      <c r="VV23" s="1902">
        <f t="shared" si="269"/>
        <v>0</v>
      </c>
      <c r="VW23" s="1902">
        <f t="shared" si="269"/>
        <v>0</v>
      </c>
      <c r="VX23" s="1902">
        <f t="shared" si="269"/>
        <v>0</v>
      </c>
      <c r="VY23" s="1902">
        <f t="shared" si="269"/>
        <v>0</v>
      </c>
      <c r="VZ23" s="1902">
        <f t="shared" si="269"/>
        <v>0</v>
      </c>
      <c r="WA23" s="1902">
        <f t="shared" si="269"/>
        <v>0</v>
      </c>
      <c r="WB23" s="1902">
        <f t="shared" si="269"/>
        <v>0</v>
      </c>
      <c r="WC23" s="1902">
        <f t="shared" si="269"/>
        <v>0</v>
      </c>
      <c r="WD23" s="1902">
        <f t="shared" si="269"/>
        <v>0</v>
      </c>
      <c r="WE23" s="1902">
        <f t="shared" si="269"/>
        <v>0</v>
      </c>
      <c r="WF23" s="1902">
        <f t="shared" si="269"/>
        <v>0</v>
      </c>
      <c r="WG23" s="1902">
        <f t="shared" si="269"/>
        <v>0</v>
      </c>
      <c r="WH23" s="1902">
        <f t="shared" si="269"/>
        <v>0</v>
      </c>
      <c r="WI23" s="1902">
        <f t="shared" si="269"/>
        <v>0</v>
      </c>
      <c r="WJ23" s="1902">
        <f t="shared" si="269"/>
        <v>0</v>
      </c>
      <c r="WK23" s="1902">
        <f t="shared" si="269"/>
        <v>0</v>
      </c>
      <c r="WL23" s="1902">
        <f t="shared" si="269"/>
        <v>0</v>
      </c>
      <c r="WM23" s="1902">
        <f t="shared" si="269"/>
        <v>0</v>
      </c>
      <c r="WN23" s="1902">
        <f t="shared" si="269"/>
        <v>0</v>
      </c>
      <c r="WO23" s="1902">
        <f t="shared" si="269"/>
        <v>0</v>
      </c>
      <c r="WP23" s="1902">
        <f t="shared" si="269"/>
        <v>0</v>
      </c>
      <c r="WQ23" s="1902">
        <f t="shared" si="269"/>
        <v>0</v>
      </c>
      <c r="WR23" s="1902">
        <f t="shared" si="269"/>
        <v>0</v>
      </c>
      <c r="WS23" s="1902">
        <f t="shared" si="269"/>
        <v>0</v>
      </c>
      <c r="WT23" s="1902">
        <f t="shared" si="269"/>
        <v>0</v>
      </c>
      <c r="WU23" s="1902">
        <f t="shared" si="269"/>
        <v>0</v>
      </c>
      <c r="WV23" s="1902">
        <f t="shared" si="269"/>
        <v>0</v>
      </c>
      <c r="WW23" s="1902">
        <f t="shared" si="269"/>
        <v>0</v>
      </c>
      <c r="WX23" s="1902">
        <f t="shared" si="269"/>
        <v>0</v>
      </c>
      <c r="WY23" s="1902">
        <f t="shared" si="269"/>
        <v>0</v>
      </c>
      <c r="WZ23" s="1902">
        <f t="shared" si="269"/>
        <v>0</v>
      </c>
      <c r="XA23" s="1902">
        <f t="shared" si="269"/>
        <v>0</v>
      </c>
      <c r="XB23" s="1902">
        <f t="shared" si="269"/>
        <v>0</v>
      </c>
      <c r="XC23" s="1902">
        <f t="shared" si="269"/>
        <v>0</v>
      </c>
      <c r="XD23" s="1902">
        <f t="shared" si="269"/>
        <v>0</v>
      </c>
      <c r="XE23" s="1902">
        <f t="shared" si="269"/>
        <v>0</v>
      </c>
      <c r="XF23" s="1902">
        <f t="shared" si="269"/>
        <v>0</v>
      </c>
      <c r="XG23" s="1902">
        <f t="shared" si="269"/>
        <v>0</v>
      </c>
      <c r="XH23" s="1902">
        <f t="shared" si="269"/>
        <v>0</v>
      </c>
      <c r="XI23" s="1902">
        <f t="shared" si="269"/>
        <v>0</v>
      </c>
      <c r="XJ23" s="1902">
        <f t="shared" si="269"/>
        <v>0</v>
      </c>
      <c r="XK23" s="1902">
        <f t="shared" si="269"/>
        <v>0</v>
      </c>
      <c r="XL23" s="1902">
        <f t="shared" si="269"/>
        <v>0</v>
      </c>
      <c r="XM23" s="1902">
        <f t="shared" si="269"/>
        <v>0</v>
      </c>
      <c r="XN23" s="1902">
        <f t="shared" si="269"/>
        <v>0</v>
      </c>
      <c r="XO23" s="1902">
        <f t="shared" si="269"/>
        <v>0</v>
      </c>
      <c r="XP23" s="1902">
        <f t="shared" si="269"/>
        <v>0</v>
      </c>
      <c r="XQ23" s="1902">
        <f t="shared" si="269"/>
        <v>0</v>
      </c>
      <c r="XR23" s="1902">
        <f t="shared" si="269"/>
        <v>0</v>
      </c>
      <c r="XS23" s="1902">
        <f t="shared" si="269"/>
        <v>0</v>
      </c>
      <c r="XT23" s="1902">
        <f t="shared" si="269"/>
        <v>0</v>
      </c>
      <c r="XU23" s="1902">
        <f t="shared" si="269"/>
        <v>0</v>
      </c>
      <c r="XV23" s="1902">
        <f t="shared" si="269"/>
        <v>0</v>
      </c>
      <c r="XW23" s="1902">
        <f t="shared" si="269"/>
        <v>0</v>
      </c>
      <c r="XX23" s="1902">
        <f t="shared" si="269"/>
        <v>0</v>
      </c>
      <c r="XY23" s="1902">
        <f t="shared" si="269"/>
        <v>0</v>
      </c>
      <c r="XZ23" s="1902">
        <f t="shared" si="269"/>
        <v>0</v>
      </c>
      <c r="YA23" s="1902">
        <f t="shared" ref="YA23:AAL23" si="270">IF(AND(YA$26="End of period",YA$25="Revenue"),YA10,0)</f>
        <v>0</v>
      </c>
      <c r="YB23" s="1902">
        <f t="shared" si="270"/>
        <v>0</v>
      </c>
      <c r="YC23" s="1902">
        <f t="shared" si="270"/>
        <v>0</v>
      </c>
      <c r="YD23" s="1902">
        <f t="shared" si="270"/>
        <v>0</v>
      </c>
      <c r="YE23" s="1902">
        <f t="shared" si="270"/>
        <v>0</v>
      </c>
      <c r="YF23" s="1902">
        <f t="shared" si="270"/>
        <v>0</v>
      </c>
      <c r="YG23" s="1902">
        <f t="shared" si="270"/>
        <v>0</v>
      </c>
      <c r="YH23" s="1902">
        <f t="shared" si="270"/>
        <v>0</v>
      </c>
      <c r="YI23" s="1902">
        <f t="shared" si="270"/>
        <v>0</v>
      </c>
      <c r="YJ23" s="1902">
        <f t="shared" si="270"/>
        <v>0</v>
      </c>
      <c r="YK23" s="1902">
        <f t="shared" si="270"/>
        <v>0</v>
      </c>
      <c r="YL23" s="1902">
        <f t="shared" si="270"/>
        <v>0</v>
      </c>
      <c r="YM23" s="1902">
        <f t="shared" si="270"/>
        <v>0</v>
      </c>
      <c r="YN23" s="1902">
        <f t="shared" si="270"/>
        <v>0</v>
      </c>
      <c r="YO23" s="1902">
        <f t="shared" si="270"/>
        <v>0</v>
      </c>
      <c r="YP23" s="1902">
        <f t="shared" si="270"/>
        <v>0</v>
      </c>
      <c r="YQ23" s="1902">
        <f t="shared" si="270"/>
        <v>0</v>
      </c>
      <c r="YR23" s="1902">
        <f t="shared" si="270"/>
        <v>0</v>
      </c>
      <c r="YS23" s="1902">
        <f t="shared" si="270"/>
        <v>0</v>
      </c>
      <c r="YT23" s="1902">
        <f t="shared" si="270"/>
        <v>0</v>
      </c>
      <c r="YU23" s="1902">
        <f t="shared" si="270"/>
        <v>0</v>
      </c>
      <c r="YV23" s="1902">
        <f t="shared" si="270"/>
        <v>0</v>
      </c>
      <c r="YW23" s="1902">
        <f t="shared" si="270"/>
        <v>0</v>
      </c>
      <c r="YX23" s="1902">
        <f t="shared" si="270"/>
        <v>0</v>
      </c>
      <c r="YY23" s="1902">
        <f t="shared" si="270"/>
        <v>0</v>
      </c>
      <c r="YZ23" s="1902">
        <f t="shared" si="270"/>
        <v>0</v>
      </c>
      <c r="ZA23" s="1902">
        <f t="shared" si="270"/>
        <v>0</v>
      </c>
      <c r="ZB23" s="1902">
        <f t="shared" si="270"/>
        <v>0</v>
      </c>
      <c r="ZC23" s="1902">
        <f t="shared" si="270"/>
        <v>0</v>
      </c>
      <c r="ZD23" s="1902">
        <f t="shared" si="270"/>
        <v>0</v>
      </c>
      <c r="ZE23" s="1902">
        <f t="shared" si="270"/>
        <v>0</v>
      </c>
      <c r="ZF23" s="1902">
        <f t="shared" si="270"/>
        <v>0</v>
      </c>
      <c r="ZG23" s="1902">
        <f t="shared" si="270"/>
        <v>0</v>
      </c>
      <c r="ZH23" s="1902">
        <f t="shared" si="270"/>
        <v>0</v>
      </c>
      <c r="ZI23" s="1902">
        <f t="shared" si="270"/>
        <v>0</v>
      </c>
      <c r="ZJ23" s="1902">
        <f t="shared" si="270"/>
        <v>0</v>
      </c>
      <c r="ZK23" s="1902">
        <f t="shared" si="270"/>
        <v>0</v>
      </c>
      <c r="ZL23" s="1902">
        <f t="shared" si="270"/>
        <v>0</v>
      </c>
      <c r="ZM23" s="1902">
        <f t="shared" si="270"/>
        <v>0</v>
      </c>
      <c r="ZN23" s="1902">
        <f t="shared" si="270"/>
        <v>0</v>
      </c>
      <c r="ZO23" s="1902">
        <f t="shared" si="270"/>
        <v>0</v>
      </c>
      <c r="ZP23" s="1902">
        <f t="shared" si="270"/>
        <v>0</v>
      </c>
      <c r="ZQ23" s="1902">
        <f t="shared" si="270"/>
        <v>0</v>
      </c>
      <c r="ZR23" s="1902">
        <f t="shared" si="270"/>
        <v>0</v>
      </c>
      <c r="ZS23" s="1902">
        <f t="shared" si="270"/>
        <v>0</v>
      </c>
      <c r="ZT23" s="1902">
        <f t="shared" si="270"/>
        <v>0</v>
      </c>
      <c r="ZU23" s="1902">
        <f t="shared" si="270"/>
        <v>0</v>
      </c>
      <c r="ZV23" s="1902">
        <f t="shared" si="270"/>
        <v>0</v>
      </c>
      <c r="ZW23" s="1902">
        <f t="shared" si="270"/>
        <v>0</v>
      </c>
      <c r="ZX23" s="1902">
        <f t="shared" si="270"/>
        <v>0</v>
      </c>
      <c r="ZY23" s="1902">
        <f t="shared" si="270"/>
        <v>0</v>
      </c>
      <c r="ZZ23" s="1902">
        <f t="shared" si="270"/>
        <v>0</v>
      </c>
      <c r="AAA23" s="1902">
        <f t="shared" si="270"/>
        <v>0</v>
      </c>
      <c r="AAB23" s="1902">
        <f t="shared" si="270"/>
        <v>0</v>
      </c>
      <c r="AAC23" s="1902">
        <f t="shared" si="270"/>
        <v>0</v>
      </c>
      <c r="AAD23" s="1902">
        <f t="shared" si="270"/>
        <v>0</v>
      </c>
      <c r="AAE23" s="1902">
        <f t="shared" si="270"/>
        <v>0</v>
      </c>
      <c r="AAF23" s="1902">
        <f t="shared" si="270"/>
        <v>0</v>
      </c>
      <c r="AAG23" s="1902">
        <f t="shared" si="270"/>
        <v>0</v>
      </c>
      <c r="AAH23" s="1902">
        <f t="shared" si="270"/>
        <v>0</v>
      </c>
      <c r="AAI23" s="1902">
        <f t="shared" si="270"/>
        <v>0</v>
      </c>
      <c r="AAJ23" s="1902">
        <f t="shared" si="270"/>
        <v>0</v>
      </c>
      <c r="AAK23" s="1902">
        <f t="shared" si="270"/>
        <v>0</v>
      </c>
      <c r="AAL23" s="1902">
        <f t="shared" si="270"/>
        <v>0</v>
      </c>
      <c r="AAM23" s="1902">
        <f t="shared" ref="AAM23:ACX23" si="271">IF(AND(AAM$26="End of period",AAM$25="Revenue"),AAM10,0)</f>
        <v>0</v>
      </c>
      <c r="AAN23" s="1902">
        <f t="shared" si="271"/>
        <v>0</v>
      </c>
      <c r="AAO23" s="1902">
        <f t="shared" si="271"/>
        <v>0</v>
      </c>
      <c r="AAP23" s="1902">
        <f t="shared" si="271"/>
        <v>0</v>
      </c>
      <c r="AAQ23" s="1902">
        <f t="shared" si="271"/>
        <v>0</v>
      </c>
      <c r="AAR23" s="1902">
        <f t="shared" si="271"/>
        <v>0</v>
      </c>
      <c r="AAS23" s="1902">
        <f t="shared" si="271"/>
        <v>0</v>
      </c>
      <c r="AAT23" s="1902">
        <f t="shared" si="271"/>
        <v>0</v>
      </c>
      <c r="AAU23" s="1902">
        <f t="shared" si="271"/>
        <v>0</v>
      </c>
      <c r="AAV23" s="1902">
        <f t="shared" si="271"/>
        <v>0</v>
      </c>
      <c r="AAW23" s="1902">
        <f t="shared" si="271"/>
        <v>0</v>
      </c>
      <c r="AAX23" s="1902">
        <f t="shared" si="271"/>
        <v>0</v>
      </c>
      <c r="AAY23" s="1902">
        <f t="shared" si="271"/>
        <v>0</v>
      </c>
      <c r="AAZ23" s="1902">
        <f t="shared" si="271"/>
        <v>0</v>
      </c>
      <c r="ABA23" s="1902">
        <f t="shared" si="271"/>
        <v>0</v>
      </c>
      <c r="ABB23" s="1902">
        <f t="shared" si="271"/>
        <v>0</v>
      </c>
      <c r="ABC23" s="1902">
        <f t="shared" si="271"/>
        <v>0</v>
      </c>
      <c r="ABD23" s="1902">
        <f t="shared" si="271"/>
        <v>0</v>
      </c>
      <c r="ABE23" s="1902">
        <f t="shared" si="271"/>
        <v>0</v>
      </c>
      <c r="ABF23" s="1902">
        <f t="shared" si="271"/>
        <v>0</v>
      </c>
      <c r="ABG23" s="1902">
        <f t="shared" si="271"/>
        <v>0</v>
      </c>
      <c r="ABH23" s="1902">
        <f t="shared" si="271"/>
        <v>0</v>
      </c>
      <c r="ABI23" s="1902">
        <f t="shared" si="271"/>
        <v>0</v>
      </c>
      <c r="ABJ23" s="1902">
        <f t="shared" si="271"/>
        <v>0</v>
      </c>
      <c r="ABK23" s="1902">
        <f t="shared" si="271"/>
        <v>0</v>
      </c>
      <c r="ABL23" s="1902">
        <f t="shared" si="271"/>
        <v>0</v>
      </c>
      <c r="ABM23" s="1902">
        <f t="shared" si="271"/>
        <v>0</v>
      </c>
      <c r="ABN23" s="1902">
        <f t="shared" si="271"/>
        <v>0</v>
      </c>
      <c r="ABO23" s="1902">
        <f t="shared" si="271"/>
        <v>0</v>
      </c>
      <c r="ABP23" s="1902">
        <f t="shared" si="271"/>
        <v>0</v>
      </c>
      <c r="ABQ23" s="1902">
        <f t="shared" si="271"/>
        <v>0</v>
      </c>
      <c r="ABR23" s="1902">
        <f t="shared" si="271"/>
        <v>0</v>
      </c>
      <c r="ABS23" s="1902">
        <f t="shared" si="271"/>
        <v>0</v>
      </c>
      <c r="ABT23" s="1902">
        <f t="shared" si="271"/>
        <v>0</v>
      </c>
      <c r="ABU23" s="1902">
        <f t="shared" si="271"/>
        <v>0</v>
      </c>
      <c r="ABV23" s="1902">
        <f t="shared" si="271"/>
        <v>0</v>
      </c>
      <c r="ABW23" s="1902">
        <f t="shared" si="271"/>
        <v>0</v>
      </c>
      <c r="ABX23" s="1902">
        <f t="shared" si="271"/>
        <v>0</v>
      </c>
      <c r="ABY23" s="1902">
        <f t="shared" si="271"/>
        <v>0</v>
      </c>
      <c r="ABZ23" s="1902">
        <f t="shared" si="271"/>
        <v>0</v>
      </c>
      <c r="ACA23" s="1902">
        <f t="shared" si="271"/>
        <v>0</v>
      </c>
      <c r="ACB23" s="1902">
        <f t="shared" si="271"/>
        <v>0</v>
      </c>
      <c r="ACC23" s="1902">
        <f t="shared" si="271"/>
        <v>0</v>
      </c>
      <c r="ACD23" s="1902">
        <f t="shared" si="271"/>
        <v>0</v>
      </c>
      <c r="ACE23" s="1902">
        <f t="shared" si="271"/>
        <v>0</v>
      </c>
      <c r="ACF23" s="1902">
        <f t="shared" si="271"/>
        <v>0</v>
      </c>
      <c r="ACG23" s="1902">
        <f t="shared" si="271"/>
        <v>0</v>
      </c>
      <c r="ACH23" s="1902">
        <f t="shared" si="271"/>
        <v>0</v>
      </c>
      <c r="ACI23" s="1902">
        <f t="shared" si="271"/>
        <v>0</v>
      </c>
      <c r="ACJ23" s="1902">
        <f t="shared" si="271"/>
        <v>0</v>
      </c>
      <c r="ACK23" s="1902">
        <f t="shared" si="271"/>
        <v>0</v>
      </c>
      <c r="ACL23" s="1902">
        <f t="shared" si="271"/>
        <v>0</v>
      </c>
      <c r="ACM23" s="1902">
        <f t="shared" si="271"/>
        <v>0</v>
      </c>
      <c r="ACN23" s="1902">
        <f t="shared" si="271"/>
        <v>0</v>
      </c>
      <c r="ACO23" s="1902">
        <f t="shared" si="271"/>
        <v>0</v>
      </c>
      <c r="ACP23" s="1902">
        <f t="shared" si="271"/>
        <v>0</v>
      </c>
      <c r="ACQ23" s="1902">
        <f t="shared" si="271"/>
        <v>0</v>
      </c>
      <c r="ACR23" s="1902">
        <f t="shared" si="271"/>
        <v>0</v>
      </c>
      <c r="ACS23" s="1902">
        <f t="shared" si="271"/>
        <v>0</v>
      </c>
      <c r="ACT23" s="1902">
        <f t="shared" si="271"/>
        <v>0</v>
      </c>
      <c r="ACU23" s="1902">
        <f t="shared" si="271"/>
        <v>0</v>
      </c>
      <c r="ACV23" s="1902">
        <f t="shared" si="271"/>
        <v>0</v>
      </c>
      <c r="ACW23" s="1902">
        <f t="shared" si="271"/>
        <v>0</v>
      </c>
      <c r="ACX23" s="1902">
        <f t="shared" si="271"/>
        <v>0</v>
      </c>
      <c r="ACY23" s="1902">
        <f t="shared" ref="ACY23:AFJ23" si="272">IF(AND(ACY$26="End of period",ACY$25="Revenue"),ACY10,0)</f>
        <v>0</v>
      </c>
      <c r="ACZ23" s="1902">
        <f t="shared" si="272"/>
        <v>0</v>
      </c>
      <c r="ADA23" s="1902">
        <f t="shared" si="272"/>
        <v>0</v>
      </c>
      <c r="ADB23" s="1902">
        <f t="shared" si="272"/>
        <v>0</v>
      </c>
      <c r="ADC23" s="1902">
        <f t="shared" si="272"/>
        <v>0</v>
      </c>
      <c r="ADD23" s="1902">
        <f t="shared" si="272"/>
        <v>0</v>
      </c>
      <c r="ADE23" s="1902">
        <f t="shared" si="272"/>
        <v>0</v>
      </c>
      <c r="ADF23" s="1902">
        <f t="shared" si="272"/>
        <v>0</v>
      </c>
      <c r="ADG23" s="1902">
        <f t="shared" si="272"/>
        <v>0</v>
      </c>
      <c r="ADH23" s="1902">
        <f t="shared" si="272"/>
        <v>0</v>
      </c>
      <c r="ADI23" s="1902">
        <f t="shared" si="272"/>
        <v>0</v>
      </c>
      <c r="ADJ23" s="1902">
        <f t="shared" si="272"/>
        <v>0</v>
      </c>
      <c r="ADK23" s="1902">
        <f t="shared" si="272"/>
        <v>0</v>
      </c>
      <c r="ADL23" s="1902">
        <f t="shared" si="272"/>
        <v>0</v>
      </c>
      <c r="ADM23" s="1902">
        <f t="shared" si="272"/>
        <v>0</v>
      </c>
      <c r="ADN23" s="1902">
        <f t="shared" si="272"/>
        <v>0</v>
      </c>
      <c r="ADO23" s="1902">
        <f t="shared" si="272"/>
        <v>0</v>
      </c>
      <c r="ADP23" s="1902">
        <f t="shared" si="272"/>
        <v>0</v>
      </c>
      <c r="ADQ23" s="1902">
        <f t="shared" si="272"/>
        <v>0</v>
      </c>
      <c r="ADR23" s="1902">
        <f t="shared" si="272"/>
        <v>0</v>
      </c>
      <c r="ADS23" s="1902">
        <f t="shared" si="272"/>
        <v>0</v>
      </c>
      <c r="ADT23" s="1902">
        <f t="shared" si="272"/>
        <v>0</v>
      </c>
      <c r="ADU23" s="1902">
        <f t="shared" si="272"/>
        <v>0</v>
      </c>
      <c r="ADV23" s="1902">
        <f t="shared" si="272"/>
        <v>0</v>
      </c>
      <c r="ADW23" s="1902">
        <f t="shared" si="272"/>
        <v>0</v>
      </c>
      <c r="ADX23" s="1902">
        <f t="shared" si="272"/>
        <v>0</v>
      </c>
      <c r="ADY23" s="1902">
        <f t="shared" si="272"/>
        <v>0</v>
      </c>
      <c r="ADZ23" s="1902">
        <f t="shared" si="272"/>
        <v>0</v>
      </c>
      <c r="AEA23" s="1902">
        <f t="shared" si="272"/>
        <v>0</v>
      </c>
      <c r="AEB23" s="1902">
        <f t="shared" si="272"/>
        <v>0</v>
      </c>
      <c r="AEC23" s="1902">
        <f t="shared" si="272"/>
        <v>0</v>
      </c>
      <c r="AED23" s="1902">
        <f t="shared" si="272"/>
        <v>0</v>
      </c>
      <c r="AEE23" s="1902">
        <f t="shared" si="272"/>
        <v>0</v>
      </c>
      <c r="AEF23" s="1902">
        <f t="shared" si="272"/>
        <v>0</v>
      </c>
      <c r="AEG23" s="1902">
        <f t="shared" si="272"/>
        <v>0</v>
      </c>
      <c r="AEH23" s="1902">
        <f t="shared" si="272"/>
        <v>0</v>
      </c>
      <c r="AEI23" s="1902">
        <f t="shared" si="272"/>
        <v>0</v>
      </c>
      <c r="AEJ23" s="1902">
        <f t="shared" si="272"/>
        <v>0</v>
      </c>
      <c r="AEK23" s="1902">
        <f t="shared" si="272"/>
        <v>0</v>
      </c>
      <c r="AEL23" s="1902">
        <f t="shared" si="272"/>
        <v>0</v>
      </c>
      <c r="AEM23" s="1902">
        <f t="shared" si="272"/>
        <v>0</v>
      </c>
      <c r="AEN23" s="1902">
        <f t="shared" si="272"/>
        <v>0</v>
      </c>
      <c r="AEO23" s="1902">
        <f t="shared" si="272"/>
        <v>0</v>
      </c>
      <c r="AEP23" s="1902">
        <f t="shared" si="272"/>
        <v>0</v>
      </c>
      <c r="AEQ23" s="1902">
        <f t="shared" si="272"/>
        <v>0</v>
      </c>
      <c r="AER23" s="1902">
        <f t="shared" si="272"/>
        <v>0</v>
      </c>
      <c r="AES23" s="1902">
        <f t="shared" si="272"/>
        <v>0</v>
      </c>
      <c r="AET23" s="1902">
        <f t="shared" si="272"/>
        <v>0</v>
      </c>
      <c r="AEU23" s="1902">
        <f t="shared" si="272"/>
        <v>0</v>
      </c>
      <c r="AEV23" s="1902">
        <f t="shared" si="272"/>
        <v>0</v>
      </c>
      <c r="AEW23" s="1902">
        <f t="shared" si="272"/>
        <v>0</v>
      </c>
      <c r="AEX23" s="1902">
        <f t="shared" si="272"/>
        <v>0</v>
      </c>
      <c r="AEY23" s="1902">
        <f t="shared" si="272"/>
        <v>0</v>
      </c>
      <c r="AEZ23" s="1902">
        <f t="shared" si="272"/>
        <v>0</v>
      </c>
      <c r="AFA23" s="1902">
        <f t="shared" si="272"/>
        <v>0</v>
      </c>
      <c r="AFB23" s="1902">
        <f t="shared" si="272"/>
        <v>0</v>
      </c>
      <c r="AFC23" s="1902">
        <f t="shared" si="272"/>
        <v>0</v>
      </c>
      <c r="AFD23" s="1902">
        <f t="shared" si="272"/>
        <v>0</v>
      </c>
      <c r="AFE23" s="1902">
        <f t="shared" si="272"/>
        <v>0</v>
      </c>
      <c r="AFF23" s="1902">
        <f t="shared" si="272"/>
        <v>0</v>
      </c>
      <c r="AFG23" s="1902">
        <f t="shared" si="272"/>
        <v>0</v>
      </c>
      <c r="AFH23" s="1902">
        <f t="shared" si="272"/>
        <v>0</v>
      </c>
      <c r="AFI23" s="1902">
        <f t="shared" si="272"/>
        <v>0</v>
      </c>
      <c r="AFJ23" s="1902">
        <f t="shared" si="272"/>
        <v>0</v>
      </c>
      <c r="AFK23" s="1902">
        <f t="shared" ref="AFK23:AHV23" si="273">IF(AND(AFK$26="End of period",AFK$25="Revenue"),AFK10,0)</f>
        <v>0</v>
      </c>
      <c r="AFL23" s="1902">
        <f t="shared" si="273"/>
        <v>0</v>
      </c>
      <c r="AFM23" s="1902">
        <f t="shared" si="273"/>
        <v>0</v>
      </c>
      <c r="AFN23" s="1902">
        <f t="shared" si="273"/>
        <v>0</v>
      </c>
      <c r="AFO23" s="1902">
        <f t="shared" si="273"/>
        <v>0</v>
      </c>
      <c r="AFP23" s="1902">
        <f t="shared" si="273"/>
        <v>0</v>
      </c>
      <c r="AFQ23" s="1902">
        <f t="shared" si="273"/>
        <v>0</v>
      </c>
      <c r="AFR23" s="1902">
        <f t="shared" si="273"/>
        <v>0</v>
      </c>
      <c r="AFS23" s="1902">
        <f t="shared" si="273"/>
        <v>0</v>
      </c>
      <c r="AFT23" s="1902">
        <f t="shared" si="273"/>
        <v>0</v>
      </c>
      <c r="AFU23" s="1902">
        <f t="shared" si="273"/>
        <v>0</v>
      </c>
      <c r="AFV23" s="1902">
        <f t="shared" si="273"/>
        <v>0</v>
      </c>
      <c r="AFW23" s="1902">
        <f t="shared" si="273"/>
        <v>0</v>
      </c>
      <c r="AFX23" s="1902">
        <f t="shared" si="273"/>
        <v>0</v>
      </c>
      <c r="AFY23" s="1902">
        <f t="shared" si="273"/>
        <v>0</v>
      </c>
      <c r="AFZ23" s="1902">
        <f t="shared" si="273"/>
        <v>0</v>
      </c>
      <c r="AGA23" s="1902">
        <f t="shared" si="273"/>
        <v>0</v>
      </c>
      <c r="AGB23" s="1902">
        <f t="shared" si="273"/>
        <v>0</v>
      </c>
      <c r="AGC23" s="1902">
        <f t="shared" si="273"/>
        <v>0</v>
      </c>
      <c r="AGD23" s="1902">
        <f t="shared" si="273"/>
        <v>0</v>
      </c>
      <c r="AGE23" s="1902">
        <f t="shared" si="273"/>
        <v>0</v>
      </c>
      <c r="AGF23" s="1902">
        <f t="shared" si="273"/>
        <v>0</v>
      </c>
      <c r="AGG23" s="1902">
        <f t="shared" si="273"/>
        <v>0</v>
      </c>
      <c r="AGH23" s="1902">
        <f t="shared" si="273"/>
        <v>0</v>
      </c>
      <c r="AGI23" s="1902">
        <f t="shared" si="273"/>
        <v>0</v>
      </c>
      <c r="AGJ23" s="1902">
        <f t="shared" si="273"/>
        <v>0</v>
      </c>
      <c r="AGK23" s="1902">
        <f t="shared" si="273"/>
        <v>0</v>
      </c>
      <c r="AGL23" s="1902">
        <f t="shared" si="273"/>
        <v>0</v>
      </c>
      <c r="AGM23" s="1902">
        <f t="shared" si="273"/>
        <v>0</v>
      </c>
      <c r="AGN23" s="1902">
        <f t="shared" si="273"/>
        <v>0</v>
      </c>
      <c r="AGO23" s="1902">
        <f t="shared" si="273"/>
        <v>0</v>
      </c>
      <c r="AGP23" s="1902">
        <f t="shared" si="273"/>
        <v>0</v>
      </c>
      <c r="AGQ23" s="1902">
        <f t="shared" si="273"/>
        <v>0</v>
      </c>
      <c r="AGR23" s="1902">
        <f t="shared" si="273"/>
        <v>0</v>
      </c>
      <c r="AGS23" s="1902">
        <f t="shared" si="273"/>
        <v>0</v>
      </c>
      <c r="AGT23" s="1902">
        <f t="shared" si="273"/>
        <v>0</v>
      </c>
      <c r="AGU23" s="1902">
        <f t="shared" si="273"/>
        <v>0</v>
      </c>
      <c r="AGV23" s="1902">
        <f t="shared" si="273"/>
        <v>0</v>
      </c>
      <c r="AGW23" s="1902">
        <f t="shared" si="273"/>
        <v>0</v>
      </c>
      <c r="AGX23" s="1902">
        <f t="shared" si="273"/>
        <v>0</v>
      </c>
      <c r="AGY23" s="1902">
        <f t="shared" si="273"/>
        <v>0</v>
      </c>
      <c r="AGZ23" s="1902">
        <f t="shared" si="273"/>
        <v>0</v>
      </c>
      <c r="AHA23" s="1902">
        <f t="shared" si="273"/>
        <v>0</v>
      </c>
      <c r="AHB23" s="1902">
        <f t="shared" si="273"/>
        <v>0</v>
      </c>
      <c r="AHC23" s="1902">
        <f t="shared" si="273"/>
        <v>0</v>
      </c>
      <c r="AHD23" s="1902">
        <f t="shared" si="273"/>
        <v>0</v>
      </c>
      <c r="AHE23" s="1902">
        <f t="shared" si="273"/>
        <v>0</v>
      </c>
      <c r="AHF23" s="1902">
        <f t="shared" si="273"/>
        <v>0</v>
      </c>
      <c r="AHG23" s="1902">
        <f t="shared" si="273"/>
        <v>0</v>
      </c>
      <c r="AHH23" s="1902">
        <f t="shared" si="273"/>
        <v>0</v>
      </c>
      <c r="AHI23" s="1902">
        <f t="shared" si="273"/>
        <v>0</v>
      </c>
      <c r="AHJ23" s="1902">
        <f t="shared" si="273"/>
        <v>0</v>
      </c>
      <c r="AHK23" s="1902">
        <f t="shared" si="273"/>
        <v>0</v>
      </c>
      <c r="AHL23" s="1902">
        <f t="shared" si="273"/>
        <v>0</v>
      </c>
      <c r="AHM23" s="1902">
        <f t="shared" si="273"/>
        <v>0</v>
      </c>
      <c r="AHN23" s="1902">
        <f t="shared" si="273"/>
        <v>0</v>
      </c>
      <c r="AHO23" s="1902">
        <f t="shared" si="273"/>
        <v>0</v>
      </c>
      <c r="AHP23" s="1902">
        <f t="shared" si="273"/>
        <v>0</v>
      </c>
      <c r="AHQ23" s="1902">
        <f t="shared" si="273"/>
        <v>0</v>
      </c>
      <c r="AHR23" s="1902">
        <f t="shared" si="273"/>
        <v>0</v>
      </c>
      <c r="AHS23" s="1902">
        <f t="shared" si="273"/>
        <v>0</v>
      </c>
      <c r="AHT23" s="1902">
        <f t="shared" si="273"/>
        <v>0</v>
      </c>
      <c r="AHU23" s="1902">
        <f t="shared" si="273"/>
        <v>0</v>
      </c>
      <c r="AHV23" s="1902">
        <f t="shared" si="273"/>
        <v>0</v>
      </c>
      <c r="AHW23" s="1902">
        <f t="shared" ref="AHW23:AKH23" si="274">IF(AND(AHW$26="End of period",AHW$25="Revenue"),AHW10,0)</f>
        <v>0</v>
      </c>
      <c r="AHX23" s="1902">
        <f t="shared" si="274"/>
        <v>0</v>
      </c>
      <c r="AHY23" s="1902">
        <f t="shared" si="274"/>
        <v>0</v>
      </c>
      <c r="AHZ23" s="1902">
        <f t="shared" si="274"/>
        <v>0</v>
      </c>
      <c r="AIA23" s="1902">
        <f t="shared" si="274"/>
        <v>0</v>
      </c>
      <c r="AIB23" s="1902">
        <f t="shared" si="274"/>
        <v>0</v>
      </c>
      <c r="AIC23" s="1902">
        <f t="shared" si="274"/>
        <v>0</v>
      </c>
      <c r="AID23" s="1902">
        <f t="shared" si="274"/>
        <v>0</v>
      </c>
      <c r="AIE23" s="1902">
        <f t="shared" si="274"/>
        <v>0</v>
      </c>
      <c r="AIF23" s="1902">
        <f t="shared" si="274"/>
        <v>0</v>
      </c>
      <c r="AIG23" s="1902">
        <f t="shared" si="274"/>
        <v>0</v>
      </c>
      <c r="AIH23" s="1902">
        <f t="shared" si="274"/>
        <v>0</v>
      </c>
      <c r="AII23" s="1902">
        <f t="shared" si="274"/>
        <v>0</v>
      </c>
      <c r="AIJ23" s="1902">
        <f t="shared" si="274"/>
        <v>0</v>
      </c>
      <c r="AIK23" s="1902">
        <f t="shared" si="274"/>
        <v>0</v>
      </c>
      <c r="AIL23" s="1902">
        <f t="shared" si="274"/>
        <v>0</v>
      </c>
      <c r="AIM23" s="1902">
        <f t="shared" si="274"/>
        <v>0</v>
      </c>
      <c r="AIN23" s="1902">
        <f t="shared" si="274"/>
        <v>0</v>
      </c>
      <c r="AIO23" s="1902">
        <f t="shared" si="274"/>
        <v>0</v>
      </c>
      <c r="AIP23" s="1902">
        <f t="shared" si="274"/>
        <v>0</v>
      </c>
      <c r="AIQ23" s="1902">
        <f t="shared" si="274"/>
        <v>0</v>
      </c>
      <c r="AIR23" s="1902">
        <f t="shared" si="274"/>
        <v>0</v>
      </c>
      <c r="AIS23" s="1902">
        <f t="shared" si="274"/>
        <v>0</v>
      </c>
      <c r="AIT23" s="1902">
        <f t="shared" si="274"/>
        <v>0</v>
      </c>
      <c r="AIU23" s="1902">
        <f t="shared" si="274"/>
        <v>0</v>
      </c>
      <c r="AIV23" s="1902">
        <f t="shared" si="274"/>
        <v>0</v>
      </c>
      <c r="AIW23" s="1902">
        <f t="shared" si="274"/>
        <v>0</v>
      </c>
      <c r="AIX23" s="1902">
        <f t="shared" si="274"/>
        <v>0</v>
      </c>
      <c r="AIY23" s="1902">
        <f t="shared" si="274"/>
        <v>0</v>
      </c>
      <c r="AIZ23" s="1902">
        <f t="shared" si="274"/>
        <v>0</v>
      </c>
      <c r="AJA23" s="1902">
        <f t="shared" si="274"/>
        <v>0</v>
      </c>
      <c r="AJB23" s="1902">
        <f t="shared" si="274"/>
        <v>0</v>
      </c>
      <c r="AJC23" s="1902">
        <f t="shared" si="274"/>
        <v>0</v>
      </c>
      <c r="AJD23" s="1902">
        <f t="shared" si="274"/>
        <v>0</v>
      </c>
      <c r="AJE23" s="1902">
        <f t="shared" si="274"/>
        <v>0</v>
      </c>
      <c r="AJF23" s="1902">
        <f t="shared" si="274"/>
        <v>0</v>
      </c>
      <c r="AJG23" s="1902">
        <f t="shared" si="274"/>
        <v>0</v>
      </c>
      <c r="AJH23" s="1902">
        <f t="shared" si="274"/>
        <v>0</v>
      </c>
      <c r="AJI23" s="1902">
        <f t="shared" si="274"/>
        <v>0</v>
      </c>
      <c r="AJJ23" s="1902">
        <f t="shared" si="274"/>
        <v>0</v>
      </c>
      <c r="AJK23" s="1902">
        <f t="shared" si="274"/>
        <v>0</v>
      </c>
      <c r="AJL23" s="1902">
        <f t="shared" si="274"/>
        <v>0</v>
      </c>
      <c r="AJM23" s="1902">
        <f t="shared" si="274"/>
        <v>0</v>
      </c>
      <c r="AJN23" s="1902">
        <f t="shared" si="274"/>
        <v>0</v>
      </c>
      <c r="AJO23" s="1902">
        <f t="shared" si="274"/>
        <v>0</v>
      </c>
      <c r="AJP23" s="1902">
        <f t="shared" si="274"/>
        <v>0</v>
      </c>
      <c r="AJQ23" s="1902">
        <f t="shared" si="274"/>
        <v>0</v>
      </c>
      <c r="AJR23" s="1902">
        <f t="shared" si="274"/>
        <v>0</v>
      </c>
      <c r="AJS23" s="1902">
        <f t="shared" si="274"/>
        <v>0</v>
      </c>
      <c r="AJT23" s="1902">
        <f t="shared" si="274"/>
        <v>0</v>
      </c>
      <c r="AJU23" s="1902">
        <f t="shared" si="274"/>
        <v>0</v>
      </c>
      <c r="AJV23" s="1902">
        <f t="shared" si="274"/>
        <v>0</v>
      </c>
      <c r="AJW23" s="1902">
        <f t="shared" si="274"/>
        <v>0</v>
      </c>
      <c r="AJX23" s="1902">
        <f t="shared" si="274"/>
        <v>0</v>
      </c>
      <c r="AJY23" s="1902">
        <f t="shared" si="274"/>
        <v>0</v>
      </c>
      <c r="AJZ23" s="1902">
        <f t="shared" si="274"/>
        <v>0</v>
      </c>
      <c r="AKA23" s="1902">
        <f t="shared" si="274"/>
        <v>0</v>
      </c>
      <c r="AKB23" s="1902">
        <f t="shared" si="274"/>
        <v>0</v>
      </c>
      <c r="AKC23" s="1902">
        <f t="shared" si="274"/>
        <v>0</v>
      </c>
      <c r="AKD23" s="1902">
        <f t="shared" si="274"/>
        <v>0</v>
      </c>
      <c r="AKE23" s="1902">
        <f t="shared" si="274"/>
        <v>0</v>
      </c>
      <c r="AKF23" s="1902">
        <f t="shared" si="274"/>
        <v>0</v>
      </c>
      <c r="AKG23" s="1902">
        <f t="shared" si="274"/>
        <v>0</v>
      </c>
      <c r="AKH23" s="1902">
        <f t="shared" si="274"/>
        <v>0</v>
      </c>
      <c r="AKI23" s="1902">
        <f t="shared" ref="AKI23:AMT23" si="275">IF(AND(AKI$26="End of period",AKI$25="Revenue"),AKI10,0)</f>
        <v>0</v>
      </c>
      <c r="AKJ23" s="1902">
        <f t="shared" si="275"/>
        <v>0</v>
      </c>
      <c r="AKK23" s="1902">
        <f t="shared" si="275"/>
        <v>0</v>
      </c>
      <c r="AKL23" s="1902">
        <f t="shared" si="275"/>
        <v>0</v>
      </c>
      <c r="AKM23" s="1902">
        <f t="shared" si="275"/>
        <v>0</v>
      </c>
      <c r="AKN23" s="1902">
        <f t="shared" si="275"/>
        <v>0</v>
      </c>
      <c r="AKO23" s="1902">
        <f t="shared" si="275"/>
        <v>0</v>
      </c>
      <c r="AKP23" s="1902">
        <f t="shared" si="275"/>
        <v>0</v>
      </c>
      <c r="AKQ23" s="1902">
        <f t="shared" si="275"/>
        <v>0</v>
      </c>
      <c r="AKR23" s="1902">
        <f t="shared" si="275"/>
        <v>0</v>
      </c>
      <c r="AKS23" s="1902">
        <f t="shared" si="275"/>
        <v>0</v>
      </c>
      <c r="AKT23" s="1902">
        <f t="shared" si="275"/>
        <v>0</v>
      </c>
      <c r="AKU23" s="1902">
        <f t="shared" si="275"/>
        <v>0</v>
      </c>
      <c r="AKV23" s="1902">
        <f t="shared" si="275"/>
        <v>0</v>
      </c>
      <c r="AKW23" s="1902">
        <f t="shared" si="275"/>
        <v>0</v>
      </c>
      <c r="AKX23" s="1902">
        <f t="shared" si="275"/>
        <v>0</v>
      </c>
      <c r="AKY23" s="1902">
        <f t="shared" si="275"/>
        <v>0</v>
      </c>
      <c r="AKZ23" s="1902">
        <f t="shared" si="275"/>
        <v>0</v>
      </c>
      <c r="ALA23" s="1902">
        <f t="shared" si="275"/>
        <v>0</v>
      </c>
      <c r="ALB23" s="1902">
        <f t="shared" si="275"/>
        <v>0</v>
      </c>
      <c r="ALC23" s="1902">
        <f t="shared" si="275"/>
        <v>0</v>
      </c>
      <c r="ALD23" s="1902">
        <f t="shared" si="275"/>
        <v>0</v>
      </c>
      <c r="ALE23" s="1902">
        <f t="shared" si="275"/>
        <v>0</v>
      </c>
      <c r="ALF23" s="1902">
        <f t="shared" si="275"/>
        <v>0</v>
      </c>
      <c r="ALG23" s="1902">
        <f t="shared" si="275"/>
        <v>0</v>
      </c>
      <c r="ALH23" s="1902">
        <f t="shared" si="275"/>
        <v>0</v>
      </c>
      <c r="ALI23" s="1902">
        <f t="shared" si="275"/>
        <v>0</v>
      </c>
      <c r="ALJ23" s="1902">
        <f t="shared" si="275"/>
        <v>0</v>
      </c>
      <c r="ALK23" s="1902">
        <f t="shared" si="275"/>
        <v>0</v>
      </c>
      <c r="ALL23" s="1902">
        <f t="shared" si="275"/>
        <v>0</v>
      </c>
      <c r="ALM23" s="1902">
        <f t="shared" si="275"/>
        <v>0</v>
      </c>
      <c r="ALN23" s="1902">
        <f t="shared" si="275"/>
        <v>0</v>
      </c>
      <c r="ALO23" s="1902">
        <f t="shared" si="275"/>
        <v>0</v>
      </c>
      <c r="ALP23" s="1902">
        <f t="shared" si="275"/>
        <v>0</v>
      </c>
      <c r="ALQ23" s="1902">
        <f t="shared" si="275"/>
        <v>0</v>
      </c>
      <c r="ALR23" s="1902">
        <f t="shared" si="275"/>
        <v>0</v>
      </c>
      <c r="ALS23" s="1902">
        <f t="shared" si="275"/>
        <v>0</v>
      </c>
      <c r="ALT23" s="1902">
        <f t="shared" si="275"/>
        <v>0</v>
      </c>
      <c r="ALU23" s="1902">
        <f t="shared" si="275"/>
        <v>0</v>
      </c>
      <c r="ALV23" s="1902">
        <f t="shared" si="275"/>
        <v>0</v>
      </c>
      <c r="ALW23" s="1902">
        <f t="shared" si="275"/>
        <v>0</v>
      </c>
      <c r="ALX23" s="1902">
        <f t="shared" si="275"/>
        <v>0</v>
      </c>
      <c r="ALY23" s="1902">
        <f t="shared" si="275"/>
        <v>0</v>
      </c>
      <c r="ALZ23" s="1902">
        <f t="shared" si="275"/>
        <v>0</v>
      </c>
      <c r="AMA23" s="1902">
        <f t="shared" si="275"/>
        <v>0</v>
      </c>
      <c r="AMB23" s="1902">
        <f t="shared" si="275"/>
        <v>0</v>
      </c>
      <c r="AMC23" s="1902">
        <f t="shared" si="275"/>
        <v>0</v>
      </c>
      <c r="AMD23" s="1902">
        <f t="shared" si="275"/>
        <v>0</v>
      </c>
      <c r="AME23" s="1902">
        <f t="shared" si="275"/>
        <v>0</v>
      </c>
      <c r="AMF23" s="1902">
        <f t="shared" si="275"/>
        <v>0</v>
      </c>
      <c r="AMG23" s="1902">
        <f t="shared" si="275"/>
        <v>0</v>
      </c>
      <c r="AMH23" s="1902">
        <f t="shared" si="275"/>
        <v>0</v>
      </c>
      <c r="AMI23" s="1902">
        <f t="shared" si="275"/>
        <v>0</v>
      </c>
      <c r="AMJ23" s="1902">
        <f t="shared" si="275"/>
        <v>0</v>
      </c>
      <c r="AMK23" s="1902">
        <f t="shared" si="275"/>
        <v>0</v>
      </c>
      <c r="AML23" s="1902">
        <f t="shared" si="275"/>
        <v>0</v>
      </c>
      <c r="AMM23" s="1902">
        <f t="shared" si="275"/>
        <v>0</v>
      </c>
      <c r="AMN23" s="1902">
        <f t="shared" si="275"/>
        <v>0</v>
      </c>
      <c r="AMO23" s="1902">
        <f t="shared" si="275"/>
        <v>0</v>
      </c>
      <c r="AMP23" s="1902">
        <f t="shared" si="275"/>
        <v>0</v>
      </c>
      <c r="AMQ23" s="1902">
        <f t="shared" si="275"/>
        <v>0</v>
      </c>
      <c r="AMR23" s="1902">
        <f t="shared" si="275"/>
        <v>0</v>
      </c>
      <c r="AMS23" s="1902">
        <f t="shared" si="275"/>
        <v>0</v>
      </c>
      <c r="AMT23" s="1902">
        <f t="shared" si="275"/>
        <v>0</v>
      </c>
      <c r="AMU23" s="1902">
        <f t="shared" ref="AMU23:APF23" si="276">IF(AND(AMU$26="End of period",AMU$25="Revenue"),AMU10,0)</f>
        <v>0</v>
      </c>
      <c r="AMV23" s="1902">
        <f t="shared" si="276"/>
        <v>0</v>
      </c>
      <c r="AMW23" s="1902">
        <f t="shared" si="276"/>
        <v>0</v>
      </c>
      <c r="AMX23" s="1902">
        <f t="shared" si="276"/>
        <v>0</v>
      </c>
      <c r="AMY23" s="1902">
        <f t="shared" si="276"/>
        <v>0</v>
      </c>
      <c r="AMZ23" s="1902">
        <f t="shared" si="276"/>
        <v>0</v>
      </c>
      <c r="ANA23" s="1902">
        <f t="shared" si="276"/>
        <v>0</v>
      </c>
      <c r="ANB23" s="1902">
        <f t="shared" si="276"/>
        <v>0</v>
      </c>
      <c r="ANC23" s="1902">
        <f t="shared" si="276"/>
        <v>0</v>
      </c>
      <c r="AND23" s="1902">
        <f t="shared" si="276"/>
        <v>0</v>
      </c>
      <c r="ANE23" s="1902">
        <f t="shared" si="276"/>
        <v>0</v>
      </c>
      <c r="ANF23" s="1902">
        <f t="shared" si="276"/>
        <v>0</v>
      </c>
      <c r="ANG23" s="1902">
        <f t="shared" si="276"/>
        <v>0</v>
      </c>
      <c r="ANH23" s="1902">
        <f t="shared" si="276"/>
        <v>0</v>
      </c>
      <c r="ANI23" s="1902">
        <f t="shared" si="276"/>
        <v>0</v>
      </c>
      <c r="ANJ23" s="1902">
        <f t="shared" si="276"/>
        <v>0</v>
      </c>
      <c r="ANK23" s="1902">
        <f t="shared" si="276"/>
        <v>0</v>
      </c>
      <c r="ANL23" s="1902">
        <f t="shared" si="276"/>
        <v>0</v>
      </c>
      <c r="ANM23" s="1902">
        <f t="shared" si="276"/>
        <v>0</v>
      </c>
      <c r="ANN23" s="1902">
        <f t="shared" si="276"/>
        <v>0</v>
      </c>
      <c r="ANO23" s="1902">
        <f t="shared" si="276"/>
        <v>0</v>
      </c>
      <c r="ANP23" s="1902">
        <f t="shared" si="276"/>
        <v>0</v>
      </c>
      <c r="ANQ23" s="1902">
        <f t="shared" si="276"/>
        <v>0</v>
      </c>
      <c r="ANR23" s="1902">
        <f t="shared" si="276"/>
        <v>0</v>
      </c>
      <c r="ANS23" s="1902">
        <f t="shared" si="276"/>
        <v>0</v>
      </c>
      <c r="ANT23" s="1902">
        <f t="shared" si="276"/>
        <v>0</v>
      </c>
      <c r="ANU23" s="1902">
        <f t="shared" si="276"/>
        <v>0</v>
      </c>
      <c r="ANV23" s="1902">
        <f t="shared" si="276"/>
        <v>0</v>
      </c>
      <c r="ANW23" s="1902">
        <f t="shared" si="276"/>
        <v>0</v>
      </c>
      <c r="ANX23" s="1902">
        <f t="shared" si="276"/>
        <v>0</v>
      </c>
      <c r="ANY23" s="1902">
        <f t="shared" si="276"/>
        <v>0</v>
      </c>
      <c r="ANZ23" s="1902">
        <f t="shared" si="276"/>
        <v>0</v>
      </c>
      <c r="AOA23" s="1902">
        <f t="shared" si="276"/>
        <v>0</v>
      </c>
      <c r="AOB23" s="1902">
        <f t="shared" si="276"/>
        <v>0</v>
      </c>
      <c r="AOC23" s="1902">
        <f t="shared" si="276"/>
        <v>0</v>
      </c>
      <c r="AOD23" s="1902">
        <f t="shared" si="276"/>
        <v>0</v>
      </c>
      <c r="AOE23" s="1902">
        <f t="shared" si="276"/>
        <v>0</v>
      </c>
      <c r="AOF23" s="1902">
        <f t="shared" si="276"/>
        <v>0</v>
      </c>
      <c r="AOG23" s="1902">
        <f t="shared" si="276"/>
        <v>0</v>
      </c>
      <c r="AOH23" s="1902">
        <f t="shared" si="276"/>
        <v>0</v>
      </c>
      <c r="AOI23" s="1902">
        <f t="shared" si="276"/>
        <v>0</v>
      </c>
      <c r="AOJ23" s="1902">
        <f t="shared" si="276"/>
        <v>0</v>
      </c>
      <c r="AOK23" s="1902">
        <f t="shared" si="276"/>
        <v>0</v>
      </c>
      <c r="AOL23" s="1902">
        <f t="shared" si="276"/>
        <v>0</v>
      </c>
      <c r="AOM23" s="1902">
        <f t="shared" si="276"/>
        <v>0</v>
      </c>
      <c r="AON23" s="1902">
        <f t="shared" si="276"/>
        <v>0</v>
      </c>
      <c r="AOO23" s="1902">
        <f t="shared" si="276"/>
        <v>0</v>
      </c>
      <c r="AOP23" s="1902">
        <f t="shared" si="276"/>
        <v>0</v>
      </c>
      <c r="AOQ23" s="1902">
        <f t="shared" si="276"/>
        <v>0</v>
      </c>
      <c r="AOR23" s="1902">
        <f t="shared" si="276"/>
        <v>0</v>
      </c>
      <c r="AOS23" s="1902">
        <f t="shared" si="276"/>
        <v>0</v>
      </c>
      <c r="AOT23" s="1902">
        <f t="shared" si="276"/>
        <v>0</v>
      </c>
      <c r="AOU23" s="1902">
        <f t="shared" si="276"/>
        <v>0</v>
      </c>
      <c r="AOV23" s="1902">
        <f t="shared" si="276"/>
        <v>0</v>
      </c>
      <c r="AOW23" s="1902">
        <f t="shared" si="276"/>
        <v>0</v>
      </c>
      <c r="AOX23" s="1902">
        <f t="shared" si="276"/>
        <v>0</v>
      </c>
      <c r="AOY23" s="1902">
        <f t="shared" si="276"/>
        <v>0</v>
      </c>
      <c r="AOZ23" s="1902">
        <f t="shared" si="276"/>
        <v>0</v>
      </c>
      <c r="APA23" s="1902">
        <f t="shared" si="276"/>
        <v>0</v>
      </c>
      <c r="APB23" s="1902">
        <f t="shared" si="276"/>
        <v>0</v>
      </c>
      <c r="APC23" s="1902">
        <f t="shared" si="276"/>
        <v>0</v>
      </c>
      <c r="APD23" s="1902">
        <f t="shared" si="276"/>
        <v>0</v>
      </c>
      <c r="APE23" s="1902">
        <f t="shared" si="276"/>
        <v>0</v>
      </c>
      <c r="APF23" s="1902">
        <f t="shared" si="276"/>
        <v>0</v>
      </c>
      <c r="APG23" s="1902">
        <f t="shared" ref="APG23:ARR23" si="277">IF(AND(APG$26="End of period",APG$25="Revenue"),APG10,0)</f>
        <v>0</v>
      </c>
      <c r="APH23" s="1902">
        <f t="shared" si="277"/>
        <v>0</v>
      </c>
      <c r="API23" s="1902">
        <f t="shared" si="277"/>
        <v>0</v>
      </c>
      <c r="APJ23" s="1902">
        <f t="shared" si="277"/>
        <v>0</v>
      </c>
      <c r="APK23" s="1902">
        <f t="shared" si="277"/>
        <v>0</v>
      </c>
      <c r="APL23" s="1902">
        <f t="shared" si="277"/>
        <v>0</v>
      </c>
      <c r="APM23" s="1902">
        <f t="shared" si="277"/>
        <v>0</v>
      </c>
      <c r="APN23" s="1902">
        <f t="shared" si="277"/>
        <v>0</v>
      </c>
      <c r="APO23" s="1902">
        <f t="shared" si="277"/>
        <v>0</v>
      </c>
      <c r="APP23" s="1902">
        <f t="shared" si="277"/>
        <v>0</v>
      </c>
      <c r="APQ23" s="1902">
        <f t="shared" si="277"/>
        <v>0</v>
      </c>
      <c r="APR23" s="1902">
        <f t="shared" si="277"/>
        <v>0</v>
      </c>
      <c r="APS23" s="1902">
        <f t="shared" si="277"/>
        <v>0</v>
      </c>
      <c r="APT23" s="1902">
        <f t="shared" si="277"/>
        <v>0</v>
      </c>
      <c r="APU23" s="1902">
        <f t="shared" si="277"/>
        <v>0</v>
      </c>
      <c r="APV23" s="1902">
        <f t="shared" si="277"/>
        <v>0</v>
      </c>
      <c r="APW23" s="1902">
        <f t="shared" si="277"/>
        <v>0</v>
      </c>
      <c r="APX23" s="1902">
        <f t="shared" si="277"/>
        <v>0</v>
      </c>
      <c r="APY23" s="1902">
        <f t="shared" si="277"/>
        <v>0</v>
      </c>
      <c r="APZ23" s="1902">
        <f t="shared" si="277"/>
        <v>0</v>
      </c>
      <c r="AQA23" s="1902">
        <f t="shared" si="277"/>
        <v>0</v>
      </c>
      <c r="AQB23" s="1902">
        <f t="shared" si="277"/>
        <v>0</v>
      </c>
      <c r="AQC23" s="1902">
        <f t="shared" si="277"/>
        <v>0</v>
      </c>
      <c r="AQD23" s="1902">
        <f t="shared" si="277"/>
        <v>0</v>
      </c>
      <c r="AQE23" s="1902">
        <f t="shared" si="277"/>
        <v>0</v>
      </c>
      <c r="AQF23" s="1902">
        <f t="shared" si="277"/>
        <v>0</v>
      </c>
      <c r="AQG23" s="1902">
        <f t="shared" si="277"/>
        <v>0</v>
      </c>
      <c r="AQH23" s="1902">
        <f t="shared" si="277"/>
        <v>0</v>
      </c>
      <c r="AQI23" s="1902">
        <f t="shared" si="277"/>
        <v>0</v>
      </c>
      <c r="AQJ23" s="1902">
        <f t="shared" si="277"/>
        <v>0</v>
      </c>
      <c r="AQK23" s="1902">
        <f t="shared" si="277"/>
        <v>0</v>
      </c>
      <c r="AQL23" s="1902">
        <f t="shared" si="277"/>
        <v>0</v>
      </c>
      <c r="AQM23" s="1902">
        <f t="shared" si="277"/>
        <v>0</v>
      </c>
      <c r="AQN23" s="1902">
        <f t="shared" si="277"/>
        <v>0</v>
      </c>
      <c r="AQO23" s="1902">
        <f t="shared" si="277"/>
        <v>0</v>
      </c>
      <c r="AQP23" s="1902">
        <f t="shared" si="277"/>
        <v>0</v>
      </c>
      <c r="AQQ23" s="1902">
        <f t="shared" si="277"/>
        <v>0</v>
      </c>
      <c r="AQR23" s="1902">
        <f t="shared" si="277"/>
        <v>0</v>
      </c>
      <c r="AQS23" s="1902">
        <f t="shared" si="277"/>
        <v>0</v>
      </c>
      <c r="AQT23" s="1902">
        <f t="shared" si="277"/>
        <v>0</v>
      </c>
      <c r="AQU23" s="1902">
        <f t="shared" si="277"/>
        <v>0</v>
      </c>
      <c r="AQV23" s="1902">
        <f t="shared" si="277"/>
        <v>0</v>
      </c>
      <c r="AQW23" s="1902">
        <f t="shared" si="277"/>
        <v>0</v>
      </c>
      <c r="AQX23" s="1902">
        <f t="shared" si="277"/>
        <v>0</v>
      </c>
      <c r="AQY23" s="1902">
        <f t="shared" si="277"/>
        <v>0</v>
      </c>
      <c r="AQZ23" s="1902">
        <f t="shared" si="277"/>
        <v>0</v>
      </c>
      <c r="ARA23" s="1902">
        <f t="shared" si="277"/>
        <v>0</v>
      </c>
      <c r="ARB23" s="1902">
        <f t="shared" si="277"/>
        <v>0</v>
      </c>
      <c r="ARC23" s="1902">
        <f t="shared" si="277"/>
        <v>0</v>
      </c>
      <c r="ARD23" s="1902">
        <f t="shared" si="277"/>
        <v>0</v>
      </c>
      <c r="ARE23" s="1902">
        <f t="shared" si="277"/>
        <v>0</v>
      </c>
      <c r="ARF23" s="1902">
        <f t="shared" si="277"/>
        <v>0</v>
      </c>
      <c r="ARG23" s="1902">
        <f t="shared" si="277"/>
        <v>0</v>
      </c>
      <c r="ARH23" s="1902">
        <f t="shared" si="277"/>
        <v>0</v>
      </c>
      <c r="ARI23" s="1902">
        <f t="shared" si="277"/>
        <v>0</v>
      </c>
      <c r="ARJ23" s="1902">
        <f t="shared" si="277"/>
        <v>0</v>
      </c>
      <c r="ARK23" s="1902">
        <f t="shared" si="277"/>
        <v>0</v>
      </c>
      <c r="ARL23" s="1902">
        <f t="shared" si="277"/>
        <v>0</v>
      </c>
      <c r="ARM23" s="1902">
        <f t="shared" si="277"/>
        <v>0</v>
      </c>
      <c r="ARN23" s="1902">
        <f t="shared" si="277"/>
        <v>0</v>
      </c>
      <c r="ARO23" s="1902">
        <f t="shared" si="277"/>
        <v>0</v>
      </c>
      <c r="ARP23" s="1902">
        <f t="shared" si="277"/>
        <v>0</v>
      </c>
      <c r="ARQ23" s="1902">
        <f t="shared" si="277"/>
        <v>0</v>
      </c>
      <c r="ARR23" s="1902">
        <f t="shared" si="277"/>
        <v>0</v>
      </c>
      <c r="ARS23" s="1902">
        <f t="shared" ref="ARS23:AUD23" si="278">IF(AND(ARS$26="End of period",ARS$25="Revenue"),ARS10,0)</f>
        <v>0</v>
      </c>
      <c r="ART23" s="1902">
        <f t="shared" si="278"/>
        <v>0</v>
      </c>
      <c r="ARU23" s="1902">
        <f t="shared" si="278"/>
        <v>0</v>
      </c>
      <c r="ARV23" s="1902">
        <f t="shared" si="278"/>
        <v>0</v>
      </c>
      <c r="ARW23" s="1902">
        <f t="shared" si="278"/>
        <v>0</v>
      </c>
      <c r="ARX23" s="1902">
        <f t="shared" si="278"/>
        <v>0</v>
      </c>
      <c r="ARY23" s="1902">
        <f t="shared" si="278"/>
        <v>0</v>
      </c>
      <c r="ARZ23" s="1902">
        <f t="shared" si="278"/>
        <v>0</v>
      </c>
      <c r="ASA23" s="1902">
        <f t="shared" si="278"/>
        <v>0</v>
      </c>
      <c r="ASB23" s="1902">
        <f t="shared" si="278"/>
        <v>0</v>
      </c>
      <c r="ASC23" s="1902">
        <f t="shared" si="278"/>
        <v>0</v>
      </c>
      <c r="ASD23" s="1902">
        <f t="shared" si="278"/>
        <v>0</v>
      </c>
      <c r="ASE23" s="1902">
        <f t="shared" si="278"/>
        <v>0</v>
      </c>
      <c r="ASF23" s="1902">
        <f t="shared" si="278"/>
        <v>0</v>
      </c>
      <c r="ASG23" s="1902">
        <f t="shared" si="278"/>
        <v>0</v>
      </c>
      <c r="ASH23" s="1902">
        <f t="shared" si="278"/>
        <v>0</v>
      </c>
      <c r="ASI23" s="1902">
        <f t="shared" si="278"/>
        <v>0</v>
      </c>
      <c r="ASJ23" s="1902">
        <f t="shared" si="278"/>
        <v>0</v>
      </c>
      <c r="ASK23" s="1902">
        <f t="shared" si="278"/>
        <v>0</v>
      </c>
      <c r="ASL23" s="1902">
        <f t="shared" si="278"/>
        <v>0</v>
      </c>
      <c r="ASM23" s="1902">
        <f t="shared" si="278"/>
        <v>0</v>
      </c>
      <c r="ASN23" s="1902">
        <f t="shared" si="278"/>
        <v>0</v>
      </c>
      <c r="ASO23" s="1902">
        <f t="shared" si="278"/>
        <v>0</v>
      </c>
      <c r="ASP23" s="1902">
        <f t="shared" si="278"/>
        <v>0</v>
      </c>
      <c r="ASQ23" s="1902">
        <f t="shared" si="278"/>
        <v>0</v>
      </c>
      <c r="ASR23" s="1902">
        <f t="shared" si="278"/>
        <v>0</v>
      </c>
      <c r="ASS23" s="1902">
        <f t="shared" si="278"/>
        <v>0</v>
      </c>
      <c r="AST23" s="1902">
        <f t="shared" si="278"/>
        <v>0</v>
      </c>
      <c r="ASU23" s="1902">
        <f t="shared" si="278"/>
        <v>0</v>
      </c>
      <c r="ASV23" s="1902">
        <f t="shared" si="278"/>
        <v>0</v>
      </c>
      <c r="ASW23" s="1902">
        <f t="shared" si="278"/>
        <v>0</v>
      </c>
      <c r="ASX23" s="1902">
        <f t="shared" si="278"/>
        <v>0</v>
      </c>
      <c r="ASY23" s="1902">
        <f t="shared" si="278"/>
        <v>0</v>
      </c>
      <c r="ASZ23" s="1902">
        <f t="shared" si="278"/>
        <v>0</v>
      </c>
      <c r="ATA23" s="1902">
        <f t="shared" si="278"/>
        <v>0</v>
      </c>
      <c r="ATB23" s="1902">
        <f t="shared" si="278"/>
        <v>0</v>
      </c>
      <c r="ATC23" s="1902">
        <f t="shared" si="278"/>
        <v>0</v>
      </c>
      <c r="ATD23" s="1902">
        <f t="shared" si="278"/>
        <v>0</v>
      </c>
      <c r="ATE23" s="1902">
        <f t="shared" si="278"/>
        <v>0</v>
      </c>
      <c r="ATF23" s="1902">
        <f t="shared" si="278"/>
        <v>0</v>
      </c>
      <c r="ATG23" s="1902">
        <f t="shared" si="278"/>
        <v>0</v>
      </c>
      <c r="ATH23" s="1902">
        <f t="shared" si="278"/>
        <v>0</v>
      </c>
      <c r="ATI23" s="1902">
        <f t="shared" si="278"/>
        <v>0</v>
      </c>
      <c r="ATJ23" s="1902">
        <f t="shared" si="278"/>
        <v>0</v>
      </c>
      <c r="ATK23" s="1902">
        <f t="shared" si="278"/>
        <v>0</v>
      </c>
      <c r="ATL23" s="1902">
        <f t="shared" si="278"/>
        <v>0</v>
      </c>
      <c r="ATM23" s="1902">
        <f t="shared" si="278"/>
        <v>0</v>
      </c>
      <c r="ATN23" s="1902">
        <f t="shared" si="278"/>
        <v>0</v>
      </c>
      <c r="ATO23" s="1902">
        <f t="shared" si="278"/>
        <v>0</v>
      </c>
      <c r="ATP23" s="1902">
        <f t="shared" si="278"/>
        <v>0</v>
      </c>
      <c r="ATQ23" s="1902">
        <f t="shared" si="278"/>
        <v>0</v>
      </c>
      <c r="ATR23" s="1902">
        <f t="shared" si="278"/>
        <v>0</v>
      </c>
      <c r="ATS23" s="1902">
        <f t="shared" si="278"/>
        <v>0</v>
      </c>
      <c r="ATT23" s="1902">
        <f t="shared" si="278"/>
        <v>0</v>
      </c>
      <c r="ATU23" s="1902">
        <f t="shared" si="278"/>
        <v>0</v>
      </c>
      <c r="ATV23" s="1902">
        <f t="shared" si="278"/>
        <v>0</v>
      </c>
      <c r="ATW23" s="1902">
        <f t="shared" si="278"/>
        <v>0</v>
      </c>
      <c r="ATX23" s="1902">
        <f t="shared" si="278"/>
        <v>0</v>
      </c>
      <c r="ATY23" s="1902">
        <f t="shared" si="278"/>
        <v>0</v>
      </c>
      <c r="ATZ23" s="1902">
        <f t="shared" si="278"/>
        <v>0</v>
      </c>
      <c r="AUA23" s="1902">
        <f t="shared" si="278"/>
        <v>0</v>
      </c>
      <c r="AUB23" s="1902">
        <f t="shared" si="278"/>
        <v>0</v>
      </c>
      <c r="AUC23" s="1902">
        <f t="shared" si="278"/>
        <v>0</v>
      </c>
      <c r="AUD23" s="1902">
        <f t="shared" si="278"/>
        <v>0</v>
      </c>
      <c r="AUE23" s="1902">
        <f t="shared" ref="AUE23:AWP23" si="279">IF(AND(AUE$26="End of period",AUE$25="Revenue"),AUE10,0)</f>
        <v>0</v>
      </c>
      <c r="AUF23" s="1902">
        <f t="shared" si="279"/>
        <v>0</v>
      </c>
      <c r="AUG23" s="1902">
        <f t="shared" si="279"/>
        <v>0</v>
      </c>
      <c r="AUH23" s="1902">
        <f t="shared" si="279"/>
        <v>0</v>
      </c>
      <c r="AUI23" s="1902">
        <f t="shared" si="279"/>
        <v>0</v>
      </c>
      <c r="AUJ23" s="1902">
        <f t="shared" si="279"/>
        <v>0</v>
      </c>
      <c r="AUK23" s="1902">
        <f t="shared" si="279"/>
        <v>0</v>
      </c>
      <c r="AUL23" s="1902">
        <f t="shared" si="279"/>
        <v>0</v>
      </c>
      <c r="AUM23" s="1902">
        <f t="shared" si="279"/>
        <v>0</v>
      </c>
      <c r="AUN23" s="1902">
        <f t="shared" si="279"/>
        <v>0</v>
      </c>
      <c r="AUO23" s="1902">
        <f t="shared" si="279"/>
        <v>0</v>
      </c>
      <c r="AUP23" s="1902">
        <f t="shared" si="279"/>
        <v>0</v>
      </c>
      <c r="AUQ23" s="1902">
        <f t="shared" si="279"/>
        <v>0</v>
      </c>
      <c r="AUR23" s="1902">
        <f t="shared" si="279"/>
        <v>0</v>
      </c>
      <c r="AUS23" s="1902">
        <f t="shared" si="279"/>
        <v>0</v>
      </c>
      <c r="AUT23" s="1902">
        <f t="shared" si="279"/>
        <v>0</v>
      </c>
      <c r="AUU23" s="1902">
        <f t="shared" si="279"/>
        <v>0</v>
      </c>
      <c r="AUV23" s="1902">
        <f t="shared" si="279"/>
        <v>0</v>
      </c>
      <c r="AUW23" s="1902">
        <f t="shared" si="279"/>
        <v>0</v>
      </c>
      <c r="AUX23" s="1902">
        <f t="shared" si="279"/>
        <v>0</v>
      </c>
      <c r="AUY23" s="1902">
        <f t="shared" si="279"/>
        <v>0</v>
      </c>
      <c r="AUZ23" s="1902">
        <f t="shared" si="279"/>
        <v>0</v>
      </c>
      <c r="AVA23" s="1902">
        <f t="shared" si="279"/>
        <v>0</v>
      </c>
      <c r="AVB23" s="1902">
        <f t="shared" si="279"/>
        <v>0</v>
      </c>
      <c r="AVC23" s="1902">
        <f t="shared" si="279"/>
        <v>0</v>
      </c>
      <c r="AVD23" s="1902">
        <f t="shared" si="279"/>
        <v>0</v>
      </c>
      <c r="AVE23" s="1902">
        <f t="shared" si="279"/>
        <v>0</v>
      </c>
      <c r="AVF23" s="1902">
        <f t="shared" si="279"/>
        <v>0</v>
      </c>
      <c r="AVG23" s="1902">
        <f t="shared" si="279"/>
        <v>0</v>
      </c>
      <c r="AVH23" s="1902">
        <f t="shared" si="279"/>
        <v>0</v>
      </c>
      <c r="AVI23" s="1902">
        <f t="shared" si="279"/>
        <v>0</v>
      </c>
      <c r="AVJ23" s="1902">
        <f t="shared" si="279"/>
        <v>0</v>
      </c>
      <c r="AVK23" s="1902">
        <f t="shared" si="279"/>
        <v>0</v>
      </c>
      <c r="AVL23" s="1902">
        <f t="shared" si="279"/>
        <v>0</v>
      </c>
      <c r="AVM23" s="1902">
        <f t="shared" si="279"/>
        <v>0</v>
      </c>
      <c r="AVN23" s="1902">
        <f t="shared" si="279"/>
        <v>0</v>
      </c>
      <c r="AVO23" s="1902">
        <f t="shared" si="279"/>
        <v>0</v>
      </c>
      <c r="AVP23" s="1902">
        <f t="shared" si="279"/>
        <v>0</v>
      </c>
      <c r="AVQ23" s="1902">
        <f t="shared" si="279"/>
        <v>0</v>
      </c>
      <c r="AVR23" s="1902">
        <f t="shared" si="279"/>
        <v>0</v>
      </c>
      <c r="AVS23" s="1902">
        <f t="shared" si="279"/>
        <v>0</v>
      </c>
      <c r="AVT23" s="1902">
        <f t="shared" si="279"/>
        <v>0</v>
      </c>
      <c r="AVU23" s="1902">
        <f t="shared" si="279"/>
        <v>0</v>
      </c>
      <c r="AVV23" s="1902">
        <f t="shared" si="279"/>
        <v>0</v>
      </c>
      <c r="AVW23" s="1902">
        <f t="shared" si="279"/>
        <v>0</v>
      </c>
      <c r="AVX23" s="1902">
        <f t="shared" si="279"/>
        <v>0</v>
      </c>
      <c r="AVY23" s="1902">
        <f t="shared" si="279"/>
        <v>0</v>
      </c>
      <c r="AVZ23" s="1902">
        <f t="shared" si="279"/>
        <v>0</v>
      </c>
      <c r="AWA23" s="1902">
        <f t="shared" si="279"/>
        <v>0</v>
      </c>
      <c r="AWB23" s="1902">
        <f t="shared" si="279"/>
        <v>0</v>
      </c>
      <c r="AWC23" s="1902">
        <f t="shared" si="279"/>
        <v>0</v>
      </c>
      <c r="AWD23" s="1902">
        <f t="shared" si="279"/>
        <v>0</v>
      </c>
      <c r="AWE23" s="1902">
        <f t="shared" si="279"/>
        <v>0</v>
      </c>
      <c r="AWF23" s="1902">
        <f t="shared" si="279"/>
        <v>0</v>
      </c>
      <c r="AWG23" s="1902">
        <f t="shared" si="279"/>
        <v>0</v>
      </c>
      <c r="AWH23" s="1902">
        <f t="shared" si="279"/>
        <v>0</v>
      </c>
      <c r="AWI23" s="1902">
        <f t="shared" si="279"/>
        <v>0</v>
      </c>
      <c r="AWJ23" s="1902">
        <f t="shared" si="279"/>
        <v>0</v>
      </c>
      <c r="AWK23" s="1902">
        <f t="shared" si="279"/>
        <v>0</v>
      </c>
      <c r="AWL23" s="1902">
        <f t="shared" si="279"/>
        <v>0</v>
      </c>
      <c r="AWM23" s="1902">
        <f t="shared" si="279"/>
        <v>0</v>
      </c>
      <c r="AWN23" s="1902">
        <f t="shared" si="279"/>
        <v>0</v>
      </c>
      <c r="AWO23" s="1902">
        <f t="shared" si="279"/>
        <v>0</v>
      </c>
      <c r="AWP23" s="1902">
        <f t="shared" si="279"/>
        <v>0</v>
      </c>
      <c r="AWQ23" s="1902">
        <f t="shared" ref="AWQ23:AZB23" si="280">IF(AND(AWQ$26="End of period",AWQ$25="Revenue"),AWQ10,0)</f>
        <v>0</v>
      </c>
      <c r="AWR23" s="1902">
        <f t="shared" si="280"/>
        <v>0</v>
      </c>
      <c r="AWS23" s="1902">
        <f t="shared" si="280"/>
        <v>0</v>
      </c>
      <c r="AWT23" s="1902">
        <f t="shared" si="280"/>
        <v>0</v>
      </c>
      <c r="AWU23" s="1902">
        <f t="shared" si="280"/>
        <v>0</v>
      </c>
      <c r="AWV23" s="1902">
        <f t="shared" si="280"/>
        <v>0</v>
      </c>
      <c r="AWW23" s="1902">
        <f t="shared" si="280"/>
        <v>0</v>
      </c>
      <c r="AWX23" s="1902">
        <f t="shared" si="280"/>
        <v>0</v>
      </c>
      <c r="AWY23" s="1902">
        <f t="shared" si="280"/>
        <v>0</v>
      </c>
      <c r="AWZ23" s="1902">
        <f t="shared" si="280"/>
        <v>0</v>
      </c>
      <c r="AXA23" s="1902">
        <f t="shared" si="280"/>
        <v>0</v>
      </c>
      <c r="AXB23" s="1902">
        <f t="shared" si="280"/>
        <v>0</v>
      </c>
      <c r="AXC23" s="1902">
        <f t="shared" si="280"/>
        <v>0</v>
      </c>
      <c r="AXD23" s="1902">
        <f t="shared" si="280"/>
        <v>0</v>
      </c>
      <c r="AXE23" s="1902">
        <f t="shared" si="280"/>
        <v>0</v>
      </c>
      <c r="AXF23" s="1902">
        <f t="shared" si="280"/>
        <v>0</v>
      </c>
      <c r="AXG23" s="1902">
        <f t="shared" si="280"/>
        <v>0</v>
      </c>
      <c r="AXH23" s="1902">
        <f t="shared" si="280"/>
        <v>0</v>
      </c>
      <c r="AXI23" s="1902">
        <f t="shared" si="280"/>
        <v>0</v>
      </c>
      <c r="AXJ23" s="1902">
        <f t="shared" si="280"/>
        <v>0</v>
      </c>
      <c r="AXK23" s="1902">
        <f t="shared" si="280"/>
        <v>0</v>
      </c>
      <c r="AXL23" s="1902">
        <f t="shared" si="280"/>
        <v>0</v>
      </c>
      <c r="AXM23" s="1902">
        <f t="shared" si="280"/>
        <v>0</v>
      </c>
      <c r="AXN23" s="1902">
        <f t="shared" si="280"/>
        <v>0</v>
      </c>
      <c r="AXO23" s="1902">
        <f t="shared" si="280"/>
        <v>0</v>
      </c>
      <c r="AXP23" s="1902">
        <f t="shared" si="280"/>
        <v>0</v>
      </c>
      <c r="AXQ23" s="1902">
        <f t="shared" si="280"/>
        <v>0</v>
      </c>
      <c r="AXR23" s="1902">
        <f t="shared" si="280"/>
        <v>0</v>
      </c>
      <c r="AXS23" s="1902">
        <f t="shared" si="280"/>
        <v>0</v>
      </c>
      <c r="AXT23" s="1902">
        <f t="shared" si="280"/>
        <v>0</v>
      </c>
      <c r="AXU23" s="1902">
        <f t="shared" si="280"/>
        <v>0</v>
      </c>
      <c r="AXV23" s="1902">
        <f t="shared" si="280"/>
        <v>0</v>
      </c>
      <c r="AXW23" s="1902">
        <f t="shared" si="280"/>
        <v>0</v>
      </c>
      <c r="AXX23" s="1902">
        <f t="shared" si="280"/>
        <v>0</v>
      </c>
      <c r="AXY23" s="1902">
        <f t="shared" si="280"/>
        <v>0</v>
      </c>
      <c r="AXZ23" s="1902">
        <f t="shared" si="280"/>
        <v>0</v>
      </c>
      <c r="AYA23" s="1902">
        <f t="shared" si="280"/>
        <v>0</v>
      </c>
      <c r="AYB23" s="1902">
        <f t="shared" si="280"/>
        <v>0</v>
      </c>
      <c r="AYC23" s="1902">
        <f t="shared" si="280"/>
        <v>0</v>
      </c>
      <c r="AYD23" s="1902">
        <f t="shared" si="280"/>
        <v>0</v>
      </c>
      <c r="AYE23" s="1902">
        <f t="shared" si="280"/>
        <v>0</v>
      </c>
      <c r="AYF23" s="1902">
        <f t="shared" si="280"/>
        <v>0</v>
      </c>
      <c r="AYG23" s="1902">
        <f t="shared" si="280"/>
        <v>0</v>
      </c>
      <c r="AYH23" s="1902">
        <f t="shared" si="280"/>
        <v>0</v>
      </c>
      <c r="AYI23" s="1902">
        <f t="shared" si="280"/>
        <v>0</v>
      </c>
      <c r="AYJ23" s="1902">
        <f t="shared" si="280"/>
        <v>0</v>
      </c>
      <c r="AYK23" s="1902">
        <f t="shared" si="280"/>
        <v>0</v>
      </c>
      <c r="AYL23" s="1902">
        <f t="shared" si="280"/>
        <v>0</v>
      </c>
      <c r="AYM23" s="1902">
        <f t="shared" si="280"/>
        <v>0</v>
      </c>
      <c r="AYN23" s="1902">
        <f t="shared" si="280"/>
        <v>0</v>
      </c>
      <c r="AYO23" s="1902">
        <f t="shared" si="280"/>
        <v>0</v>
      </c>
      <c r="AYP23" s="1902">
        <f t="shared" si="280"/>
        <v>0</v>
      </c>
      <c r="AYQ23" s="1902">
        <f t="shared" si="280"/>
        <v>0</v>
      </c>
      <c r="AYR23" s="1902">
        <f t="shared" si="280"/>
        <v>0</v>
      </c>
      <c r="AYS23" s="1902">
        <f t="shared" si="280"/>
        <v>0</v>
      </c>
      <c r="AYT23" s="1902">
        <f t="shared" si="280"/>
        <v>0</v>
      </c>
      <c r="AYU23" s="1902">
        <f t="shared" si="280"/>
        <v>0</v>
      </c>
      <c r="AYV23" s="1902">
        <f t="shared" si="280"/>
        <v>0</v>
      </c>
      <c r="AYW23" s="1902">
        <f t="shared" si="280"/>
        <v>0</v>
      </c>
      <c r="AYX23" s="1902">
        <f t="shared" si="280"/>
        <v>0</v>
      </c>
      <c r="AYY23" s="1902">
        <f t="shared" si="280"/>
        <v>0</v>
      </c>
      <c r="AYZ23" s="1902">
        <f t="shared" si="280"/>
        <v>0</v>
      </c>
      <c r="AZA23" s="1902">
        <f t="shared" si="280"/>
        <v>0</v>
      </c>
      <c r="AZB23" s="1902">
        <f t="shared" si="280"/>
        <v>0</v>
      </c>
      <c r="AZC23" s="1902">
        <f t="shared" ref="AZC23:BBN23" si="281">IF(AND(AZC$26="End of period",AZC$25="Revenue"),AZC10,0)</f>
        <v>0</v>
      </c>
      <c r="AZD23" s="1902">
        <f t="shared" si="281"/>
        <v>0</v>
      </c>
      <c r="AZE23" s="1902">
        <f t="shared" si="281"/>
        <v>0</v>
      </c>
      <c r="AZF23" s="1902">
        <f t="shared" si="281"/>
        <v>0</v>
      </c>
      <c r="AZG23" s="1902">
        <f t="shared" si="281"/>
        <v>0</v>
      </c>
      <c r="AZH23" s="1902">
        <f t="shared" si="281"/>
        <v>0</v>
      </c>
      <c r="AZI23" s="1902">
        <f t="shared" si="281"/>
        <v>0</v>
      </c>
      <c r="AZJ23" s="1902">
        <f t="shared" si="281"/>
        <v>0</v>
      </c>
      <c r="AZK23" s="1902">
        <f t="shared" si="281"/>
        <v>0</v>
      </c>
      <c r="AZL23" s="1902">
        <f t="shared" si="281"/>
        <v>0</v>
      </c>
      <c r="AZM23" s="1902">
        <f t="shared" si="281"/>
        <v>0</v>
      </c>
      <c r="AZN23" s="1902">
        <f t="shared" si="281"/>
        <v>0</v>
      </c>
      <c r="AZO23" s="1902">
        <f t="shared" si="281"/>
        <v>0</v>
      </c>
      <c r="AZP23" s="1902">
        <f t="shared" si="281"/>
        <v>0</v>
      </c>
      <c r="AZQ23" s="1902">
        <f t="shared" si="281"/>
        <v>0</v>
      </c>
      <c r="AZR23" s="1902">
        <f t="shared" si="281"/>
        <v>0</v>
      </c>
      <c r="AZS23" s="1902">
        <f t="shared" si="281"/>
        <v>0</v>
      </c>
      <c r="AZT23" s="1902">
        <f t="shared" si="281"/>
        <v>0</v>
      </c>
      <c r="AZU23" s="1902">
        <f t="shared" si="281"/>
        <v>0</v>
      </c>
      <c r="AZV23" s="1902">
        <f t="shared" si="281"/>
        <v>0</v>
      </c>
      <c r="AZW23" s="1902">
        <f t="shared" si="281"/>
        <v>0</v>
      </c>
      <c r="AZX23" s="1902">
        <f t="shared" si="281"/>
        <v>0</v>
      </c>
      <c r="AZY23" s="1902">
        <f t="shared" si="281"/>
        <v>0</v>
      </c>
      <c r="AZZ23" s="1902">
        <f t="shared" si="281"/>
        <v>0</v>
      </c>
      <c r="BAA23" s="1902">
        <f t="shared" si="281"/>
        <v>0</v>
      </c>
      <c r="BAB23" s="1902">
        <f t="shared" si="281"/>
        <v>0</v>
      </c>
      <c r="BAC23" s="1902">
        <f t="shared" si="281"/>
        <v>0</v>
      </c>
      <c r="BAD23" s="1902">
        <f t="shared" si="281"/>
        <v>0</v>
      </c>
      <c r="BAE23" s="1902">
        <f t="shared" si="281"/>
        <v>0</v>
      </c>
      <c r="BAF23" s="1902">
        <f t="shared" si="281"/>
        <v>0</v>
      </c>
      <c r="BAG23" s="1902">
        <f t="shared" si="281"/>
        <v>0</v>
      </c>
      <c r="BAH23" s="1902">
        <f t="shared" si="281"/>
        <v>0</v>
      </c>
      <c r="BAI23" s="1902">
        <f t="shared" si="281"/>
        <v>0</v>
      </c>
      <c r="BAJ23" s="1902">
        <f t="shared" si="281"/>
        <v>0</v>
      </c>
      <c r="BAK23" s="1902">
        <f t="shared" si="281"/>
        <v>0</v>
      </c>
      <c r="BAL23" s="1902">
        <f t="shared" si="281"/>
        <v>0</v>
      </c>
      <c r="BAM23" s="1902">
        <f t="shared" si="281"/>
        <v>0</v>
      </c>
      <c r="BAN23" s="1902">
        <f t="shared" si="281"/>
        <v>0</v>
      </c>
      <c r="BAO23" s="1902">
        <f t="shared" si="281"/>
        <v>0</v>
      </c>
      <c r="BAP23" s="1902">
        <f t="shared" si="281"/>
        <v>0</v>
      </c>
      <c r="BAQ23" s="1902">
        <f t="shared" si="281"/>
        <v>0</v>
      </c>
      <c r="BAR23" s="1902">
        <f t="shared" si="281"/>
        <v>0</v>
      </c>
      <c r="BAS23" s="1902">
        <f t="shared" si="281"/>
        <v>0</v>
      </c>
      <c r="BAT23" s="1902">
        <f t="shared" si="281"/>
        <v>0</v>
      </c>
      <c r="BAU23" s="1902">
        <f t="shared" si="281"/>
        <v>0</v>
      </c>
      <c r="BAV23" s="1902">
        <f t="shared" si="281"/>
        <v>0</v>
      </c>
      <c r="BAW23" s="1902">
        <f t="shared" si="281"/>
        <v>0</v>
      </c>
      <c r="BAX23" s="1902">
        <f t="shared" si="281"/>
        <v>0</v>
      </c>
      <c r="BAY23" s="1902">
        <f t="shared" si="281"/>
        <v>0</v>
      </c>
      <c r="BAZ23" s="1902">
        <f t="shared" si="281"/>
        <v>0</v>
      </c>
      <c r="BBA23" s="1902">
        <f t="shared" si="281"/>
        <v>0</v>
      </c>
      <c r="BBB23" s="1902">
        <f t="shared" si="281"/>
        <v>0</v>
      </c>
      <c r="BBC23" s="1902">
        <f t="shared" si="281"/>
        <v>0</v>
      </c>
      <c r="BBD23" s="1902">
        <f t="shared" si="281"/>
        <v>0</v>
      </c>
      <c r="BBE23" s="1902">
        <f t="shared" si="281"/>
        <v>0</v>
      </c>
      <c r="BBF23" s="1902">
        <f t="shared" si="281"/>
        <v>0</v>
      </c>
      <c r="BBG23" s="1902">
        <f t="shared" si="281"/>
        <v>0</v>
      </c>
      <c r="BBH23" s="1902">
        <f t="shared" si="281"/>
        <v>0</v>
      </c>
      <c r="BBI23" s="1902">
        <f t="shared" si="281"/>
        <v>0</v>
      </c>
      <c r="BBJ23" s="1902">
        <f t="shared" si="281"/>
        <v>0</v>
      </c>
      <c r="BBK23" s="1902">
        <f t="shared" si="281"/>
        <v>0</v>
      </c>
      <c r="BBL23" s="1902">
        <f t="shared" si="281"/>
        <v>0</v>
      </c>
      <c r="BBM23" s="1902">
        <f t="shared" si="281"/>
        <v>0</v>
      </c>
      <c r="BBN23" s="1902">
        <f t="shared" si="281"/>
        <v>0</v>
      </c>
      <c r="BBO23" s="1902">
        <f t="shared" ref="BBO23:BDZ23" si="282">IF(AND(BBO$26="End of period",BBO$25="Revenue"),BBO10,0)</f>
        <v>0</v>
      </c>
      <c r="BBP23" s="1902">
        <f t="shared" si="282"/>
        <v>0</v>
      </c>
      <c r="BBQ23" s="1902">
        <f t="shared" si="282"/>
        <v>0</v>
      </c>
      <c r="BBR23" s="1902">
        <f t="shared" si="282"/>
        <v>0</v>
      </c>
      <c r="BBS23" s="1902">
        <f t="shared" si="282"/>
        <v>0</v>
      </c>
      <c r="BBT23" s="1902">
        <f t="shared" si="282"/>
        <v>0</v>
      </c>
      <c r="BBU23" s="1902">
        <f t="shared" si="282"/>
        <v>0</v>
      </c>
      <c r="BBV23" s="1902">
        <f t="shared" si="282"/>
        <v>0</v>
      </c>
      <c r="BBW23" s="1902">
        <f t="shared" si="282"/>
        <v>0</v>
      </c>
      <c r="BBX23" s="1902">
        <f t="shared" si="282"/>
        <v>0</v>
      </c>
      <c r="BBY23" s="1902">
        <f t="shared" si="282"/>
        <v>0</v>
      </c>
      <c r="BBZ23" s="1902">
        <f t="shared" si="282"/>
        <v>0</v>
      </c>
      <c r="BCA23" s="1902">
        <f t="shared" si="282"/>
        <v>0</v>
      </c>
      <c r="BCB23" s="1902">
        <f t="shared" si="282"/>
        <v>0</v>
      </c>
      <c r="BCC23" s="1902">
        <f t="shared" si="282"/>
        <v>0</v>
      </c>
      <c r="BCD23" s="1902">
        <f t="shared" si="282"/>
        <v>0</v>
      </c>
      <c r="BCE23" s="1902">
        <f t="shared" si="282"/>
        <v>0</v>
      </c>
      <c r="BCF23" s="1902">
        <f t="shared" si="282"/>
        <v>0</v>
      </c>
      <c r="BCG23" s="1902">
        <f t="shared" si="282"/>
        <v>0</v>
      </c>
      <c r="BCH23" s="1902">
        <f t="shared" si="282"/>
        <v>0</v>
      </c>
      <c r="BCI23" s="1902">
        <f t="shared" si="282"/>
        <v>0</v>
      </c>
      <c r="BCJ23" s="1902">
        <f t="shared" si="282"/>
        <v>0</v>
      </c>
      <c r="BCK23" s="1902">
        <f t="shared" si="282"/>
        <v>0</v>
      </c>
      <c r="BCL23" s="1902">
        <f t="shared" si="282"/>
        <v>0</v>
      </c>
      <c r="BCM23" s="1902">
        <f t="shared" si="282"/>
        <v>0</v>
      </c>
      <c r="BCN23" s="1902">
        <f t="shared" si="282"/>
        <v>0</v>
      </c>
      <c r="BCO23" s="1902">
        <f t="shared" si="282"/>
        <v>0</v>
      </c>
      <c r="BCP23" s="1902">
        <f t="shared" si="282"/>
        <v>0</v>
      </c>
      <c r="BCQ23" s="1902">
        <f t="shared" si="282"/>
        <v>0</v>
      </c>
      <c r="BCR23" s="1902">
        <f t="shared" si="282"/>
        <v>0</v>
      </c>
      <c r="BCS23" s="1902">
        <f t="shared" si="282"/>
        <v>0</v>
      </c>
      <c r="BCT23" s="1902">
        <f t="shared" si="282"/>
        <v>0</v>
      </c>
      <c r="BCU23" s="1902">
        <f t="shared" si="282"/>
        <v>0</v>
      </c>
      <c r="BCV23" s="1902">
        <f t="shared" si="282"/>
        <v>0</v>
      </c>
      <c r="BCW23" s="1902">
        <f t="shared" si="282"/>
        <v>0</v>
      </c>
      <c r="BCX23" s="1902">
        <f t="shared" si="282"/>
        <v>0</v>
      </c>
      <c r="BCY23" s="1902">
        <f t="shared" si="282"/>
        <v>0</v>
      </c>
      <c r="BCZ23" s="1902">
        <f t="shared" si="282"/>
        <v>0</v>
      </c>
      <c r="BDA23" s="1902">
        <f t="shared" si="282"/>
        <v>0</v>
      </c>
      <c r="BDB23" s="1902">
        <f t="shared" si="282"/>
        <v>0</v>
      </c>
      <c r="BDC23" s="1902">
        <f t="shared" si="282"/>
        <v>0</v>
      </c>
      <c r="BDD23" s="1902">
        <f t="shared" si="282"/>
        <v>0</v>
      </c>
      <c r="BDE23" s="1902">
        <f t="shared" si="282"/>
        <v>0</v>
      </c>
      <c r="BDF23" s="1902">
        <f t="shared" si="282"/>
        <v>0</v>
      </c>
      <c r="BDG23" s="1902">
        <f t="shared" si="282"/>
        <v>0</v>
      </c>
      <c r="BDH23" s="1902">
        <f t="shared" si="282"/>
        <v>0</v>
      </c>
      <c r="BDI23" s="1902">
        <f t="shared" si="282"/>
        <v>0</v>
      </c>
      <c r="BDJ23" s="1902">
        <f t="shared" si="282"/>
        <v>0</v>
      </c>
      <c r="BDK23" s="1902">
        <f t="shared" si="282"/>
        <v>0</v>
      </c>
      <c r="BDL23" s="1902">
        <f t="shared" si="282"/>
        <v>0</v>
      </c>
      <c r="BDM23" s="1902">
        <f t="shared" si="282"/>
        <v>0</v>
      </c>
      <c r="BDN23" s="1902">
        <f t="shared" si="282"/>
        <v>0</v>
      </c>
      <c r="BDO23" s="1902">
        <f t="shared" si="282"/>
        <v>0</v>
      </c>
      <c r="BDP23" s="1902">
        <f t="shared" si="282"/>
        <v>0</v>
      </c>
      <c r="BDQ23" s="1902">
        <f t="shared" si="282"/>
        <v>0</v>
      </c>
      <c r="BDR23" s="1902">
        <f t="shared" si="282"/>
        <v>0</v>
      </c>
      <c r="BDS23" s="1902">
        <f t="shared" si="282"/>
        <v>0</v>
      </c>
      <c r="BDT23" s="1902">
        <f t="shared" si="282"/>
        <v>0</v>
      </c>
      <c r="BDU23" s="1902">
        <f t="shared" si="282"/>
        <v>0</v>
      </c>
      <c r="BDV23" s="1902">
        <f t="shared" si="282"/>
        <v>0</v>
      </c>
      <c r="BDW23" s="1902">
        <f t="shared" si="282"/>
        <v>0</v>
      </c>
      <c r="BDX23" s="1902">
        <f t="shared" si="282"/>
        <v>0</v>
      </c>
      <c r="BDY23" s="1902">
        <f t="shared" si="282"/>
        <v>0</v>
      </c>
      <c r="BDZ23" s="1902">
        <f t="shared" si="282"/>
        <v>0</v>
      </c>
      <c r="BEA23" s="1902">
        <f t="shared" ref="BEA23:BGL23" si="283">IF(AND(BEA$26="End of period",BEA$25="Revenue"),BEA10,0)</f>
        <v>0</v>
      </c>
      <c r="BEB23" s="1902">
        <f t="shared" si="283"/>
        <v>0</v>
      </c>
      <c r="BEC23" s="1902">
        <f t="shared" si="283"/>
        <v>0</v>
      </c>
      <c r="BED23" s="1902">
        <f t="shared" si="283"/>
        <v>0</v>
      </c>
      <c r="BEE23" s="1902">
        <f t="shared" si="283"/>
        <v>0</v>
      </c>
      <c r="BEF23" s="1902">
        <f t="shared" si="283"/>
        <v>0</v>
      </c>
      <c r="BEG23" s="1902">
        <f t="shared" si="283"/>
        <v>0</v>
      </c>
      <c r="BEH23" s="1902">
        <f t="shared" si="283"/>
        <v>0</v>
      </c>
      <c r="BEI23" s="1902">
        <f t="shared" si="283"/>
        <v>0</v>
      </c>
      <c r="BEJ23" s="1902">
        <f t="shared" si="283"/>
        <v>0</v>
      </c>
      <c r="BEK23" s="1902">
        <f t="shared" si="283"/>
        <v>0</v>
      </c>
      <c r="BEL23" s="1902">
        <f t="shared" si="283"/>
        <v>0</v>
      </c>
      <c r="BEM23" s="1902">
        <f t="shared" si="283"/>
        <v>0</v>
      </c>
      <c r="BEN23" s="1902">
        <f t="shared" si="283"/>
        <v>0</v>
      </c>
      <c r="BEO23" s="1902">
        <f t="shared" si="283"/>
        <v>0</v>
      </c>
      <c r="BEP23" s="1902">
        <f t="shared" si="283"/>
        <v>0</v>
      </c>
      <c r="BEQ23" s="1902">
        <f t="shared" si="283"/>
        <v>0</v>
      </c>
      <c r="BER23" s="1902">
        <f t="shared" si="283"/>
        <v>0</v>
      </c>
      <c r="BES23" s="1902">
        <f t="shared" si="283"/>
        <v>0</v>
      </c>
      <c r="BET23" s="1902">
        <f t="shared" si="283"/>
        <v>0</v>
      </c>
      <c r="BEU23" s="1902">
        <f t="shared" si="283"/>
        <v>0</v>
      </c>
      <c r="BEV23" s="1902">
        <f t="shared" si="283"/>
        <v>0</v>
      </c>
      <c r="BEW23" s="1902">
        <f t="shared" si="283"/>
        <v>0</v>
      </c>
      <c r="BEX23" s="1902">
        <f t="shared" si="283"/>
        <v>0</v>
      </c>
      <c r="BEY23" s="1902">
        <f t="shared" si="283"/>
        <v>0</v>
      </c>
      <c r="BEZ23" s="1902">
        <f t="shared" si="283"/>
        <v>0</v>
      </c>
      <c r="BFA23" s="1902">
        <f t="shared" si="283"/>
        <v>0</v>
      </c>
      <c r="BFB23" s="1902">
        <f t="shared" si="283"/>
        <v>0</v>
      </c>
      <c r="BFC23" s="1902">
        <f t="shared" si="283"/>
        <v>0</v>
      </c>
      <c r="BFD23" s="1902">
        <f t="shared" si="283"/>
        <v>0</v>
      </c>
      <c r="BFE23" s="1902">
        <f t="shared" si="283"/>
        <v>0</v>
      </c>
      <c r="BFF23" s="1902">
        <f t="shared" si="283"/>
        <v>0</v>
      </c>
      <c r="BFG23" s="1902">
        <f t="shared" si="283"/>
        <v>0</v>
      </c>
      <c r="BFH23" s="1902">
        <f t="shared" si="283"/>
        <v>0</v>
      </c>
      <c r="BFI23" s="1902">
        <f t="shared" si="283"/>
        <v>0</v>
      </c>
      <c r="BFJ23" s="1902">
        <f t="shared" si="283"/>
        <v>0</v>
      </c>
      <c r="BFK23" s="1902">
        <f t="shared" si="283"/>
        <v>0</v>
      </c>
      <c r="BFL23" s="1902">
        <f t="shared" si="283"/>
        <v>0</v>
      </c>
      <c r="BFM23" s="1902">
        <f t="shared" si="283"/>
        <v>0</v>
      </c>
      <c r="BFN23" s="1902">
        <f t="shared" si="283"/>
        <v>0</v>
      </c>
      <c r="BFO23" s="1902">
        <f t="shared" si="283"/>
        <v>0</v>
      </c>
      <c r="BFP23" s="1902">
        <f t="shared" si="283"/>
        <v>0</v>
      </c>
      <c r="BFQ23" s="1902">
        <f t="shared" si="283"/>
        <v>0</v>
      </c>
      <c r="BFR23" s="1902">
        <f t="shared" si="283"/>
        <v>0</v>
      </c>
      <c r="BFS23" s="1902">
        <f t="shared" si="283"/>
        <v>0</v>
      </c>
      <c r="BFT23" s="1902">
        <f t="shared" si="283"/>
        <v>0</v>
      </c>
      <c r="BFU23" s="1902">
        <f t="shared" si="283"/>
        <v>0</v>
      </c>
      <c r="BFV23" s="1902">
        <f t="shared" si="283"/>
        <v>0</v>
      </c>
      <c r="BFW23" s="1902">
        <f t="shared" si="283"/>
        <v>0</v>
      </c>
      <c r="BFX23" s="1902">
        <f t="shared" si="283"/>
        <v>0</v>
      </c>
      <c r="BFY23" s="1902">
        <f t="shared" si="283"/>
        <v>0</v>
      </c>
      <c r="BFZ23" s="1902">
        <f t="shared" si="283"/>
        <v>0</v>
      </c>
      <c r="BGA23" s="1902">
        <f t="shared" si="283"/>
        <v>0</v>
      </c>
      <c r="BGB23" s="1902">
        <f t="shared" si="283"/>
        <v>0</v>
      </c>
      <c r="BGC23" s="1902">
        <f t="shared" si="283"/>
        <v>0</v>
      </c>
      <c r="BGD23" s="1902">
        <f t="shared" si="283"/>
        <v>0</v>
      </c>
      <c r="BGE23" s="1902">
        <f t="shared" si="283"/>
        <v>0</v>
      </c>
      <c r="BGF23" s="1902">
        <f t="shared" si="283"/>
        <v>0</v>
      </c>
      <c r="BGG23" s="1902">
        <f t="shared" si="283"/>
        <v>0</v>
      </c>
      <c r="BGH23" s="1902">
        <f t="shared" si="283"/>
        <v>0</v>
      </c>
      <c r="BGI23" s="1902">
        <f t="shared" si="283"/>
        <v>0</v>
      </c>
      <c r="BGJ23" s="1902">
        <f t="shared" si="283"/>
        <v>0</v>
      </c>
      <c r="BGK23" s="1902">
        <f t="shared" si="283"/>
        <v>0</v>
      </c>
      <c r="BGL23" s="1902">
        <f t="shared" si="283"/>
        <v>0</v>
      </c>
      <c r="BGM23" s="1902">
        <f t="shared" ref="BGM23:BIX23" si="284">IF(AND(BGM$26="End of period",BGM$25="Revenue"),BGM10,0)</f>
        <v>0</v>
      </c>
      <c r="BGN23" s="1902">
        <f t="shared" si="284"/>
        <v>0</v>
      </c>
      <c r="BGO23" s="1902">
        <f t="shared" si="284"/>
        <v>0</v>
      </c>
      <c r="BGP23" s="1902">
        <f t="shared" si="284"/>
        <v>0</v>
      </c>
      <c r="BGQ23" s="1902">
        <f t="shared" si="284"/>
        <v>0</v>
      </c>
      <c r="BGR23" s="1902">
        <f t="shared" si="284"/>
        <v>0</v>
      </c>
      <c r="BGS23" s="1902">
        <f t="shared" si="284"/>
        <v>0</v>
      </c>
      <c r="BGT23" s="1902">
        <f t="shared" si="284"/>
        <v>0</v>
      </c>
      <c r="BGU23" s="1902">
        <f t="shared" si="284"/>
        <v>0</v>
      </c>
      <c r="BGV23" s="1902">
        <f t="shared" si="284"/>
        <v>0</v>
      </c>
      <c r="BGW23" s="1902">
        <f t="shared" si="284"/>
        <v>0</v>
      </c>
      <c r="BGX23" s="1902">
        <f t="shared" si="284"/>
        <v>0</v>
      </c>
      <c r="BGY23" s="1902">
        <f t="shared" si="284"/>
        <v>0</v>
      </c>
      <c r="BGZ23" s="1902">
        <f t="shared" si="284"/>
        <v>0</v>
      </c>
      <c r="BHA23" s="1902">
        <f t="shared" si="284"/>
        <v>0</v>
      </c>
      <c r="BHB23" s="1902">
        <f t="shared" si="284"/>
        <v>0</v>
      </c>
      <c r="BHC23" s="1902">
        <f t="shared" si="284"/>
        <v>0</v>
      </c>
      <c r="BHD23" s="1902">
        <f t="shared" si="284"/>
        <v>0</v>
      </c>
      <c r="BHE23" s="1902">
        <f t="shared" si="284"/>
        <v>0</v>
      </c>
      <c r="BHF23" s="1902">
        <f t="shared" si="284"/>
        <v>0</v>
      </c>
      <c r="BHG23" s="1902">
        <f t="shared" si="284"/>
        <v>0</v>
      </c>
      <c r="BHH23" s="1902">
        <f t="shared" si="284"/>
        <v>0</v>
      </c>
      <c r="BHI23" s="1902">
        <f t="shared" si="284"/>
        <v>0</v>
      </c>
      <c r="BHJ23" s="1902">
        <f t="shared" si="284"/>
        <v>0</v>
      </c>
      <c r="BHK23" s="1902">
        <f t="shared" si="284"/>
        <v>0</v>
      </c>
      <c r="BHL23" s="1902">
        <f t="shared" si="284"/>
        <v>0</v>
      </c>
      <c r="BHM23" s="1902">
        <f t="shared" si="284"/>
        <v>0</v>
      </c>
      <c r="BHN23" s="1902">
        <f t="shared" si="284"/>
        <v>0</v>
      </c>
      <c r="BHO23" s="1902">
        <f t="shared" si="284"/>
        <v>0</v>
      </c>
      <c r="BHP23" s="1902">
        <f t="shared" si="284"/>
        <v>0</v>
      </c>
      <c r="BHQ23" s="1902">
        <f t="shared" si="284"/>
        <v>0</v>
      </c>
      <c r="BHR23" s="1902">
        <f t="shared" si="284"/>
        <v>0</v>
      </c>
      <c r="BHS23" s="1902">
        <f t="shared" si="284"/>
        <v>0</v>
      </c>
      <c r="BHT23" s="1902">
        <f t="shared" si="284"/>
        <v>0</v>
      </c>
      <c r="BHU23" s="1902">
        <f t="shared" si="284"/>
        <v>0</v>
      </c>
      <c r="BHV23" s="1902">
        <f t="shared" si="284"/>
        <v>0</v>
      </c>
      <c r="BHW23" s="1902">
        <f t="shared" si="284"/>
        <v>0</v>
      </c>
      <c r="BHX23" s="1902">
        <f t="shared" si="284"/>
        <v>0</v>
      </c>
      <c r="BHY23" s="1902">
        <f t="shared" si="284"/>
        <v>0</v>
      </c>
      <c r="BHZ23" s="1902">
        <f t="shared" si="284"/>
        <v>0</v>
      </c>
      <c r="BIA23" s="1902">
        <f t="shared" si="284"/>
        <v>0</v>
      </c>
      <c r="BIB23" s="1902">
        <f t="shared" si="284"/>
        <v>0</v>
      </c>
      <c r="BIC23" s="1902">
        <f t="shared" si="284"/>
        <v>0</v>
      </c>
      <c r="BID23" s="1902">
        <f t="shared" si="284"/>
        <v>0</v>
      </c>
      <c r="BIE23" s="1902">
        <f t="shared" si="284"/>
        <v>0</v>
      </c>
      <c r="BIF23" s="1902">
        <f t="shared" si="284"/>
        <v>0</v>
      </c>
      <c r="BIG23" s="1902">
        <f t="shared" si="284"/>
        <v>0</v>
      </c>
      <c r="BIH23" s="1902">
        <f t="shared" si="284"/>
        <v>0</v>
      </c>
      <c r="BII23" s="1902">
        <f t="shared" si="284"/>
        <v>0</v>
      </c>
      <c r="BIJ23" s="1902">
        <f t="shared" si="284"/>
        <v>0</v>
      </c>
      <c r="BIK23" s="1902">
        <f t="shared" si="284"/>
        <v>0</v>
      </c>
      <c r="BIL23" s="1902">
        <f t="shared" si="284"/>
        <v>0</v>
      </c>
      <c r="BIM23" s="1902">
        <f t="shared" si="284"/>
        <v>0</v>
      </c>
      <c r="BIN23" s="1902">
        <f t="shared" si="284"/>
        <v>0</v>
      </c>
      <c r="BIO23" s="1902">
        <f t="shared" si="284"/>
        <v>0</v>
      </c>
      <c r="BIP23" s="1902">
        <f t="shared" si="284"/>
        <v>0</v>
      </c>
      <c r="BIQ23" s="1902">
        <f t="shared" si="284"/>
        <v>0</v>
      </c>
      <c r="BIR23" s="1902">
        <f t="shared" si="284"/>
        <v>0</v>
      </c>
      <c r="BIS23" s="1902">
        <f t="shared" si="284"/>
        <v>0</v>
      </c>
      <c r="BIT23" s="1902">
        <f t="shared" si="284"/>
        <v>0</v>
      </c>
      <c r="BIU23" s="1902">
        <f t="shared" si="284"/>
        <v>0</v>
      </c>
      <c r="BIV23" s="1902">
        <f t="shared" si="284"/>
        <v>0</v>
      </c>
      <c r="BIW23" s="1902">
        <f t="shared" si="284"/>
        <v>0</v>
      </c>
      <c r="BIX23" s="1902">
        <f t="shared" si="284"/>
        <v>0</v>
      </c>
      <c r="BIY23" s="1902">
        <f t="shared" ref="BIY23:BLJ23" si="285">IF(AND(BIY$26="End of period",BIY$25="Revenue"),BIY10,0)</f>
        <v>0</v>
      </c>
      <c r="BIZ23" s="1902">
        <f t="shared" si="285"/>
        <v>0</v>
      </c>
      <c r="BJA23" s="1902">
        <f t="shared" si="285"/>
        <v>0</v>
      </c>
      <c r="BJB23" s="1902">
        <f t="shared" si="285"/>
        <v>0</v>
      </c>
      <c r="BJC23" s="1902">
        <f t="shared" si="285"/>
        <v>0</v>
      </c>
      <c r="BJD23" s="1902">
        <f t="shared" si="285"/>
        <v>0</v>
      </c>
      <c r="BJE23" s="1902">
        <f t="shared" si="285"/>
        <v>0</v>
      </c>
      <c r="BJF23" s="1902">
        <f t="shared" si="285"/>
        <v>0</v>
      </c>
      <c r="BJG23" s="1902">
        <f t="shared" si="285"/>
        <v>0</v>
      </c>
      <c r="BJH23" s="1902">
        <f t="shared" si="285"/>
        <v>0</v>
      </c>
      <c r="BJI23" s="1902">
        <f t="shared" si="285"/>
        <v>0</v>
      </c>
      <c r="BJJ23" s="1902">
        <f t="shared" si="285"/>
        <v>0</v>
      </c>
      <c r="BJK23" s="1902">
        <f t="shared" si="285"/>
        <v>0</v>
      </c>
      <c r="BJL23" s="1902">
        <f t="shared" si="285"/>
        <v>0</v>
      </c>
      <c r="BJM23" s="1902">
        <f t="shared" si="285"/>
        <v>0</v>
      </c>
      <c r="BJN23" s="1902">
        <f t="shared" si="285"/>
        <v>0</v>
      </c>
      <c r="BJO23" s="1902">
        <f t="shared" si="285"/>
        <v>0</v>
      </c>
      <c r="BJP23" s="1902">
        <f t="shared" si="285"/>
        <v>0</v>
      </c>
      <c r="BJQ23" s="1902">
        <f t="shared" si="285"/>
        <v>0</v>
      </c>
      <c r="BJR23" s="1902">
        <f t="shared" si="285"/>
        <v>0</v>
      </c>
      <c r="BJS23" s="1902">
        <f t="shared" si="285"/>
        <v>0</v>
      </c>
      <c r="BJT23" s="1902">
        <f t="shared" si="285"/>
        <v>0</v>
      </c>
      <c r="BJU23" s="1902">
        <f t="shared" si="285"/>
        <v>0</v>
      </c>
      <c r="BJV23" s="1902">
        <f t="shared" si="285"/>
        <v>0</v>
      </c>
      <c r="BJW23" s="1902">
        <f t="shared" si="285"/>
        <v>0</v>
      </c>
      <c r="BJX23" s="1902">
        <f t="shared" si="285"/>
        <v>0</v>
      </c>
      <c r="BJY23" s="1902">
        <f t="shared" si="285"/>
        <v>0</v>
      </c>
      <c r="BJZ23" s="1902">
        <f t="shared" si="285"/>
        <v>0</v>
      </c>
      <c r="BKA23" s="1902">
        <f t="shared" si="285"/>
        <v>0</v>
      </c>
      <c r="BKB23" s="1902">
        <f t="shared" si="285"/>
        <v>0</v>
      </c>
      <c r="BKC23" s="1902">
        <f t="shared" si="285"/>
        <v>0</v>
      </c>
      <c r="BKD23" s="1902">
        <f t="shared" si="285"/>
        <v>0</v>
      </c>
      <c r="BKE23" s="1902">
        <f t="shared" si="285"/>
        <v>0</v>
      </c>
      <c r="BKF23" s="1902">
        <f t="shared" si="285"/>
        <v>0</v>
      </c>
      <c r="BKG23" s="1902">
        <f t="shared" si="285"/>
        <v>0</v>
      </c>
      <c r="BKH23" s="1902">
        <f t="shared" si="285"/>
        <v>0</v>
      </c>
      <c r="BKI23" s="1902">
        <f t="shared" si="285"/>
        <v>0</v>
      </c>
      <c r="BKJ23" s="1902">
        <f t="shared" si="285"/>
        <v>0</v>
      </c>
      <c r="BKK23" s="1902">
        <f t="shared" si="285"/>
        <v>0</v>
      </c>
      <c r="BKL23" s="1902">
        <f t="shared" si="285"/>
        <v>0</v>
      </c>
      <c r="BKM23" s="1902">
        <f t="shared" si="285"/>
        <v>0</v>
      </c>
      <c r="BKN23" s="1902">
        <f t="shared" si="285"/>
        <v>0</v>
      </c>
      <c r="BKO23" s="1902">
        <f t="shared" si="285"/>
        <v>0</v>
      </c>
      <c r="BKP23" s="1902">
        <f t="shared" si="285"/>
        <v>0</v>
      </c>
      <c r="BKQ23" s="1902">
        <f t="shared" si="285"/>
        <v>0</v>
      </c>
      <c r="BKR23" s="1902">
        <f t="shared" si="285"/>
        <v>0</v>
      </c>
      <c r="BKS23" s="1902">
        <f t="shared" si="285"/>
        <v>0</v>
      </c>
      <c r="BKT23" s="1902">
        <f t="shared" si="285"/>
        <v>0</v>
      </c>
      <c r="BKU23" s="1902">
        <f t="shared" si="285"/>
        <v>0</v>
      </c>
      <c r="BKV23" s="1902">
        <f t="shared" si="285"/>
        <v>0</v>
      </c>
      <c r="BKW23" s="1902">
        <f t="shared" si="285"/>
        <v>0</v>
      </c>
      <c r="BKX23" s="1902">
        <f t="shared" si="285"/>
        <v>0</v>
      </c>
      <c r="BKY23" s="1902">
        <f t="shared" si="285"/>
        <v>0</v>
      </c>
      <c r="BKZ23" s="1902">
        <f t="shared" si="285"/>
        <v>0</v>
      </c>
      <c r="BLA23" s="1902">
        <f t="shared" si="285"/>
        <v>0</v>
      </c>
      <c r="BLB23" s="1902">
        <f t="shared" si="285"/>
        <v>0</v>
      </c>
      <c r="BLC23" s="1902">
        <f t="shared" si="285"/>
        <v>0</v>
      </c>
      <c r="BLD23" s="1902">
        <f t="shared" si="285"/>
        <v>0</v>
      </c>
      <c r="BLE23" s="1902">
        <f t="shared" si="285"/>
        <v>0</v>
      </c>
      <c r="BLF23" s="1902">
        <f t="shared" si="285"/>
        <v>0</v>
      </c>
      <c r="BLG23" s="1902">
        <f t="shared" si="285"/>
        <v>0</v>
      </c>
      <c r="BLH23" s="1902">
        <f t="shared" si="285"/>
        <v>0</v>
      </c>
      <c r="BLI23" s="1902">
        <f t="shared" si="285"/>
        <v>0</v>
      </c>
      <c r="BLJ23" s="1902">
        <f t="shared" si="285"/>
        <v>0</v>
      </c>
      <c r="BLK23" s="1902">
        <f t="shared" ref="BLK23:BNV23" si="286">IF(AND(BLK$26="End of period",BLK$25="Revenue"),BLK10,0)</f>
        <v>0</v>
      </c>
      <c r="BLL23" s="1902">
        <f t="shared" si="286"/>
        <v>0</v>
      </c>
      <c r="BLM23" s="1902">
        <f t="shared" si="286"/>
        <v>0</v>
      </c>
      <c r="BLN23" s="1902">
        <f t="shared" si="286"/>
        <v>0</v>
      </c>
      <c r="BLO23" s="1902">
        <f t="shared" si="286"/>
        <v>0</v>
      </c>
      <c r="BLP23" s="1902">
        <f t="shared" si="286"/>
        <v>0</v>
      </c>
      <c r="BLQ23" s="1902">
        <f t="shared" si="286"/>
        <v>0</v>
      </c>
      <c r="BLR23" s="1902">
        <f t="shared" si="286"/>
        <v>0</v>
      </c>
      <c r="BLS23" s="1902">
        <f t="shared" si="286"/>
        <v>0</v>
      </c>
      <c r="BLT23" s="1902">
        <f t="shared" si="286"/>
        <v>0</v>
      </c>
      <c r="BLU23" s="1902">
        <f t="shared" si="286"/>
        <v>0</v>
      </c>
      <c r="BLV23" s="1902">
        <f t="shared" si="286"/>
        <v>0</v>
      </c>
      <c r="BLW23" s="1902">
        <f t="shared" si="286"/>
        <v>0</v>
      </c>
      <c r="BLX23" s="1902">
        <f t="shared" si="286"/>
        <v>0</v>
      </c>
      <c r="BLY23" s="1902">
        <f t="shared" si="286"/>
        <v>0</v>
      </c>
      <c r="BLZ23" s="1902">
        <f t="shared" si="286"/>
        <v>0</v>
      </c>
      <c r="BMA23" s="1902">
        <f t="shared" si="286"/>
        <v>0</v>
      </c>
      <c r="BMB23" s="1902">
        <f t="shared" si="286"/>
        <v>0</v>
      </c>
      <c r="BMC23" s="1902">
        <f t="shared" si="286"/>
        <v>0</v>
      </c>
      <c r="BMD23" s="1902">
        <f t="shared" si="286"/>
        <v>0</v>
      </c>
      <c r="BME23" s="1902">
        <f t="shared" si="286"/>
        <v>0</v>
      </c>
      <c r="BMF23" s="1902">
        <f t="shared" si="286"/>
        <v>0</v>
      </c>
      <c r="BMG23" s="1902">
        <f t="shared" si="286"/>
        <v>0</v>
      </c>
      <c r="BMH23" s="1902">
        <f t="shared" si="286"/>
        <v>0</v>
      </c>
      <c r="BMI23" s="1902">
        <f t="shared" si="286"/>
        <v>0</v>
      </c>
      <c r="BMJ23" s="1902">
        <f t="shared" si="286"/>
        <v>0</v>
      </c>
      <c r="BMK23" s="1902">
        <f t="shared" si="286"/>
        <v>0</v>
      </c>
      <c r="BML23" s="1902">
        <f t="shared" si="286"/>
        <v>0</v>
      </c>
      <c r="BMM23" s="1902">
        <f t="shared" si="286"/>
        <v>0</v>
      </c>
      <c r="BMN23" s="1902">
        <f t="shared" si="286"/>
        <v>0</v>
      </c>
      <c r="BMO23" s="1902">
        <f t="shared" si="286"/>
        <v>0</v>
      </c>
      <c r="BMP23" s="1902">
        <f t="shared" si="286"/>
        <v>0</v>
      </c>
      <c r="BMQ23" s="1902">
        <f t="shared" si="286"/>
        <v>0</v>
      </c>
      <c r="BMR23" s="1902">
        <f t="shared" si="286"/>
        <v>0</v>
      </c>
      <c r="BMS23" s="1902">
        <f t="shared" si="286"/>
        <v>0</v>
      </c>
      <c r="BMT23" s="1902">
        <f t="shared" si="286"/>
        <v>0</v>
      </c>
      <c r="BMU23" s="1902">
        <f t="shared" si="286"/>
        <v>0</v>
      </c>
      <c r="BMV23" s="1902">
        <f t="shared" si="286"/>
        <v>0</v>
      </c>
      <c r="BMW23" s="1902">
        <f t="shared" si="286"/>
        <v>0</v>
      </c>
      <c r="BMX23" s="1902">
        <f t="shared" si="286"/>
        <v>0</v>
      </c>
      <c r="BMY23" s="1902">
        <f t="shared" si="286"/>
        <v>0</v>
      </c>
      <c r="BMZ23" s="1902">
        <f t="shared" si="286"/>
        <v>0</v>
      </c>
      <c r="BNA23" s="1902">
        <f t="shared" si="286"/>
        <v>0</v>
      </c>
      <c r="BNB23" s="1902">
        <f t="shared" si="286"/>
        <v>0</v>
      </c>
      <c r="BNC23" s="1902">
        <f t="shared" si="286"/>
        <v>0</v>
      </c>
      <c r="BND23" s="1902">
        <f t="shared" si="286"/>
        <v>0</v>
      </c>
      <c r="BNE23" s="1902">
        <f t="shared" si="286"/>
        <v>0</v>
      </c>
      <c r="BNF23" s="1902">
        <f t="shared" si="286"/>
        <v>0</v>
      </c>
      <c r="BNG23" s="1902">
        <f t="shared" si="286"/>
        <v>0</v>
      </c>
      <c r="BNH23" s="1902">
        <f t="shared" si="286"/>
        <v>0</v>
      </c>
      <c r="BNI23" s="1902">
        <f t="shared" si="286"/>
        <v>0</v>
      </c>
      <c r="BNJ23" s="1902">
        <f t="shared" si="286"/>
        <v>0</v>
      </c>
      <c r="BNK23" s="1902">
        <f t="shared" si="286"/>
        <v>0</v>
      </c>
      <c r="BNL23" s="1902">
        <f t="shared" si="286"/>
        <v>0</v>
      </c>
      <c r="BNM23" s="1902">
        <f t="shared" si="286"/>
        <v>0</v>
      </c>
      <c r="BNN23" s="1902">
        <f t="shared" si="286"/>
        <v>0</v>
      </c>
      <c r="BNO23" s="1902">
        <f t="shared" si="286"/>
        <v>0</v>
      </c>
      <c r="BNP23" s="1902">
        <f t="shared" si="286"/>
        <v>0</v>
      </c>
      <c r="BNQ23" s="1902">
        <f t="shared" si="286"/>
        <v>0</v>
      </c>
      <c r="BNR23" s="1902">
        <f t="shared" si="286"/>
        <v>0</v>
      </c>
      <c r="BNS23" s="1902">
        <f t="shared" si="286"/>
        <v>0</v>
      </c>
      <c r="BNT23" s="1902">
        <f t="shared" si="286"/>
        <v>0</v>
      </c>
      <c r="BNU23" s="1902">
        <f t="shared" si="286"/>
        <v>0</v>
      </c>
      <c r="BNV23" s="1902">
        <f t="shared" si="286"/>
        <v>0</v>
      </c>
      <c r="BNW23" s="1902">
        <f t="shared" ref="BNW23:BQH23" si="287">IF(AND(BNW$26="End of period",BNW$25="Revenue"),BNW10,0)</f>
        <v>0</v>
      </c>
      <c r="BNX23" s="1902">
        <f t="shared" si="287"/>
        <v>0</v>
      </c>
      <c r="BNY23" s="1902">
        <f t="shared" si="287"/>
        <v>0</v>
      </c>
      <c r="BNZ23" s="1902">
        <f t="shared" si="287"/>
        <v>0</v>
      </c>
      <c r="BOA23" s="1902">
        <f t="shared" si="287"/>
        <v>0</v>
      </c>
      <c r="BOB23" s="1902">
        <f t="shared" si="287"/>
        <v>0</v>
      </c>
      <c r="BOC23" s="1902">
        <f t="shared" si="287"/>
        <v>0</v>
      </c>
      <c r="BOD23" s="1902">
        <f t="shared" si="287"/>
        <v>0</v>
      </c>
      <c r="BOE23" s="1902">
        <f t="shared" si="287"/>
        <v>0</v>
      </c>
      <c r="BOF23" s="1902">
        <f t="shared" si="287"/>
        <v>0</v>
      </c>
      <c r="BOG23" s="1902">
        <f t="shared" si="287"/>
        <v>0</v>
      </c>
      <c r="BOH23" s="1902">
        <f t="shared" si="287"/>
        <v>0</v>
      </c>
      <c r="BOI23" s="1902">
        <f t="shared" si="287"/>
        <v>0</v>
      </c>
      <c r="BOJ23" s="1902">
        <f t="shared" si="287"/>
        <v>0</v>
      </c>
      <c r="BOK23" s="1902">
        <f t="shared" si="287"/>
        <v>0</v>
      </c>
      <c r="BOL23" s="1902">
        <f t="shared" si="287"/>
        <v>0</v>
      </c>
      <c r="BOM23" s="1902">
        <f t="shared" si="287"/>
        <v>0</v>
      </c>
      <c r="BON23" s="1902">
        <f t="shared" si="287"/>
        <v>0</v>
      </c>
      <c r="BOO23" s="1902">
        <f t="shared" si="287"/>
        <v>0</v>
      </c>
      <c r="BOP23" s="1902">
        <f t="shared" si="287"/>
        <v>0</v>
      </c>
      <c r="BOQ23" s="1902">
        <f t="shared" si="287"/>
        <v>0</v>
      </c>
      <c r="BOR23" s="1902">
        <f t="shared" si="287"/>
        <v>0</v>
      </c>
      <c r="BOS23" s="1902">
        <f t="shared" si="287"/>
        <v>0</v>
      </c>
      <c r="BOT23" s="1902">
        <f t="shared" si="287"/>
        <v>0</v>
      </c>
      <c r="BOU23" s="1902">
        <f t="shared" si="287"/>
        <v>0</v>
      </c>
      <c r="BOV23" s="1902">
        <f t="shared" si="287"/>
        <v>0</v>
      </c>
      <c r="BOW23" s="1902">
        <f t="shared" si="287"/>
        <v>0</v>
      </c>
      <c r="BOX23" s="1902">
        <f t="shared" si="287"/>
        <v>0</v>
      </c>
      <c r="BOY23" s="1902">
        <f t="shared" si="287"/>
        <v>0</v>
      </c>
      <c r="BOZ23" s="1902">
        <f t="shared" si="287"/>
        <v>0</v>
      </c>
      <c r="BPA23" s="1902">
        <f t="shared" si="287"/>
        <v>0</v>
      </c>
      <c r="BPB23" s="1902">
        <f t="shared" si="287"/>
        <v>0</v>
      </c>
      <c r="BPC23" s="1902">
        <f t="shared" si="287"/>
        <v>0</v>
      </c>
      <c r="BPD23" s="1902">
        <f t="shared" si="287"/>
        <v>0</v>
      </c>
      <c r="BPE23" s="1902">
        <f t="shared" si="287"/>
        <v>0</v>
      </c>
      <c r="BPF23" s="1902">
        <f t="shared" si="287"/>
        <v>0</v>
      </c>
      <c r="BPG23" s="1902">
        <f t="shared" si="287"/>
        <v>0</v>
      </c>
      <c r="BPH23" s="1902">
        <f t="shared" si="287"/>
        <v>0</v>
      </c>
      <c r="BPI23" s="1902">
        <f t="shared" si="287"/>
        <v>0</v>
      </c>
      <c r="BPJ23" s="1902">
        <f t="shared" si="287"/>
        <v>0</v>
      </c>
      <c r="BPK23" s="1902">
        <f t="shared" si="287"/>
        <v>0</v>
      </c>
      <c r="BPL23" s="1902">
        <f t="shared" si="287"/>
        <v>0</v>
      </c>
      <c r="BPM23" s="1902">
        <f t="shared" si="287"/>
        <v>0</v>
      </c>
      <c r="BPN23" s="1902">
        <f t="shared" si="287"/>
        <v>0</v>
      </c>
      <c r="BPO23" s="1902">
        <f t="shared" si="287"/>
        <v>0</v>
      </c>
      <c r="BPP23" s="1902">
        <f t="shared" si="287"/>
        <v>0</v>
      </c>
      <c r="BPQ23" s="1902">
        <f t="shared" si="287"/>
        <v>0</v>
      </c>
      <c r="BPR23" s="1902">
        <f t="shared" si="287"/>
        <v>0</v>
      </c>
      <c r="BPS23" s="1902">
        <f t="shared" si="287"/>
        <v>0</v>
      </c>
      <c r="BPT23" s="1902">
        <f t="shared" si="287"/>
        <v>0</v>
      </c>
      <c r="BPU23" s="1902">
        <f t="shared" si="287"/>
        <v>0</v>
      </c>
      <c r="BPV23" s="1902">
        <f t="shared" si="287"/>
        <v>0</v>
      </c>
      <c r="BPW23" s="1902">
        <f t="shared" si="287"/>
        <v>0</v>
      </c>
      <c r="BPX23" s="1902">
        <f t="shared" si="287"/>
        <v>0</v>
      </c>
      <c r="BPY23" s="1902">
        <f t="shared" si="287"/>
        <v>0</v>
      </c>
      <c r="BPZ23" s="1902">
        <f t="shared" si="287"/>
        <v>0</v>
      </c>
      <c r="BQA23" s="1902">
        <f t="shared" si="287"/>
        <v>0</v>
      </c>
      <c r="BQB23" s="1902">
        <f t="shared" si="287"/>
        <v>0</v>
      </c>
      <c r="BQC23" s="1902">
        <f t="shared" si="287"/>
        <v>0</v>
      </c>
      <c r="BQD23" s="1902">
        <f t="shared" si="287"/>
        <v>0</v>
      </c>
      <c r="BQE23" s="1902">
        <f t="shared" si="287"/>
        <v>0</v>
      </c>
      <c r="BQF23" s="1902">
        <f t="shared" si="287"/>
        <v>0</v>
      </c>
      <c r="BQG23" s="1902">
        <f t="shared" si="287"/>
        <v>0</v>
      </c>
      <c r="BQH23" s="1902">
        <f t="shared" si="287"/>
        <v>0</v>
      </c>
      <c r="BQI23" s="1902">
        <f t="shared" ref="BQI23:BST23" si="288">IF(AND(BQI$26="End of period",BQI$25="Revenue"),BQI10,0)</f>
        <v>0</v>
      </c>
      <c r="BQJ23" s="1902">
        <f t="shared" si="288"/>
        <v>0</v>
      </c>
      <c r="BQK23" s="1902">
        <f t="shared" si="288"/>
        <v>0</v>
      </c>
      <c r="BQL23" s="1902">
        <f t="shared" si="288"/>
        <v>0</v>
      </c>
      <c r="BQM23" s="1902">
        <f t="shared" si="288"/>
        <v>0</v>
      </c>
      <c r="BQN23" s="1902">
        <f t="shared" si="288"/>
        <v>0</v>
      </c>
      <c r="BQO23" s="1902">
        <f t="shared" si="288"/>
        <v>0</v>
      </c>
      <c r="BQP23" s="1902">
        <f t="shared" si="288"/>
        <v>0</v>
      </c>
      <c r="BQQ23" s="1902">
        <f t="shared" si="288"/>
        <v>0</v>
      </c>
      <c r="BQR23" s="1902">
        <f t="shared" si="288"/>
        <v>0</v>
      </c>
      <c r="BQS23" s="1902">
        <f t="shared" si="288"/>
        <v>0</v>
      </c>
      <c r="BQT23" s="1902">
        <f t="shared" si="288"/>
        <v>0</v>
      </c>
      <c r="BQU23" s="1902">
        <f t="shared" si="288"/>
        <v>0</v>
      </c>
      <c r="BQV23" s="1902">
        <f t="shared" si="288"/>
        <v>0</v>
      </c>
      <c r="BQW23" s="1902">
        <f t="shared" si="288"/>
        <v>0</v>
      </c>
      <c r="BQX23" s="1902">
        <f t="shared" si="288"/>
        <v>0</v>
      </c>
      <c r="BQY23" s="1902">
        <f t="shared" si="288"/>
        <v>0</v>
      </c>
      <c r="BQZ23" s="1902">
        <f t="shared" si="288"/>
        <v>0</v>
      </c>
      <c r="BRA23" s="1902">
        <f t="shared" si="288"/>
        <v>0</v>
      </c>
      <c r="BRB23" s="1902">
        <f t="shared" si="288"/>
        <v>0</v>
      </c>
      <c r="BRC23" s="1902">
        <f t="shared" si="288"/>
        <v>0</v>
      </c>
      <c r="BRD23" s="1902">
        <f t="shared" si="288"/>
        <v>0</v>
      </c>
      <c r="BRE23" s="1902">
        <f t="shared" si="288"/>
        <v>0</v>
      </c>
      <c r="BRF23" s="1902">
        <f t="shared" si="288"/>
        <v>0</v>
      </c>
      <c r="BRG23" s="1902">
        <f t="shared" si="288"/>
        <v>0</v>
      </c>
      <c r="BRH23" s="1902">
        <f t="shared" si="288"/>
        <v>0</v>
      </c>
      <c r="BRI23" s="1902">
        <f t="shared" si="288"/>
        <v>0</v>
      </c>
      <c r="BRJ23" s="1902">
        <f t="shared" si="288"/>
        <v>0</v>
      </c>
      <c r="BRK23" s="1902">
        <f t="shared" si="288"/>
        <v>0</v>
      </c>
      <c r="BRL23" s="1902">
        <f t="shared" si="288"/>
        <v>0</v>
      </c>
      <c r="BRM23" s="1902">
        <f t="shared" si="288"/>
        <v>0</v>
      </c>
      <c r="BRN23" s="1902">
        <f t="shared" si="288"/>
        <v>0</v>
      </c>
      <c r="BRO23" s="1902">
        <f t="shared" si="288"/>
        <v>0</v>
      </c>
      <c r="BRP23" s="1902">
        <f t="shared" si="288"/>
        <v>0</v>
      </c>
      <c r="BRQ23" s="1902">
        <f t="shared" si="288"/>
        <v>0</v>
      </c>
      <c r="BRR23" s="1902">
        <f t="shared" si="288"/>
        <v>0</v>
      </c>
      <c r="BRS23" s="1902">
        <f t="shared" si="288"/>
        <v>0</v>
      </c>
      <c r="BRT23" s="1902">
        <f t="shared" si="288"/>
        <v>0</v>
      </c>
      <c r="BRU23" s="1902">
        <f t="shared" si="288"/>
        <v>0</v>
      </c>
      <c r="BRV23" s="1902">
        <f t="shared" si="288"/>
        <v>0</v>
      </c>
      <c r="BRW23" s="1902">
        <f t="shared" si="288"/>
        <v>0</v>
      </c>
      <c r="BRX23" s="1902">
        <f t="shared" si="288"/>
        <v>0</v>
      </c>
      <c r="BRY23" s="1902">
        <f t="shared" si="288"/>
        <v>0</v>
      </c>
      <c r="BRZ23" s="1902">
        <f t="shared" si="288"/>
        <v>0</v>
      </c>
      <c r="BSA23" s="1902">
        <f t="shared" si="288"/>
        <v>0</v>
      </c>
      <c r="BSB23" s="1902">
        <f t="shared" si="288"/>
        <v>0</v>
      </c>
      <c r="BSC23" s="1902">
        <f t="shared" si="288"/>
        <v>0</v>
      </c>
      <c r="BSD23" s="1902">
        <f t="shared" si="288"/>
        <v>0</v>
      </c>
      <c r="BSE23" s="1902">
        <f t="shared" si="288"/>
        <v>0</v>
      </c>
      <c r="BSF23" s="1902">
        <f t="shared" si="288"/>
        <v>0</v>
      </c>
      <c r="BSG23" s="1902">
        <f t="shared" si="288"/>
        <v>0</v>
      </c>
      <c r="BSH23" s="1902">
        <f t="shared" si="288"/>
        <v>0</v>
      </c>
      <c r="BSI23" s="1902">
        <f t="shared" si="288"/>
        <v>0</v>
      </c>
      <c r="BSJ23" s="1902">
        <f t="shared" si="288"/>
        <v>0</v>
      </c>
      <c r="BSK23" s="1902">
        <f t="shared" si="288"/>
        <v>0</v>
      </c>
      <c r="BSL23" s="1902">
        <f t="shared" si="288"/>
        <v>0</v>
      </c>
      <c r="BSM23" s="1902">
        <f t="shared" si="288"/>
        <v>0</v>
      </c>
      <c r="BSN23" s="1902">
        <f t="shared" si="288"/>
        <v>0</v>
      </c>
      <c r="BSO23" s="1902">
        <f t="shared" si="288"/>
        <v>0</v>
      </c>
      <c r="BSP23" s="1902">
        <f t="shared" si="288"/>
        <v>0</v>
      </c>
      <c r="BSQ23" s="1902">
        <f t="shared" si="288"/>
        <v>0</v>
      </c>
      <c r="BSR23" s="1902">
        <f t="shared" si="288"/>
        <v>0</v>
      </c>
      <c r="BSS23" s="1902">
        <f t="shared" si="288"/>
        <v>0</v>
      </c>
      <c r="BST23" s="1902">
        <f t="shared" si="288"/>
        <v>0</v>
      </c>
      <c r="BSU23" s="1902">
        <f t="shared" ref="BSU23:BVF23" si="289">IF(AND(BSU$26="End of period",BSU$25="Revenue"),BSU10,0)</f>
        <v>0</v>
      </c>
      <c r="BSV23" s="1902">
        <f t="shared" si="289"/>
        <v>0</v>
      </c>
      <c r="BSW23" s="1902">
        <f t="shared" si="289"/>
        <v>0</v>
      </c>
      <c r="BSX23" s="1902">
        <f t="shared" si="289"/>
        <v>0</v>
      </c>
      <c r="BSY23" s="1902">
        <f t="shared" si="289"/>
        <v>0</v>
      </c>
      <c r="BSZ23" s="1902">
        <f t="shared" si="289"/>
        <v>0</v>
      </c>
      <c r="BTA23" s="1902">
        <f t="shared" si="289"/>
        <v>0</v>
      </c>
      <c r="BTB23" s="1902">
        <f t="shared" si="289"/>
        <v>0</v>
      </c>
      <c r="BTC23" s="1902">
        <f t="shared" si="289"/>
        <v>0</v>
      </c>
      <c r="BTD23" s="1902">
        <f t="shared" si="289"/>
        <v>0</v>
      </c>
      <c r="BTE23" s="1902">
        <f t="shared" si="289"/>
        <v>0</v>
      </c>
      <c r="BTF23" s="1902">
        <f t="shared" si="289"/>
        <v>0</v>
      </c>
      <c r="BTG23" s="1902">
        <f t="shared" si="289"/>
        <v>0</v>
      </c>
      <c r="BTH23" s="1902">
        <f t="shared" si="289"/>
        <v>0</v>
      </c>
      <c r="BTI23" s="1902">
        <f t="shared" si="289"/>
        <v>0</v>
      </c>
      <c r="BTJ23" s="1902">
        <f t="shared" si="289"/>
        <v>0</v>
      </c>
      <c r="BTK23" s="1902">
        <f t="shared" si="289"/>
        <v>0</v>
      </c>
      <c r="BTL23" s="1902">
        <f t="shared" si="289"/>
        <v>0</v>
      </c>
      <c r="BTM23" s="1902">
        <f t="shared" si="289"/>
        <v>0</v>
      </c>
      <c r="BTN23" s="1902">
        <f t="shared" si="289"/>
        <v>0</v>
      </c>
      <c r="BTO23" s="1902">
        <f t="shared" si="289"/>
        <v>0</v>
      </c>
      <c r="BTP23" s="1902">
        <f t="shared" si="289"/>
        <v>0</v>
      </c>
      <c r="BTQ23" s="1902">
        <f t="shared" si="289"/>
        <v>0</v>
      </c>
      <c r="BTR23" s="1902">
        <f t="shared" si="289"/>
        <v>0</v>
      </c>
      <c r="BTS23" s="1902">
        <f t="shared" si="289"/>
        <v>0</v>
      </c>
      <c r="BTT23" s="1902">
        <f t="shared" si="289"/>
        <v>0</v>
      </c>
      <c r="BTU23" s="1902">
        <f t="shared" si="289"/>
        <v>0</v>
      </c>
      <c r="BTV23" s="1902">
        <f t="shared" si="289"/>
        <v>0</v>
      </c>
      <c r="BTW23" s="1902">
        <f t="shared" si="289"/>
        <v>0</v>
      </c>
      <c r="BTX23" s="1902">
        <f t="shared" si="289"/>
        <v>0</v>
      </c>
      <c r="BTY23" s="1902">
        <f t="shared" si="289"/>
        <v>0</v>
      </c>
      <c r="BTZ23" s="1902">
        <f t="shared" si="289"/>
        <v>0</v>
      </c>
      <c r="BUA23" s="1902">
        <f t="shared" si="289"/>
        <v>0</v>
      </c>
      <c r="BUB23" s="1902">
        <f t="shared" si="289"/>
        <v>0</v>
      </c>
      <c r="BUC23" s="1902">
        <f t="shared" si="289"/>
        <v>0</v>
      </c>
      <c r="BUD23" s="1902">
        <f t="shared" si="289"/>
        <v>0</v>
      </c>
      <c r="BUE23" s="1902">
        <f t="shared" si="289"/>
        <v>0</v>
      </c>
      <c r="BUF23" s="1902">
        <f t="shared" si="289"/>
        <v>0</v>
      </c>
      <c r="BUG23" s="1902">
        <f t="shared" si="289"/>
        <v>0</v>
      </c>
      <c r="BUH23" s="1902">
        <f t="shared" si="289"/>
        <v>0</v>
      </c>
      <c r="BUI23" s="1902">
        <f t="shared" si="289"/>
        <v>0</v>
      </c>
      <c r="BUJ23" s="1902">
        <f t="shared" si="289"/>
        <v>0</v>
      </c>
      <c r="BUK23" s="1902">
        <f t="shared" si="289"/>
        <v>0</v>
      </c>
      <c r="BUL23" s="1902">
        <f t="shared" si="289"/>
        <v>0</v>
      </c>
      <c r="BUM23" s="1902">
        <f t="shared" si="289"/>
        <v>0</v>
      </c>
      <c r="BUN23" s="1902">
        <f t="shared" si="289"/>
        <v>0</v>
      </c>
      <c r="BUO23" s="1902">
        <f t="shared" si="289"/>
        <v>0</v>
      </c>
      <c r="BUP23" s="1902">
        <f t="shared" si="289"/>
        <v>0</v>
      </c>
      <c r="BUQ23" s="1902">
        <f t="shared" si="289"/>
        <v>0</v>
      </c>
      <c r="BUR23" s="1902">
        <f t="shared" si="289"/>
        <v>0</v>
      </c>
      <c r="BUS23" s="1902">
        <f t="shared" si="289"/>
        <v>0</v>
      </c>
      <c r="BUT23" s="1902">
        <f t="shared" si="289"/>
        <v>0</v>
      </c>
      <c r="BUU23" s="1902">
        <f t="shared" si="289"/>
        <v>0</v>
      </c>
      <c r="BUV23" s="1902">
        <f t="shared" si="289"/>
        <v>0</v>
      </c>
      <c r="BUW23" s="1902">
        <f t="shared" si="289"/>
        <v>0</v>
      </c>
      <c r="BUX23" s="1902">
        <f t="shared" si="289"/>
        <v>0</v>
      </c>
      <c r="BUY23" s="1902">
        <f t="shared" si="289"/>
        <v>0</v>
      </c>
      <c r="BUZ23" s="1902">
        <f t="shared" si="289"/>
        <v>0</v>
      </c>
      <c r="BVA23" s="1902">
        <f t="shared" si="289"/>
        <v>0</v>
      </c>
      <c r="BVB23" s="1902">
        <f t="shared" si="289"/>
        <v>0</v>
      </c>
      <c r="BVC23" s="1902">
        <f t="shared" si="289"/>
        <v>0</v>
      </c>
      <c r="BVD23" s="1902">
        <f t="shared" si="289"/>
        <v>0</v>
      </c>
      <c r="BVE23" s="1902">
        <f t="shared" si="289"/>
        <v>0</v>
      </c>
      <c r="BVF23" s="1902">
        <f t="shared" si="289"/>
        <v>0</v>
      </c>
      <c r="BVG23" s="1902">
        <f t="shared" ref="BVG23:BXR23" si="290">IF(AND(BVG$26="End of period",BVG$25="Revenue"),BVG10,0)</f>
        <v>0</v>
      </c>
      <c r="BVH23" s="1902">
        <f t="shared" si="290"/>
        <v>0</v>
      </c>
      <c r="BVI23" s="1902">
        <f t="shared" si="290"/>
        <v>0</v>
      </c>
      <c r="BVJ23" s="1902">
        <f t="shared" si="290"/>
        <v>0</v>
      </c>
      <c r="BVK23" s="1902">
        <f t="shared" si="290"/>
        <v>0</v>
      </c>
      <c r="BVL23" s="1902">
        <f t="shared" si="290"/>
        <v>0</v>
      </c>
      <c r="BVM23" s="1902">
        <f t="shared" si="290"/>
        <v>0</v>
      </c>
      <c r="BVN23" s="1902">
        <f t="shared" si="290"/>
        <v>0</v>
      </c>
      <c r="BVO23" s="1902">
        <f t="shared" si="290"/>
        <v>0</v>
      </c>
      <c r="BVP23" s="1902">
        <f t="shared" si="290"/>
        <v>0</v>
      </c>
      <c r="BVQ23" s="1902">
        <f t="shared" si="290"/>
        <v>0</v>
      </c>
      <c r="BVR23" s="1902">
        <f t="shared" si="290"/>
        <v>0</v>
      </c>
      <c r="BVS23" s="1902">
        <f t="shared" si="290"/>
        <v>0</v>
      </c>
      <c r="BVT23" s="1902">
        <f t="shared" si="290"/>
        <v>0</v>
      </c>
      <c r="BVU23" s="1902">
        <f t="shared" si="290"/>
        <v>0</v>
      </c>
      <c r="BVV23" s="1902">
        <f t="shared" si="290"/>
        <v>0</v>
      </c>
      <c r="BVW23" s="1902">
        <f t="shared" si="290"/>
        <v>0</v>
      </c>
      <c r="BVX23" s="1902">
        <f t="shared" si="290"/>
        <v>0</v>
      </c>
      <c r="BVY23" s="1902">
        <f t="shared" si="290"/>
        <v>0</v>
      </c>
      <c r="BVZ23" s="1902">
        <f t="shared" si="290"/>
        <v>0</v>
      </c>
      <c r="BWA23" s="1902">
        <f t="shared" si="290"/>
        <v>0</v>
      </c>
      <c r="BWB23" s="1902">
        <f t="shared" si="290"/>
        <v>0</v>
      </c>
      <c r="BWC23" s="1902">
        <f t="shared" si="290"/>
        <v>0</v>
      </c>
      <c r="BWD23" s="1902">
        <f t="shared" si="290"/>
        <v>0</v>
      </c>
      <c r="BWE23" s="1902">
        <f t="shared" si="290"/>
        <v>0</v>
      </c>
      <c r="BWF23" s="1902">
        <f t="shared" si="290"/>
        <v>0</v>
      </c>
      <c r="BWG23" s="1902">
        <f t="shared" si="290"/>
        <v>0</v>
      </c>
      <c r="BWH23" s="1902">
        <f t="shared" si="290"/>
        <v>0</v>
      </c>
      <c r="BWI23" s="1902">
        <f t="shared" si="290"/>
        <v>0</v>
      </c>
      <c r="BWJ23" s="1902">
        <f t="shared" si="290"/>
        <v>0</v>
      </c>
      <c r="BWK23" s="1902">
        <f t="shared" si="290"/>
        <v>0</v>
      </c>
      <c r="BWL23" s="1902">
        <f t="shared" si="290"/>
        <v>0</v>
      </c>
      <c r="BWM23" s="1902">
        <f t="shared" si="290"/>
        <v>0</v>
      </c>
      <c r="BWN23" s="1902">
        <f t="shared" si="290"/>
        <v>0</v>
      </c>
      <c r="BWO23" s="1902">
        <f t="shared" si="290"/>
        <v>0</v>
      </c>
      <c r="BWP23" s="1902">
        <f t="shared" si="290"/>
        <v>0</v>
      </c>
      <c r="BWQ23" s="1902">
        <f t="shared" si="290"/>
        <v>0</v>
      </c>
      <c r="BWR23" s="1902">
        <f t="shared" si="290"/>
        <v>0</v>
      </c>
      <c r="BWS23" s="1902">
        <f t="shared" si="290"/>
        <v>0</v>
      </c>
      <c r="BWT23" s="1902">
        <f t="shared" si="290"/>
        <v>0</v>
      </c>
      <c r="BWU23" s="1902">
        <f t="shared" si="290"/>
        <v>0</v>
      </c>
      <c r="BWV23" s="1902">
        <f t="shared" si="290"/>
        <v>0</v>
      </c>
      <c r="BWW23" s="1902">
        <f t="shared" si="290"/>
        <v>0</v>
      </c>
      <c r="BWX23" s="1902">
        <f t="shared" si="290"/>
        <v>0</v>
      </c>
      <c r="BWY23" s="1902">
        <f t="shared" si="290"/>
        <v>0</v>
      </c>
      <c r="BWZ23" s="1902">
        <f t="shared" si="290"/>
        <v>0</v>
      </c>
      <c r="BXA23" s="1902">
        <f t="shared" si="290"/>
        <v>0</v>
      </c>
      <c r="BXB23" s="1902">
        <f t="shared" si="290"/>
        <v>0</v>
      </c>
      <c r="BXC23" s="1902">
        <f t="shared" si="290"/>
        <v>0</v>
      </c>
      <c r="BXD23" s="1902">
        <f t="shared" si="290"/>
        <v>0</v>
      </c>
      <c r="BXE23" s="1902">
        <f t="shared" si="290"/>
        <v>0</v>
      </c>
      <c r="BXF23" s="1902">
        <f t="shared" si="290"/>
        <v>0</v>
      </c>
      <c r="BXG23" s="1902">
        <f t="shared" si="290"/>
        <v>0</v>
      </c>
      <c r="BXH23" s="1902">
        <f t="shared" si="290"/>
        <v>0</v>
      </c>
      <c r="BXI23" s="1902">
        <f t="shared" si="290"/>
        <v>0</v>
      </c>
      <c r="BXJ23" s="1902">
        <f t="shared" si="290"/>
        <v>0</v>
      </c>
      <c r="BXK23" s="1902">
        <f t="shared" si="290"/>
        <v>0</v>
      </c>
      <c r="BXL23" s="1902">
        <f t="shared" si="290"/>
        <v>0</v>
      </c>
      <c r="BXM23" s="1902">
        <f t="shared" si="290"/>
        <v>0</v>
      </c>
      <c r="BXN23" s="1902">
        <f t="shared" si="290"/>
        <v>0</v>
      </c>
      <c r="BXO23" s="1902">
        <f t="shared" si="290"/>
        <v>0</v>
      </c>
      <c r="BXP23" s="1902">
        <f t="shared" si="290"/>
        <v>0</v>
      </c>
      <c r="BXQ23" s="1902">
        <f t="shared" si="290"/>
        <v>0</v>
      </c>
      <c r="BXR23" s="1902">
        <f t="shared" si="290"/>
        <v>0</v>
      </c>
      <c r="BXS23" s="1902">
        <f t="shared" ref="BXS23:CAD23" si="291">IF(AND(BXS$26="End of period",BXS$25="Revenue"),BXS10,0)</f>
        <v>0</v>
      </c>
      <c r="BXT23" s="1902">
        <f t="shared" si="291"/>
        <v>0</v>
      </c>
      <c r="BXU23" s="1902">
        <f t="shared" si="291"/>
        <v>0</v>
      </c>
      <c r="BXV23" s="1902">
        <f t="shared" si="291"/>
        <v>0</v>
      </c>
      <c r="BXW23" s="1902">
        <f t="shared" si="291"/>
        <v>0</v>
      </c>
      <c r="BXX23" s="1902">
        <f t="shared" si="291"/>
        <v>0</v>
      </c>
      <c r="BXY23" s="1902">
        <f t="shared" si="291"/>
        <v>0</v>
      </c>
      <c r="BXZ23" s="1902">
        <f t="shared" si="291"/>
        <v>0</v>
      </c>
      <c r="BYA23" s="1902">
        <f t="shared" si="291"/>
        <v>0</v>
      </c>
      <c r="BYB23" s="1902">
        <f t="shared" si="291"/>
        <v>0</v>
      </c>
      <c r="BYC23" s="1902">
        <f t="shared" si="291"/>
        <v>0</v>
      </c>
      <c r="BYD23" s="1902">
        <f t="shared" si="291"/>
        <v>0</v>
      </c>
      <c r="BYE23" s="1902">
        <f t="shared" si="291"/>
        <v>0</v>
      </c>
      <c r="BYF23" s="1902">
        <f t="shared" si="291"/>
        <v>0</v>
      </c>
      <c r="BYG23" s="1902">
        <f t="shared" si="291"/>
        <v>0</v>
      </c>
      <c r="BYH23" s="1902">
        <f t="shared" si="291"/>
        <v>0</v>
      </c>
      <c r="BYI23" s="1902">
        <f t="shared" si="291"/>
        <v>0</v>
      </c>
      <c r="BYJ23" s="1902">
        <f t="shared" si="291"/>
        <v>0</v>
      </c>
      <c r="BYK23" s="1902">
        <f t="shared" si="291"/>
        <v>0</v>
      </c>
      <c r="BYL23" s="1902">
        <f t="shared" si="291"/>
        <v>0</v>
      </c>
      <c r="BYM23" s="1902">
        <f t="shared" si="291"/>
        <v>0</v>
      </c>
      <c r="BYN23" s="1902">
        <f t="shared" si="291"/>
        <v>0</v>
      </c>
      <c r="BYO23" s="1902">
        <f t="shared" si="291"/>
        <v>0</v>
      </c>
      <c r="BYP23" s="1902">
        <f t="shared" si="291"/>
        <v>0</v>
      </c>
      <c r="BYQ23" s="1902">
        <f t="shared" si="291"/>
        <v>0</v>
      </c>
      <c r="BYR23" s="1902">
        <f t="shared" si="291"/>
        <v>0</v>
      </c>
      <c r="BYS23" s="1902">
        <f t="shared" si="291"/>
        <v>0</v>
      </c>
      <c r="BYT23" s="1902">
        <f t="shared" si="291"/>
        <v>0</v>
      </c>
      <c r="BYU23" s="1902">
        <f t="shared" si="291"/>
        <v>0</v>
      </c>
      <c r="BYV23" s="1902">
        <f t="shared" si="291"/>
        <v>0</v>
      </c>
      <c r="BYW23" s="1902">
        <f t="shared" si="291"/>
        <v>0</v>
      </c>
      <c r="BYX23" s="1902">
        <f t="shared" si="291"/>
        <v>0</v>
      </c>
      <c r="BYY23" s="1902">
        <f t="shared" si="291"/>
        <v>0</v>
      </c>
      <c r="BYZ23" s="1902">
        <f t="shared" si="291"/>
        <v>0</v>
      </c>
      <c r="BZA23" s="1902">
        <f t="shared" si="291"/>
        <v>0</v>
      </c>
      <c r="BZB23" s="1902">
        <f t="shared" si="291"/>
        <v>0</v>
      </c>
      <c r="BZC23" s="1902">
        <f t="shared" si="291"/>
        <v>0</v>
      </c>
      <c r="BZD23" s="1902">
        <f t="shared" si="291"/>
        <v>0</v>
      </c>
      <c r="BZE23" s="1902">
        <f t="shared" si="291"/>
        <v>0</v>
      </c>
      <c r="BZF23" s="1902">
        <f t="shared" si="291"/>
        <v>0</v>
      </c>
      <c r="BZG23" s="1902">
        <f t="shared" si="291"/>
        <v>0</v>
      </c>
      <c r="BZH23" s="1902">
        <f t="shared" si="291"/>
        <v>0</v>
      </c>
      <c r="BZI23" s="1902">
        <f t="shared" si="291"/>
        <v>0</v>
      </c>
      <c r="BZJ23" s="1902">
        <f t="shared" si="291"/>
        <v>0</v>
      </c>
      <c r="BZK23" s="1902">
        <f t="shared" si="291"/>
        <v>0</v>
      </c>
      <c r="BZL23" s="1902">
        <f t="shared" si="291"/>
        <v>0</v>
      </c>
      <c r="BZM23" s="1902">
        <f t="shared" si="291"/>
        <v>0</v>
      </c>
      <c r="BZN23" s="1902">
        <f t="shared" si="291"/>
        <v>0</v>
      </c>
      <c r="BZO23" s="1902">
        <f t="shared" si="291"/>
        <v>0</v>
      </c>
      <c r="BZP23" s="1902">
        <f t="shared" si="291"/>
        <v>0</v>
      </c>
      <c r="BZQ23" s="1902">
        <f t="shared" si="291"/>
        <v>0</v>
      </c>
      <c r="BZR23" s="1902">
        <f t="shared" si="291"/>
        <v>0</v>
      </c>
      <c r="BZS23" s="1902">
        <f t="shared" si="291"/>
        <v>0</v>
      </c>
      <c r="BZT23" s="1902">
        <f t="shared" si="291"/>
        <v>0</v>
      </c>
      <c r="BZU23" s="1902">
        <f t="shared" si="291"/>
        <v>0</v>
      </c>
      <c r="BZV23" s="1902">
        <f t="shared" si="291"/>
        <v>0</v>
      </c>
      <c r="BZW23" s="1902">
        <f t="shared" si="291"/>
        <v>0</v>
      </c>
      <c r="BZX23" s="1902">
        <f t="shared" si="291"/>
        <v>0</v>
      </c>
      <c r="BZY23" s="1902">
        <f t="shared" si="291"/>
        <v>0</v>
      </c>
      <c r="BZZ23" s="1902">
        <f t="shared" si="291"/>
        <v>0</v>
      </c>
      <c r="CAA23" s="1902">
        <f t="shared" si="291"/>
        <v>0</v>
      </c>
      <c r="CAB23" s="1902">
        <f t="shared" si="291"/>
        <v>0</v>
      </c>
      <c r="CAC23" s="1902">
        <f t="shared" si="291"/>
        <v>0</v>
      </c>
      <c r="CAD23" s="1902">
        <f t="shared" si="291"/>
        <v>0</v>
      </c>
      <c r="CAE23" s="1902">
        <f t="shared" ref="CAE23:CCP23" si="292">IF(AND(CAE$26="End of period",CAE$25="Revenue"),CAE10,0)</f>
        <v>0</v>
      </c>
      <c r="CAF23" s="1902">
        <f t="shared" si="292"/>
        <v>0</v>
      </c>
      <c r="CAG23" s="1902">
        <f t="shared" si="292"/>
        <v>0</v>
      </c>
      <c r="CAH23" s="1902">
        <f t="shared" si="292"/>
        <v>0</v>
      </c>
      <c r="CAI23" s="1902">
        <f t="shared" si="292"/>
        <v>0</v>
      </c>
      <c r="CAJ23" s="1902">
        <f t="shared" si="292"/>
        <v>0</v>
      </c>
      <c r="CAK23" s="1902">
        <f t="shared" si="292"/>
        <v>0</v>
      </c>
      <c r="CAL23" s="1902">
        <f t="shared" si="292"/>
        <v>0</v>
      </c>
      <c r="CAM23" s="1902">
        <f t="shared" si="292"/>
        <v>0</v>
      </c>
      <c r="CAN23" s="1902">
        <f t="shared" si="292"/>
        <v>0</v>
      </c>
      <c r="CAO23" s="1902">
        <f t="shared" si="292"/>
        <v>0</v>
      </c>
      <c r="CAP23" s="1902">
        <f t="shared" si="292"/>
        <v>0</v>
      </c>
      <c r="CAQ23" s="1902">
        <f t="shared" si="292"/>
        <v>0</v>
      </c>
      <c r="CAR23" s="1902">
        <f t="shared" si="292"/>
        <v>0</v>
      </c>
      <c r="CAS23" s="1902">
        <f t="shared" si="292"/>
        <v>0</v>
      </c>
      <c r="CAT23" s="1902">
        <f t="shared" si="292"/>
        <v>0</v>
      </c>
      <c r="CAU23" s="1902">
        <f t="shared" si="292"/>
        <v>0</v>
      </c>
      <c r="CAV23" s="1902">
        <f t="shared" si="292"/>
        <v>0</v>
      </c>
      <c r="CAW23" s="1902">
        <f t="shared" si="292"/>
        <v>0</v>
      </c>
      <c r="CAX23" s="1902">
        <f t="shared" si="292"/>
        <v>0</v>
      </c>
      <c r="CAY23" s="1902">
        <f t="shared" si="292"/>
        <v>0</v>
      </c>
      <c r="CAZ23" s="1902">
        <f t="shared" si="292"/>
        <v>0</v>
      </c>
      <c r="CBA23" s="1902">
        <f t="shared" si="292"/>
        <v>0</v>
      </c>
      <c r="CBB23" s="1902">
        <f t="shared" si="292"/>
        <v>0</v>
      </c>
      <c r="CBC23" s="1902">
        <f t="shared" si="292"/>
        <v>0</v>
      </c>
      <c r="CBD23" s="1902">
        <f t="shared" si="292"/>
        <v>0</v>
      </c>
      <c r="CBE23" s="1902">
        <f t="shared" si="292"/>
        <v>0</v>
      </c>
      <c r="CBF23" s="1902">
        <f t="shared" si="292"/>
        <v>0</v>
      </c>
      <c r="CBG23" s="1902">
        <f t="shared" si="292"/>
        <v>0</v>
      </c>
      <c r="CBH23" s="1902">
        <f t="shared" si="292"/>
        <v>0</v>
      </c>
      <c r="CBI23" s="1902">
        <f t="shared" si="292"/>
        <v>0</v>
      </c>
      <c r="CBJ23" s="1902">
        <f t="shared" si="292"/>
        <v>0</v>
      </c>
      <c r="CBK23" s="1902">
        <f t="shared" si="292"/>
        <v>0</v>
      </c>
      <c r="CBL23" s="1902">
        <f t="shared" si="292"/>
        <v>0</v>
      </c>
      <c r="CBM23" s="1902">
        <f t="shared" si="292"/>
        <v>0</v>
      </c>
      <c r="CBN23" s="1902">
        <f t="shared" si="292"/>
        <v>0</v>
      </c>
      <c r="CBO23" s="1902">
        <f t="shared" si="292"/>
        <v>0</v>
      </c>
      <c r="CBP23" s="1902">
        <f t="shared" si="292"/>
        <v>0</v>
      </c>
      <c r="CBQ23" s="1902">
        <f t="shared" si="292"/>
        <v>0</v>
      </c>
      <c r="CBR23" s="1902">
        <f t="shared" si="292"/>
        <v>0</v>
      </c>
      <c r="CBS23" s="1902">
        <f t="shared" si="292"/>
        <v>0</v>
      </c>
      <c r="CBT23" s="1902">
        <f t="shared" si="292"/>
        <v>0</v>
      </c>
      <c r="CBU23" s="1902">
        <f t="shared" si="292"/>
        <v>0</v>
      </c>
      <c r="CBV23" s="1902">
        <f t="shared" si="292"/>
        <v>0</v>
      </c>
      <c r="CBW23" s="1902">
        <f t="shared" si="292"/>
        <v>0</v>
      </c>
      <c r="CBX23" s="1902">
        <f t="shared" si="292"/>
        <v>0</v>
      </c>
      <c r="CBY23" s="1902">
        <f t="shared" si="292"/>
        <v>0</v>
      </c>
      <c r="CBZ23" s="1902">
        <f t="shared" si="292"/>
        <v>0</v>
      </c>
      <c r="CCA23" s="1902">
        <f t="shared" si="292"/>
        <v>0</v>
      </c>
      <c r="CCB23" s="1902">
        <f t="shared" si="292"/>
        <v>0</v>
      </c>
      <c r="CCC23" s="1902">
        <f t="shared" si="292"/>
        <v>0</v>
      </c>
      <c r="CCD23" s="1902">
        <f t="shared" si="292"/>
        <v>0</v>
      </c>
      <c r="CCE23" s="1902">
        <f t="shared" si="292"/>
        <v>0</v>
      </c>
      <c r="CCF23" s="1902">
        <f t="shared" si="292"/>
        <v>0</v>
      </c>
      <c r="CCG23" s="1902">
        <f t="shared" si="292"/>
        <v>0</v>
      </c>
      <c r="CCH23" s="1902">
        <f t="shared" si="292"/>
        <v>0</v>
      </c>
      <c r="CCI23" s="1902">
        <f t="shared" si="292"/>
        <v>0</v>
      </c>
      <c r="CCJ23" s="1902">
        <f t="shared" si="292"/>
        <v>0</v>
      </c>
      <c r="CCK23" s="1902">
        <f t="shared" si="292"/>
        <v>0</v>
      </c>
      <c r="CCL23" s="1902">
        <f t="shared" si="292"/>
        <v>0</v>
      </c>
      <c r="CCM23" s="1902">
        <f t="shared" si="292"/>
        <v>0</v>
      </c>
      <c r="CCN23" s="1902">
        <f t="shared" si="292"/>
        <v>0</v>
      </c>
      <c r="CCO23" s="1902">
        <f t="shared" si="292"/>
        <v>0</v>
      </c>
      <c r="CCP23" s="1902">
        <f t="shared" si="292"/>
        <v>0</v>
      </c>
      <c r="CCQ23" s="1902">
        <f t="shared" ref="CCQ23:CFB23" si="293">IF(AND(CCQ$26="End of period",CCQ$25="Revenue"),CCQ10,0)</f>
        <v>0</v>
      </c>
      <c r="CCR23" s="1902">
        <f t="shared" si="293"/>
        <v>0</v>
      </c>
      <c r="CCS23" s="1902">
        <f t="shared" si="293"/>
        <v>0</v>
      </c>
      <c r="CCT23" s="1902">
        <f t="shared" si="293"/>
        <v>0</v>
      </c>
      <c r="CCU23" s="1902">
        <f t="shared" si="293"/>
        <v>0</v>
      </c>
      <c r="CCV23" s="1902">
        <f t="shared" si="293"/>
        <v>0</v>
      </c>
      <c r="CCW23" s="1902">
        <f t="shared" si="293"/>
        <v>0</v>
      </c>
      <c r="CCX23" s="1902">
        <f t="shared" si="293"/>
        <v>0</v>
      </c>
      <c r="CCY23" s="1902">
        <f t="shared" si="293"/>
        <v>0</v>
      </c>
      <c r="CCZ23" s="1902">
        <f t="shared" si="293"/>
        <v>0</v>
      </c>
      <c r="CDA23" s="1902">
        <f t="shared" si="293"/>
        <v>0</v>
      </c>
      <c r="CDB23" s="1902">
        <f t="shared" si="293"/>
        <v>0</v>
      </c>
      <c r="CDC23" s="1902">
        <f t="shared" si="293"/>
        <v>0</v>
      </c>
      <c r="CDD23" s="1902">
        <f t="shared" si="293"/>
        <v>0</v>
      </c>
      <c r="CDE23" s="1902">
        <f t="shared" si="293"/>
        <v>0</v>
      </c>
      <c r="CDF23" s="1902">
        <f t="shared" si="293"/>
        <v>0</v>
      </c>
      <c r="CDG23" s="1902">
        <f t="shared" si="293"/>
        <v>0</v>
      </c>
      <c r="CDH23" s="1902">
        <f t="shared" si="293"/>
        <v>0</v>
      </c>
      <c r="CDI23" s="1902">
        <f t="shared" si="293"/>
        <v>0</v>
      </c>
      <c r="CDJ23" s="1902">
        <f t="shared" si="293"/>
        <v>0</v>
      </c>
      <c r="CDK23" s="1902">
        <f t="shared" si="293"/>
        <v>0</v>
      </c>
      <c r="CDL23" s="1902">
        <f t="shared" si="293"/>
        <v>0</v>
      </c>
      <c r="CDM23" s="1902">
        <f t="shared" si="293"/>
        <v>0</v>
      </c>
      <c r="CDN23" s="1902">
        <f t="shared" si="293"/>
        <v>0</v>
      </c>
      <c r="CDO23" s="1902">
        <f t="shared" si="293"/>
        <v>0</v>
      </c>
      <c r="CDP23" s="1902">
        <f t="shared" si="293"/>
        <v>0</v>
      </c>
      <c r="CDQ23" s="1902">
        <f t="shared" si="293"/>
        <v>0</v>
      </c>
      <c r="CDR23" s="1902">
        <f t="shared" si="293"/>
        <v>0</v>
      </c>
      <c r="CDS23" s="1902">
        <f t="shared" si="293"/>
        <v>0</v>
      </c>
      <c r="CDT23" s="1902">
        <f t="shared" si="293"/>
        <v>0</v>
      </c>
      <c r="CDU23" s="1902">
        <f t="shared" si="293"/>
        <v>0</v>
      </c>
      <c r="CDV23" s="1902">
        <f t="shared" si="293"/>
        <v>0</v>
      </c>
      <c r="CDW23" s="1902">
        <f t="shared" si="293"/>
        <v>0</v>
      </c>
      <c r="CDX23" s="1902">
        <f t="shared" si="293"/>
        <v>0</v>
      </c>
      <c r="CDY23" s="1902">
        <f t="shared" si="293"/>
        <v>0</v>
      </c>
      <c r="CDZ23" s="1902">
        <f t="shared" si="293"/>
        <v>0</v>
      </c>
      <c r="CEA23" s="1902">
        <f t="shared" si="293"/>
        <v>0</v>
      </c>
      <c r="CEB23" s="1902">
        <f t="shared" si="293"/>
        <v>0</v>
      </c>
      <c r="CEC23" s="1902">
        <f t="shared" si="293"/>
        <v>0</v>
      </c>
      <c r="CED23" s="1902">
        <f t="shared" si="293"/>
        <v>0</v>
      </c>
      <c r="CEE23" s="1902">
        <f t="shared" si="293"/>
        <v>0</v>
      </c>
      <c r="CEF23" s="1902">
        <f t="shared" si="293"/>
        <v>0</v>
      </c>
      <c r="CEG23" s="1902">
        <f t="shared" si="293"/>
        <v>0</v>
      </c>
      <c r="CEH23" s="1902">
        <f t="shared" si="293"/>
        <v>0</v>
      </c>
      <c r="CEI23" s="1902">
        <f t="shared" si="293"/>
        <v>0</v>
      </c>
      <c r="CEJ23" s="1902">
        <f t="shared" si="293"/>
        <v>0</v>
      </c>
      <c r="CEK23" s="1902">
        <f t="shared" si="293"/>
        <v>0</v>
      </c>
      <c r="CEL23" s="1902">
        <f t="shared" si="293"/>
        <v>0</v>
      </c>
      <c r="CEM23" s="1902">
        <f t="shared" si="293"/>
        <v>0</v>
      </c>
      <c r="CEN23" s="1902">
        <f t="shared" si="293"/>
        <v>0</v>
      </c>
      <c r="CEO23" s="1902">
        <f t="shared" si="293"/>
        <v>0</v>
      </c>
      <c r="CEP23" s="1902">
        <f t="shared" si="293"/>
        <v>0</v>
      </c>
      <c r="CEQ23" s="1902">
        <f t="shared" si="293"/>
        <v>0</v>
      </c>
      <c r="CER23" s="1902">
        <f t="shared" si="293"/>
        <v>0</v>
      </c>
      <c r="CES23" s="1902">
        <f t="shared" si="293"/>
        <v>0</v>
      </c>
      <c r="CET23" s="1902">
        <f t="shared" si="293"/>
        <v>0</v>
      </c>
      <c r="CEU23" s="1902">
        <f t="shared" si="293"/>
        <v>0</v>
      </c>
      <c r="CEV23" s="1902">
        <f t="shared" si="293"/>
        <v>0</v>
      </c>
      <c r="CEW23" s="1902">
        <f t="shared" si="293"/>
        <v>0</v>
      </c>
      <c r="CEX23" s="1902">
        <f t="shared" si="293"/>
        <v>0</v>
      </c>
      <c r="CEY23" s="1902">
        <f t="shared" si="293"/>
        <v>0</v>
      </c>
      <c r="CEZ23" s="1902">
        <f t="shared" si="293"/>
        <v>0</v>
      </c>
      <c r="CFA23" s="1902">
        <f t="shared" si="293"/>
        <v>0</v>
      </c>
      <c r="CFB23" s="1902">
        <f t="shared" si="293"/>
        <v>0</v>
      </c>
      <c r="CFC23" s="1902">
        <f t="shared" ref="CFC23:CHN23" si="294">IF(AND(CFC$26="End of period",CFC$25="Revenue"),CFC10,0)</f>
        <v>0</v>
      </c>
      <c r="CFD23" s="1902">
        <f t="shared" si="294"/>
        <v>0</v>
      </c>
      <c r="CFE23" s="1902">
        <f t="shared" si="294"/>
        <v>0</v>
      </c>
      <c r="CFF23" s="1902">
        <f t="shared" si="294"/>
        <v>0</v>
      </c>
      <c r="CFG23" s="1902">
        <f t="shared" si="294"/>
        <v>0</v>
      </c>
      <c r="CFH23" s="1902">
        <f t="shared" si="294"/>
        <v>0</v>
      </c>
      <c r="CFI23" s="1902">
        <f t="shared" si="294"/>
        <v>0</v>
      </c>
      <c r="CFJ23" s="1902">
        <f t="shared" si="294"/>
        <v>0</v>
      </c>
      <c r="CFK23" s="1902">
        <f t="shared" si="294"/>
        <v>0</v>
      </c>
      <c r="CFL23" s="1902">
        <f t="shared" si="294"/>
        <v>0</v>
      </c>
      <c r="CFM23" s="1902">
        <f t="shared" si="294"/>
        <v>0</v>
      </c>
      <c r="CFN23" s="1902">
        <f t="shared" si="294"/>
        <v>0</v>
      </c>
      <c r="CFO23" s="1902">
        <f t="shared" si="294"/>
        <v>0</v>
      </c>
      <c r="CFP23" s="1902">
        <f t="shared" si="294"/>
        <v>0</v>
      </c>
      <c r="CFQ23" s="1902">
        <f t="shared" si="294"/>
        <v>0</v>
      </c>
      <c r="CFR23" s="1902">
        <f t="shared" si="294"/>
        <v>0</v>
      </c>
      <c r="CFS23" s="1902">
        <f t="shared" si="294"/>
        <v>0</v>
      </c>
      <c r="CFT23" s="1902">
        <f t="shared" si="294"/>
        <v>0</v>
      </c>
      <c r="CFU23" s="1902">
        <f t="shared" si="294"/>
        <v>0</v>
      </c>
      <c r="CFV23" s="1902">
        <f t="shared" si="294"/>
        <v>0</v>
      </c>
      <c r="CFW23" s="1902">
        <f t="shared" si="294"/>
        <v>0</v>
      </c>
      <c r="CFX23" s="1902">
        <f t="shared" si="294"/>
        <v>0</v>
      </c>
      <c r="CFY23" s="1902">
        <f t="shared" si="294"/>
        <v>0</v>
      </c>
      <c r="CFZ23" s="1902">
        <f t="shared" si="294"/>
        <v>0</v>
      </c>
      <c r="CGA23" s="1902">
        <f t="shared" si="294"/>
        <v>0</v>
      </c>
      <c r="CGB23" s="1902">
        <f t="shared" si="294"/>
        <v>0</v>
      </c>
      <c r="CGC23" s="1902">
        <f t="shared" si="294"/>
        <v>0</v>
      </c>
      <c r="CGD23" s="1902">
        <f t="shared" si="294"/>
        <v>0</v>
      </c>
      <c r="CGE23" s="1902">
        <f t="shared" si="294"/>
        <v>0</v>
      </c>
      <c r="CGF23" s="1902">
        <f t="shared" si="294"/>
        <v>0</v>
      </c>
      <c r="CGG23" s="1902">
        <f t="shared" si="294"/>
        <v>0</v>
      </c>
      <c r="CGH23" s="1902">
        <f t="shared" si="294"/>
        <v>0</v>
      </c>
      <c r="CGI23" s="1902">
        <f t="shared" si="294"/>
        <v>0</v>
      </c>
      <c r="CGJ23" s="1902">
        <f t="shared" si="294"/>
        <v>0</v>
      </c>
      <c r="CGK23" s="1902">
        <f t="shared" si="294"/>
        <v>0</v>
      </c>
      <c r="CGL23" s="1902">
        <f t="shared" si="294"/>
        <v>0</v>
      </c>
      <c r="CGM23" s="1902">
        <f t="shared" si="294"/>
        <v>0</v>
      </c>
      <c r="CGN23" s="1902">
        <f t="shared" si="294"/>
        <v>0</v>
      </c>
      <c r="CGO23" s="1902">
        <f t="shared" si="294"/>
        <v>0</v>
      </c>
      <c r="CGP23" s="1902">
        <f t="shared" si="294"/>
        <v>0</v>
      </c>
      <c r="CGQ23" s="1902">
        <f t="shared" si="294"/>
        <v>0</v>
      </c>
      <c r="CGR23" s="1902">
        <f t="shared" si="294"/>
        <v>0</v>
      </c>
      <c r="CGS23" s="1902">
        <f t="shared" si="294"/>
        <v>0</v>
      </c>
      <c r="CGT23" s="1902">
        <f t="shared" si="294"/>
        <v>0</v>
      </c>
      <c r="CGU23" s="1902">
        <f t="shared" si="294"/>
        <v>0</v>
      </c>
      <c r="CGV23" s="1902">
        <f t="shared" si="294"/>
        <v>0</v>
      </c>
      <c r="CGW23" s="1902">
        <f t="shared" si="294"/>
        <v>0</v>
      </c>
      <c r="CGX23" s="1902">
        <f t="shared" si="294"/>
        <v>0</v>
      </c>
      <c r="CGY23" s="1902">
        <f t="shared" si="294"/>
        <v>0</v>
      </c>
      <c r="CGZ23" s="1902">
        <f t="shared" si="294"/>
        <v>0</v>
      </c>
      <c r="CHA23" s="1902">
        <f t="shared" si="294"/>
        <v>0</v>
      </c>
      <c r="CHB23" s="1902">
        <f t="shared" si="294"/>
        <v>0</v>
      </c>
      <c r="CHC23" s="1902">
        <f t="shared" si="294"/>
        <v>0</v>
      </c>
      <c r="CHD23" s="1902">
        <f t="shared" si="294"/>
        <v>0</v>
      </c>
      <c r="CHE23" s="1902">
        <f t="shared" si="294"/>
        <v>0</v>
      </c>
      <c r="CHF23" s="1902">
        <f t="shared" si="294"/>
        <v>0</v>
      </c>
      <c r="CHG23" s="1902">
        <f t="shared" si="294"/>
        <v>0</v>
      </c>
      <c r="CHH23" s="1902">
        <f t="shared" si="294"/>
        <v>0</v>
      </c>
      <c r="CHI23" s="1902">
        <f t="shared" si="294"/>
        <v>0</v>
      </c>
      <c r="CHJ23" s="1902">
        <f t="shared" si="294"/>
        <v>0</v>
      </c>
      <c r="CHK23" s="1902">
        <f t="shared" si="294"/>
        <v>0</v>
      </c>
      <c r="CHL23" s="1902">
        <f t="shared" si="294"/>
        <v>0</v>
      </c>
      <c r="CHM23" s="1902">
        <f t="shared" si="294"/>
        <v>0</v>
      </c>
      <c r="CHN23" s="1902">
        <f t="shared" si="294"/>
        <v>0</v>
      </c>
      <c r="CHO23" s="1902">
        <f t="shared" ref="CHO23:CJZ23" si="295">IF(AND(CHO$26="End of period",CHO$25="Revenue"),CHO10,0)</f>
        <v>0</v>
      </c>
      <c r="CHP23" s="1902">
        <f t="shared" si="295"/>
        <v>0</v>
      </c>
      <c r="CHQ23" s="1902">
        <f t="shared" si="295"/>
        <v>0</v>
      </c>
      <c r="CHR23" s="1902">
        <f t="shared" si="295"/>
        <v>0</v>
      </c>
      <c r="CHS23" s="1902">
        <f t="shared" si="295"/>
        <v>0</v>
      </c>
      <c r="CHT23" s="1902">
        <f t="shared" si="295"/>
        <v>0</v>
      </c>
      <c r="CHU23" s="1902">
        <f t="shared" si="295"/>
        <v>0</v>
      </c>
      <c r="CHV23" s="1902">
        <f t="shared" si="295"/>
        <v>0</v>
      </c>
      <c r="CHW23" s="1902">
        <f t="shared" si="295"/>
        <v>0</v>
      </c>
      <c r="CHX23" s="1902">
        <f t="shared" si="295"/>
        <v>0</v>
      </c>
      <c r="CHY23" s="1902">
        <f t="shared" si="295"/>
        <v>0</v>
      </c>
      <c r="CHZ23" s="1902">
        <f t="shared" si="295"/>
        <v>0</v>
      </c>
      <c r="CIA23" s="1902">
        <f t="shared" si="295"/>
        <v>0</v>
      </c>
      <c r="CIB23" s="1902">
        <f t="shared" si="295"/>
        <v>0</v>
      </c>
      <c r="CIC23" s="1902">
        <f t="shared" si="295"/>
        <v>0</v>
      </c>
      <c r="CID23" s="1902">
        <f t="shared" si="295"/>
        <v>0</v>
      </c>
      <c r="CIE23" s="1902">
        <f t="shared" si="295"/>
        <v>0</v>
      </c>
      <c r="CIF23" s="1902">
        <f t="shared" si="295"/>
        <v>0</v>
      </c>
      <c r="CIG23" s="1902">
        <f t="shared" si="295"/>
        <v>0</v>
      </c>
      <c r="CIH23" s="1902">
        <f t="shared" si="295"/>
        <v>0</v>
      </c>
      <c r="CII23" s="1902">
        <f t="shared" si="295"/>
        <v>0</v>
      </c>
      <c r="CIJ23" s="1902">
        <f t="shared" si="295"/>
        <v>0</v>
      </c>
      <c r="CIK23" s="1902">
        <f t="shared" si="295"/>
        <v>0</v>
      </c>
      <c r="CIL23" s="1902">
        <f t="shared" si="295"/>
        <v>0</v>
      </c>
      <c r="CIM23" s="1902">
        <f t="shared" si="295"/>
        <v>0</v>
      </c>
      <c r="CIN23" s="1902">
        <f t="shared" si="295"/>
        <v>0</v>
      </c>
      <c r="CIO23" s="1902">
        <f t="shared" si="295"/>
        <v>0</v>
      </c>
      <c r="CIP23" s="1902">
        <f t="shared" si="295"/>
        <v>0</v>
      </c>
      <c r="CIQ23" s="1902">
        <f t="shared" si="295"/>
        <v>0</v>
      </c>
      <c r="CIR23" s="1902">
        <f t="shared" si="295"/>
        <v>0</v>
      </c>
      <c r="CIS23" s="1902">
        <f t="shared" si="295"/>
        <v>0</v>
      </c>
      <c r="CIT23" s="1902">
        <f t="shared" si="295"/>
        <v>0</v>
      </c>
      <c r="CIU23" s="1902">
        <f t="shared" si="295"/>
        <v>0</v>
      </c>
      <c r="CIV23" s="1902">
        <f t="shared" si="295"/>
        <v>0</v>
      </c>
      <c r="CIW23" s="1902">
        <f t="shared" si="295"/>
        <v>0</v>
      </c>
      <c r="CIX23" s="1902">
        <f t="shared" si="295"/>
        <v>0</v>
      </c>
      <c r="CIY23" s="1902">
        <f t="shared" si="295"/>
        <v>0</v>
      </c>
      <c r="CIZ23" s="1902">
        <f t="shared" si="295"/>
        <v>0</v>
      </c>
      <c r="CJA23" s="1902">
        <f t="shared" si="295"/>
        <v>0</v>
      </c>
      <c r="CJB23" s="1902">
        <f t="shared" si="295"/>
        <v>0</v>
      </c>
      <c r="CJC23" s="1902">
        <f t="shared" si="295"/>
        <v>0</v>
      </c>
      <c r="CJD23" s="1902">
        <f t="shared" si="295"/>
        <v>0</v>
      </c>
      <c r="CJE23" s="1902">
        <f t="shared" si="295"/>
        <v>0</v>
      </c>
      <c r="CJF23" s="1902">
        <f t="shared" si="295"/>
        <v>0</v>
      </c>
      <c r="CJG23" s="1902">
        <f t="shared" si="295"/>
        <v>0</v>
      </c>
      <c r="CJH23" s="1902">
        <f t="shared" si="295"/>
        <v>0</v>
      </c>
      <c r="CJI23" s="1902">
        <f t="shared" si="295"/>
        <v>0</v>
      </c>
      <c r="CJJ23" s="1902">
        <f t="shared" si="295"/>
        <v>0</v>
      </c>
      <c r="CJK23" s="1902">
        <f t="shared" si="295"/>
        <v>0</v>
      </c>
      <c r="CJL23" s="1902">
        <f t="shared" si="295"/>
        <v>0</v>
      </c>
      <c r="CJM23" s="1902">
        <f t="shared" si="295"/>
        <v>0</v>
      </c>
      <c r="CJN23" s="1902">
        <f t="shared" si="295"/>
        <v>0</v>
      </c>
      <c r="CJO23" s="1902">
        <f t="shared" si="295"/>
        <v>0</v>
      </c>
      <c r="CJP23" s="1902">
        <f t="shared" si="295"/>
        <v>0</v>
      </c>
      <c r="CJQ23" s="1902">
        <f t="shared" si="295"/>
        <v>0</v>
      </c>
      <c r="CJR23" s="1902">
        <f t="shared" si="295"/>
        <v>0</v>
      </c>
      <c r="CJS23" s="1902">
        <f t="shared" si="295"/>
        <v>0</v>
      </c>
      <c r="CJT23" s="1902">
        <f t="shared" si="295"/>
        <v>0</v>
      </c>
      <c r="CJU23" s="1902">
        <f t="shared" si="295"/>
        <v>0</v>
      </c>
      <c r="CJV23" s="1902">
        <f t="shared" si="295"/>
        <v>0</v>
      </c>
      <c r="CJW23" s="1902">
        <f t="shared" si="295"/>
        <v>0</v>
      </c>
      <c r="CJX23" s="1902">
        <f t="shared" si="295"/>
        <v>0</v>
      </c>
      <c r="CJY23" s="1902">
        <f t="shared" si="295"/>
        <v>0</v>
      </c>
      <c r="CJZ23" s="1902">
        <f t="shared" si="295"/>
        <v>0</v>
      </c>
      <c r="CKA23" s="1902">
        <f t="shared" ref="CKA23:CML23" si="296">IF(AND(CKA$26="End of period",CKA$25="Revenue"),CKA10,0)</f>
        <v>0</v>
      </c>
      <c r="CKB23" s="1902">
        <f t="shared" si="296"/>
        <v>0</v>
      </c>
      <c r="CKC23" s="1902">
        <f t="shared" si="296"/>
        <v>0</v>
      </c>
      <c r="CKD23" s="1902">
        <f t="shared" si="296"/>
        <v>0</v>
      </c>
      <c r="CKE23" s="1902">
        <f t="shared" si="296"/>
        <v>0</v>
      </c>
      <c r="CKF23" s="1902">
        <f t="shared" si="296"/>
        <v>0</v>
      </c>
      <c r="CKG23" s="1902">
        <f t="shared" si="296"/>
        <v>0</v>
      </c>
      <c r="CKH23" s="1902">
        <f t="shared" si="296"/>
        <v>0</v>
      </c>
      <c r="CKI23" s="1902">
        <f t="shared" si="296"/>
        <v>0</v>
      </c>
      <c r="CKJ23" s="1902">
        <f t="shared" si="296"/>
        <v>0</v>
      </c>
      <c r="CKK23" s="1902">
        <f t="shared" si="296"/>
        <v>0</v>
      </c>
      <c r="CKL23" s="1902">
        <f t="shared" si="296"/>
        <v>0</v>
      </c>
      <c r="CKM23" s="1902">
        <f t="shared" si="296"/>
        <v>0</v>
      </c>
      <c r="CKN23" s="1902">
        <f t="shared" si="296"/>
        <v>0</v>
      </c>
      <c r="CKO23" s="1902">
        <f t="shared" si="296"/>
        <v>0</v>
      </c>
      <c r="CKP23" s="1902">
        <f t="shared" si="296"/>
        <v>0</v>
      </c>
      <c r="CKQ23" s="1902">
        <f t="shared" si="296"/>
        <v>0</v>
      </c>
      <c r="CKR23" s="1902">
        <f t="shared" si="296"/>
        <v>0</v>
      </c>
      <c r="CKS23" s="1902">
        <f t="shared" si="296"/>
        <v>0</v>
      </c>
      <c r="CKT23" s="1902">
        <f t="shared" si="296"/>
        <v>0</v>
      </c>
      <c r="CKU23" s="1902">
        <f t="shared" si="296"/>
        <v>0</v>
      </c>
      <c r="CKV23" s="1902">
        <f t="shared" si="296"/>
        <v>0</v>
      </c>
      <c r="CKW23" s="1902">
        <f t="shared" si="296"/>
        <v>0</v>
      </c>
      <c r="CKX23" s="1902">
        <f t="shared" si="296"/>
        <v>0</v>
      </c>
      <c r="CKY23" s="1902">
        <f t="shared" si="296"/>
        <v>0</v>
      </c>
      <c r="CKZ23" s="1902">
        <f t="shared" si="296"/>
        <v>0</v>
      </c>
      <c r="CLA23" s="1902">
        <f t="shared" si="296"/>
        <v>0</v>
      </c>
      <c r="CLB23" s="1902">
        <f t="shared" si="296"/>
        <v>0</v>
      </c>
      <c r="CLC23" s="1902">
        <f t="shared" si="296"/>
        <v>0</v>
      </c>
      <c r="CLD23" s="1902">
        <f t="shared" si="296"/>
        <v>0</v>
      </c>
      <c r="CLE23" s="1902">
        <f t="shared" si="296"/>
        <v>0</v>
      </c>
      <c r="CLF23" s="1902">
        <f t="shared" si="296"/>
        <v>0</v>
      </c>
      <c r="CLG23" s="1902">
        <f t="shared" si="296"/>
        <v>0</v>
      </c>
      <c r="CLH23" s="1902">
        <f t="shared" si="296"/>
        <v>0</v>
      </c>
      <c r="CLI23" s="1902">
        <f t="shared" si="296"/>
        <v>0</v>
      </c>
      <c r="CLJ23" s="1902">
        <f t="shared" si="296"/>
        <v>0</v>
      </c>
      <c r="CLK23" s="1902">
        <f t="shared" si="296"/>
        <v>0</v>
      </c>
      <c r="CLL23" s="1902">
        <f t="shared" si="296"/>
        <v>0</v>
      </c>
      <c r="CLM23" s="1902">
        <f t="shared" si="296"/>
        <v>0</v>
      </c>
      <c r="CLN23" s="1902">
        <f t="shared" si="296"/>
        <v>0</v>
      </c>
      <c r="CLO23" s="1902">
        <f t="shared" si="296"/>
        <v>0</v>
      </c>
      <c r="CLP23" s="1902">
        <f t="shared" si="296"/>
        <v>0</v>
      </c>
      <c r="CLQ23" s="1902">
        <f t="shared" si="296"/>
        <v>0</v>
      </c>
      <c r="CLR23" s="1902">
        <f t="shared" si="296"/>
        <v>0</v>
      </c>
      <c r="CLS23" s="1902">
        <f t="shared" si="296"/>
        <v>0</v>
      </c>
      <c r="CLT23" s="1902">
        <f t="shared" si="296"/>
        <v>0</v>
      </c>
      <c r="CLU23" s="1902">
        <f t="shared" si="296"/>
        <v>0</v>
      </c>
      <c r="CLV23" s="1902">
        <f t="shared" si="296"/>
        <v>0</v>
      </c>
      <c r="CLW23" s="1902">
        <f t="shared" si="296"/>
        <v>0</v>
      </c>
      <c r="CLX23" s="1902">
        <f t="shared" si="296"/>
        <v>0</v>
      </c>
      <c r="CLY23" s="1902">
        <f t="shared" si="296"/>
        <v>0</v>
      </c>
      <c r="CLZ23" s="1902">
        <f t="shared" si="296"/>
        <v>0</v>
      </c>
      <c r="CMA23" s="1902">
        <f t="shared" si="296"/>
        <v>0</v>
      </c>
      <c r="CMB23" s="1902">
        <f t="shared" si="296"/>
        <v>0</v>
      </c>
      <c r="CMC23" s="1902">
        <f t="shared" si="296"/>
        <v>0</v>
      </c>
      <c r="CMD23" s="1902">
        <f t="shared" si="296"/>
        <v>0</v>
      </c>
      <c r="CME23" s="1902">
        <f t="shared" si="296"/>
        <v>0</v>
      </c>
      <c r="CMF23" s="1902">
        <f t="shared" si="296"/>
        <v>0</v>
      </c>
      <c r="CMG23" s="1902">
        <f t="shared" si="296"/>
        <v>0</v>
      </c>
      <c r="CMH23" s="1902">
        <f t="shared" si="296"/>
        <v>0</v>
      </c>
      <c r="CMI23" s="1902">
        <f t="shared" si="296"/>
        <v>0</v>
      </c>
      <c r="CMJ23" s="1902">
        <f t="shared" si="296"/>
        <v>0</v>
      </c>
      <c r="CMK23" s="1902">
        <f t="shared" si="296"/>
        <v>0</v>
      </c>
      <c r="CML23" s="1902">
        <f t="shared" si="296"/>
        <v>0</v>
      </c>
      <c r="CMM23" s="1902">
        <f t="shared" ref="CMM23:COX23" si="297">IF(AND(CMM$26="End of period",CMM$25="Revenue"),CMM10,0)</f>
        <v>0</v>
      </c>
      <c r="CMN23" s="1902">
        <f t="shared" si="297"/>
        <v>0</v>
      </c>
      <c r="CMO23" s="1902">
        <f t="shared" si="297"/>
        <v>0</v>
      </c>
      <c r="CMP23" s="1902">
        <f t="shared" si="297"/>
        <v>0</v>
      </c>
      <c r="CMQ23" s="1902">
        <f t="shared" si="297"/>
        <v>0</v>
      </c>
      <c r="CMR23" s="1902">
        <f t="shared" si="297"/>
        <v>0</v>
      </c>
      <c r="CMS23" s="1902">
        <f t="shared" si="297"/>
        <v>0</v>
      </c>
      <c r="CMT23" s="1902">
        <f t="shared" si="297"/>
        <v>0</v>
      </c>
      <c r="CMU23" s="1902">
        <f t="shared" si="297"/>
        <v>0</v>
      </c>
      <c r="CMV23" s="1902">
        <f t="shared" si="297"/>
        <v>0</v>
      </c>
      <c r="CMW23" s="1902">
        <f t="shared" si="297"/>
        <v>0</v>
      </c>
      <c r="CMX23" s="1902">
        <f t="shared" si="297"/>
        <v>0</v>
      </c>
      <c r="CMY23" s="1902">
        <f t="shared" si="297"/>
        <v>0</v>
      </c>
      <c r="CMZ23" s="1902">
        <f t="shared" si="297"/>
        <v>0</v>
      </c>
      <c r="CNA23" s="1902">
        <f t="shared" si="297"/>
        <v>0</v>
      </c>
      <c r="CNB23" s="1902">
        <f t="shared" si="297"/>
        <v>0</v>
      </c>
      <c r="CNC23" s="1902">
        <f t="shared" si="297"/>
        <v>0</v>
      </c>
      <c r="CND23" s="1902">
        <f t="shared" si="297"/>
        <v>0</v>
      </c>
      <c r="CNE23" s="1902">
        <f t="shared" si="297"/>
        <v>0</v>
      </c>
      <c r="CNF23" s="1902">
        <f t="shared" si="297"/>
        <v>0</v>
      </c>
      <c r="CNG23" s="1902">
        <f t="shared" si="297"/>
        <v>0</v>
      </c>
      <c r="CNH23" s="1902">
        <f t="shared" si="297"/>
        <v>0</v>
      </c>
      <c r="CNI23" s="1902">
        <f t="shared" si="297"/>
        <v>0</v>
      </c>
      <c r="CNJ23" s="1902">
        <f t="shared" si="297"/>
        <v>0</v>
      </c>
      <c r="CNK23" s="1902">
        <f t="shared" si="297"/>
        <v>0</v>
      </c>
      <c r="CNL23" s="1902">
        <f t="shared" si="297"/>
        <v>0</v>
      </c>
      <c r="CNM23" s="1902">
        <f t="shared" si="297"/>
        <v>0</v>
      </c>
      <c r="CNN23" s="1902">
        <f t="shared" si="297"/>
        <v>0</v>
      </c>
      <c r="CNO23" s="1902">
        <f t="shared" si="297"/>
        <v>0</v>
      </c>
      <c r="CNP23" s="1902">
        <f t="shared" si="297"/>
        <v>0</v>
      </c>
      <c r="CNQ23" s="1902">
        <f t="shared" si="297"/>
        <v>0</v>
      </c>
      <c r="CNR23" s="1902">
        <f t="shared" si="297"/>
        <v>0</v>
      </c>
      <c r="CNS23" s="1902">
        <f t="shared" si="297"/>
        <v>0</v>
      </c>
      <c r="CNT23" s="1902">
        <f t="shared" si="297"/>
        <v>0</v>
      </c>
      <c r="CNU23" s="1902">
        <f t="shared" si="297"/>
        <v>0</v>
      </c>
      <c r="CNV23" s="1902">
        <f t="shared" si="297"/>
        <v>0</v>
      </c>
      <c r="CNW23" s="1902">
        <f t="shared" si="297"/>
        <v>0</v>
      </c>
      <c r="CNX23" s="1902">
        <f t="shared" si="297"/>
        <v>0</v>
      </c>
      <c r="CNY23" s="1902">
        <f t="shared" si="297"/>
        <v>0</v>
      </c>
      <c r="CNZ23" s="1902">
        <f t="shared" si="297"/>
        <v>0</v>
      </c>
      <c r="COA23" s="1902">
        <f t="shared" si="297"/>
        <v>0</v>
      </c>
      <c r="COB23" s="1902">
        <f t="shared" si="297"/>
        <v>0</v>
      </c>
      <c r="COC23" s="1902">
        <f t="shared" si="297"/>
        <v>0</v>
      </c>
      <c r="COD23" s="1902">
        <f t="shared" si="297"/>
        <v>0</v>
      </c>
      <c r="COE23" s="1902">
        <f t="shared" si="297"/>
        <v>0</v>
      </c>
      <c r="COF23" s="1902">
        <f t="shared" si="297"/>
        <v>0</v>
      </c>
      <c r="COG23" s="1902">
        <f t="shared" si="297"/>
        <v>0</v>
      </c>
      <c r="COH23" s="1902">
        <f t="shared" si="297"/>
        <v>0</v>
      </c>
      <c r="COI23" s="1902">
        <f t="shared" si="297"/>
        <v>0</v>
      </c>
      <c r="COJ23" s="1902">
        <f t="shared" si="297"/>
        <v>0</v>
      </c>
      <c r="COK23" s="1902">
        <f t="shared" si="297"/>
        <v>0</v>
      </c>
      <c r="COL23" s="1902">
        <f t="shared" si="297"/>
        <v>0</v>
      </c>
      <c r="COM23" s="1902">
        <f t="shared" si="297"/>
        <v>0</v>
      </c>
      <c r="CON23" s="1902">
        <f t="shared" si="297"/>
        <v>0</v>
      </c>
      <c r="COO23" s="1902">
        <f t="shared" si="297"/>
        <v>0</v>
      </c>
      <c r="COP23" s="1902">
        <f t="shared" si="297"/>
        <v>0</v>
      </c>
      <c r="COQ23" s="1902">
        <f t="shared" si="297"/>
        <v>0</v>
      </c>
      <c r="COR23" s="1902">
        <f t="shared" si="297"/>
        <v>0</v>
      </c>
      <c r="COS23" s="1902">
        <f t="shared" si="297"/>
        <v>0</v>
      </c>
      <c r="COT23" s="1902">
        <f t="shared" si="297"/>
        <v>0</v>
      </c>
      <c r="COU23" s="1902">
        <f t="shared" si="297"/>
        <v>0</v>
      </c>
      <c r="COV23" s="1902">
        <f t="shared" si="297"/>
        <v>0</v>
      </c>
      <c r="COW23" s="1902">
        <f t="shared" si="297"/>
        <v>0</v>
      </c>
      <c r="COX23" s="1902">
        <f t="shared" si="297"/>
        <v>0</v>
      </c>
      <c r="COY23" s="1902">
        <f t="shared" ref="COY23:CRJ23" si="298">IF(AND(COY$26="End of period",COY$25="Revenue"),COY10,0)</f>
        <v>0</v>
      </c>
      <c r="COZ23" s="1902">
        <f t="shared" si="298"/>
        <v>0</v>
      </c>
      <c r="CPA23" s="1902">
        <f t="shared" si="298"/>
        <v>0</v>
      </c>
      <c r="CPB23" s="1902">
        <f t="shared" si="298"/>
        <v>0</v>
      </c>
      <c r="CPC23" s="1902">
        <f t="shared" si="298"/>
        <v>0</v>
      </c>
      <c r="CPD23" s="1902">
        <f t="shared" si="298"/>
        <v>0</v>
      </c>
      <c r="CPE23" s="1902">
        <f t="shared" si="298"/>
        <v>0</v>
      </c>
      <c r="CPF23" s="1902">
        <f t="shared" si="298"/>
        <v>0</v>
      </c>
      <c r="CPG23" s="1902">
        <f t="shared" si="298"/>
        <v>0</v>
      </c>
      <c r="CPH23" s="1902">
        <f t="shared" si="298"/>
        <v>0</v>
      </c>
      <c r="CPI23" s="1902">
        <f t="shared" si="298"/>
        <v>0</v>
      </c>
      <c r="CPJ23" s="1902">
        <f t="shared" si="298"/>
        <v>0</v>
      </c>
      <c r="CPK23" s="1902">
        <f t="shared" si="298"/>
        <v>0</v>
      </c>
      <c r="CPL23" s="1902">
        <f t="shared" si="298"/>
        <v>0</v>
      </c>
      <c r="CPM23" s="1902">
        <f t="shared" si="298"/>
        <v>0</v>
      </c>
      <c r="CPN23" s="1902">
        <f t="shared" si="298"/>
        <v>0</v>
      </c>
      <c r="CPO23" s="1902">
        <f t="shared" si="298"/>
        <v>0</v>
      </c>
      <c r="CPP23" s="1902">
        <f t="shared" si="298"/>
        <v>0</v>
      </c>
      <c r="CPQ23" s="1902">
        <f t="shared" si="298"/>
        <v>0</v>
      </c>
      <c r="CPR23" s="1902">
        <f t="shared" si="298"/>
        <v>0</v>
      </c>
      <c r="CPS23" s="1902">
        <f t="shared" si="298"/>
        <v>0</v>
      </c>
      <c r="CPT23" s="1902">
        <f t="shared" si="298"/>
        <v>0</v>
      </c>
      <c r="CPU23" s="1902">
        <f t="shared" si="298"/>
        <v>0</v>
      </c>
      <c r="CPV23" s="1902">
        <f t="shared" si="298"/>
        <v>0</v>
      </c>
      <c r="CPW23" s="1902">
        <f t="shared" si="298"/>
        <v>0</v>
      </c>
      <c r="CPX23" s="1902">
        <f t="shared" si="298"/>
        <v>0</v>
      </c>
      <c r="CPY23" s="1902">
        <f t="shared" si="298"/>
        <v>0</v>
      </c>
      <c r="CPZ23" s="1902">
        <f t="shared" si="298"/>
        <v>0</v>
      </c>
      <c r="CQA23" s="1902">
        <f t="shared" si="298"/>
        <v>0</v>
      </c>
      <c r="CQB23" s="1902">
        <f t="shared" si="298"/>
        <v>0</v>
      </c>
      <c r="CQC23" s="1902">
        <f t="shared" si="298"/>
        <v>0</v>
      </c>
      <c r="CQD23" s="1902">
        <f t="shared" si="298"/>
        <v>0</v>
      </c>
      <c r="CQE23" s="1902">
        <f t="shared" si="298"/>
        <v>0</v>
      </c>
      <c r="CQF23" s="1902">
        <f t="shared" si="298"/>
        <v>0</v>
      </c>
      <c r="CQG23" s="1902">
        <f t="shared" si="298"/>
        <v>0</v>
      </c>
      <c r="CQH23" s="1902">
        <f t="shared" si="298"/>
        <v>0</v>
      </c>
      <c r="CQI23" s="1902">
        <f t="shared" si="298"/>
        <v>0</v>
      </c>
      <c r="CQJ23" s="1902">
        <f t="shared" si="298"/>
        <v>0</v>
      </c>
      <c r="CQK23" s="1902">
        <f t="shared" si="298"/>
        <v>0</v>
      </c>
      <c r="CQL23" s="1902">
        <f t="shared" si="298"/>
        <v>0</v>
      </c>
      <c r="CQM23" s="1902">
        <f t="shared" si="298"/>
        <v>0</v>
      </c>
      <c r="CQN23" s="1902">
        <f t="shared" si="298"/>
        <v>0</v>
      </c>
      <c r="CQO23" s="1902">
        <f t="shared" si="298"/>
        <v>0</v>
      </c>
      <c r="CQP23" s="1902">
        <f t="shared" si="298"/>
        <v>0</v>
      </c>
      <c r="CQQ23" s="1902">
        <f t="shared" si="298"/>
        <v>0</v>
      </c>
      <c r="CQR23" s="1902">
        <f t="shared" si="298"/>
        <v>0</v>
      </c>
      <c r="CQS23" s="1902">
        <f t="shared" si="298"/>
        <v>0</v>
      </c>
      <c r="CQT23" s="1902">
        <f t="shared" si="298"/>
        <v>0</v>
      </c>
      <c r="CQU23" s="1902">
        <f t="shared" si="298"/>
        <v>0</v>
      </c>
      <c r="CQV23" s="1902">
        <f t="shared" si="298"/>
        <v>0</v>
      </c>
      <c r="CQW23" s="1902">
        <f t="shared" si="298"/>
        <v>0</v>
      </c>
      <c r="CQX23" s="1902">
        <f t="shared" si="298"/>
        <v>0</v>
      </c>
      <c r="CQY23" s="1902">
        <f t="shared" si="298"/>
        <v>0</v>
      </c>
      <c r="CQZ23" s="1902">
        <f t="shared" si="298"/>
        <v>0</v>
      </c>
      <c r="CRA23" s="1902">
        <f t="shared" si="298"/>
        <v>0</v>
      </c>
      <c r="CRB23" s="1902">
        <f t="shared" si="298"/>
        <v>0</v>
      </c>
      <c r="CRC23" s="1902">
        <f t="shared" si="298"/>
        <v>0</v>
      </c>
      <c r="CRD23" s="1902">
        <f t="shared" si="298"/>
        <v>0</v>
      </c>
      <c r="CRE23" s="1902">
        <f t="shared" si="298"/>
        <v>0</v>
      </c>
      <c r="CRF23" s="1902">
        <f t="shared" si="298"/>
        <v>0</v>
      </c>
      <c r="CRG23" s="1902">
        <f t="shared" si="298"/>
        <v>0</v>
      </c>
      <c r="CRH23" s="1902">
        <f t="shared" si="298"/>
        <v>0</v>
      </c>
      <c r="CRI23" s="1902">
        <f t="shared" si="298"/>
        <v>0</v>
      </c>
      <c r="CRJ23" s="1902">
        <f t="shared" si="298"/>
        <v>0</v>
      </c>
      <c r="CRK23" s="1902">
        <f t="shared" ref="CRK23:CTV23" si="299">IF(AND(CRK$26="End of period",CRK$25="Revenue"),CRK10,0)</f>
        <v>0</v>
      </c>
      <c r="CRL23" s="1902">
        <f t="shared" si="299"/>
        <v>0</v>
      </c>
      <c r="CRM23" s="1902">
        <f t="shared" si="299"/>
        <v>0</v>
      </c>
      <c r="CRN23" s="1902">
        <f t="shared" si="299"/>
        <v>0</v>
      </c>
      <c r="CRO23" s="1902">
        <f t="shared" si="299"/>
        <v>0</v>
      </c>
      <c r="CRP23" s="1902">
        <f t="shared" si="299"/>
        <v>0</v>
      </c>
      <c r="CRQ23" s="1902">
        <f t="shared" si="299"/>
        <v>0</v>
      </c>
      <c r="CRR23" s="1902">
        <f t="shared" si="299"/>
        <v>0</v>
      </c>
      <c r="CRS23" s="1902">
        <f t="shared" si="299"/>
        <v>0</v>
      </c>
      <c r="CRT23" s="1902">
        <f t="shared" si="299"/>
        <v>0</v>
      </c>
      <c r="CRU23" s="1902">
        <f t="shared" si="299"/>
        <v>0</v>
      </c>
      <c r="CRV23" s="1902">
        <f t="shared" si="299"/>
        <v>0</v>
      </c>
      <c r="CRW23" s="1902">
        <f t="shared" si="299"/>
        <v>0</v>
      </c>
      <c r="CRX23" s="1902">
        <f t="shared" si="299"/>
        <v>0</v>
      </c>
      <c r="CRY23" s="1902">
        <f t="shared" si="299"/>
        <v>0</v>
      </c>
      <c r="CRZ23" s="1902">
        <f t="shared" si="299"/>
        <v>0</v>
      </c>
      <c r="CSA23" s="1902">
        <f t="shared" si="299"/>
        <v>0</v>
      </c>
      <c r="CSB23" s="1902">
        <f t="shared" si="299"/>
        <v>0</v>
      </c>
      <c r="CSC23" s="1902">
        <f t="shared" si="299"/>
        <v>0</v>
      </c>
      <c r="CSD23" s="1902">
        <f t="shared" si="299"/>
        <v>0</v>
      </c>
      <c r="CSE23" s="1902">
        <f t="shared" si="299"/>
        <v>0</v>
      </c>
      <c r="CSF23" s="1902">
        <f t="shared" si="299"/>
        <v>0</v>
      </c>
      <c r="CSG23" s="1902">
        <f t="shared" si="299"/>
        <v>0</v>
      </c>
      <c r="CSH23" s="1902">
        <f t="shared" si="299"/>
        <v>0</v>
      </c>
      <c r="CSI23" s="1902">
        <f t="shared" si="299"/>
        <v>0</v>
      </c>
      <c r="CSJ23" s="1902">
        <f t="shared" si="299"/>
        <v>0</v>
      </c>
      <c r="CSK23" s="1902">
        <f t="shared" si="299"/>
        <v>0</v>
      </c>
      <c r="CSL23" s="1902">
        <f t="shared" si="299"/>
        <v>0</v>
      </c>
      <c r="CSM23" s="1902">
        <f t="shared" si="299"/>
        <v>0</v>
      </c>
      <c r="CSN23" s="1902">
        <f t="shared" si="299"/>
        <v>0</v>
      </c>
      <c r="CSO23" s="1902">
        <f t="shared" si="299"/>
        <v>0</v>
      </c>
      <c r="CSP23" s="1902">
        <f t="shared" si="299"/>
        <v>0</v>
      </c>
      <c r="CSQ23" s="1902">
        <f t="shared" si="299"/>
        <v>0</v>
      </c>
      <c r="CSR23" s="1902">
        <f t="shared" si="299"/>
        <v>0</v>
      </c>
      <c r="CSS23" s="1902">
        <f t="shared" si="299"/>
        <v>0</v>
      </c>
      <c r="CST23" s="1902">
        <f t="shared" si="299"/>
        <v>0</v>
      </c>
      <c r="CSU23" s="1902">
        <f t="shared" si="299"/>
        <v>0</v>
      </c>
      <c r="CSV23" s="1902">
        <f t="shared" si="299"/>
        <v>0</v>
      </c>
      <c r="CSW23" s="1902">
        <f t="shared" si="299"/>
        <v>0</v>
      </c>
      <c r="CSX23" s="1902">
        <f t="shared" si="299"/>
        <v>0</v>
      </c>
      <c r="CSY23" s="1902">
        <f t="shared" si="299"/>
        <v>0</v>
      </c>
      <c r="CSZ23" s="1902">
        <f t="shared" si="299"/>
        <v>0</v>
      </c>
      <c r="CTA23" s="1902">
        <f t="shared" si="299"/>
        <v>0</v>
      </c>
      <c r="CTB23" s="1902">
        <f t="shared" si="299"/>
        <v>0</v>
      </c>
      <c r="CTC23" s="1902">
        <f t="shared" si="299"/>
        <v>0</v>
      </c>
      <c r="CTD23" s="1902">
        <f t="shared" si="299"/>
        <v>0</v>
      </c>
      <c r="CTE23" s="1902">
        <f t="shared" si="299"/>
        <v>0</v>
      </c>
      <c r="CTF23" s="1902">
        <f t="shared" si="299"/>
        <v>0</v>
      </c>
      <c r="CTG23" s="1902">
        <f t="shared" si="299"/>
        <v>0</v>
      </c>
      <c r="CTH23" s="1902">
        <f t="shared" si="299"/>
        <v>0</v>
      </c>
      <c r="CTI23" s="1902">
        <f t="shared" si="299"/>
        <v>0</v>
      </c>
      <c r="CTJ23" s="1902">
        <f t="shared" si="299"/>
        <v>0</v>
      </c>
      <c r="CTK23" s="1902">
        <f t="shared" si="299"/>
        <v>0</v>
      </c>
      <c r="CTL23" s="1902">
        <f t="shared" si="299"/>
        <v>0</v>
      </c>
      <c r="CTM23" s="1902">
        <f t="shared" si="299"/>
        <v>0</v>
      </c>
      <c r="CTN23" s="1902">
        <f t="shared" si="299"/>
        <v>0</v>
      </c>
      <c r="CTO23" s="1902">
        <f t="shared" si="299"/>
        <v>0</v>
      </c>
      <c r="CTP23" s="1902">
        <f t="shared" si="299"/>
        <v>0</v>
      </c>
      <c r="CTQ23" s="1902">
        <f t="shared" si="299"/>
        <v>0</v>
      </c>
      <c r="CTR23" s="1902">
        <f t="shared" si="299"/>
        <v>0</v>
      </c>
      <c r="CTS23" s="1902">
        <f t="shared" si="299"/>
        <v>0</v>
      </c>
      <c r="CTT23" s="1902">
        <f t="shared" si="299"/>
        <v>0</v>
      </c>
      <c r="CTU23" s="1902">
        <f t="shared" si="299"/>
        <v>0</v>
      </c>
      <c r="CTV23" s="1902">
        <f t="shared" si="299"/>
        <v>0</v>
      </c>
      <c r="CTW23" s="1902">
        <f t="shared" ref="CTW23:CWH23" si="300">IF(AND(CTW$26="End of period",CTW$25="Revenue"),CTW10,0)</f>
        <v>0</v>
      </c>
      <c r="CTX23" s="1902">
        <f t="shared" si="300"/>
        <v>0</v>
      </c>
      <c r="CTY23" s="1902">
        <f t="shared" si="300"/>
        <v>0</v>
      </c>
      <c r="CTZ23" s="1902">
        <f t="shared" si="300"/>
        <v>0</v>
      </c>
      <c r="CUA23" s="1902">
        <f t="shared" si="300"/>
        <v>0</v>
      </c>
      <c r="CUB23" s="1902">
        <f t="shared" si="300"/>
        <v>0</v>
      </c>
      <c r="CUC23" s="1902">
        <f t="shared" si="300"/>
        <v>0</v>
      </c>
      <c r="CUD23" s="1902">
        <f t="shared" si="300"/>
        <v>0</v>
      </c>
      <c r="CUE23" s="1902">
        <f t="shared" si="300"/>
        <v>0</v>
      </c>
      <c r="CUF23" s="1902">
        <f t="shared" si="300"/>
        <v>0</v>
      </c>
      <c r="CUG23" s="1902">
        <f t="shared" si="300"/>
        <v>0</v>
      </c>
      <c r="CUH23" s="1902">
        <f t="shared" si="300"/>
        <v>0</v>
      </c>
      <c r="CUI23" s="1902">
        <f t="shared" si="300"/>
        <v>0</v>
      </c>
      <c r="CUJ23" s="1902">
        <f t="shared" si="300"/>
        <v>0</v>
      </c>
      <c r="CUK23" s="1902">
        <f t="shared" si="300"/>
        <v>0</v>
      </c>
      <c r="CUL23" s="1902">
        <f t="shared" si="300"/>
        <v>0</v>
      </c>
      <c r="CUM23" s="1902">
        <f t="shared" si="300"/>
        <v>0</v>
      </c>
      <c r="CUN23" s="1902">
        <f t="shared" si="300"/>
        <v>0</v>
      </c>
      <c r="CUO23" s="1902">
        <f t="shared" si="300"/>
        <v>0</v>
      </c>
      <c r="CUP23" s="1902">
        <f t="shared" si="300"/>
        <v>0</v>
      </c>
      <c r="CUQ23" s="1902">
        <f t="shared" si="300"/>
        <v>0</v>
      </c>
      <c r="CUR23" s="1902">
        <f t="shared" si="300"/>
        <v>0</v>
      </c>
      <c r="CUS23" s="1902">
        <f t="shared" si="300"/>
        <v>0</v>
      </c>
      <c r="CUT23" s="1902">
        <f t="shared" si="300"/>
        <v>0</v>
      </c>
      <c r="CUU23" s="1902">
        <f t="shared" si="300"/>
        <v>0</v>
      </c>
      <c r="CUV23" s="1902">
        <f t="shared" si="300"/>
        <v>0</v>
      </c>
      <c r="CUW23" s="1902">
        <f t="shared" si="300"/>
        <v>0</v>
      </c>
      <c r="CUX23" s="1902">
        <f t="shared" si="300"/>
        <v>0</v>
      </c>
      <c r="CUY23" s="1902">
        <f t="shared" si="300"/>
        <v>0</v>
      </c>
      <c r="CUZ23" s="1902">
        <f t="shared" si="300"/>
        <v>0</v>
      </c>
      <c r="CVA23" s="1902">
        <f t="shared" si="300"/>
        <v>0</v>
      </c>
      <c r="CVB23" s="1902">
        <f t="shared" si="300"/>
        <v>0</v>
      </c>
      <c r="CVC23" s="1902">
        <f t="shared" si="300"/>
        <v>0</v>
      </c>
      <c r="CVD23" s="1902">
        <f t="shared" si="300"/>
        <v>0</v>
      </c>
      <c r="CVE23" s="1902">
        <f t="shared" si="300"/>
        <v>0</v>
      </c>
      <c r="CVF23" s="1902">
        <f t="shared" si="300"/>
        <v>0</v>
      </c>
      <c r="CVG23" s="1902">
        <f t="shared" si="300"/>
        <v>0</v>
      </c>
      <c r="CVH23" s="1902">
        <f t="shared" si="300"/>
        <v>0</v>
      </c>
      <c r="CVI23" s="1902">
        <f t="shared" si="300"/>
        <v>0</v>
      </c>
      <c r="CVJ23" s="1902">
        <f t="shared" si="300"/>
        <v>0</v>
      </c>
      <c r="CVK23" s="1902">
        <f t="shared" si="300"/>
        <v>0</v>
      </c>
      <c r="CVL23" s="1902">
        <f t="shared" si="300"/>
        <v>0</v>
      </c>
      <c r="CVM23" s="1902">
        <f t="shared" si="300"/>
        <v>0</v>
      </c>
      <c r="CVN23" s="1902">
        <f t="shared" si="300"/>
        <v>0</v>
      </c>
      <c r="CVO23" s="1902">
        <f t="shared" si="300"/>
        <v>0</v>
      </c>
      <c r="CVP23" s="1902">
        <f t="shared" si="300"/>
        <v>0</v>
      </c>
      <c r="CVQ23" s="1902">
        <f t="shared" si="300"/>
        <v>0</v>
      </c>
      <c r="CVR23" s="1902">
        <f t="shared" si="300"/>
        <v>0</v>
      </c>
      <c r="CVS23" s="1902">
        <f t="shared" si="300"/>
        <v>0</v>
      </c>
      <c r="CVT23" s="1902">
        <f t="shared" si="300"/>
        <v>0</v>
      </c>
      <c r="CVU23" s="1902">
        <f t="shared" si="300"/>
        <v>0</v>
      </c>
      <c r="CVV23" s="1902">
        <f t="shared" si="300"/>
        <v>0</v>
      </c>
      <c r="CVW23" s="1902">
        <f t="shared" si="300"/>
        <v>0</v>
      </c>
      <c r="CVX23" s="1902">
        <f t="shared" si="300"/>
        <v>0</v>
      </c>
      <c r="CVY23" s="1902">
        <f t="shared" si="300"/>
        <v>0</v>
      </c>
      <c r="CVZ23" s="1902">
        <f t="shared" si="300"/>
        <v>0</v>
      </c>
      <c r="CWA23" s="1902">
        <f t="shared" si="300"/>
        <v>0</v>
      </c>
      <c r="CWB23" s="1902">
        <f t="shared" si="300"/>
        <v>0</v>
      </c>
      <c r="CWC23" s="1902">
        <f t="shared" si="300"/>
        <v>0</v>
      </c>
      <c r="CWD23" s="1902">
        <f t="shared" si="300"/>
        <v>0</v>
      </c>
      <c r="CWE23" s="1902">
        <f t="shared" si="300"/>
        <v>0</v>
      </c>
      <c r="CWF23" s="1902">
        <f t="shared" si="300"/>
        <v>0</v>
      </c>
      <c r="CWG23" s="1902">
        <f t="shared" si="300"/>
        <v>0</v>
      </c>
      <c r="CWH23" s="1902">
        <f t="shared" si="300"/>
        <v>0</v>
      </c>
      <c r="CWI23" s="1902">
        <f t="shared" ref="CWI23:CYT23" si="301">IF(AND(CWI$26="End of period",CWI$25="Revenue"),CWI10,0)</f>
        <v>0</v>
      </c>
      <c r="CWJ23" s="1902">
        <f t="shared" si="301"/>
        <v>0</v>
      </c>
      <c r="CWK23" s="1902">
        <f t="shared" si="301"/>
        <v>0</v>
      </c>
      <c r="CWL23" s="1902">
        <f t="shared" si="301"/>
        <v>0</v>
      </c>
      <c r="CWM23" s="1902">
        <f t="shared" si="301"/>
        <v>0</v>
      </c>
      <c r="CWN23" s="1902">
        <f t="shared" si="301"/>
        <v>0</v>
      </c>
      <c r="CWO23" s="1902">
        <f t="shared" si="301"/>
        <v>0</v>
      </c>
      <c r="CWP23" s="1902">
        <f t="shared" si="301"/>
        <v>0</v>
      </c>
      <c r="CWQ23" s="1902">
        <f t="shared" si="301"/>
        <v>0</v>
      </c>
      <c r="CWR23" s="1902">
        <f t="shared" si="301"/>
        <v>0</v>
      </c>
      <c r="CWS23" s="1902">
        <f t="shared" si="301"/>
        <v>0</v>
      </c>
      <c r="CWT23" s="1902">
        <f t="shared" si="301"/>
        <v>0</v>
      </c>
      <c r="CWU23" s="1902">
        <f t="shared" si="301"/>
        <v>0</v>
      </c>
      <c r="CWV23" s="1902">
        <f t="shared" si="301"/>
        <v>0</v>
      </c>
      <c r="CWW23" s="1902">
        <f t="shared" si="301"/>
        <v>0</v>
      </c>
      <c r="CWX23" s="1902">
        <f t="shared" si="301"/>
        <v>0</v>
      </c>
      <c r="CWY23" s="1902">
        <f t="shared" si="301"/>
        <v>0</v>
      </c>
      <c r="CWZ23" s="1902">
        <f t="shared" si="301"/>
        <v>0</v>
      </c>
      <c r="CXA23" s="1902">
        <f t="shared" si="301"/>
        <v>0</v>
      </c>
      <c r="CXB23" s="1902">
        <f t="shared" si="301"/>
        <v>0</v>
      </c>
      <c r="CXC23" s="1902">
        <f t="shared" si="301"/>
        <v>0</v>
      </c>
      <c r="CXD23" s="1902">
        <f t="shared" si="301"/>
        <v>0</v>
      </c>
      <c r="CXE23" s="1902">
        <f t="shared" si="301"/>
        <v>0</v>
      </c>
      <c r="CXF23" s="1902">
        <f t="shared" si="301"/>
        <v>0</v>
      </c>
      <c r="CXG23" s="1902">
        <f t="shared" si="301"/>
        <v>0</v>
      </c>
      <c r="CXH23" s="1902">
        <f t="shared" si="301"/>
        <v>0</v>
      </c>
      <c r="CXI23" s="1902">
        <f t="shared" si="301"/>
        <v>0</v>
      </c>
      <c r="CXJ23" s="1902">
        <f t="shared" si="301"/>
        <v>0</v>
      </c>
      <c r="CXK23" s="1902">
        <f t="shared" si="301"/>
        <v>0</v>
      </c>
      <c r="CXL23" s="1902">
        <f t="shared" si="301"/>
        <v>0</v>
      </c>
      <c r="CXM23" s="1902">
        <f t="shared" si="301"/>
        <v>0</v>
      </c>
      <c r="CXN23" s="1902">
        <f t="shared" si="301"/>
        <v>0</v>
      </c>
      <c r="CXO23" s="1902">
        <f t="shared" si="301"/>
        <v>0</v>
      </c>
      <c r="CXP23" s="1902">
        <f t="shared" si="301"/>
        <v>0</v>
      </c>
      <c r="CXQ23" s="1902">
        <f t="shared" si="301"/>
        <v>0</v>
      </c>
      <c r="CXR23" s="1902">
        <f t="shared" si="301"/>
        <v>0</v>
      </c>
      <c r="CXS23" s="1902">
        <f t="shared" si="301"/>
        <v>0</v>
      </c>
      <c r="CXT23" s="1902">
        <f t="shared" si="301"/>
        <v>0</v>
      </c>
      <c r="CXU23" s="1902">
        <f t="shared" si="301"/>
        <v>0</v>
      </c>
      <c r="CXV23" s="1902">
        <f t="shared" si="301"/>
        <v>0</v>
      </c>
      <c r="CXW23" s="1902">
        <f t="shared" si="301"/>
        <v>0</v>
      </c>
      <c r="CXX23" s="1902">
        <f t="shared" si="301"/>
        <v>0</v>
      </c>
      <c r="CXY23" s="1902">
        <f t="shared" si="301"/>
        <v>0</v>
      </c>
      <c r="CXZ23" s="1902">
        <f t="shared" si="301"/>
        <v>0</v>
      </c>
      <c r="CYA23" s="1902">
        <f t="shared" si="301"/>
        <v>0</v>
      </c>
      <c r="CYB23" s="1902">
        <f t="shared" si="301"/>
        <v>0</v>
      </c>
      <c r="CYC23" s="1902">
        <f t="shared" si="301"/>
        <v>0</v>
      </c>
      <c r="CYD23" s="1902">
        <f t="shared" si="301"/>
        <v>0</v>
      </c>
      <c r="CYE23" s="1902">
        <f t="shared" si="301"/>
        <v>0</v>
      </c>
      <c r="CYF23" s="1902">
        <f t="shared" si="301"/>
        <v>0</v>
      </c>
      <c r="CYG23" s="1902">
        <f t="shared" si="301"/>
        <v>0</v>
      </c>
      <c r="CYH23" s="1902">
        <f t="shared" si="301"/>
        <v>0</v>
      </c>
      <c r="CYI23" s="1902">
        <f t="shared" si="301"/>
        <v>0</v>
      </c>
      <c r="CYJ23" s="1902">
        <f t="shared" si="301"/>
        <v>0</v>
      </c>
      <c r="CYK23" s="1902">
        <f t="shared" si="301"/>
        <v>0</v>
      </c>
      <c r="CYL23" s="1902">
        <f t="shared" si="301"/>
        <v>0</v>
      </c>
      <c r="CYM23" s="1902">
        <f t="shared" si="301"/>
        <v>0</v>
      </c>
      <c r="CYN23" s="1902">
        <f t="shared" si="301"/>
        <v>0</v>
      </c>
      <c r="CYO23" s="1902">
        <f t="shared" si="301"/>
        <v>0</v>
      </c>
      <c r="CYP23" s="1902">
        <f t="shared" si="301"/>
        <v>0</v>
      </c>
      <c r="CYQ23" s="1902">
        <f t="shared" si="301"/>
        <v>0</v>
      </c>
      <c r="CYR23" s="1902">
        <f t="shared" si="301"/>
        <v>0</v>
      </c>
      <c r="CYS23" s="1902">
        <f t="shared" si="301"/>
        <v>0</v>
      </c>
      <c r="CYT23" s="1902">
        <f t="shared" si="301"/>
        <v>0</v>
      </c>
      <c r="CYU23" s="1902">
        <f t="shared" ref="CYU23:DBF23" si="302">IF(AND(CYU$26="End of period",CYU$25="Revenue"),CYU10,0)</f>
        <v>0</v>
      </c>
      <c r="CYV23" s="1902">
        <f t="shared" si="302"/>
        <v>0</v>
      </c>
      <c r="CYW23" s="1902">
        <f t="shared" si="302"/>
        <v>0</v>
      </c>
      <c r="CYX23" s="1902">
        <f t="shared" si="302"/>
        <v>0</v>
      </c>
      <c r="CYY23" s="1902">
        <f t="shared" si="302"/>
        <v>0</v>
      </c>
      <c r="CYZ23" s="1902">
        <f t="shared" si="302"/>
        <v>0</v>
      </c>
      <c r="CZA23" s="1902">
        <f t="shared" si="302"/>
        <v>0</v>
      </c>
      <c r="CZB23" s="1902">
        <f t="shared" si="302"/>
        <v>0</v>
      </c>
      <c r="CZC23" s="1902">
        <f t="shared" si="302"/>
        <v>0</v>
      </c>
      <c r="CZD23" s="1902">
        <f t="shared" si="302"/>
        <v>0</v>
      </c>
      <c r="CZE23" s="1902">
        <f t="shared" si="302"/>
        <v>0</v>
      </c>
      <c r="CZF23" s="1902">
        <f t="shared" si="302"/>
        <v>0</v>
      </c>
      <c r="CZG23" s="1902">
        <f t="shared" si="302"/>
        <v>0</v>
      </c>
      <c r="CZH23" s="1902">
        <f t="shared" si="302"/>
        <v>0</v>
      </c>
      <c r="CZI23" s="1902">
        <f t="shared" si="302"/>
        <v>0</v>
      </c>
      <c r="CZJ23" s="1902">
        <f t="shared" si="302"/>
        <v>0</v>
      </c>
      <c r="CZK23" s="1902">
        <f t="shared" si="302"/>
        <v>0</v>
      </c>
      <c r="CZL23" s="1902">
        <f t="shared" si="302"/>
        <v>0</v>
      </c>
      <c r="CZM23" s="1902">
        <f t="shared" si="302"/>
        <v>0</v>
      </c>
      <c r="CZN23" s="1902">
        <f t="shared" si="302"/>
        <v>0</v>
      </c>
      <c r="CZO23" s="1902">
        <f t="shared" si="302"/>
        <v>0</v>
      </c>
      <c r="CZP23" s="1902">
        <f t="shared" si="302"/>
        <v>0</v>
      </c>
      <c r="CZQ23" s="1902">
        <f t="shared" si="302"/>
        <v>0</v>
      </c>
      <c r="CZR23" s="1902">
        <f t="shared" si="302"/>
        <v>0</v>
      </c>
      <c r="CZS23" s="1902">
        <f t="shared" si="302"/>
        <v>0</v>
      </c>
      <c r="CZT23" s="1902">
        <f t="shared" si="302"/>
        <v>0</v>
      </c>
      <c r="CZU23" s="1902">
        <f t="shared" si="302"/>
        <v>0</v>
      </c>
      <c r="CZV23" s="1902">
        <f t="shared" si="302"/>
        <v>0</v>
      </c>
      <c r="CZW23" s="1902">
        <f t="shared" si="302"/>
        <v>0</v>
      </c>
      <c r="CZX23" s="1902">
        <f t="shared" si="302"/>
        <v>0</v>
      </c>
      <c r="CZY23" s="1902">
        <f t="shared" si="302"/>
        <v>0</v>
      </c>
      <c r="CZZ23" s="1902">
        <f t="shared" si="302"/>
        <v>0</v>
      </c>
      <c r="DAA23" s="1902">
        <f t="shared" si="302"/>
        <v>0</v>
      </c>
      <c r="DAB23" s="1902">
        <f t="shared" si="302"/>
        <v>0</v>
      </c>
      <c r="DAC23" s="1902">
        <f t="shared" si="302"/>
        <v>0</v>
      </c>
      <c r="DAD23" s="1902">
        <f t="shared" si="302"/>
        <v>0</v>
      </c>
      <c r="DAE23" s="1902">
        <f t="shared" si="302"/>
        <v>0</v>
      </c>
      <c r="DAF23" s="1902">
        <f t="shared" si="302"/>
        <v>0</v>
      </c>
      <c r="DAG23" s="1902">
        <f t="shared" si="302"/>
        <v>0</v>
      </c>
      <c r="DAH23" s="1902">
        <f t="shared" si="302"/>
        <v>0</v>
      </c>
      <c r="DAI23" s="1902">
        <f t="shared" si="302"/>
        <v>0</v>
      </c>
      <c r="DAJ23" s="1902">
        <f t="shared" si="302"/>
        <v>0</v>
      </c>
      <c r="DAK23" s="1902">
        <f t="shared" si="302"/>
        <v>0</v>
      </c>
      <c r="DAL23" s="1902">
        <f t="shared" si="302"/>
        <v>0</v>
      </c>
      <c r="DAM23" s="1902">
        <f t="shared" si="302"/>
        <v>0</v>
      </c>
      <c r="DAN23" s="1902">
        <f t="shared" si="302"/>
        <v>0</v>
      </c>
      <c r="DAO23" s="1902">
        <f t="shared" si="302"/>
        <v>0</v>
      </c>
      <c r="DAP23" s="1902">
        <f t="shared" si="302"/>
        <v>0</v>
      </c>
      <c r="DAQ23" s="1902">
        <f t="shared" si="302"/>
        <v>0</v>
      </c>
      <c r="DAR23" s="1902">
        <f t="shared" si="302"/>
        <v>0</v>
      </c>
      <c r="DAS23" s="1902">
        <f t="shared" si="302"/>
        <v>0</v>
      </c>
      <c r="DAT23" s="1902">
        <f t="shared" si="302"/>
        <v>0</v>
      </c>
      <c r="DAU23" s="1902">
        <f t="shared" si="302"/>
        <v>0</v>
      </c>
      <c r="DAV23" s="1902">
        <f t="shared" si="302"/>
        <v>0</v>
      </c>
      <c r="DAW23" s="1902">
        <f t="shared" si="302"/>
        <v>0</v>
      </c>
      <c r="DAX23" s="1902">
        <f t="shared" si="302"/>
        <v>0</v>
      </c>
      <c r="DAY23" s="1902">
        <f t="shared" si="302"/>
        <v>0</v>
      </c>
      <c r="DAZ23" s="1902">
        <f t="shared" si="302"/>
        <v>0</v>
      </c>
      <c r="DBA23" s="1902">
        <f t="shared" si="302"/>
        <v>0</v>
      </c>
      <c r="DBB23" s="1902">
        <f t="shared" si="302"/>
        <v>0</v>
      </c>
      <c r="DBC23" s="1902">
        <f t="shared" si="302"/>
        <v>0</v>
      </c>
      <c r="DBD23" s="1902">
        <f t="shared" si="302"/>
        <v>0</v>
      </c>
      <c r="DBE23" s="1902">
        <f t="shared" si="302"/>
        <v>0</v>
      </c>
      <c r="DBF23" s="1902">
        <f t="shared" si="302"/>
        <v>0</v>
      </c>
      <c r="DBG23" s="1902">
        <f t="shared" ref="DBG23:DDR23" si="303">IF(AND(DBG$26="End of period",DBG$25="Revenue"),DBG10,0)</f>
        <v>0</v>
      </c>
      <c r="DBH23" s="1902">
        <f t="shared" si="303"/>
        <v>0</v>
      </c>
      <c r="DBI23" s="1902">
        <f t="shared" si="303"/>
        <v>0</v>
      </c>
      <c r="DBJ23" s="1902">
        <f t="shared" si="303"/>
        <v>0</v>
      </c>
      <c r="DBK23" s="1902">
        <f t="shared" si="303"/>
        <v>0</v>
      </c>
      <c r="DBL23" s="1902">
        <f t="shared" si="303"/>
        <v>0</v>
      </c>
      <c r="DBM23" s="1902">
        <f t="shared" si="303"/>
        <v>0</v>
      </c>
      <c r="DBN23" s="1902">
        <f t="shared" si="303"/>
        <v>0</v>
      </c>
      <c r="DBO23" s="1902">
        <f t="shared" si="303"/>
        <v>0</v>
      </c>
      <c r="DBP23" s="1902">
        <f t="shared" si="303"/>
        <v>0</v>
      </c>
      <c r="DBQ23" s="1902">
        <f t="shared" si="303"/>
        <v>0</v>
      </c>
      <c r="DBR23" s="1902">
        <f t="shared" si="303"/>
        <v>0</v>
      </c>
      <c r="DBS23" s="1902">
        <f t="shared" si="303"/>
        <v>0</v>
      </c>
      <c r="DBT23" s="1902">
        <f t="shared" si="303"/>
        <v>0</v>
      </c>
      <c r="DBU23" s="1902">
        <f t="shared" si="303"/>
        <v>0</v>
      </c>
      <c r="DBV23" s="1902">
        <f t="shared" si="303"/>
        <v>0</v>
      </c>
      <c r="DBW23" s="1902">
        <f t="shared" si="303"/>
        <v>0</v>
      </c>
      <c r="DBX23" s="1902">
        <f t="shared" si="303"/>
        <v>0</v>
      </c>
      <c r="DBY23" s="1902">
        <f t="shared" si="303"/>
        <v>0</v>
      </c>
      <c r="DBZ23" s="1902">
        <f t="shared" si="303"/>
        <v>0</v>
      </c>
      <c r="DCA23" s="1902">
        <f t="shared" si="303"/>
        <v>0</v>
      </c>
      <c r="DCB23" s="1902">
        <f t="shared" si="303"/>
        <v>0</v>
      </c>
      <c r="DCC23" s="1902">
        <f t="shared" si="303"/>
        <v>0</v>
      </c>
      <c r="DCD23" s="1902">
        <f t="shared" si="303"/>
        <v>0</v>
      </c>
      <c r="DCE23" s="1902">
        <f t="shared" si="303"/>
        <v>0</v>
      </c>
      <c r="DCF23" s="1902">
        <f t="shared" si="303"/>
        <v>0</v>
      </c>
      <c r="DCG23" s="1902">
        <f t="shared" si="303"/>
        <v>0</v>
      </c>
      <c r="DCH23" s="1902">
        <f t="shared" si="303"/>
        <v>0</v>
      </c>
      <c r="DCI23" s="1902">
        <f t="shared" si="303"/>
        <v>0</v>
      </c>
      <c r="DCJ23" s="1902">
        <f t="shared" si="303"/>
        <v>0</v>
      </c>
      <c r="DCK23" s="1902">
        <f t="shared" si="303"/>
        <v>0</v>
      </c>
      <c r="DCL23" s="1902">
        <f t="shared" si="303"/>
        <v>0</v>
      </c>
      <c r="DCM23" s="1902">
        <f t="shared" si="303"/>
        <v>0</v>
      </c>
      <c r="DCN23" s="1902">
        <f t="shared" si="303"/>
        <v>0</v>
      </c>
      <c r="DCO23" s="1902">
        <f t="shared" si="303"/>
        <v>0</v>
      </c>
      <c r="DCP23" s="1902">
        <f t="shared" si="303"/>
        <v>0</v>
      </c>
      <c r="DCQ23" s="1902">
        <f t="shared" si="303"/>
        <v>0</v>
      </c>
      <c r="DCR23" s="1902">
        <f t="shared" si="303"/>
        <v>0</v>
      </c>
      <c r="DCS23" s="1902">
        <f t="shared" si="303"/>
        <v>0</v>
      </c>
      <c r="DCT23" s="1902">
        <f t="shared" si="303"/>
        <v>0</v>
      </c>
      <c r="DCU23" s="1902">
        <f t="shared" si="303"/>
        <v>0</v>
      </c>
      <c r="DCV23" s="1902">
        <f t="shared" si="303"/>
        <v>0</v>
      </c>
      <c r="DCW23" s="1902">
        <f t="shared" si="303"/>
        <v>0</v>
      </c>
      <c r="DCX23" s="1902">
        <f t="shared" si="303"/>
        <v>0</v>
      </c>
      <c r="DCY23" s="1902">
        <f t="shared" si="303"/>
        <v>0</v>
      </c>
      <c r="DCZ23" s="1902">
        <f t="shared" si="303"/>
        <v>0</v>
      </c>
      <c r="DDA23" s="1902">
        <f t="shared" si="303"/>
        <v>0</v>
      </c>
      <c r="DDB23" s="1902">
        <f t="shared" si="303"/>
        <v>0</v>
      </c>
      <c r="DDC23" s="1902">
        <f t="shared" si="303"/>
        <v>0</v>
      </c>
      <c r="DDD23" s="1902">
        <f t="shared" si="303"/>
        <v>0</v>
      </c>
      <c r="DDE23" s="1902">
        <f t="shared" si="303"/>
        <v>0</v>
      </c>
      <c r="DDF23" s="1902">
        <f t="shared" si="303"/>
        <v>0</v>
      </c>
      <c r="DDG23" s="1902">
        <f t="shared" si="303"/>
        <v>0</v>
      </c>
      <c r="DDH23" s="1902">
        <f t="shared" si="303"/>
        <v>0</v>
      </c>
      <c r="DDI23" s="1902">
        <f t="shared" si="303"/>
        <v>0</v>
      </c>
      <c r="DDJ23" s="1902">
        <f t="shared" si="303"/>
        <v>0</v>
      </c>
      <c r="DDK23" s="1902">
        <f t="shared" si="303"/>
        <v>0</v>
      </c>
      <c r="DDL23" s="1902">
        <f t="shared" si="303"/>
        <v>0</v>
      </c>
      <c r="DDM23" s="1902">
        <f t="shared" si="303"/>
        <v>0</v>
      </c>
      <c r="DDN23" s="1902">
        <f t="shared" si="303"/>
        <v>0</v>
      </c>
      <c r="DDO23" s="1902">
        <f t="shared" si="303"/>
        <v>0</v>
      </c>
      <c r="DDP23" s="1902">
        <f t="shared" si="303"/>
        <v>0</v>
      </c>
      <c r="DDQ23" s="1902">
        <f t="shared" si="303"/>
        <v>0</v>
      </c>
      <c r="DDR23" s="1902">
        <f t="shared" si="303"/>
        <v>0</v>
      </c>
      <c r="DDS23" s="1902">
        <f t="shared" ref="DDS23:DGD23" si="304">IF(AND(DDS$26="End of period",DDS$25="Revenue"),DDS10,0)</f>
        <v>0</v>
      </c>
      <c r="DDT23" s="1902">
        <f t="shared" si="304"/>
        <v>0</v>
      </c>
      <c r="DDU23" s="1902">
        <f t="shared" si="304"/>
        <v>0</v>
      </c>
      <c r="DDV23" s="1902">
        <f t="shared" si="304"/>
        <v>0</v>
      </c>
      <c r="DDW23" s="1902">
        <f t="shared" si="304"/>
        <v>0</v>
      </c>
      <c r="DDX23" s="1902">
        <f t="shared" si="304"/>
        <v>0</v>
      </c>
      <c r="DDY23" s="1902">
        <f t="shared" si="304"/>
        <v>0</v>
      </c>
      <c r="DDZ23" s="1902">
        <f t="shared" si="304"/>
        <v>0</v>
      </c>
      <c r="DEA23" s="1902">
        <f t="shared" si="304"/>
        <v>0</v>
      </c>
      <c r="DEB23" s="1902">
        <f t="shared" si="304"/>
        <v>0</v>
      </c>
      <c r="DEC23" s="1902">
        <f t="shared" si="304"/>
        <v>0</v>
      </c>
      <c r="DED23" s="1902">
        <f t="shared" si="304"/>
        <v>0</v>
      </c>
      <c r="DEE23" s="1902">
        <f t="shared" si="304"/>
        <v>0</v>
      </c>
      <c r="DEF23" s="1902">
        <f t="shared" si="304"/>
        <v>0</v>
      </c>
      <c r="DEG23" s="1902">
        <f t="shared" si="304"/>
        <v>0</v>
      </c>
      <c r="DEH23" s="1902">
        <f t="shared" si="304"/>
        <v>0</v>
      </c>
      <c r="DEI23" s="1902">
        <f t="shared" si="304"/>
        <v>0</v>
      </c>
      <c r="DEJ23" s="1902">
        <f t="shared" si="304"/>
        <v>0</v>
      </c>
      <c r="DEK23" s="1902">
        <f t="shared" si="304"/>
        <v>0</v>
      </c>
      <c r="DEL23" s="1902">
        <f t="shared" si="304"/>
        <v>0</v>
      </c>
      <c r="DEM23" s="1902">
        <f t="shared" si="304"/>
        <v>0</v>
      </c>
      <c r="DEN23" s="1902">
        <f t="shared" si="304"/>
        <v>0</v>
      </c>
      <c r="DEO23" s="1902">
        <f t="shared" si="304"/>
        <v>0</v>
      </c>
      <c r="DEP23" s="1902">
        <f t="shared" si="304"/>
        <v>0</v>
      </c>
      <c r="DEQ23" s="1902">
        <f t="shared" si="304"/>
        <v>0</v>
      </c>
      <c r="DER23" s="1902">
        <f t="shared" si="304"/>
        <v>0</v>
      </c>
      <c r="DES23" s="1902">
        <f t="shared" si="304"/>
        <v>0</v>
      </c>
      <c r="DET23" s="1902">
        <f t="shared" si="304"/>
        <v>0</v>
      </c>
      <c r="DEU23" s="1902">
        <f t="shared" si="304"/>
        <v>0</v>
      </c>
      <c r="DEV23" s="1902">
        <f t="shared" si="304"/>
        <v>0</v>
      </c>
      <c r="DEW23" s="1902">
        <f t="shared" si="304"/>
        <v>0</v>
      </c>
      <c r="DEX23" s="1902">
        <f t="shared" si="304"/>
        <v>0</v>
      </c>
      <c r="DEY23" s="1902">
        <f t="shared" si="304"/>
        <v>0</v>
      </c>
      <c r="DEZ23" s="1902">
        <f t="shared" si="304"/>
        <v>0</v>
      </c>
      <c r="DFA23" s="1902">
        <f t="shared" si="304"/>
        <v>0</v>
      </c>
      <c r="DFB23" s="1902">
        <f t="shared" si="304"/>
        <v>0</v>
      </c>
      <c r="DFC23" s="1902">
        <f t="shared" si="304"/>
        <v>0</v>
      </c>
      <c r="DFD23" s="1902">
        <f t="shared" si="304"/>
        <v>0</v>
      </c>
      <c r="DFE23" s="1902">
        <f t="shared" si="304"/>
        <v>0</v>
      </c>
      <c r="DFF23" s="1902">
        <f t="shared" si="304"/>
        <v>0</v>
      </c>
      <c r="DFG23" s="1902">
        <f t="shared" si="304"/>
        <v>0</v>
      </c>
      <c r="DFH23" s="1902">
        <f t="shared" si="304"/>
        <v>0</v>
      </c>
      <c r="DFI23" s="1902">
        <f t="shared" si="304"/>
        <v>0</v>
      </c>
      <c r="DFJ23" s="1902">
        <f t="shared" si="304"/>
        <v>0</v>
      </c>
      <c r="DFK23" s="1902">
        <f t="shared" si="304"/>
        <v>0</v>
      </c>
      <c r="DFL23" s="1902">
        <f t="shared" si="304"/>
        <v>0</v>
      </c>
      <c r="DFM23" s="1902">
        <f t="shared" si="304"/>
        <v>0</v>
      </c>
      <c r="DFN23" s="1902">
        <f t="shared" si="304"/>
        <v>0</v>
      </c>
      <c r="DFO23" s="1902">
        <f t="shared" si="304"/>
        <v>0</v>
      </c>
      <c r="DFP23" s="1902">
        <f t="shared" si="304"/>
        <v>0</v>
      </c>
      <c r="DFQ23" s="1902">
        <f t="shared" si="304"/>
        <v>0</v>
      </c>
      <c r="DFR23" s="1902">
        <f t="shared" si="304"/>
        <v>0</v>
      </c>
      <c r="DFS23" s="1902">
        <f t="shared" si="304"/>
        <v>0</v>
      </c>
      <c r="DFT23" s="1902">
        <f t="shared" si="304"/>
        <v>0</v>
      </c>
      <c r="DFU23" s="1902">
        <f t="shared" si="304"/>
        <v>0</v>
      </c>
      <c r="DFV23" s="1902">
        <f t="shared" si="304"/>
        <v>0</v>
      </c>
      <c r="DFW23" s="1902">
        <f t="shared" si="304"/>
        <v>0</v>
      </c>
      <c r="DFX23" s="1902">
        <f t="shared" si="304"/>
        <v>0</v>
      </c>
      <c r="DFY23" s="1902">
        <f t="shared" si="304"/>
        <v>0</v>
      </c>
      <c r="DFZ23" s="1902">
        <f t="shared" si="304"/>
        <v>0</v>
      </c>
      <c r="DGA23" s="1902">
        <f t="shared" si="304"/>
        <v>0</v>
      </c>
      <c r="DGB23" s="1902">
        <f t="shared" si="304"/>
        <v>0</v>
      </c>
      <c r="DGC23" s="1902">
        <f t="shared" si="304"/>
        <v>0</v>
      </c>
      <c r="DGD23" s="1902">
        <f t="shared" si="304"/>
        <v>0</v>
      </c>
      <c r="DGE23" s="1902">
        <f t="shared" ref="DGE23:DIP23" si="305">IF(AND(DGE$26="End of period",DGE$25="Revenue"),DGE10,0)</f>
        <v>0</v>
      </c>
      <c r="DGF23" s="1902">
        <f t="shared" si="305"/>
        <v>0</v>
      </c>
      <c r="DGG23" s="1902">
        <f t="shared" si="305"/>
        <v>0</v>
      </c>
      <c r="DGH23" s="1902">
        <f t="shared" si="305"/>
        <v>0</v>
      </c>
      <c r="DGI23" s="1902">
        <f t="shared" si="305"/>
        <v>0</v>
      </c>
      <c r="DGJ23" s="1902">
        <f t="shared" si="305"/>
        <v>0</v>
      </c>
      <c r="DGK23" s="1902">
        <f t="shared" si="305"/>
        <v>0</v>
      </c>
      <c r="DGL23" s="1902">
        <f t="shared" si="305"/>
        <v>0</v>
      </c>
      <c r="DGM23" s="1902">
        <f t="shared" si="305"/>
        <v>0</v>
      </c>
      <c r="DGN23" s="1902">
        <f t="shared" si="305"/>
        <v>0</v>
      </c>
      <c r="DGO23" s="1902">
        <f t="shared" si="305"/>
        <v>0</v>
      </c>
      <c r="DGP23" s="1902">
        <f t="shared" si="305"/>
        <v>0</v>
      </c>
      <c r="DGQ23" s="1902">
        <f t="shared" si="305"/>
        <v>0</v>
      </c>
      <c r="DGR23" s="1902">
        <f t="shared" si="305"/>
        <v>0</v>
      </c>
      <c r="DGS23" s="1902">
        <f t="shared" si="305"/>
        <v>0</v>
      </c>
      <c r="DGT23" s="1902">
        <f t="shared" si="305"/>
        <v>0</v>
      </c>
      <c r="DGU23" s="1902">
        <f t="shared" si="305"/>
        <v>0</v>
      </c>
      <c r="DGV23" s="1902">
        <f t="shared" si="305"/>
        <v>0</v>
      </c>
      <c r="DGW23" s="1902">
        <f t="shared" si="305"/>
        <v>0</v>
      </c>
      <c r="DGX23" s="1902">
        <f t="shared" si="305"/>
        <v>0</v>
      </c>
      <c r="DGY23" s="1902">
        <f t="shared" si="305"/>
        <v>0</v>
      </c>
      <c r="DGZ23" s="1902">
        <f t="shared" si="305"/>
        <v>0</v>
      </c>
      <c r="DHA23" s="1902">
        <f t="shared" si="305"/>
        <v>0</v>
      </c>
      <c r="DHB23" s="1902">
        <f t="shared" si="305"/>
        <v>0</v>
      </c>
      <c r="DHC23" s="1902">
        <f t="shared" si="305"/>
        <v>0</v>
      </c>
      <c r="DHD23" s="1902">
        <f t="shared" si="305"/>
        <v>0</v>
      </c>
      <c r="DHE23" s="1902">
        <f t="shared" si="305"/>
        <v>0</v>
      </c>
      <c r="DHF23" s="1902">
        <f t="shared" si="305"/>
        <v>0</v>
      </c>
      <c r="DHG23" s="1902">
        <f t="shared" si="305"/>
        <v>0</v>
      </c>
      <c r="DHH23" s="1902">
        <f t="shared" si="305"/>
        <v>0</v>
      </c>
      <c r="DHI23" s="1902">
        <f t="shared" si="305"/>
        <v>0</v>
      </c>
      <c r="DHJ23" s="1902">
        <f t="shared" si="305"/>
        <v>0</v>
      </c>
      <c r="DHK23" s="1902">
        <f t="shared" si="305"/>
        <v>0</v>
      </c>
      <c r="DHL23" s="1902">
        <f t="shared" si="305"/>
        <v>0</v>
      </c>
      <c r="DHM23" s="1902">
        <f t="shared" si="305"/>
        <v>0</v>
      </c>
      <c r="DHN23" s="1902">
        <f t="shared" si="305"/>
        <v>0</v>
      </c>
      <c r="DHO23" s="1902">
        <f t="shared" si="305"/>
        <v>0</v>
      </c>
      <c r="DHP23" s="1902">
        <f t="shared" si="305"/>
        <v>0</v>
      </c>
      <c r="DHQ23" s="1902">
        <f t="shared" si="305"/>
        <v>0</v>
      </c>
      <c r="DHR23" s="1902">
        <f t="shared" si="305"/>
        <v>0</v>
      </c>
      <c r="DHS23" s="1902">
        <f t="shared" si="305"/>
        <v>0</v>
      </c>
      <c r="DHT23" s="1902">
        <f t="shared" si="305"/>
        <v>0</v>
      </c>
      <c r="DHU23" s="1902">
        <f t="shared" si="305"/>
        <v>0</v>
      </c>
      <c r="DHV23" s="1902">
        <f t="shared" si="305"/>
        <v>0</v>
      </c>
      <c r="DHW23" s="1902">
        <f t="shared" si="305"/>
        <v>0</v>
      </c>
      <c r="DHX23" s="1902">
        <f t="shared" si="305"/>
        <v>0</v>
      </c>
      <c r="DHY23" s="1902">
        <f t="shared" si="305"/>
        <v>0</v>
      </c>
      <c r="DHZ23" s="1902">
        <f t="shared" si="305"/>
        <v>0</v>
      </c>
      <c r="DIA23" s="1902">
        <f t="shared" si="305"/>
        <v>0</v>
      </c>
      <c r="DIB23" s="1902">
        <f t="shared" si="305"/>
        <v>0</v>
      </c>
      <c r="DIC23" s="1902">
        <f t="shared" si="305"/>
        <v>0</v>
      </c>
      <c r="DID23" s="1902">
        <f t="shared" si="305"/>
        <v>0</v>
      </c>
      <c r="DIE23" s="1902">
        <f t="shared" si="305"/>
        <v>0</v>
      </c>
      <c r="DIF23" s="1902">
        <f t="shared" si="305"/>
        <v>0</v>
      </c>
      <c r="DIG23" s="1902">
        <f t="shared" si="305"/>
        <v>0</v>
      </c>
      <c r="DIH23" s="1902">
        <f t="shared" si="305"/>
        <v>0</v>
      </c>
      <c r="DII23" s="1902">
        <f t="shared" si="305"/>
        <v>0</v>
      </c>
      <c r="DIJ23" s="1902">
        <f t="shared" si="305"/>
        <v>0</v>
      </c>
      <c r="DIK23" s="1902">
        <f t="shared" si="305"/>
        <v>0</v>
      </c>
      <c r="DIL23" s="1902">
        <f t="shared" si="305"/>
        <v>0</v>
      </c>
      <c r="DIM23" s="1902">
        <f t="shared" si="305"/>
        <v>0</v>
      </c>
      <c r="DIN23" s="1902">
        <f t="shared" si="305"/>
        <v>0</v>
      </c>
      <c r="DIO23" s="1902">
        <f t="shared" si="305"/>
        <v>0</v>
      </c>
      <c r="DIP23" s="1902">
        <f t="shared" si="305"/>
        <v>0</v>
      </c>
      <c r="DIQ23" s="1902">
        <f t="shared" ref="DIQ23:DLB23" si="306">IF(AND(DIQ$26="End of period",DIQ$25="Revenue"),DIQ10,0)</f>
        <v>0</v>
      </c>
      <c r="DIR23" s="1902">
        <f t="shared" si="306"/>
        <v>0</v>
      </c>
      <c r="DIS23" s="1902">
        <f t="shared" si="306"/>
        <v>0</v>
      </c>
      <c r="DIT23" s="1902">
        <f t="shared" si="306"/>
        <v>0</v>
      </c>
      <c r="DIU23" s="1902">
        <f t="shared" si="306"/>
        <v>0</v>
      </c>
      <c r="DIV23" s="1902">
        <f t="shared" si="306"/>
        <v>0</v>
      </c>
      <c r="DIW23" s="1902">
        <f t="shared" si="306"/>
        <v>0</v>
      </c>
      <c r="DIX23" s="1902">
        <f t="shared" si="306"/>
        <v>0</v>
      </c>
      <c r="DIY23" s="1902">
        <f t="shared" si="306"/>
        <v>0</v>
      </c>
      <c r="DIZ23" s="1902">
        <f t="shared" si="306"/>
        <v>0</v>
      </c>
      <c r="DJA23" s="1902">
        <f t="shared" si="306"/>
        <v>0</v>
      </c>
      <c r="DJB23" s="1902">
        <f t="shared" si="306"/>
        <v>0</v>
      </c>
      <c r="DJC23" s="1902">
        <f t="shared" si="306"/>
        <v>0</v>
      </c>
      <c r="DJD23" s="1902">
        <f t="shared" si="306"/>
        <v>0</v>
      </c>
      <c r="DJE23" s="1902">
        <f t="shared" si="306"/>
        <v>0</v>
      </c>
      <c r="DJF23" s="1902">
        <f t="shared" si="306"/>
        <v>0</v>
      </c>
      <c r="DJG23" s="1902">
        <f t="shared" si="306"/>
        <v>0</v>
      </c>
      <c r="DJH23" s="1902">
        <f t="shared" si="306"/>
        <v>0</v>
      </c>
      <c r="DJI23" s="1902">
        <f t="shared" si="306"/>
        <v>0</v>
      </c>
      <c r="DJJ23" s="1902">
        <f t="shared" si="306"/>
        <v>0</v>
      </c>
      <c r="DJK23" s="1902">
        <f t="shared" si="306"/>
        <v>0</v>
      </c>
      <c r="DJL23" s="1902">
        <f t="shared" si="306"/>
        <v>0</v>
      </c>
      <c r="DJM23" s="1902">
        <f t="shared" si="306"/>
        <v>0</v>
      </c>
      <c r="DJN23" s="1902">
        <f t="shared" si="306"/>
        <v>0</v>
      </c>
      <c r="DJO23" s="1902">
        <f t="shared" si="306"/>
        <v>0</v>
      </c>
      <c r="DJP23" s="1902">
        <f t="shared" si="306"/>
        <v>0</v>
      </c>
      <c r="DJQ23" s="1902">
        <f t="shared" si="306"/>
        <v>0</v>
      </c>
      <c r="DJR23" s="1902">
        <f t="shared" si="306"/>
        <v>0</v>
      </c>
      <c r="DJS23" s="1902">
        <f t="shared" si="306"/>
        <v>0</v>
      </c>
      <c r="DJT23" s="1902">
        <f t="shared" si="306"/>
        <v>0</v>
      </c>
      <c r="DJU23" s="1902">
        <f t="shared" si="306"/>
        <v>0</v>
      </c>
      <c r="DJV23" s="1902">
        <f t="shared" si="306"/>
        <v>0</v>
      </c>
      <c r="DJW23" s="1902">
        <f t="shared" si="306"/>
        <v>0</v>
      </c>
      <c r="DJX23" s="1902">
        <f t="shared" si="306"/>
        <v>0</v>
      </c>
      <c r="DJY23" s="1902">
        <f t="shared" si="306"/>
        <v>0</v>
      </c>
      <c r="DJZ23" s="1902">
        <f t="shared" si="306"/>
        <v>0</v>
      </c>
      <c r="DKA23" s="1902">
        <f t="shared" si="306"/>
        <v>0</v>
      </c>
      <c r="DKB23" s="1902">
        <f t="shared" si="306"/>
        <v>0</v>
      </c>
      <c r="DKC23" s="1902">
        <f t="shared" si="306"/>
        <v>0</v>
      </c>
      <c r="DKD23" s="1902">
        <f t="shared" si="306"/>
        <v>0</v>
      </c>
      <c r="DKE23" s="1902">
        <f t="shared" si="306"/>
        <v>0</v>
      </c>
      <c r="DKF23" s="1902">
        <f t="shared" si="306"/>
        <v>0</v>
      </c>
      <c r="DKG23" s="1902">
        <f t="shared" si="306"/>
        <v>0</v>
      </c>
      <c r="DKH23" s="1902">
        <f t="shared" si="306"/>
        <v>0</v>
      </c>
      <c r="DKI23" s="1902">
        <f t="shared" si="306"/>
        <v>0</v>
      </c>
      <c r="DKJ23" s="1902">
        <f t="shared" si="306"/>
        <v>0</v>
      </c>
      <c r="DKK23" s="1902">
        <f t="shared" si="306"/>
        <v>0</v>
      </c>
      <c r="DKL23" s="1902">
        <f t="shared" si="306"/>
        <v>0</v>
      </c>
      <c r="DKM23" s="1902">
        <f t="shared" si="306"/>
        <v>0</v>
      </c>
      <c r="DKN23" s="1902">
        <f t="shared" si="306"/>
        <v>0</v>
      </c>
      <c r="DKO23" s="1902">
        <f t="shared" si="306"/>
        <v>0</v>
      </c>
      <c r="DKP23" s="1902">
        <f t="shared" si="306"/>
        <v>0</v>
      </c>
      <c r="DKQ23" s="1902">
        <f t="shared" si="306"/>
        <v>0</v>
      </c>
      <c r="DKR23" s="1902">
        <f t="shared" si="306"/>
        <v>0</v>
      </c>
      <c r="DKS23" s="1902">
        <f t="shared" si="306"/>
        <v>0</v>
      </c>
      <c r="DKT23" s="1902">
        <f t="shared" si="306"/>
        <v>0</v>
      </c>
      <c r="DKU23" s="1902">
        <f t="shared" si="306"/>
        <v>0</v>
      </c>
      <c r="DKV23" s="1902">
        <f t="shared" si="306"/>
        <v>0</v>
      </c>
      <c r="DKW23" s="1902">
        <f t="shared" si="306"/>
        <v>0</v>
      </c>
      <c r="DKX23" s="1902">
        <f t="shared" si="306"/>
        <v>0</v>
      </c>
      <c r="DKY23" s="1902">
        <f t="shared" si="306"/>
        <v>0</v>
      </c>
      <c r="DKZ23" s="1902">
        <f t="shared" si="306"/>
        <v>0</v>
      </c>
      <c r="DLA23" s="1902">
        <f t="shared" si="306"/>
        <v>0</v>
      </c>
      <c r="DLB23" s="1902">
        <f t="shared" si="306"/>
        <v>0</v>
      </c>
      <c r="DLC23" s="1902">
        <f t="shared" ref="DLC23:DNN23" si="307">IF(AND(DLC$26="End of period",DLC$25="Revenue"),DLC10,0)</f>
        <v>0</v>
      </c>
      <c r="DLD23" s="1902">
        <f t="shared" si="307"/>
        <v>0</v>
      </c>
      <c r="DLE23" s="1902">
        <f t="shared" si="307"/>
        <v>0</v>
      </c>
      <c r="DLF23" s="1902">
        <f t="shared" si="307"/>
        <v>0</v>
      </c>
      <c r="DLG23" s="1902">
        <f t="shared" si="307"/>
        <v>0</v>
      </c>
      <c r="DLH23" s="1902">
        <f t="shared" si="307"/>
        <v>0</v>
      </c>
      <c r="DLI23" s="1902">
        <f t="shared" si="307"/>
        <v>0</v>
      </c>
      <c r="DLJ23" s="1902">
        <f t="shared" si="307"/>
        <v>0</v>
      </c>
      <c r="DLK23" s="1902">
        <f t="shared" si="307"/>
        <v>0</v>
      </c>
      <c r="DLL23" s="1902">
        <f t="shared" si="307"/>
        <v>0</v>
      </c>
      <c r="DLM23" s="1902">
        <f t="shared" si="307"/>
        <v>0</v>
      </c>
      <c r="DLN23" s="1902">
        <f t="shared" si="307"/>
        <v>0</v>
      </c>
      <c r="DLO23" s="1902">
        <f t="shared" si="307"/>
        <v>0</v>
      </c>
      <c r="DLP23" s="1902">
        <f t="shared" si="307"/>
        <v>0</v>
      </c>
      <c r="DLQ23" s="1902">
        <f t="shared" si="307"/>
        <v>0</v>
      </c>
      <c r="DLR23" s="1902">
        <f t="shared" si="307"/>
        <v>0</v>
      </c>
      <c r="DLS23" s="1902">
        <f t="shared" si="307"/>
        <v>0</v>
      </c>
      <c r="DLT23" s="1902">
        <f t="shared" si="307"/>
        <v>0</v>
      </c>
      <c r="DLU23" s="1902">
        <f t="shared" si="307"/>
        <v>0</v>
      </c>
      <c r="DLV23" s="1902">
        <f t="shared" si="307"/>
        <v>0</v>
      </c>
      <c r="DLW23" s="1902">
        <f t="shared" si="307"/>
        <v>0</v>
      </c>
      <c r="DLX23" s="1902">
        <f t="shared" si="307"/>
        <v>0</v>
      </c>
      <c r="DLY23" s="1902">
        <f t="shared" si="307"/>
        <v>0</v>
      </c>
      <c r="DLZ23" s="1902">
        <f t="shared" si="307"/>
        <v>0</v>
      </c>
      <c r="DMA23" s="1902">
        <f t="shared" si="307"/>
        <v>0</v>
      </c>
      <c r="DMB23" s="1902">
        <f t="shared" si="307"/>
        <v>0</v>
      </c>
      <c r="DMC23" s="1902">
        <f t="shared" si="307"/>
        <v>0</v>
      </c>
      <c r="DMD23" s="1902">
        <f t="shared" si="307"/>
        <v>0</v>
      </c>
      <c r="DME23" s="1902">
        <f t="shared" si="307"/>
        <v>0</v>
      </c>
      <c r="DMF23" s="1902">
        <f t="shared" si="307"/>
        <v>0</v>
      </c>
      <c r="DMG23" s="1902">
        <f t="shared" si="307"/>
        <v>0</v>
      </c>
      <c r="DMH23" s="1902">
        <f t="shared" si="307"/>
        <v>0</v>
      </c>
      <c r="DMI23" s="1902">
        <f t="shared" si="307"/>
        <v>0</v>
      </c>
      <c r="DMJ23" s="1902">
        <f t="shared" si="307"/>
        <v>0</v>
      </c>
      <c r="DMK23" s="1902">
        <f t="shared" si="307"/>
        <v>0</v>
      </c>
      <c r="DML23" s="1902">
        <f t="shared" si="307"/>
        <v>0</v>
      </c>
      <c r="DMM23" s="1902">
        <f t="shared" si="307"/>
        <v>0</v>
      </c>
      <c r="DMN23" s="1902">
        <f t="shared" si="307"/>
        <v>0</v>
      </c>
      <c r="DMO23" s="1902">
        <f t="shared" si="307"/>
        <v>0</v>
      </c>
      <c r="DMP23" s="1902">
        <f t="shared" si="307"/>
        <v>0</v>
      </c>
      <c r="DMQ23" s="1902">
        <f t="shared" si="307"/>
        <v>0</v>
      </c>
      <c r="DMR23" s="1902">
        <f t="shared" si="307"/>
        <v>0</v>
      </c>
      <c r="DMS23" s="1902">
        <f t="shared" si="307"/>
        <v>0</v>
      </c>
      <c r="DMT23" s="1902">
        <f t="shared" si="307"/>
        <v>0</v>
      </c>
      <c r="DMU23" s="1902">
        <f t="shared" si="307"/>
        <v>0</v>
      </c>
      <c r="DMV23" s="1902">
        <f t="shared" si="307"/>
        <v>0</v>
      </c>
      <c r="DMW23" s="1902">
        <f t="shared" si="307"/>
        <v>0</v>
      </c>
      <c r="DMX23" s="1902">
        <f t="shared" si="307"/>
        <v>0</v>
      </c>
      <c r="DMY23" s="1902">
        <f t="shared" si="307"/>
        <v>0</v>
      </c>
      <c r="DMZ23" s="1902">
        <f t="shared" si="307"/>
        <v>0</v>
      </c>
      <c r="DNA23" s="1902">
        <f t="shared" si="307"/>
        <v>0</v>
      </c>
      <c r="DNB23" s="1902">
        <f t="shared" si="307"/>
        <v>0</v>
      </c>
      <c r="DNC23" s="1902">
        <f t="shared" si="307"/>
        <v>0</v>
      </c>
      <c r="DND23" s="1902">
        <f t="shared" si="307"/>
        <v>0</v>
      </c>
      <c r="DNE23" s="1902">
        <f t="shared" si="307"/>
        <v>0</v>
      </c>
      <c r="DNF23" s="1902">
        <f t="shared" si="307"/>
        <v>0</v>
      </c>
      <c r="DNG23" s="1902">
        <f t="shared" si="307"/>
        <v>0</v>
      </c>
      <c r="DNH23" s="1902">
        <f t="shared" si="307"/>
        <v>0</v>
      </c>
      <c r="DNI23" s="1902">
        <f t="shared" si="307"/>
        <v>0</v>
      </c>
      <c r="DNJ23" s="1902">
        <f t="shared" si="307"/>
        <v>0</v>
      </c>
      <c r="DNK23" s="1902">
        <f t="shared" si="307"/>
        <v>0</v>
      </c>
      <c r="DNL23" s="1902">
        <f t="shared" si="307"/>
        <v>0</v>
      </c>
      <c r="DNM23" s="1902">
        <f t="shared" si="307"/>
        <v>0</v>
      </c>
      <c r="DNN23" s="1902">
        <f t="shared" si="307"/>
        <v>0</v>
      </c>
      <c r="DNO23" s="1902">
        <f t="shared" ref="DNO23:DPZ23" si="308">IF(AND(DNO$26="End of period",DNO$25="Revenue"),DNO10,0)</f>
        <v>0</v>
      </c>
      <c r="DNP23" s="1902">
        <f t="shared" si="308"/>
        <v>0</v>
      </c>
      <c r="DNQ23" s="1902">
        <f t="shared" si="308"/>
        <v>0</v>
      </c>
      <c r="DNR23" s="1902">
        <f t="shared" si="308"/>
        <v>0</v>
      </c>
      <c r="DNS23" s="1902">
        <f t="shared" si="308"/>
        <v>0</v>
      </c>
      <c r="DNT23" s="1902">
        <f t="shared" si="308"/>
        <v>0</v>
      </c>
      <c r="DNU23" s="1902">
        <f t="shared" si="308"/>
        <v>0</v>
      </c>
      <c r="DNV23" s="1902">
        <f t="shared" si="308"/>
        <v>0</v>
      </c>
      <c r="DNW23" s="1902">
        <f t="shared" si="308"/>
        <v>0</v>
      </c>
      <c r="DNX23" s="1902">
        <f t="shared" si="308"/>
        <v>0</v>
      </c>
      <c r="DNY23" s="1902">
        <f t="shared" si="308"/>
        <v>0</v>
      </c>
      <c r="DNZ23" s="1902">
        <f t="shared" si="308"/>
        <v>0</v>
      </c>
      <c r="DOA23" s="1902">
        <f t="shared" si="308"/>
        <v>0</v>
      </c>
      <c r="DOB23" s="1902">
        <f t="shared" si="308"/>
        <v>0</v>
      </c>
      <c r="DOC23" s="1902">
        <f t="shared" si="308"/>
        <v>0</v>
      </c>
      <c r="DOD23" s="1902">
        <f t="shared" si="308"/>
        <v>0</v>
      </c>
      <c r="DOE23" s="1902">
        <f t="shared" si="308"/>
        <v>0</v>
      </c>
      <c r="DOF23" s="1902">
        <f t="shared" si="308"/>
        <v>0</v>
      </c>
      <c r="DOG23" s="1902">
        <f t="shared" si="308"/>
        <v>0</v>
      </c>
      <c r="DOH23" s="1902">
        <f t="shared" si="308"/>
        <v>0</v>
      </c>
      <c r="DOI23" s="1902">
        <f t="shared" si="308"/>
        <v>0</v>
      </c>
      <c r="DOJ23" s="1902">
        <f t="shared" si="308"/>
        <v>0</v>
      </c>
      <c r="DOK23" s="1902">
        <f t="shared" si="308"/>
        <v>0</v>
      </c>
      <c r="DOL23" s="1902">
        <f t="shared" si="308"/>
        <v>0</v>
      </c>
      <c r="DOM23" s="1902">
        <f t="shared" si="308"/>
        <v>0</v>
      </c>
      <c r="DON23" s="1902">
        <f t="shared" si="308"/>
        <v>0</v>
      </c>
      <c r="DOO23" s="1902">
        <f t="shared" si="308"/>
        <v>0</v>
      </c>
      <c r="DOP23" s="1902">
        <f t="shared" si="308"/>
        <v>0</v>
      </c>
      <c r="DOQ23" s="1902">
        <f t="shared" si="308"/>
        <v>0</v>
      </c>
      <c r="DOR23" s="1902">
        <f t="shared" si="308"/>
        <v>0</v>
      </c>
      <c r="DOS23" s="1902">
        <f t="shared" si="308"/>
        <v>0</v>
      </c>
      <c r="DOT23" s="1902">
        <f t="shared" si="308"/>
        <v>0</v>
      </c>
      <c r="DOU23" s="1902">
        <f t="shared" si="308"/>
        <v>0</v>
      </c>
      <c r="DOV23" s="1902">
        <f t="shared" si="308"/>
        <v>0</v>
      </c>
      <c r="DOW23" s="1902">
        <f t="shared" si="308"/>
        <v>0</v>
      </c>
      <c r="DOX23" s="1902">
        <f t="shared" si="308"/>
        <v>0</v>
      </c>
      <c r="DOY23" s="1902">
        <f t="shared" si="308"/>
        <v>0</v>
      </c>
      <c r="DOZ23" s="1902">
        <f t="shared" si="308"/>
        <v>0</v>
      </c>
      <c r="DPA23" s="1902">
        <f t="shared" si="308"/>
        <v>0</v>
      </c>
      <c r="DPB23" s="1902">
        <f t="shared" si="308"/>
        <v>0</v>
      </c>
      <c r="DPC23" s="1902">
        <f t="shared" si="308"/>
        <v>0</v>
      </c>
      <c r="DPD23" s="1902">
        <f t="shared" si="308"/>
        <v>0</v>
      </c>
      <c r="DPE23" s="1902">
        <f t="shared" si="308"/>
        <v>0</v>
      </c>
      <c r="DPF23" s="1902">
        <f t="shared" si="308"/>
        <v>0</v>
      </c>
      <c r="DPG23" s="1902">
        <f t="shared" si="308"/>
        <v>0</v>
      </c>
      <c r="DPH23" s="1902">
        <f t="shared" si="308"/>
        <v>0</v>
      </c>
      <c r="DPI23" s="1902">
        <f t="shared" si="308"/>
        <v>0</v>
      </c>
      <c r="DPJ23" s="1902">
        <f t="shared" si="308"/>
        <v>0</v>
      </c>
      <c r="DPK23" s="1902">
        <f t="shared" si="308"/>
        <v>0</v>
      </c>
      <c r="DPL23" s="1902">
        <f t="shared" si="308"/>
        <v>0</v>
      </c>
      <c r="DPM23" s="1902">
        <f t="shared" si="308"/>
        <v>0</v>
      </c>
      <c r="DPN23" s="1902">
        <f t="shared" si="308"/>
        <v>0</v>
      </c>
      <c r="DPO23" s="1902">
        <f t="shared" si="308"/>
        <v>0</v>
      </c>
      <c r="DPP23" s="1902">
        <f t="shared" si="308"/>
        <v>0</v>
      </c>
      <c r="DPQ23" s="1902">
        <f t="shared" si="308"/>
        <v>0</v>
      </c>
      <c r="DPR23" s="1902">
        <f t="shared" si="308"/>
        <v>0</v>
      </c>
      <c r="DPS23" s="1902">
        <f t="shared" si="308"/>
        <v>0</v>
      </c>
      <c r="DPT23" s="1902">
        <f t="shared" si="308"/>
        <v>0</v>
      </c>
      <c r="DPU23" s="1902">
        <f t="shared" si="308"/>
        <v>0</v>
      </c>
      <c r="DPV23" s="1902">
        <f t="shared" si="308"/>
        <v>0</v>
      </c>
      <c r="DPW23" s="1902">
        <f t="shared" si="308"/>
        <v>0</v>
      </c>
      <c r="DPX23" s="1902">
        <f t="shared" si="308"/>
        <v>0</v>
      </c>
      <c r="DPY23" s="1902">
        <f t="shared" si="308"/>
        <v>0</v>
      </c>
      <c r="DPZ23" s="1902">
        <f t="shared" si="308"/>
        <v>0</v>
      </c>
      <c r="DQA23" s="1902">
        <f t="shared" ref="DQA23:DSL23" si="309">IF(AND(DQA$26="End of period",DQA$25="Revenue"),DQA10,0)</f>
        <v>0</v>
      </c>
      <c r="DQB23" s="1902">
        <f t="shared" si="309"/>
        <v>0</v>
      </c>
      <c r="DQC23" s="1902">
        <f t="shared" si="309"/>
        <v>0</v>
      </c>
      <c r="DQD23" s="1902">
        <f t="shared" si="309"/>
        <v>0</v>
      </c>
      <c r="DQE23" s="1902">
        <f t="shared" si="309"/>
        <v>0</v>
      </c>
      <c r="DQF23" s="1902">
        <f t="shared" si="309"/>
        <v>0</v>
      </c>
      <c r="DQG23" s="1902">
        <f t="shared" si="309"/>
        <v>0</v>
      </c>
      <c r="DQH23" s="1902">
        <f t="shared" si="309"/>
        <v>0</v>
      </c>
      <c r="DQI23" s="1902">
        <f t="shared" si="309"/>
        <v>0</v>
      </c>
      <c r="DQJ23" s="1902">
        <f t="shared" si="309"/>
        <v>0</v>
      </c>
      <c r="DQK23" s="1902">
        <f t="shared" si="309"/>
        <v>0</v>
      </c>
      <c r="DQL23" s="1902">
        <f t="shared" si="309"/>
        <v>0</v>
      </c>
      <c r="DQM23" s="1902">
        <f t="shared" si="309"/>
        <v>0</v>
      </c>
      <c r="DQN23" s="1902">
        <f t="shared" si="309"/>
        <v>0</v>
      </c>
      <c r="DQO23" s="1902">
        <f t="shared" si="309"/>
        <v>0</v>
      </c>
      <c r="DQP23" s="1902">
        <f t="shared" si="309"/>
        <v>0</v>
      </c>
      <c r="DQQ23" s="1902">
        <f t="shared" si="309"/>
        <v>0</v>
      </c>
      <c r="DQR23" s="1902">
        <f t="shared" si="309"/>
        <v>0</v>
      </c>
      <c r="DQS23" s="1902">
        <f t="shared" si="309"/>
        <v>0</v>
      </c>
      <c r="DQT23" s="1902">
        <f t="shared" si="309"/>
        <v>0</v>
      </c>
      <c r="DQU23" s="1902">
        <f t="shared" si="309"/>
        <v>0</v>
      </c>
      <c r="DQV23" s="1902">
        <f t="shared" si="309"/>
        <v>0</v>
      </c>
      <c r="DQW23" s="1902">
        <f t="shared" si="309"/>
        <v>0</v>
      </c>
      <c r="DQX23" s="1902">
        <f t="shared" si="309"/>
        <v>0</v>
      </c>
      <c r="DQY23" s="1902">
        <f t="shared" si="309"/>
        <v>0</v>
      </c>
      <c r="DQZ23" s="1902">
        <f t="shared" si="309"/>
        <v>0</v>
      </c>
      <c r="DRA23" s="1902">
        <f t="shared" si="309"/>
        <v>0</v>
      </c>
      <c r="DRB23" s="1902">
        <f t="shared" si="309"/>
        <v>0</v>
      </c>
      <c r="DRC23" s="1902">
        <f t="shared" si="309"/>
        <v>0</v>
      </c>
      <c r="DRD23" s="1902">
        <f t="shared" si="309"/>
        <v>0</v>
      </c>
      <c r="DRE23" s="1902">
        <f t="shared" si="309"/>
        <v>0</v>
      </c>
      <c r="DRF23" s="1902">
        <f t="shared" si="309"/>
        <v>0</v>
      </c>
      <c r="DRG23" s="1902">
        <f t="shared" si="309"/>
        <v>0</v>
      </c>
      <c r="DRH23" s="1902">
        <f t="shared" si="309"/>
        <v>0</v>
      </c>
      <c r="DRI23" s="1902">
        <f t="shared" si="309"/>
        <v>0</v>
      </c>
      <c r="DRJ23" s="1902">
        <f t="shared" si="309"/>
        <v>0</v>
      </c>
      <c r="DRK23" s="1902">
        <f t="shared" si="309"/>
        <v>0</v>
      </c>
      <c r="DRL23" s="1902">
        <f t="shared" si="309"/>
        <v>0</v>
      </c>
      <c r="DRM23" s="1902">
        <f t="shared" si="309"/>
        <v>0</v>
      </c>
      <c r="DRN23" s="1902">
        <f t="shared" si="309"/>
        <v>0</v>
      </c>
      <c r="DRO23" s="1902">
        <f t="shared" si="309"/>
        <v>0</v>
      </c>
      <c r="DRP23" s="1902">
        <f t="shared" si="309"/>
        <v>0</v>
      </c>
      <c r="DRQ23" s="1902">
        <f t="shared" si="309"/>
        <v>0</v>
      </c>
      <c r="DRR23" s="1902">
        <f t="shared" si="309"/>
        <v>0</v>
      </c>
      <c r="DRS23" s="1902">
        <f t="shared" si="309"/>
        <v>0</v>
      </c>
      <c r="DRT23" s="1902">
        <f t="shared" si="309"/>
        <v>0</v>
      </c>
      <c r="DRU23" s="1902">
        <f t="shared" si="309"/>
        <v>0</v>
      </c>
      <c r="DRV23" s="1902">
        <f t="shared" si="309"/>
        <v>0</v>
      </c>
      <c r="DRW23" s="1902">
        <f t="shared" si="309"/>
        <v>0</v>
      </c>
      <c r="DRX23" s="1902">
        <f t="shared" si="309"/>
        <v>0</v>
      </c>
      <c r="DRY23" s="1902">
        <f t="shared" si="309"/>
        <v>0</v>
      </c>
      <c r="DRZ23" s="1902">
        <f t="shared" si="309"/>
        <v>0</v>
      </c>
      <c r="DSA23" s="1902">
        <f t="shared" si="309"/>
        <v>0</v>
      </c>
      <c r="DSB23" s="1902">
        <f t="shared" si="309"/>
        <v>0</v>
      </c>
      <c r="DSC23" s="1902">
        <f t="shared" si="309"/>
        <v>0</v>
      </c>
      <c r="DSD23" s="1902">
        <f t="shared" si="309"/>
        <v>0</v>
      </c>
      <c r="DSE23" s="1902">
        <f t="shared" si="309"/>
        <v>0</v>
      </c>
      <c r="DSF23" s="1902">
        <f t="shared" si="309"/>
        <v>0</v>
      </c>
      <c r="DSG23" s="1902">
        <f t="shared" si="309"/>
        <v>0</v>
      </c>
      <c r="DSH23" s="1902">
        <f t="shared" si="309"/>
        <v>0</v>
      </c>
      <c r="DSI23" s="1902">
        <f t="shared" si="309"/>
        <v>0</v>
      </c>
      <c r="DSJ23" s="1902">
        <f t="shared" si="309"/>
        <v>0</v>
      </c>
      <c r="DSK23" s="1902">
        <f t="shared" si="309"/>
        <v>0</v>
      </c>
      <c r="DSL23" s="1902">
        <f t="shared" si="309"/>
        <v>0</v>
      </c>
      <c r="DSM23" s="1902">
        <f t="shared" ref="DSM23:DUX23" si="310">IF(AND(DSM$26="End of period",DSM$25="Revenue"),DSM10,0)</f>
        <v>0</v>
      </c>
      <c r="DSN23" s="1902">
        <f t="shared" si="310"/>
        <v>0</v>
      </c>
      <c r="DSO23" s="1902">
        <f t="shared" si="310"/>
        <v>0</v>
      </c>
      <c r="DSP23" s="1902">
        <f t="shared" si="310"/>
        <v>0</v>
      </c>
      <c r="DSQ23" s="1902">
        <f t="shared" si="310"/>
        <v>0</v>
      </c>
      <c r="DSR23" s="1902">
        <f t="shared" si="310"/>
        <v>0</v>
      </c>
      <c r="DSS23" s="1902">
        <f t="shared" si="310"/>
        <v>0</v>
      </c>
      <c r="DST23" s="1902">
        <f t="shared" si="310"/>
        <v>0</v>
      </c>
      <c r="DSU23" s="1902">
        <f t="shared" si="310"/>
        <v>0</v>
      </c>
      <c r="DSV23" s="1902">
        <f t="shared" si="310"/>
        <v>0</v>
      </c>
      <c r="DSW23" s="1902">
        <f t="shared" si="310"/>
        <v>0</v>
      </c>
      <c r="DSX23" s="1902">
        <f t="shared" si="310"/>
        <v>0</v>
      </c>
      <c r="DSY23" s="1902">
        <f t="shared" si="310"/>
        <v>0</v>
      </c>
      <c r="DSZ23" s="1902">
        <f t="shared" si="310"/>
        <v>0</v>
      </c>
      <c r="DTA23" s="1902">
        <f t="shared" si="310"/>
        <v>0</v>
      </c>
      <c r="DTB23" s="1902">
        <f t="shared" si="310"/>
        <v>0</v>
      </c>
      <c r="DTC23" s="1902">
        <f t="shared" si="310"/>
        <v>0</v>
      </c>
      <c r="DTD23" s="1902">
        <f t="shared" si="310"/>
        <v>0</v>
      </c>
      <c r="DTE23" s="1902">
        <f t="shared" si="310"/>
        <v>0</v>
      </c>
      <c r="DTF23" s="1902">
        <f t="shared" si="310"/>
        <v>0</v>
      </c>
      <c r="DTG23" s="1902">
        <f t="shared" si="310"/>
        <v>0</v>
      </c>
      <c r="DTH23" s="1902">
        <f t="shared" si="310"/>
        <v>0</v>
      </c>
      <c r="DTI23" s="1902">
        <f t="shared" si="310"/>
        <v>0</v>
      </c>
      <c r="DTJ23" s="1902">
        <f t="shared" si="310"/>
        <v>0</v>
      </c>
      <c r="DTK23" s="1902">
        <f t="shared" si="310"/>
        <v>0</v>
      </c>
      <c r="DTL23" s="1902">
        <f t="shared" si="310"/>
        <v>0</v>
      </c>
      <c r="DTM23" s="1902">
        <f t="shared" si="310"/>
        <v>0</v>
      </c>
      <c r="DTN23" s="1902">
        <f t="shared" si="310"/>
        <v>0</v>
      </c>
      <c r="DTO23" s="1902">
        <f t="shared" si="310"/>
        <v>0</v>
      </c>
      <c r="DTP23" s="1902">
        <f t="shared" si="310"/>
        <v>0</v>
      </c>
      <c r="DTQ23" s="1902">
        <f t="shared" si="310"/>
        <v>0</v>
      </c>
      <c r="DTR23" s="1902">
        <f t="shared" si="310"/>
        <v>0</v>
      </c>
      <c r="DTS23" s="1902">
        <f t="shared" si="310"/>
        <v>0</v>
      </c>
      <c r="DTT23" s="1902">
        <f t="shared" si="310"/>
        <v>0</v>
      </c>
      <c r="DTU23" s="1902">
        <f t="shared" si="310"/>
        <v>0</v>
      </c>
      <c r="DTV23" s="1902">
        <f t="shared" si="310"/>
        <v>0</v>
      </c>
      <c r="DTW23" s="1902">
        <f t="shared" si="310"/>
        <v>0</v>
      </c>
      <c r="DTX23" s="1902">
        <f t="shared" si="310"/>
        <v>0</v>
      </c>
      <c r="DTY23" s="1902">
        <f t="shared" si="310"/>
        <v>0</v>
      </c>
      <c r="DTZ23" s="1902">
        <f t="shared" si="310"/>
        <v>0</v>
      </c>
      <c r="DUA23" s="1902">
        <f t="shared" si="310"/>
        <v>0</v>
      </c>
      <c r="DUB23" s="1902">
        <f t="shared" si="310"/>
        <v>0</v>
      </c>
      <c r="DUC23" s="1902">
        <f t="shared" si="310"/>
        <v>0</v>
      </c>
      <c r="DUD23" s="1902">
        <f t="shared" si="310"/>
        <v>0</v>
      </c>
      <c r="DUE23" s="1902">
        <f t="shared" si="310"/>
        <v>0</v>
      </c>
      <c r="DUF23" s="1902">
        <f t="shared" si="310"/>
        <v>0</v>
      </c>
      <c r="DUG23" s="1902">
        <f t="shared" si="310"/>
        <v>0</v>
      </c>
      <c r="DUH23" s="1902">
        <f t="shared" si="310"/>
        <v>0</v>
      </c>
      <c r="DUI23" s="1902">
        <f t="shared" si="310"/>
        <v>0</v>
      </c>
      <c r="DUJ23" s="1902">
        <f t="shared" si="310"/>
        <v>0</v>
      </c>
      <c r="DUK23" s="1902">
        <f t="shared" si="310"/>
        <v>0</v>
      </c>
      <c r="DUL23" s="1902">
        <f t="shared" si="310"/>
        <v>0</v>
      </c>
      <c r="DUM23" s="1902">
        <f t="shared" si="310"/>
        <v>0</v>
      </c>
      <c r="DUN23" s="1902">
        <f t="shared" si="310"/>
        <v>0</v>
      </c>
      <c r="DUO23" s="1902">
        <f t="shared" si="310"/>
        <v>0</v>
      </c>
      <c r="DUP23" s="1902">
        <f t="shared" si="310"/>
        <v>0</v>
      </c>
      <c r="DUQ23" s="1902">
        <f t="shared" si="310"/>
        <v>0</v>
      </c>
      <c r="DUR23" s="1902">
        <f t="shared" si="310"/>
        <v>0</v>
      </c>
      <c r="DUS23" s="1902">
        <f t="shared" si="310"/>
        <v>0</v>
      </c>
      <c r="DUT23" s="1902">
        <f t="shared" si="310"/>
        <v>0</v>
      </c>
      <c r="DUU23" s="1902">
        <f t="shared" si="310"/>
        <v>0</v>
      </c>
      <c r="DUV23" s="1902">
        <f t="shared" si="310"/>
        <v>0</v>
      </c>
      <c r="DUW23" s="1902">
        <f t="shared" si="310"/>
        <v>0</v>
      </c>
      <c r="DUX23" s="1902">
        <f t="shared" si="310"/>
        <v>0</v>
      </c>
      <c r="DUY23" s="1902">
        <f t="shared" ref="DUY23:DXJ23" si="311">IF(AND(DUY$26="End of period",DUY$25="Revenue"),DUY10,0)</f>
        <v>0</v>
      </c>
      <c r="DUZ23" s="1902">
        <f t="shared" si="311"/>
        <v>0</v>
      </c>
      <c r="DVA23" s="1902">
        <f t="shared" si="311"/>
        <v>0</v>
      </c>
      <c r="DVB23" s="1902">
        <f t="shared" si="311"/>
        <v>0</v>
      </c>
      <c r="DVC23" s="1902">
        <f t="shared" si="311"/>
        <v>0</v>
      </c>
      <c r="DVD23" s="1902">
        <f t="shared" si="311"/>
        <v>0</v>
      </c>
      <c r="DVE23" s="1902">
        <f t="shared" si="311"/>
        <v>0</v>
      </c>
      <c r="DVF23" s="1902">
        <f t="shared" si="311"/>
        <v>0</v>
      </c>
      <c r="DVG23" s="1902">
        <f t="shared" si="311"/>
        <v>0</v>
      </c>
      <c r="DVH23" s="1902">
        <f t="shared" si="311"/>
        <v>0</v>
      </c>
      <c r="DVI23" s="1902">
        <f t="shared" si="311"/>
        <v>0</v>
      </c>
      <c r="DVJ23" s="1902">
        <f t="shared" si="311"/>
        <v>0</v>
      </c>
      <c r="DVK23" s="1902">
        <f t="shared" si="311"/>
        <v>0</v>
      </c>
      <c r="DVL23" s="1902">
        <f t="shared" si="311"/>
        <v>0</v>
      </c>
      <c r="DVM23" s="1902">
        <f t="shared" si="311"/>
        <v>0</v>
      </c>
      <c r="DVN23" s="1902">
        <f t="shared" si="311"/>
        <v>0</v>
      </c>
      <c r="DVO23" s="1902">
        <f t="shared" si="311"/>
        <v>0</v>
      </c>
      <c r="DVP23" s="1902">
        <f t="shared" si="311"/>
        <v>0</v>
      </c>
      <c r="DVQ23" s="1902">
        <f t="shared" si="311"/>
        <v>0</v>
      </c>
      <c r="DVR23" s="1902">
        <f t="shared" si="311"/>
        <v>0</v>
      </c>
      <c r="DVS23" s="1902">
        <f t="shared" si="311"/>
        <v>0</v>
      </c>
      <c r="DVT23" s="1902">
        <f t="shared" si="311"/>
        <v>0</v>
      </c>
      <c r="DVU23" s="1902">
        <f t="shared" si="311"/>
        <v>0</v>
      </c>
      <c r="DVV23" s="1902">
        <f t="shared" si="311"/>
        <v>0</v>
      </c>
      <c r="DVW23" s="1902">
        <f t="shared" si="311"/>
        <v>0</v>
      </c>
      <c r="DVX23" s="1902">
        <f t="shared" si="311"/>
        <v>0</v>
      </c>
      <c r="DVY23" s="1902">
        <f t="shared" si="311"/>
        <v>0</v>
      </c>
      <c r="DVZ23" s="1902">
        <f t="shared" si="311"/>
        <v>0</v>
      </c>
      <c r="DWA23" s="1902">
        <f t="shared" si="311"/>
        <v>0</v>
      </c>
      <c r="DWB23" s="1902">
        <f t="shared" si="311"/>
        <v>0</v>
      </c>
      <c r="DWC23" s="1902">
        <f t="shared" si="311"/>
        <v>0</v>
      </c>
      <c r="DWD23" s="1902">
        <f t="shared" si="311"/>
        <v>0</v>
      </c>
      <c r="DWE23" s="1902">
        <f t="shared" si="311"/>
        <v>0</v>
      </c>
      <c r="DWF23" s="1902">
        <f t="shared" si="311"/>
        <v>0</v>
      </c>
      <c r="DWG23" s="1902">
        <f t="shared" si="311"/>
        <v>0</v>
      </c>
      <c r="DWH23" s="1902">
        <f t="shared" si="311"/>
        <v>0</v>
      </c>
      <c r="DWI23" s="1902">
        <f t="shared" si="311"/>
        <v>0</v>
      </c>
      <c r="DWJ23" s="1902">
        <f t="shared" si="311"/>
        <v>0</v>
      </c>
      <c r="DWK23" s="1902">
        <f t="shared" si="311"/>
        <v>0</v>
      </c>
      <c r="DWL23" s="1902">
        <f t="shared" si="311"/>
        <v>0</v>
      </c>
      <c r="DWM23" s="1902">
        <f t="shared" si="311"/>
        <v>0</v>
      </c>
      <c r="DWN23" s="1902">
        <f t="shared" si="311"/>
        <v>0</v>
      </c>
      <c r="DWO23" s="1902">
        <f t="shared" si="311"/>
        <v>0</v>
      </c>
      <c r="DWP23" s="1902">
        <f t="shared" si="311"/>
        <v>0</v>
      </c>
      <c r="DWQ23" s="1902">
        <f t="shared" si="311"/>
        <v>0</v>
      </c>
      <c r="DWR23" s="1902">
        <f t="shared" si="311"/>
        <v>0</v>
      </c>
      <c r="DWS23" s="1902">
        <f t="shared" si="311"/>
        <v>0</v>
      </c>
      <c r="DWT23" s="1902">
        <f t="shared" si="311"/>
        <v>0</v>
      </c>
      <c r="DWU23" s="1902">
        <f t="shared" si="311"/>
        <v>0</v>
      </c>
      <c r="DWV23" s="1902">
        <f t="shared" si="311"/>
        <v>0</v>
      </c>
      <c r="DWW23" s="1902">
        <f t="shared" si="311"/>
        <v>0</v>
      </c>
      <c r="DWX23" s="1902">
        <f t="shared" si="311"/>
        <v>0</v>
      </c>
      <c r="DWY23" s="1902">
        <f t="shared" si="311"/>
        <v>0</v>
      </c>
      <c r="DWZ23" s="1902">
        <f t="shared" si="311"/>
        <v>0</v>
      </c>
      <c r="DXA23" s="1902">
        <f t="shared" si="311"/>
        <v>0</v>
      </c>
      <c r="DXB23" s="1902">
        <f t="shared" si="311"/>
        <v>0</v>
      </c>
      <c r="DXC23" s="1902">
        <f t="shared" si="311"/>
        <v>0</v>
      </c>
      <c r="DXD23" s="1902">
        <f t="shared" si="311"/>
        <v>0</v>
      </c>
      <c r="DXE23" s="1902">
        <f t="shared" si="311"/>
        <v>0</v>
      </c>
      <c r="DXF23" s="1902">
        <f t="shared" si="311"/>
        <v>0</v>
      </c>
      <c r="DXG23" s="1902">
        <f t="shared" si="311"/>
        <v>0</v>
      </c>
      <c r="DXH23" s="1902">
        <f t="shared" si="311"/>
        <v>0</v>
      </c>
      <c r="DXI23" s="1902">
        <f t="shared" si="311"/>
        <v>0</v>
      </c>
      <c r="DXJ23" s="1902">
        <f t="shared" si="311"/>
        <v>0</v>
      </c>
      <c r="DXK23" s="1902">
        <f t="shared" ref="DXK23:DZV23" si="312">IF(AND(DXK$26="End of period",DXK$25="Revenue"),DXK10,0)</f>
        <v>0</v>
      </c>
      <c r="DXL23" s="1902">
        <f t="shared" si="312"/>
        <v>0</v>
      </c>
      <c r="DXM23" s="1902">
        <f t="shared" si="312"/>
        <v>0</v>
      </c>
      <c r="DXN23" s="1902">
        <f t="shared" si="312"/>
        <v>0</v>
      </c>
      <c r="DXO23" s="1902">
        <f t="shared" si="312"/>
        <v>0</v>
      </c>
      <c r="DXP23" s="1902">
        <f t="shared" si="312"/>
        <v>0</v>
      </c>
      <c r="DXQ23" s="1902">
        <f t="shared" si="312"/>
        <v>0</v>
      </c>
      <c r="DXR23" s="1902">
        <f t="shared" si="312"/>
        <v>0</v>
      </c>
      <c r="DXS23" s="1902">
        <f t="shared" si="312"/>
        <v>0</v>
      </c>
      <c r="DXT23" s="1902">
        <f t="shared" si="312"/>
        <v>0</v>
      </c>
      <c r="DXU23" s="1902">
        <f t="shared" si="312"/>
        <v>0</v>
      </c>
      <c r="DXV23" s="1902">
        <f t="shared" si="312"/>
        <v>0</v>
      </c>
      <c r="DXW23" s="1902">
        <f t="shared" si="312"/>
        <v>0</v>
      </c>
      <c r="DXX23" s="1902">
        <f t="shared" si="312"/>
        <v>0</v>
      </c>
      <c r="DXY23" s="1902">
        <f t="shared" si="312"/>
        <v>0</v>
      </c>
      <c r="DXZ23" s="1902">
        <f t="shared" si="312"/>
        <v>0</v>
      </c>
      <c r="DYA23" s="1902">
        <f t="shared" si="312"/>
        <v>0</v>
      </c>
      <c r="DYB23" s="1902">
        <f t="shared" si="312"/>
        <v>0</v>
      </c>
      <c r="DYC23" s="1902">
        <f t="shared" si="312"/>
        <v>0</v>
      </c>
      <c r="DYD23" s="1902">
        <f t="shared" si="312"/>
        <v>0</v>
      </c>
      <c r="DYE23" s="1902">
        <f t="shared" si="312"/>
        <v>0</v>
      </c>
      <c r="DYF23" s="1902">
        <f t="shared" si="312"/>
        <v>0</v>
      </c>
      <c r="DYG23" s="1902">
        <f t="shared" si="312"/>
        <v>0</v>
      </c>
      <c r="DYH23" s="1902">
        <f t="shared" si="312"/>
        <v>0</v>
      </c>
      <c r="DYI23" s="1902">
        <f t="shared" si="312"/>
        <v>0</v>
      </c>
      <c r="DYJ23" s="1902">
        <f t="shared" si="312"/>
        <v>0</v>
      </c>
      <c r="DYK23" s="1902">
        <f t="shared" si="312"/>
        <v>0</v>
      </c>
      <c r="DYL23" s="1902">
        <f t="shared" si="312"/>
        <v>0</v>
      </c>
      <c r="DYM23" s="1902">
        <f t="shared" si="312"/>
        <v>0</v>
      </c>
      <c r="DYN23" s="1902">
        <f t="shared" si="312"/>
        <v>0</v>
      </c>
      <c r="DYO23" s="1902">
        <f t="shared" si="312"/>
        <v>0</v>
      </c>
      <c r="DYP23" s="1902">
        <f t="shared" si="312"/>
        <v>0</v>
      </c>
      <c r="DYQ23" s="1902">
        <f t="shared" si="312"/>
        <v>0</v>
      </c>
      <c r="DYR23" s="1902">
        <f t="shared" si="312"/>
        <v>0</v>
      </c>
      <c r="DYS23" s="1902">
        <f t="shared" si="312"/>
        <v>0</v>
      </c>
      <c r="DYT23" s="1902">
        <f t="shared" si="312"/>
        <v>0</v>
      </c>
      <c r="DYU23" s="1902">
        <f t="shared" si="312"/>
        <v>0</v>
      </c>
      <c r="DYV23" s="1902">
        <f t="shared" si="312"/>
        <v>0</v>
      </c>
      <c r="DYW23" s="1902">
        <f t="shared" si="312"/>
        <v>0</v>
      </c>
      <c r="DYX23" s="1902">
        <f t="shared" si="312"/>
        <v>0</v>
      </c>
      <c r="DYY23" s="1902">
        <f t="shared" si="312"/>
        <v>0</v>
      </c>
      <c r="DYZ23" s="1902">
        <f t="shared" si="312"/>
        <v>0</v>
      </c>
      <c r="DZA23" s="1902">
        <f t="shared" si="312"/>
        <v>0</v>
      </c>
      <c r="DZB23" s="1902">
        <f t="shared" si="312"/>
        <v>0</v>
      </c>
      <c r="DZC23" s="1902">
        <f t="shared" si="312"/>
        <v>0</v>
      </c>
      <c r="DZD23" s="1902">
        <f t="shared" si="312"/>
        <v>0</v>
      </c>
      <c r="DZE23" s="1902">
        <f t="shared" si="312"/>
        <v>0</v>
      </c>
      <c r="DZF23" s="1902">
        <f t="shared" si="312"/>
        <v>0</v>
      </c>
      <c r="DZG23" s="1902">
        <f t="shared" si="312"/>
        <v>0</v>
      </c>
      <c r="DZH23" s="1902">
        <f t="shared" si="312"/>
        <v>0</v>
      </c>
      <c r="DZI23" s="1902">
        <f t="shared" si="312"/>
        <v>0</v>
      </c>
      <c r="DZJ23" s="1902">
        <f t="shared" si="312"/>
        <v>0</v>
      </c>
      <c r="DZK23" s="1902">
        <f t="shared" si="312"/>
        <v>0</v>
      </c>
      <c r="DZL23" s="1902">
        <f t="shared" si="312"/>
        <v>0</v>
      </c>
      <c r="DZM23" s="1902">
        <f t="shared" si="312"/>
        <v>0</v>
      </c>
      <c r="DZN23" s="1902">
        <f t="shared" si="312"/>
        <v>0</v>
      </c>
      <c r="DZO23" s="1902">
        <f t="shared" si="312"/>
        <v>0</v>
      </c>
      <c r="DZP23" s="1902">
        <f t="shared" si="312"/>
        <v>0</v>
      </c>
      <c r="DZQ23" s="1902">
        <f t="shared" si="312"/>
        <v>0</v>
      </c>
      <c r="DZR23" s="1902">
        <f t="shared" si="312"/>
        <v>0</v>
      </c>
      <c r="DZS23" s="1902">
        <f t="shared" si="312"/>
        <v>0</v>
      </c>
      <c r="DZT23" s="1902">
        <f t="shared" si="312"/>
        <v>0</v>
      </c>
      <c r="DZU23" s="1902">
        <f t="shared" si="312"/>
        <v>0</v>
      </c>
      <c r="DZV23" s="1902">
        <f t="shared" si="312"/>
        <v>0</v>
      </c>
      <c r="DZW23" s="1902">
        <f t="shared" ref="DZW23:ECH23" si="313">IF(AND(DZW$26="End of period",DZW$25="Revenue"),DZW10,0)</f>
        <v>0</v>
      </c>
      <c r="DZX23" s="1902">
        <f t="shared" si="313"/>
        <v>0</v>
      </c>
      <c r="DZY23" s="1902">
        <f t="shared" si="313"/>
        <v>0</v>
      </c>
      <c r="DZZ23" s="1902">
        <f t="shared" si="313"/>
        <v>0</v>
      </c>
      <c r="EAA23" s="1902">
        <f t="shared" si="313"/>
        <v>0</v>
      </c>
      <c r="EAB23" s="1902">
        <f t="shared" si="313"/>
        <v>0</v>
      </c>
      <c r="EAC23" s="1902">
        <f t="shared" si="313"/>
        <v>0</v>
      </c>
      <c r="EAD23" s="1902">
        <f t="shared" si="313"/>
        <v>0</v>
      </c>
      <c r="EAE23" s="1902">
        <f t="shared" si="313"/>
        <v>0</v>
      </c>
      <c r="EAF23" s="1902">
        <f t="shared" si="313"/>
        <v>0</v>
      </c>
      <c r="EAG23" s="1902">
        <f t="shared" si="313"/>
        <v>0</v>
      </c>
      <c r="EAH23" s="1902">
        <f t="shared" si="313"/>
        <v>0</v>
      </c>
      <c r="EAI23" s="1902">
        <f t="shared" si="313"/>
        <v>0</v>
      </c>
      <c r="EAJ23" s="1902">
        <f t="shared" si="313"/>
        <v>0</v>
      </c>
      <c r="EAK23" s="1902">
        <f t="shared" si="313"/>
        <v>0</v>
      </c>
      <c r="EAL23" s="1902">
        <f t="shared" si="313"/>
        <v>0</v>
      </c>
      <c r="EAM23" s="1902">
        <f t="shared" si="313"/>
        <v>0</v>
      </c>
      <c r="EAN23" s="1902">
        <f t="shared" si="313"/>
        <v>0</v>
      </c>
      <c r="EAO23" s="1902">
        <f t="shared" si="313"/>
        <v>0</v>
      </c>
      <c r="EAP23" s="1902">
        <f t="shared" si="313"/>
        <v>0</v>
      </c>
      <c r="EAQ23" s="1902">
        <f t="shared" si="313"/>
        <v>0</v>
      </c>
      <c r="EAR23" s="1902">
        <f t="shared" si="313"/>
        <v>0</v>
      </c>
      <c r="EAS23" s="1902">
        <f t="shared" si="313"/>
        <v>0</v>
      </c>
      <c r="EAT23" s="1902">
        <f t="shared" si="313"/>
        <v>0</v>
      </c>
      <c r="EAU23" s="1902">
        <f t="shared" si="313"/>
        <v>0</v>
      </c>
      <c r="EAV23" s="1902">
        <f t="shared" si="313"/>
        <v>0</v>
      </c>
      <c r="EAW23" s="1902">
        <f t="shared" si="313"/>
        <v>0</v>
      </c>
      <c r="EAX23" s="1902">
        <f t="shared" si="313"/>
        <v>0</v>
      </c>
      <c r="EAY23" s="1902">
        <f t="shared" si="313"/>
        <v>0</v>
      </c>
      <c r="EAZ23" s="1902">
        <f t="shared" si="313"/>
        <v>0</v>
      </c>
      <c r="EBA23" s="1902">
        <f t="shared" si="313"/>
        <v>0</v>
      </c>
      <c r="EBB23" s="1902">
        <f t="shared" si="313"/>
        <v>0</v>
      </c>
      <c r="EBC23" s="1902">
        <f t="shared" si="313"/>
        <v>0</v>
      </c>
      <c r="EBD23" s="1902">
        <f t="shared" si="313"/>
        <v>0</v>
      </c>
      <c r="EBE23" s="1902">
        <f t="shared" si="313"/>
        <v>0</v>
      </c>
      <c r="EBF23" s="1902">
        <f t="shared" si="313"/>
        <v>0</v>
      </c>
      <c r="EBG23" s="1902">
        <f t="shared" si="313"/>
        <v>0</v>
      </c>
      <c r="EBH23" s="1902">
        <f t="shared" si="313"/>
        <v>0</v>
      </c>
      <c r="EBI23" s="1902">
        <f t="shared" si="313"/>
        <v>0</v>
      </c>
      <c r="EBJ23" s="1902">
        <f t="shared" si="313"/>
        <v>0</v>
      </c>
      <c r="EBK23" s="1902">
        <f t="shared" si="313"/>
        <v>0</v>
      </c>
      <c r="EBL23" s="1902">
        <f t="shared" si="313"/>
        <v>0</v>
      </c>
      <c r="EBM23" s="1902">
        <f t="shared" si="313"/>
        <v>0</v>
      </c>
      <c r="EBN23" s="1902">
        <f t="shared" si="313"/>
        <v>0</v>
      </c>
      <c r="EBO23" s="1902">
        <f t="shared" si="313"/>
        <v>0</v>
      </c>
      <c r="EBP23" s="1902">
        <f t="shared" si="313"/>
        <v>0</v>
      </c>
      <c r="EBQ23" s="1902">
        <f t="shared" si="313"/>
        <v>0</v>
      </c>
      <c r="EBR23" s="1902">
        <f t="shared" si="313"/>
        <v>0</v>
      </c>
      <c r="EBS23" s="1902">
        <f t="shared" si="313"/>
        <v>0</v>
      </c>
      <c r="EBT23" s="1902">
        <f t="shared" si="313"/>
        <v>0</v>
      </c>
      <c r="EBU23" s="1902">
        <f t="shared" si="313"/>
        <v>0</v>
      </c>
      <c r="EBV23" s="1902">
        <f t="shared" si="313"/>
        <v>0</v>
      </c>
      <c r="EBW23" s="1902">
        <f t="shared" si="313"/>
        <v>0</v>
      </c>
      <c r="EBX23" s="1902">
        <f t="shared" si="313"/>
        <v>0</v>
      </c>
      <c r="EBY23" s="1902">
        <f t="shared" si="313"/>
        <v>0</v>
      </c>
      <c r="EBZ23" s="1902">
        <f t="shared" si="313"/>
        <v>0</v>
      </c>
      <c r="ECA23" s="1902">
        <f t="shared" si="313"/>
        <v>0</v>
      </c>
      <c r="ECB23" s="1902">
        <f t="shared" si="313"/>
        <v>0</v>
      </c>
      <c r="ECC23" s="1902">
        <f t="shared" si="313"/>
        <v>0</v>
      </c>
      <c r="ECD23" s="1902">
        <f t="shared" si="313"/>
        <v>0</v>
      </c>
      <c r="ECE23" s="1902">
        <f t="shared" si="313"/>
        <v>0</v>
      </c>
      <c r="ECF23" s="1902">
        <f t="shared" si="313"/>
        <v>0</v>
      </c>
      <c r="ECG23" s="1902">
        <f t="shared" si="313"/>
        <v>0</v>
      </c>
      <c r="ECH23" s="1902">
        <f t="shared" si="313"/>
        <v>0</v>
      </c>
      <c r="ECI23" s="1902">
        <f t="shared" ref="ECI23:EET23" si="314">IF(AND(ECI$26="End of period",ECI$25="Revenue"),ECI10,0)</f>
        <v>0</v>
      </c>
      <c r="ECJ23" s="1902">
        <f t="shared" si="314"/>
        <v>0</v>
      </c>
      <c r="ECK23" s="1902">
        <f t="shared" si="314"/>
        <v>0</v>
      </c>
      <c r="ECL23" s="1902">
        <f t="shared" si="314"/>
        <v>0</v>
      </c>
      <c r="ECM23" s="1902">
        <f t="shared" si="314"/>
        <v>0</v>
      </c>
      <c r="ECN23" s="1902">
        <f t="shared" si="314"/>
        <v>0</v>
      </c>
      <c r="ECO23" s="1902">
        <f t="shared" si="314"/>
        <v>0</v>
      </c>
      <c r="ECP23" s="1902">
        <f t="shared" si="314"/>
        <v>0</v>
      </c>
      <c r="ECQ23" s="1902">
        <f t="shared" si="314"/>
        <v>0</v>
      </c>
      <c r="ECR23" s="1902">
        <f t="shared" si="314"/>
        <v>0</v>
      </c>
      <c r="ECS23" s="1902">
        <f t="shared" si="314"/>
        <v>0</v>
      </c>
      <c r="ECT23" s="1902">
        <f t="shared" si="314"/>
        <v>0</v>
      </c>
      <c r="ECU23" s="1902">
        <f t="shared" si="314"/>
        <v>0</v>
      </c>
      <c r="ECV23" s="1902">
        <f t="shared" si="314"/>
        <v>0</v>
      </c>
      <c r="ECW23" s="1902">
        <f t="shared" si="314"/>
        <v>0</v>
      </c>
      <c r="ECX23" s="1902">
        <f t="shared" si="314"/>
        <v>0</v>
      </c>
      <c r="ECY23" s="1902">
        <f t="shared" si="314"/>
        <v>0</v>
      </c>
      <c r="ECZ23" s="1902">
        <f t="shared" si="314"/>
        <v>0</v>
      </c>
      <c r="EDA23" s="1902">
        <f t="shared" si="314"/>
        <v>0</v>
      </c>
      <c r="EDB23" s="1902">
        <f t="shared" si="314"/>
        <v>0</v>
      </c>
      <c r="EDC23" s="1902">
        <f t="shared" si="314"/>
        <v>0</v>
      </c>
      <c r="EDD23" s="1902">
        <f t="shared" si="314"/>
        <v>0</v>
      </c>
      <c r="EDE23" s="1902">
        <f t="shared" si="314"/>
        <v>0</v>
      </c>
      <c r="EDF23" s="1902">
        <f t="shared" si="314"/>
        <v>0</v>
      </c>
      <c r="EDG23" s="1902">
        <f t="shared" si="314"/>
        <v>0</v>
      </c>
      <c r="EDH23" s="1902">
        <f t="shared" si="314"/>
        <v>0</v>
      </c>
      <c r="EDI23" s="1902">
        <f t="shared" si="314"/>
        <v>0</v>
      </c>
      <c r="EDJ23" s="1902">
        <f t="shared" si="314"/>
        <v>0</v>
      </c>
      <c r="EDK23" s="1902">
        <f t="shared" si="314"/>
        <v>0</v>
      </c>
      <c r="EDL23" s="1902">
        <f t="shared" si="314"/>
        <v>0</v>
      </c>
      <c r="EDM23" s="1902">
        <f t="shared" si="314"/>
        <v>0</v>
      </c>
      <c r="EDN23" s="1902">
        <f t="shared" si="314"/>
        <v>0</v>
      </c>
      <c r="EDO23" s="1902">
        <f t="shared" si="314"/>
        <v>0</v>
      </c>
      <c r="EDP23" s="1902">
        <f t="shared" si="314"/>
        <v>0</v>
      </c>
      <c r="EDQ23" s="1902">
        <f t="shared" si="314"/>
        <v>0</v>
      </c>
      <c r="EDR23" s="1902">
        <f t="shared" si="314"/>
        <v>0</v>
      </c>
      <c r="EDS23" s="1902">
        <f t="shared" si="314"/>
        <v>0</v>
      </c>
      <c r="EDT23" s="1902">
        <f t="shared" si="314"/>
        <v>0</v>
      </c>
      <c r="EDU23" s="1902">
        <f t="shared" si="314"/>
        <v>0</v>
      </c>
      <c r="EDV23" s="1902">
        <f t="shared" si="314"/>
        <v>0</v>
      </c>
      <c r="EDW23" s="1902">
        <f t="shared" si="314"/>
        <v>0</v>
      </c>
      <c r="EDX23" s="1902">
        <f t="shared" si="314"/>
        <v>0</v>
      </c>
      <c r="EDY23" s="1902">
        <f t="shared" si="314"/>
        <v>0</v>
      </c>
      <c r="EDZ23" s="1902">
        <f t="shared" si="314"/>
        <v>0</v>
      </c>
      <c r="EEA23" s="1902">
        <f t="shared" si="314"/>
        <v>0</v>
      </c>
      <c r="EEB23" s="1902">
        <f t="shared" si="314"/>
        <v>0</v>
      </c>
      <c r="EEC23" s="1902">
        <f t="shared" si="314"/>
        <v>0</v>
      </c>
      <c r="EED23" s="1902">
        <f t="shared" si="314"/>
        <v>0</v>
      </c>
      <c r="EEE23" s="1902">
        <f t="shared" si="314"/>
        <v>0</v>
      </c>
      <c r="EEF23" s="1902">
        <f t="shared" si="314"/>
        <v>0</v>
      </c>
      <c r="EEG23" s="1902">
        <f t="shared" si="314"/>
        <v>0</v>
      </c>
      <c r="EEH23" s="1902">
        <f t="shared" si="314"/>
        <v>0</v>
      </c>
      <c r="EEI23" s="1902">
        <f t="shared" si="314"/>
        <v>0</v>
      </c>
      <c r="EEJ23" s="1902">
        <f t="shared" si="314"/>
        <v>0</v>
      </c>
      <c r="EEK23" s="1902">
        <f t="shared" si="314"/>
        <v>0</v>
      </c>
      <c r="EEL23" s="1902">
        <f t="shared" si="314"/>
        <v>0</v>
      </c>
      <c r="EEM23" s="1902">
        <f t="shared" si="314"/>
        <v>0</v>
      </c>
      <c r="EEN23" s="1902">
        <f t="shared" si="314"/>
        <v>0</v>
      </c>
      <c r="EEO23" s="1902">
        <f t="shared" si="314"/>
        <v>0</v>
      </c>
      <c r="EEP23" s="1902">
        <f t="shared" si="314"/>
        <v>0</v>
      </c>
      <c r="EEQ23" s="1902">
        <f t="shared" si="314"/>
        <v>0</v>
      </c>
      <c r="EER23" s="1902">
        <f t="shared" si="314"/>
        <v>0</v>
      </c>
      <c r="EES23" s="1902">
        <f t="shared" si="314"/>
        <v>0</v>
      </c>
      <c r="EET23" s="1902">
        <f t="shared" si="314"/>
        <v>0</v>
      </c>
      <c r="EEU23" s="1902">
        <f t="shared" ref="EEU23:EHF23" si="315">IF(AND(EEU$26="End of period",EEU$25="Revenue"),EEU10,0)</f>
        <v>0</v>
      </c>
      <c r="EEV23" s="1902">
        <f t="shared" si="315"/>
        <v>0</v>
      </c>
      <c r="EEW23" s="1902">
        <f t="shared" si="315"/>
        <v>0</v>
      </c>
      <c r="EEX23" s="1902">
        <f t="shared" si="315"/>
        <v>0</v>
      </c>
      <c r="EEY23" s="1902">
        <f t="shared" si="315"/>
        <v>0</v>
      </c>
      <c r="EEZ23" s="1902">
        <f t="shared" si="315"/>
        <v>0</v>
      </c>
      <c r="EFA23" s="1902">
        <f t="shared" si="315"/>
        <v>0</v>
      </c>
      <c r="EFB23" s="1902">
        <f t="shared" si="315"/>
        <v>0</v>
      </c>
      <c r="EFC23" s="1902">
        <f t="shared" si="315"/>
        <v>0</v>
      </c>
      <c r="EFD23" s="1902">
        <f t="shared" si="315"/>
        <v>0</v>
      </c>
      <c r="EFE23" s="1902">
        <f t="shared" si="315"/>
        <v>0</v>
      </c>
      <c r="EFF23" s="1902">
        <f t="shared" si="315"/>
        <v>0</v>
      </c>
      <c r="EFG23" s="1902">
        <f t="shared" si="315"/>
        <v>0</v>
      </c>
      <c r="EFH23" s="1902">
        <f t="shared" si="315"/>
        <v>0</v>
      </c>
      <c r="EFI23" s="1902">
        <f t="shared" si="315"/>
        <v>0</v>
      </c>
      <c r="EFJ23" s="1902">
        <f t="shared" si="315"/>
        <v>0</v>
      </c>
      <c r="EFK23" s="1902">
        <f t="shared" si="315"/>
        <v>0</v>
      </c>
      <c r="EFL23" s="1902">
        <f t="shared" si="315"/>
        <v>0</v>
      </c>
      <c r="EFM23" s="1902">
        <f t="shared" si="315"/>
        <v>0</v>
      </c>
      <c r="EFN23" s="1902">
        <f t="shared" si="315"/>
        <v>0</v>
      </c>
      <c r="EFO23" s="1902">
        <f t="shared" si="315"/>
        <v>0</v>
      </c>
      <c r="EFP23" s="1902">
        <f t="shared" si="315"/>
        <v>0</v>
      </c>
      <c r="EFQ23" s="1902">
        <f t="shared" si="315"/>
        <v>0</v>
      </c>
      <c r="EFR23" s="1902">
        <f t="shared" si="315"/>
        <v>0</v>
      </c>
      <c r="EFS23" s="1902">
        <f t="shared" si="315"/>
        <v>0</v>
      </c>
      <c r="EFT23" s="1902">
        <f t="shared" si="315"/>
        <v>0</v>
      </c>
      <c r="EFU23" s="1902">
        <f t="shared" si="315"/>
        <v>0</v>
      </c>
      <c r="EFV23" s="1902">
        <f t="shared" si="315"/>
        <v>0</v>
      </c>
      <c r="EFW23" s="1902">
        <f t="shared" si="315"/>
        <v>0</v>
      </c>
      <c r="EFX23" s="1902">
        <f t="shared" si="315"/>
        <v>0</v>
      </c>
      <c r="EFY23" s="1902">
        <f t="shared" si="315"/>
        <v>0</v>
      </c>
      <c r="EFZ23" s="1902">
        <f t="shared" si="315"/>
        <v>0</v>
      </c>
      <c r="EGA23" s="1902">
        <f t="shared" si="315"/>
        <v>0</v>
      </c>
      <c r="EGB23" s="1902">
        <f t="shared" si="315"/>
        <v>0</v>
      </c>
      <c r="EGC23" s="1902">
        <f t="shared" si="315"/>
        <v>0</v>
      </c>
      <c r="EGD23" s="1902">
        <f t="shared" si="315"/>
        <v>0</v>
      </c>
      <c r="EGE23" s="1902">
        <f t="shared" si="315"/>
        <v>0</v>
      </c>
      <c r="EGF23" s="1902">
        <f t="shared" si="315"/>
        <v>0</v>
      </c>
      <c r="EGG23" s="1902">
        <f t="shared" si="315"/>
        <v>0</v>
      </c>
      <c r="EGH23" s="1902">
        <f t="shared" si="315"/>
        <v>0</v>
      </c>
      <c r="EGI23" s="1902">
        <f t="shared" si="315"/>
        <v>0</v>
      </c>
      <c r="EGJ23" s="1902">
        <f t="shared" si="315"/>
        <v>0</v>
      </c>
      <c r="EGK23" s="1902">
        <f t="shared" si="315"/>
        <v>0</v>
      </c>
      <c r="EGL23" s="1902">
        <f t="shared" si="315"/>
        <v>0</v>
      </c>
      <c r="EGM23" s="1902">
        <f t="shared" si="315"/>
        <v>0</v>
      </c>
      <c r="EGN23" s="1902">
        <f t="shared" si="315"/>
        <v>0</v>
      </c>
      <c r="EGO23" s="1902">
        <f t="shared" si="315"/>
        <v>0</v>
      </c>
      <c r="EGP23" s="1902">
        <f t="shared" si="315"/>
        <v>0</v>
      </c>
      <c r="EGQ23" s="1902">
        <f t="shared" si="315"/>
        <v>0</v>
      </c>
      <c r="EGR23" s="1902">
        <f t="shared" si="315"/>
        <v>0</v>
      </c>
      <c r="EGS23" s="1902">
        <f t="shared" si="315"/>
        <v>0</v>
      </c>
      <c r="EGT23" s="1902">
        <f t="shared" si="315"/>
        <v>0</v>
      </c>
      <c r="EGU23" s="1902">
        <f t="shared" si="315"/>
        <v>0</v>
      </c>
      <c r="EGV23" s="1902">
        <f t="shared" si="315"/>
        <v>0</v>
      </c>
      <c r="EGW23" s="1902">
        <f t="shared" si="315"/>
        <v>0</v>
      </c>
      <c r="EGX23" s="1902">
        <f t="shared" si="315"/>
        <v>0</v>
      </c>
      <c r="EGY23" s="1902">
        <f t="shared" si="315"/>
        <v>0</v>
      </c>
      <c r="EGZ23" s="1902">
        <f t="shared" si="315"/>
        <v>0</v>
      </c>
      <c r="EHA23" s="1902">
        <f t="shared" si="315"/>
        <v>0</v>
      </c>
      <c r="EHB23" s="1902">
        <f t="shared" si="315"/>
        <v>0</v>
      </c>
      <c r="EHC23" s="1902">
        <f t="shared" si="315"/>
        <v>0</v>
      </c>
      <c r="EHD23" s="1902">
        <f t="shared" si="315"/>
        <v>0</v>
      </c>
      <c r="EHE23" s="1902">
        <f t="shared" si="315"/>
        <v>0</v>
      </c>
      <c r="EHF23" s="1902">
        <f t="shared" si="315"/>
        <v>0</v>
      </c>
      <c r="EHG23" s="1902">
        <f t="shared" ref="EHG23:EJR23" si="316">IF(AND(EHG$26="End of period",EHG$25="Revenue"),EHG10,0)</f>
        <v>0</v>
      </c>
      <c r="EHH23" s="1902">
        <f t="shared" si="316"/>
        <v>0</v>
      </c>
      <c r="EHI23" s="1902">
        <f t="shared" si="316"/>
        <v>0</v>
      </c>
      <c r="EHJ23" s="1902">
        <f t="shared" si="316"/>
        <v>0</v>
      </c>
      <c r="EHK23" s="1902">
        <f t="shared" si="316"/>
        <v>0</v>
      </c>
      <c r="EHL23" s="1902">
        <f t="shared" si="316"/>
        <v>0</v>
      </c>
      <c r="EHM23" s="1902">
        <f t="shared" si="316"/>
        <v>0</v>
      </c>
      <c r="EHN23" s="1902">
        <f t="shared" si="316"/>
        <v>0</v>
      </c>
      <c r="EHO23" s="1902">
        <f t="shared" si="316"/>
        <v>0</v>
      </c>
      <c r="EHP23" s="1902">
        <f t="shared" si="316"/>
        <v>0</v>
      </c>
      <c r="EHQ23" s="1902">
        <f t="shared" si="316"/>
        <v>0</v>
      </c>
      <c r="EHR23" s="1902">
        <f t="shared" si="316"/>
        <v>0</v>
      </c>
      <c r="EHS23" s="1902">
        <f t="shared" si="316"/>
        <v>0</v>
      </c>
      <c r="EHT23" s="1902">
        <f t="shared" si="316"/>
        <v>0</v>
      </c>
      <c r="EHU23" s="1902">
        <f t="shared" si="316"/>
        <v>0</v>
      </c>
      <c r="EHV23" s="1902">
        <f t="shared" si="316"/>
        <v>0</v>
      </c>
      <c r="EHW23" s="1902">
        <f t="shared" si="316"/>
        <v>0</v>
      </c>
      <c r="EHX23" s="1902">
        <f t="shared" si="316"/>
        <v>0</v>
      </c>
      <c r="EHY23" s="1902">
        <f t="shared" si="316"/>
        <v>0</v>
      </c>
      <c r="EHZ23" s="1902">
        <f t="shared" si="316"/>
        <v>0</v>
      </c>
      <c r="EIA23" s="1902">
        <f t="shared" si="316"/>
        <v>0</v>
      </c>
      <c r="EIB23" s="1902">
        <f t="shared" si="316"/>
        <v>0</v>
      </c>
      <c r="EIC23" s="1902">
        <f t="shared" si="316"/>
        <v>0</v>
      </c>
      <c r="EID23" s="1902">
        <f t="shared" si="316"/>
        <v>0</v>
      </c>
      <c r="EIE23" s="1902">
        <f t="shared" si="316"/>
        <v>0</v>
      </c>
      <c r="EIF23" s="1902">
        <f t="shared" si="316"/>
        <v>0</v>
      </c>
      <c r="EIG23" s="1902">
        <f t="shared" si="316"/>
        <v>0</v>
      </c>
      <c r="EIH23" s="1902">
        <f t="shared" si="316"/>
        <v>0</v>
      </c>
      <c r="EII23" s="1902">
        <f t="shared" si="316"/>
        <v>0</v>
      </c>
      <c r="EIJ23" s="1902">
        <f t="shared" si="316"/>
        <v>0</v>
      </c>
      <c r="EIK23" s="1902">
        <f t="shared" si="316"/>
        <v>0</v>
      </c>
      <c r="EIL23" s="1902">
        <f t="shared" si="316"/>
        <v>0</v>
      </c>
      <c r="EIM23" s="1902">
        <f t="shared" si="316"/>
        <v>0</v>
      </c>
      <c r="EIN23" s="1902">
        <f t="shared" si="316"/>
        <v>0</v>
      </c>
      <c r="EIO23" s="1902">
        <f t="shared" si="316"/>
        <v>0</v>
      </c>
      <c r="EIP23" s="1902">
        <f t="shared" si="316"/>
        <v>0</v>
      </c>
      <c r="EIQ23" s="1902">
        <f t="shared" si="316"/>
        <v>0</v>
      </c>
      <c r="EIR23" s="1902">
        <f t="shared" si="316"/>
        <v>0</v>
      </c>
      <c r="EIS23" s="1902">
        <f t="shared" si="316"/>
        <v>0</v>
      </c>
      <c r="EIT23" s="1902">
        <f t="shared" si="316"/>
        <v>0</v>
      </c>
      <c r="EIU23" s="1902">
        <f t="shared" si="316"/>
        <v>0</v>
      </c>
      <c r="EIV23" s="1902">
        <f t="shared" si="316"/>
        <v>0</v>
      </c>
      <c r="EIW23" s="1902">
        <f t="shared" si="316"/>
        <v>0</v>
      </c>
      <c r="EIX23" s="1902">
        <f t="shared" si="316"/>
        <v>0</v>
      </c>
      <c r="EIY23" s="1902">
        <f t="shared" si="316"/>
        <v>0</v>
      </c>
      <c r="EIZ23" s="1902">
        <f t="shared" si="316"/>
        <v>0</v>
      </c>
      <c r="EJA23" s="1902">
        <f t="shared" si="316"/>
        <v>0</v>
      </c>
      <c r="EJB23" s="1902">
        <f t="shared" si="316"/>
        <v>0</v>
      </c>
      <c r="EJC23" s="1902">
        <f t="shared" si="316"/>
        <v>0</v>
      </c>
      <c r="EJD23" s="1902">
        <f t="shared" si="316"/>
        <v>0</v>
      </c>
      <c r="EJE23" s="1902">
        <f t="shared" si="316"/>
        <v>0</v>
      </c>
      <c r="EJF23" s="1902">
        <f t="shared" si="316"/>
        <v>0</v>
      </c>
      <c r="EJG23" s="1902">
        <f t="shared" si="316"/>
        <v>0</v>
      </c>
      <c r="EJH23" s="1902">
        <f t="shared" si="316"/>
        <v>0</v>
      </c>
      <c r="EJI23" s="1902">
        <f t="shared" si="316"/>
        <v>0</v>
      </c>
      <c r="EJJ23" s="1902">
        <f t="shared" si="316"/>
        <v>0</v>
      </c>
      <c r="EJK23" s="1902">
        <f t="shared" si="316"/>
        <v>0</v>
      </c>
      <c r="EJL23" s="1902">
        <f t="shared" si="316"/>
        <v>0</v>
      </c>
      <c r="EJM23" s="1902">
        <f t="shared" si="316"/>
        <v>0</v>
      </c>
      <c r="EJN23" s="1902">
        <f t="shared" si="316"/>
        <v>0</v>
      </c>
      <c r="EJO23" s="1902">
        <f t="shared" si="316"/>
        <v>0</v>
      </c>
      <c r="EJP23" s="1902">
        <f t="shared" si="316"/>
        <v>0</v>
      </c>
      <c r="EJQ23" s="1902">
        <f t="shared" si="316"/>
        <v>0</v>
      </c>
      <c r="EJR23" s="1902">
        <f t="shared" si="316"/>
        <v>0</v>
      </c>
      <c r="EJS23" s="1902">
        <f t="shared" ref="EJS23:EMD23" si="317">IF(AND(EJS$26="End of period",EJS$25="Revenue"),EJS10,0)</f>
        <v>0</v>
      </c>
      <c r="EJT23" s="1902">
        <f t="shared" si="317"/>
        <v>0</v>
      </c>
      <c r="EJU23" s="1902">
        <f t="shared" si="317"/>
        <v>0</v>
      </c>
      <c r="EJV23" s="1902">
        <f t="shared" si="317"/>
        <v>0</v>
      </c>
      <c r="EJW23" s="1902">
        <f t="shared" si="317"/>
        <v>0</v>
      </c>
      <c r="EJX23" s="1902">
        <f t="shared" si="317"/>
        <v>0</v>
      </c>
      <c r="EJY23" s="1902">
        <f t="shared" si="317"/>
        <v>0</v>
      </c>
      <c r="EJZ23" s="1902">
        <f t="shared" si="317"/>
        <v>0</v>
      </c>
      <c r="EKA23" s="1902">
        <f t="shared" si="317"/>
        <v>0</v>
      </c>
      <c r="EKB23" s="1902">
        <f t="shared" si="317"/>
        <v>0</v>
      </c>
      <c r="EKC23" s="1902">
        <f t="shared" si="317"/>
        <v>0</v>
      </c>
      <c r="EKD23" s="1902">
        <f t="shared" si="317"/>
        <v>0</v>
      </c>
      <c r="EKE23" s="1902">
        <f t="shared" si="317"/>
        <v>0</v>
      </c>
      <c r="EKF23" s="1902">
        <f t="shared" si="317"/>
        <v>0</v>
      </c>
      <c r="EKG23" s="1902">
        <f t="shared" si="317"/>
        <v>0</v>
      </c>
      <c r="EKH23" s="1902">
        <f t="shared" si="317"/>
        <v>0</v>
      </c>
      <c r="EKI23" s="1902">
        <f t="shared" si="317"/>
        <v>0</v>
      </c>
      <c r="EKJ23" s="1902">
        <f t="shared" si="317"/>
        <v>0</v>
      </c>
      <c r="EKK23" s="1902">
        <f t="shared" si="317"/>
        <v>0</v>
      </c>
      <c r="EKL23" s="1902">
        <f t="shared" si="317"/>
        <v>0</v>
      </c>
      <c r="EKM23" s="1902">
        <f t="shared" si="317"/>
        <v>0</v>
      </c>
      <c r="EKN23" s="1902">
        <f t="shared" si="317"/>
        <v>0</v>
      </c>
      <c r="EKO23" s="1902">
        <f t="shared" si="317"/>
        <v>0</v>
      </c>
      <c r="EKP23" s="1902">
        <f t="shared" si="317"/>
        <v>0</v>
      </c>
      <c r="EKQ23" s="1902">
        <f t="shared" si="317"/>
        <v>0</v>
      </c>
      <c r="EKR23" s="1902">
        <f t="shared" si="317"/>
        <v>0</v>
      </c>
      <c r="EKS23" s="1902">
        <f t="shared" si="317"/>
        <v>0</v>
      </c>
      <c r="EKT23" s="1902">
        <f t="shared" si="317"/>
        <v>0</v>
      </c>
      <c r="EKU23" s="1902">
        <f t="shared" si="317"/>
        <v>0</v>
      </c>
      <c r="EKV23" s="1902">
        <f t="shared" si="317"/>
        <v>0</v>
      </c>
      <c r="EKW23" s="1902">
        <f t="shared" si="317"/>
        <v>0</v>
      </c>
      <c r="EKX23" s="1902">
        <f t="shared" si="317"/>
        <v>0</v>
      </c>
      <c r="EKY23" s="1902">
        <f t="shared" si="317"/>
        <v>0</v>
      </c>
      <c r="EKZ23" s="1902">
        <f t="shared" si="317"/>
        <v>0</v>
      </c>
      <c r="ELA23" s="1902">
        <f t="shared" si="317"/>
        <v>0</v>
      </c>
      <c r="ELB23" s="1902">
        <f t="shared" si="317"/>
        <v>0</v>
      </c>
      <c r="ELC23" s="1902">
        <f t="shared" si="317"/>
        <v>0</v>
      </c>
      <c r="ELD23" s="1902">
        <f t="shared" si="317"/>
        <v>0</v>
      </c>
      <c r="ELE23" s="1902">
        <f t="shared" si="317"/>
        <v>0</v>
      </c>
      <c r="ELF23" s="1902">
        <f t="shared" si="317"/>
        <v>0</v>
      </c>
      <c r="ELG23" s="1902">
        <f t="shared" si="317"/>
        <v>0</v>
      </c>
      <c r="ELH23" s="1902">
        <f t="shared" si="317"/>
        <v>0</v>
      </c>
      <c r="ELI23" s="1902">
        <f t="shared" si="317"/>
        <v>0</v>
      </c>
      <c r="ELJ23" s="1902">
        <f t="shared" si="317"/>
        <v>0</v>
      </c>
      <c r="ELK23" s="1902">
        <f t="shared" si="317"/>
        <v>0</v>
      </c>
      <c r="ELL23" s="1902">
        <f t="shared" si="317"/>
        <v>0</v>
      </c>
      <c r="ELM23" s="1902">
        <f t="shared" si="317"/>
        <v>0</v>
      </c>
      <c r="ELN23" s="1902">
        <f t="shared" si="317"/>
        <v>0</v>
      </c>
      <c r="ELO23" s="1902">
        <f t="shared" si="317"/>
        <v>0</v>
      </c>
      <c r="ELP23" s="1902">
        <f t="shared" si="317"/>
        <v>0</v>
      </c>
      <c r="ELQ23" s="1902">
        <f t="shared" si="317"/>
        <v>0</v>
      </c>
      <c r="ELR23" s="1902">
        <f t="shared" si="317"/>
        <v>0</v>
      </c>
      <c r="ELS23" s="1902">
        <f t="shared" si="317"/>
        <v>0</v>
      </c>
      <c r="ELT23" s="1902">
        <f t="shared" si="317"/>
        <v>0</v>
      </c>
      <c r="ELU23" s="1902">
        <f t="shared" si="317"/>
        <v>0</v>
      </c>
      <c r="ELV23" s="1902">
        <f t="shared" si="317"/>
        <v>0</v>
      </c>
      <c r="ELW23" s="1902">
        <f t="shared" si="317"/>
        <v>0</v>
      </c>
      <c r="ELX23" s="1902">
        <f t="shared" si="317"/>
        <v>0</v>
      </c>
      <c r="ELY23" s="1902">
        <f t="shared" si="317"/>
        <v>0</v>
      </c>
      <c r="ELZ23" s="1902">
        <f t="shared" si="317"/>
        <v>0</v>
      </c>
      <c r="EMA23" s="1902">
        <f t="shared" si="317"/>
        <v>0</v>
      </c>
      <c r="EMB23" s="1902">
        <f t="shared" si="317"/>
        <v>0</v>
      </c>
      <c r="EMC23" s="1902">
        <f t="shared" si="317"/>
        <v>0</v>
      </c>
      <c r="EMD23" s="1902">
        <f t="shared" si="317"/>
        <v>0</v>
      </c>
      <c r="EME23" s="1902">
        <f t="shared" ref="EME23:EOP23" si="318">IF(AND(EME$26="End of period",EME$25="Revenue"),EME10,0)</f>
        <v>0</v>
      </c>
      <c r="EMF23" s="1902">
        <f t="shared" si="318"/>
        <v>0</v>
      </c>
      <c r="EMG23" s="1902">
        <f t="shared" si="318"/>
        <v>0</v>
      </c>
      <c r="EMH23" s="1902">
        <f t="shared" si="318"/>
        <v>0</v>
      </c>
      <c r="EMI23" s="1902">
        <f t="shared" si="318"/>
        <v>0</v>
      </c>
      <c r="EMJ23" s="1902">
        <f t="shared" si="318"/>
        <v>0</v>
      </c>
      <c r="EMK23" s="1902">
        <f t="shared" si="318"/>
        <v>0</v>
      </c>
      <c r="EML23" s="1902">
        <f t="shared" si="318"/>
        <v>0</v>
      </c>
      <c r="EMM23" s="1902">
        <f t="shared" si="318"/>
        <v>0</v>
      </c>
      <c r="EMN23" s="1902">
        <f t="shared" si="318"/>
        <v>0</v>
      </c>
      <c r="EMO23" s="1902">
        <f t="shared" si="318"/>
        <v>0</v>
      </c>
      <c r="EMP23" s="1902">
        <f t="shared" si="318"/>
        <v>0</v>
      </c>
      <c r="EMQ23" s="1902">
        <f t="shared" si="318"/>
        <v>0</v>
      </c>
      <c r="EMR23" s="1902">
        <f t="shared" si="318"/>
        <v>0</v>
      </c>
      <c r="EMS23" s="1902">
        <f t="shared" si="318"/>
        <v>0</v>
      </c>
      <c r="EMT23" s="1902">
        <f t="shared" si="318"/>
        <v>0</v>
      </c>
      <c r="EMU23" s="1902">
        <f t="shared" si="318"/>
        <v>0</v>
      </c>
      <c r="EMV23" s="1902">
        <f t="shared" si="318"/>
        <v>0</v>
      </c>
      <c r="EMW23" s="1902">
        <f t="shared" si="318"/>
        <v>0</v>
      </c>
      <c r="EMX23" s="1902">
        <f t="shared" si="318"/>
        <v>0</v>
      </c>
      <c r="EMY23" s="1902">
        <f t="shared" si="318"/>
        <v>0</v>
      </c>
      <c r="EMZ23" s="1902">
        <f t="shared" si="318"/>
        <v>0</v>
      </c>
      <c r="ENA23" s="1902">
        <f t="shared" si="318"/>
        <v>0</v>
      </c>
      <c r="ENB23" s="1902">
        <f t="shared" si="318"/>
        <v>0</v>
      </c>
      <c r="ENC23" s="1902">
        <f t="shared" si="318"/>
        <v>0</v>
      </c>
      <c r="END23" s="1902">
        <f t="shared" si="318"/>
        <v>0</v>
      </c>
      <c r="ENE23" s="1902">
        <f t="shared" si="318"/>
        <v>0</v>
      </c>
      <c r="ENF23" s="1902">
        <f t="shared" si="318"/>
        <v>0</v>
      </c>
      <c r="ENG23" s="1902">
        <f t="shared" si="318"/>
        <v>0</v>
      </c>
      <c r="ENH23" s="1902">
        <f t="shared" si="318"/>
        <v>0</v>
      </c>
      <c r="ENI23" s="1902">
        <f t="shared" si="318"/>
        <v>0</v>
      </c>
      <c r="ENJ23" s="1902">
        <f t="shared" si="318"/>
        <v>0</v>
      </c>
      <c r="ENK23" s="1902">
        <f t="shared" si="318"/>
        <v>0</v>
      </c>
      <c r="ENL23" s="1902">
        <f t="shared" si="318"/>
        <v>0</v>
      </c>
      <c r="ENM23" s="1902">
        <f t="shared" si="318"/>
        <v>0</v>
      </c>
      <c r="ENN23" s="1902">
        <f t="shared" si="318"/>
        <v>0</v>
      </c>
      <c r="ENO23" s="1902">
        <f t="shared" si="318"/>
        <v>0</v>
      </c>
      <c r="ENP23" s="1902">
        <f t="shared" si="318"/>
        <v>0</v>
      </c>
      <c r="ENQ23" s="1902">
        <f t="shared" si="318"/>
        <v>0</v>
      </c>
      <c r="ENR23" s="1902">
        <f t="shared" si="318"/>
        <v>0</v>
      </c>
      <c r="ENS23" s="1902">
        <f t="shared" si="318"/>
        <v>0</v>
      </c>
      <c r="ENT23" s="1902">
        <f t="shared" si="318"/>
        <v>0</v>
      </c>
      <c r="ENU23" s="1902">
        <f t="shared" si="318"/>
        <v>0</v>
      </c>
      <c r="ENV23" s="1902">
        <f t="shared" si="318"/>
        <v>0</v>
      </c>
      <c r="ENW23" s="1902">
        <f t="shared" si="318"/>
        <v>0</v>
      </c>
      <c r="ENX23" s="1902">
        <f t="shared" si="318"/>
        <v>0</v>
      </c>
      <c r="ENY23" s="1902">
        <f t="shared" si="318"/>
        <v>0</v>
      </c>
      <c r="ENZ23" s="1902">
        <f t="shared" si="318"/>
        <v>0</v>
      </c>
      <c r="EOA23" s="1902">
        <f t="shared" si="318"/>
        <v>0</v>
      </c>
      <c r="EOB23" s="1902">
        <f t="shared" si="318"/>
        <v>0</v>
      </c>
      <c r="EOC23" s="1902">
        <f t="shared" si="318"/>
        <v>0</v>
      </c>
      <c r="EOD23" s="1902">
        <f t="shared" si="318"/>
        <v>0</v>
      </c>
      <c r="EOE23" s="1902">
        <f t="shared" si="318"/>
        <v>0</v>
      </c>
      <c r="EOF23" s="1902">
        <f t="shared" si="318"/>
        <v>0</v>
      </c>
      <c r="EOG23" s="1902">
        <f t="shared" si="318"/>
        <v>0</v>
      </c>
      <c r="EOH23" s="1902">
        <f t="shared" si="318"/>
        <v>0</v>
      </c>
      <c r="EOI23" s="1902">
        <f t="shared" si="318"/>
        <v>0</v>
      </c>
      <c r="EOJ23" s="1902">
        <f t="shared" si="318"/>
        <v>0</v>
      </c>
      <c r="EOK23" s="1902">
        <f t="shared" si="318"/>
        <v>0</v>
      </c>
      <c r="EOL23" s="1902">
        <f t="shared" si="318"/>
        <v>0</v>
      </c>
      <c r="EOM23" s="1902">
        <f t="shared" si="318"/>
        <v>0</v>
      </c>
      <c r="EON23" s="1902">
        <f t="shared" si="318"/>
        <v>0</v>
      </c>
      <c r="EOO23" s="1902">
        <f t="shared" si="318"/>
        <v>0</v>
      </c>
      <c r="EOP23" s="1902">
        <f t="shared" si="318"/>
        <v>0</v>
      </c>
      <c r="EOQ23" s="1902">
        <f t="shared" ref="EOQ23:ERB23" si="319">IF(AND(EOQ$26="End of period",EOQ$25="Revenue"),EOQ10,0)</f>
        <v>0</v>
      </c>
      <c r="EOR23" s="1902">
        <f t="shared" si="319"/>
        <v>0</v>
      </c>
      <c r="EOS23" s="1902">
        <f t="shared" si="319"/>
        <v>0</v>
      </c>
      <c r="EOT23" s="1902">
        <f t="shared" si="319"/>
        <v>0</v>
      </c>
      <c r="EOU23" s="1902">
        <f t="shared" si="319"/>
        <v>0</v>
      </c>
      <c r="EOV23" s="1902">
        <f t="shared" si="319"/>
        <v>0</v>
      </c>
      <c r="EOW23" s="1902">
        <f t="shared" si="319"/>
        <v>0</v>
      </c>
      <c r="EOX23" s="1902">
        <f t="shared" si="319"/>
        <v>0</v>
      </c>
      <c r="EOY23" s="1902">
        <f t="shared" si="319"/>
        <v>0</v>
      </c>
      <c r="EOZ23" s="1902">
        <f t="shared" si="319"/>
        <v>0</v>
      </c>
      <c r="EPA23" s="1902">
        <f t="shared" si="319"/>
        <v>0</v>
      </c>
      <c r="EPB23" s="1902">
        <f t="shared" si="319"/>
        <v>0</v>
      </c>
      <c r="EPC23" s="1902">
        <f t="shared" si="319"/>
        <v>0</v>
      </c>
      <c r="EPD23" s="1902">
        <f t="shared" si="319"/>
        <v>0</v>
      </c>
      <c r="EPE23" s="1902">
        <f t="shared" si="319"/>
        <v>0</v>
      </c>
      <c r="EPF23" s="1902">
        <f t="shared" si="319"/>
        <v>0</v>
      </c>
      <c r="EPG23" s="1902">
        <f t="shared" si="319"/>
        <v>0</v>
      </c>
      <c r="EPH23" s="1902">
        <f t="shared" si="319"/>
        <v>0</v>
      </c>
      <c r="EPI23" s="1902">
        <f t="shared" si="319"/>
        <v>0</v>
      </c>
      <c r="EPJ23" s="1902">
        <f t="shared" si="319"/>
        <v>0</v>
      </c>
      <c r="EPK23" s="1902">
        <f t="shared" si="319"/>
        <v>0</v>
      </c>
      <c r="EPL23" s="1902">
        <f t="shared" si="319"/>
        <v>0</v>
      </c>
      <c r="EPM23" s="1902">
        <f t="shared" si="319"/>
        <v>0</v>
      </c>
      <c r="EPN23" s="1902">
        <f t="shared" si="319"/>
        <v>0</v>
      </c>
      <c r="EPO23" s="1902">
        <f t="shared" si="319"/>
        <v>0</v>
      </c>
      <c r="EPP23" s="1902">
        <f t="shared" si="319"/>
        <v>0</v>
      </c>
      <c r="EPQ23" s="1902">
        <f t="shared" si="319"/>
        <v>0</v>
      </c>
      <c r="EPR23" s="1902">
        <f t="shared" si="319"/>
        <v>0</v>
      </c>
      <c r="EPS23" s="1902">
        <f t="shared" si="319"/>
        <v>0</v>
      </c>
      <c r="EPT23" s="1902">
        <f t="shared" si="319"/>
        <v>0</v>
      </c>
      <c r="EPU23" s="1902">
        <f t="shared" si="319"/>
        <v>0</v>
      </c>
      <c r="EPV23" s="1902">
        <f t="shared" si="319"/>
        <v>0</v>
      </c>
      <c r="EPW23" s="1902">
        <f t="shared" si="319"/>
        <v>0</v>
      </c>
      <c r="EPX23" s="1902">
        <f t="shared" si="319"/>
        <v>0</v>
      </c>
      <c r="EPY23" s="1902">
        <f t="shared" si="319"/>
        <v>0</v>
      </c>
      <c r="EPZ23" s="1902">
        <f t="shared" si="319"/>
        <v>0</v>
      </c>
      <c r="EQA23" s="1902">
        <f t="shared" si="319"/>
        <v>0</v>
      </c>
      <c r="EQB23" s="1902">
        <f t="shared" si="319"/>
        <v>0</v>
      </c>
      <c r="EQC23" s="1902">
        <f t="shared" si="319"/>
        <v>0</v>
      </c>
      <c r="EQD23" s="1902">
        <f t="shared" si="319"/>
        <v>0</v>
      </c>
      <c r="EQE23" s="1902">
        <f t="shared" si="319"/>
        <v>0</v>
      </c>
      <c r="EQF23" s="1902">
        <f t="shared" si="319"/>
        <v>0</v>
      </c>
      <c r="EQG23" s="1902">
        <f t="shared" si="319"/>
        <v>0</v>
      </c>
      <c r="EQH23" s="1902">
        <f t="shared" si="319"/>
        <v>0</v>
      </c>
      <c r="EQI23" s="1902">
        <f t="shared" si="319"/>
        <v>0</v>
      </c>
      <c r="EQJ23" s="1902">
        <f t="shared" si="319"/>
        <v>0</v>
      </c>
      <c r="EQK23" s="1902">
        <f t="shared" si="319"/>
        <v>0</v>
      </c>
      <c r="EQL23" s="1902">
        <f t="shared" si="319"/>
        <v>0</v>
      </c>
      <c r="EQM23" s="1902">
        <f t="shared" si="319"/>
        <v>0</v>
      </c>
      <c r="EQN23" s="1902">
        <f t="shared" si="319"/>
        <v>0</v>
      </c>
      <c r="EQO23" s="1902">
        <f t="shared" si="319"/>
        <v>0</v>
      </c>
      <c r="EQP23" s="1902">
        <f t="shared" si="319"/>
        <v>0</v>
      </c>
      <c r="EQQ23" s="1902">
        <f t="shared" si="319"/>
        <v>0</v>
      </c>
      <c r="EQR23" s="1902">
        <f t="shared" si="319"/>
        <v>0</v>
      </c>
      <c r="EQS23" s="1902">
        <f t="shared" si="319"/>
        <v>0</v>
      </c>
      <c r="EQT23" s="1902">
        <f t="shared" si="319"/>
        <v>0</v>
      </c>
      <c r="EQU23" s="1902">
        <f t="shared" si="319"/>
        <v>0</v>
      </c>
      <c r="EQV23" s="1902">
        <f t="shared" si="319"/>
        <v>0</v>
      </c>
      <c r="EQW23" s="1902">
        <f t="shared" si="319"/>
        <v>0</v>
      </c>
      <c r="EQX23" s="1902">
        <f t="shared" si="319"/>
        <v>0</v>
      </c>
      <c r="EQY23" s="1902">
        <f t="shared" si="319"/>
        <v>0</v>
      </c>
      <c r="EQZ23" s="1902">
        <f t="shared" si="319"/>
        <v>0</v>
      </c>
      <c r="ERA23" s="1902">
        <f t="shared" si="319"/>
        <v>0</v>
      </c>
      <c r="ERB23" s="1902">
        <f t="shared" si="319"/>
        <v>0</v>
      </c>
      <c r="ERC23" s="1902">
        <f t="shared" ref="ERC23:ETN23" si="320">IF(AND(ERC$26="End of period",ERC$25="Revenue"),ERC10,0)</f>
        <v>0</v>
      </c>
      <c r="ERD23" s="1902">
        <f t="shared" si="320"/>
        <v>0</v>
      </c>
      <c r="ERE23" s="1902">
        <f t="shared" si="320"/>
        <v>0</v>
      </c>
      <c r="ERF23" s="1902">
        <f t="shared" si="320"/>
        <v>0</v>
      </c>
      <c r="ERG23" s="1902">
        <f t="shared" si="320"/>
        <v>0</v>
      </c>
      <c r="ERH23" s="1902">
        <f t="shared" si="320"/>
        <v>0</v>
      </c>
      <c r="ERI23" s="1902">
        <f t="shared" si="320"/>
        <v>0</v>
      </c>
      <c r="ERJ23" s="1902">
        <f t="shared" si="320"/>
        <v>0</v>
      </c>
      <c r="ERK23" s="1902">
        <f t="shared" si="320"/>
        <v>0</v>
      </c>
      <c r="ERL23" s="1902">
        <f t="shared" si="320"/>
        <v>0</v>
      </c>
      <c r="ERM23" s="1902">
        <f t="shared" si="320"/>
        <v>0</v>
      </c>
      <c r="ERN23" s="1902">
        <f t="shared" si="320"/>
        <v>0</v>
      </c>
      <c r="ERO23" s="1902">
        <f t="shared" si="320"/>
        <v>0</v>
      </c>
      <c r="ERP23" s="1902">
        <f t="shared" si="320"/>
        <v>0</v>
      </c>
      <c r="ERQ23" s="1902">
        <f t="shared" si="320"/>
        <v>0</v>
      </c>
      <c r="ERR23" s="1902">
        <f t="shared" si="320"/>
        <v>0</v>
      </c>
      <c r="ERS23" s="1902">
        <f t="shared" si="320"/>
        <v>0</v>
      </c>
      <c r="ERT23" s="1902">
        <f t="shared" si="320"/>
        <v>0</v>
      </c>
      <c r="ERU23" s="1902">
        <f t="shared" si="320"/>
        <v>0</v>
      </c>
      <c r="ERV23" s="1902">
        <f t="shared" si="320"/>
        <v>0</v>
      </c>
      <c r="ERW23" s="1902">
        <f t="shared" si="320"/>
        <v>0</v>
      </c>
      <c r="ERX23" s="1902">
        <f t="shared" si="320"/>
        <v>0</v>
      </c>
      <c r="ERY23" s="1902">
        <f t="shared" si="320"/>
        <v>0</v>
      </c>
      <c r="ERZ23" s="1902">
        <f t="shared" si="320"/>
        <v>0</v>
      </c>
      <c r="ESA23" s="1902">
        <f t="shared" si="320"/>
        <v>0</v>
      </c>
      <c r="ESB23" s="1902">
        <f t="shared" si="320"/>
        <v>0</v>
      </c>
      <c r="ESC23" s="1902">
        <f t="shared" si="320"/>
        <v>0</v>
      </c>
      <c r="ESD23" s="1902">
        <f t="shared" si="320"/>
        <v>0</v>
      </c>
      <c r="ESE23" s="1902">
        <f t="shared" si="320"/>
        <v>0</v>
      </c>
      <c r="ESF23" s="1902">
        <f t="shared" si="320"/>
        <v>0</v>
      </c>
      <c r="ESG23" s="1902">
        <f t="shared" si="320"/>
        <v>0</v>
      </c>
      <c r="ESH23" s="1902">
        <f t="shared" si="320"/>
        <v>0</v>
      </c>
      <c r="ESI23" s="1902">
        <f t="shared" si="320"/>
        <v>0</v>
      </c>
      <c r="ESJ23" s="1902">
        <f t="shared" si="320"/>
        <v>0</v>
      </c>
      <c r="ESK23" s="1902">
        <f t="shared" si="320"/>
        <v>0</v>
      </c>
      <c r="ESL23" s="1902">
        <f t="shared" si="320"/>
        <v>0</v>
      </c>
      <c r="ESM23" s="1902">
        <f t="shared" si="320"/>
        <v>0</v>
      </c>
      <c r="ESN23" s="1902">
        <f t="shared" si="320"/>
        <v>0</v>
      </c>
      <c r="ESO23" s="1902">
        <f t="shared" si="320"/>
        <v>0</v>
      </c>
      <c r="ESP23" s="1902">
        <f t="shared" si="320"/>
        <v>0</v>
      </c>
      <c r="ESQ23" s="1902">
        <f t="shared" si="320"/>
        <v>0</v>
      </c>
      <c r="ESR23" s="1902">
        <f t="shared" si="320"/>
        <v>0</v>
      </c>
      <c r="ESS23" s="1902">
        <f t="shared" si="320"/>
        <v>0</v>
      </c>
      <c r="EST23" s="1902">
        <f t="shared" si="320"/>
        <v>0</v>
      </c>
      <c r="ESU23" s="1902">
        <f t="shared" si="320"/>
        <v>0</v>
      </c>
      <c r="ESV23" s="1902">
        <f t="shared" si="320"/>
        <v>0</v>
      </c>
      <c r="ESW23" s="1902">
        <f t="shared" si="320"/>
        <v>0</v>
      </c>
      <c r="ESX23" s="1902">
        <f t="shared" si="320"/>
        <v>0</v>
      </c>
      <c r="ESY23" s="1902">
        <f t="shared" si="320"/>
        <v>0</v>
      </c>
      <c r="ESZ23" s="1902">
        <f t="shared" si="320"/>
        <v>0</v>
      </c>
      <c r="ETA23" s="1902">
        <f t="shared" si="320"/>
        <v>0</v>
      </c>
      <c r="ETB23" s="1902">
        <f t="shared" si="320"/>
        <v>0</v>
      </c>
      <c r="ETC23" s="1902">
        <f t="shared" si="320"/>
        <v>0</v>
      </c>
      <c r="ETD23" s="1902">
        <f t="shared" si="320"/>
        <v>0</v>
      </c>
      <c r="ETE23" s="1902">
        <f t="shared" si="320"/>
        <v>0</v>
      </c>
      <c r="ETF23" s="1902">
        <f t="shared" si="320"/>
        <v>0</v>
      </c>
      <c r="ETG23" s="1902">
        <f t="shared" si="320"/>
        <v>0</v>
      </c>
      <c r="ETH23" s="1902">
        <f t="shared" si="320"/>
        <v>0</v>
      </c>
      <c r="ETI23" s="1902">
        <f t="shared" si="320"/>
        <v>0</v>
      </c>
      <c r="ETJ23" s="1902">
        <f t="shared" si="320"/>
        <v>0</v>
      </c>
      <c r="ETK23" s="1902">
        <f t="shared" si="320"/>
        <v>0</v>
      </c>
      <c r="ETL23" s="1902">
        <f t="shared" si="320"/>
        <v>0</v>
      </c>
      <c r="ETM23" s="1902">
        <f t="shared" si="320"/>
        <v>0</v>
      </c>
      <c r="ETN23" s="1902">
        <f t="shared" si="320"/>
        <v>0</v>
      </c>
      <c r="ETO23" s="1902">
        <f t="shared" ref="ETO23:EVZ23" si="321">IF(AND(ETO$26="End of period",ETO$25="Revenue"),ETO10,0)</f>
        <v>0</v>
      </c>
      <c r="ETP23" s="1902">
        <f t="shared" si="321"/>
        <v>0</v>
      </c>
      <c r="ETQ23" s="1902">
        <f t="shared" si="321"/>
        <v>0</v>
      </c>
      <c r="ETR23" s="1902">
        <f t="shared" si="321"/>
        <v>0</v>
      </c>
      <c r="ETS23" s="1902">
        <f t="shared" si="321"/>
        <v>0</v>
      </c>
      <c r="ETT23" s="1902">
        <f t="shared" si="321"/>
        <v>0</v>
      </c>
      <c r="ETU23" s="1902">
        <f t="shared" si="321"/>
        <v>0</v>
      </c>
      <c r="ETV23" s="1902">
        <f t="shared" si="321"/>
        <v>0</v>
      </c>
      <c r="ETW23" s="1902">
        <f t="shared" si="321"/>
        <v>0</v>
      </c>
      <c r="ETX23" s="1902">
        <f t="shared" si="321"/>
        <v>0</v>
      </c>
      <c r="ETY23" s="1902">
        <f t="shared" si="321"/>
        <v>0</v>
      </c>
      <c r="ETZ23" s="1902">
        <f t="shared" si="321"/>
        <v>0</v>
      </c>
      <c r="EUA23" s="1902">
        <f t="shared" si="321"/>
        <v>0</v>
      </c>
      <c r="EUB23" s="1902">
        <f t="shared" si="321"/>
        <v>0</v>
      </c>
      <c r="EUC23" s="1902">
        <f t="shared" si="321"/>
        <v>0</v>
      </c>
      <c r="EUD23" s="1902">
        <f t="shared" si="321"/>
        <v>0</v>
      </c>
      <c r="EUE23" s="1902">
        <f t="shared" si="321"/>
        <v>0</v>
      </c>
      <c r="EUF23" s="1902">
        <f t="shared" si="321"/>
        <v>0</v>
      </c>
      <c r="EUG23" s="1902">
        <f t="shared" si="321"/>
        <v>0</v>
      </c>
      <c r="EUH23" s="1902">
        <f t="shared" si="321"/>
        <v>0</v>
      </c>
      <c r="EUI23" s="1902">
        <f t="shared" si="321"/>
        <v>0</v>
      </c>
      <c r="EUJ23" s="1902">
        <f t="shared" si="321"/>
        <v>0</v>
      </c>
      <c r="EUK23" s="1902">
        <f t="shared" si="321"/>
        <v>0</v>
      </c>
      <c r="EUL23" s="1902">
        <f t="shared" si="321"/>
        <v>0</v>
      </c>
      <c r="EUM23" s="1902">
        <f t="shared" si="321"/>
        <v>0</v>
      </c>
      <c r="EUN23" s="1902">
        <f t="shared" si="321"/>
        <v>0</v>
      </c>
      <c r="EUO23" s="1902">
        <f t="shared" si="321"/>
        <v>0</v>
      </c>
      <c r="EUP23" s="1902">
        <f t="shared" si="321"/>
        <v>0</v>
      </c>
      <c r="EUQ23" s="1902">
        <f t="shared" si="321"/>
        <v>0</v>
      </c>
      <c r="EUR23" s="1902">
        <f t="shared" si="321"/>
        <v>0</v>
      </c>
      <c r="EUS23" s="1902">
        <f t="shared" si="321"/>
        <v>0</v>
      </c>
      <c r="EUT23" s="1902">
        <f t="shared" si="321"/>
        <v>0</v>
      </c>
      <c r="EUU23" s="1902">
        <f t="shared" si="321"/>
        <v>0</v>
      </c>
      <c r="EUV23" s="1902">
        <f t="shared" si="321"/>
        <v>0</v>
      </c>
      <c r="EUW23" s="1902">
        <f t="shared" si="321"/>
        <v>0</v>
      </c>
      <c r="EUX23" s="1902">
        <f t="shared" si="321"/>
        <v>0</v>
      </c>
      <c r="EUY23" s="1902">
        <f t="shared" si="321"/>
        <v>0</v>
      </c>
      <c r="EUZ23" s="1902">
        <f t="shared" si="321"/>
        <v>0</v>
      </c>
      <c r="EVA23" s="1902">
        <f t="shared" si="321"/>
        <v>0</v>
      </c>
      <c r="EVB23" s="1902">
        <f t="shared" si="321"/>
        <v>0</v>
      </c>
      <c r="EVC23" s="1902">
        <f t="shared" si="321"/>
        <v>0</v>
      </c>
      <c r="EVD23" s="1902">
        <f t="shared" si="321"/>
        <v>0</v>
      </c>
      <c r="EVE23" s="1902">
        <f t="shared" si="321"/>
        <v>0</v>
      </c>
      <c r="EVF23" s="1902">
        <f t="shared" si="321"/>
        <v>0</v>
      </c>
      <c r="EVG23" s="1902">
        <f t="shared" si="321"/>
        <v>0</v>
      </c>
      <c r="EVH23" s="1902">
        <f t="shared" si="321"/>
        <v>0</v>
      </c>
      <c r="EVI23" s="1902">
        <f t="shared" si="321"/>
        <v>0</v>
      </c>
      <c r="EVJ23" s="1902">
        <f t="shared" si="321"/>
        <v>0</v>
      </c>
      <c r="EVK23" s="1902">
        <f t="shared" si="321"/>
        <v>0</v>
      </c>
      <c r="EVL23" s="1902">
        <f t="shared" si="321"/>
        <v>0</v>
      </c>
      <c r="EVM23" s="1902">
        <f t="shared" si="321"/>
        <v>0</v>
      </c>
      <c r="EVN23" s="1902">
        <f t="shared" si="321"/>
        <v>0</v>
      </c>
      <c r="EVO23" s="1902">
        <f t="shared" si="321"/>
        <v>0</v>
      </c>
      <c r="EVP23" s="1902">
        <f t="shared" si="321"/>
        <v>0</v>
      </c>
      <c r="EVQ23" s="1902">
        <f t="shared" si="321"/>
        <v>0</v>
      </c>
      <c r="EVR23" s="1902">
        <f t="shared" si="321"/>
        <v>0</v>
      </c>
      <c r="EVS23" s="1902">
        <f t="shared" si="321"/>
        <v>0</v>
      </c>
      <c r="EVT23" s="1902">
        <f t="shared" si="321"/>
        <v>0</v>
      </c>
      <c r="EVU23" s="1902">
        <f t="shared" si="321"/>
        <v>0</v>
      </c>
      <c r="EVV23" s="1902">
        <f t="shared" si="321"/>
        <v>0</v>
      </c>
      <c r="EVW23" s="1902">
        <f t="shared" si="321"/>
        <v>0</v>
      </c>
      <c r="EVX23" s="1902">
        <f t="shared" si="321"/>
        <v>0</v>
      </c>
      <c r="EVY23" s="1902">
        <f t="shared" si="321"/>
        <v>0</v>
      </c>
      <c r="EVZ23" s="1902">
        <f t="shared" si="321"/>
        <v>0</v>
      </c>
      <c r="EWA23" s="1902">
        <f t="shared" ref="EWA23:EYL23" si="322">IF(AND(EWA$26="End of period",EWA$25="Revenue"),EWA10,0)</f>
        <v>0</v>
      </c>
      <c r="EWB23" s="1902">
        <f t="shared" si="322"/>
        <v>0</v>
      </c>
      <c r="EWC23" s="1902">
        <f t="shared" si="322"/>
        <v>0</v>
      </c>
      <c r="EWD23" s="1902">
        <f t="shared" si="322"/>
        <v>0</v>
      </c>
      <c r="EWE23" s="1902">
        <f t="shared" si="322"/>
        <v>0</v>
      </c>
      <c r="EWF23" s="1902">
        <f t="shared" si="322"/>
        <v>0</v>
      </c>
      <c r="EWG23" s="1902">
        <f t="shared" si="322"/>
        <v>0</v>
      </c>
      <c r="EWH23" s="1902">
        <f t="shared" si="322"/>
        <v>0</v>
      </c>
      <c r="EWI23" s="1902">
        <f t="shared" si="322"/>
        <v>0</v>
      </c>
      <c r="EWJ23" s="1902">
        <f t="shared" si="322"/>
        <v>0</v>
      </c>
      <c r="EWK23" s="1902">
        <f t="shared" si="322"/>
        <v>0</v>
      </c>
      <c r="EWL23" s="1902">
        <f t="shared" si="322"/>
        <v>0</v>
      </c>
      <c r="EWM23" s="1902">
        <f t="shared" si="322"/>
        <v>0</v>
      </c>
      <c r="EWN23" s="1902">
        <f t="shared" si="322"/>
        <v>0</v>
      </c>
      <c r="EWO23" s="1902">
        <f t="shared" si="322"/>
        <v>0</v>
      </c>
      <c r="EWP23" s="1902">
        <f t="shared" si="322"/>
        <v>0</v>
      </c>
      <c r="EWQ23" s="1902">
        <f t="shared" si="322"/>
        <v>0</v>
      </c>
      <c r="EWR23" s="1902">
        <f t="shared" si="322"/>
        <v>0</v>
      </c>
      <c r="EWS23" s="1902">
        <f t="shared" si="322"/>
        <v>0</v>
      </c>
      <c r="EWT23" s="1902">
        <f t="shared" si="322"/>
        <v>0</v>
      </c>
      <c r="EWU23" s="1902">
        <f t="shared" si="322"/>
        <v>0</v>
      </c>
      <c r="EWV23" s="1902">
        <f t="shared" si="322"/>
        <v>0</v>
      </c>
      <c r="EWW23" s="1902">
        <f t="shared" si="322"/>
        <v>0</v>
      </c>
      <c r="EWX23" s="1902">
        <f t="shared" si="322"/>
        <v>0</v>
      </c>
      <c r="EWY23" s="1902">
        <f t="shared" si="322"/>
        <v>0</v>
      </c>
      <c r="EWZ23" s="1902">
        <f t="shared" si="322"/>
        <v>0</v>
      </c>
      <c r="EXA23" s="1902">
        <f t="shared" si="322"/>
        <v>0</v>
      </c>
      <c r="EXB23" s="1902">
        <f t="shared" si="322"/>
        <v>0</v>
      </c>
      <c r="EXC23" s="1902">
        <f t="shared" si="322"/>
        <v>0</v>
      </c>
      <c r="EXD23" s="1902">
        <f t="shared" si="322"/>
        <v>0</v>
      </c>
      <c r="EXE23" s="1902">
        <f t="shared" si="322"/>
        <v>0</v>
      </c>
      <c r="EXF23" s="1902">
        <f t="shared" si="322"/>
        <v>0</v>
      </c>
      <c r="EXG23" s="1902">
        <f t="shared" si="322"/>
        <v>0</v>
      </c>
      <c r="EXH23" s="1902">
        <f t="shared" si="322"/>
        <v>0</v>
      </c>
      <c r="EXI23" s="1902">
        <f t="shared" si="322"/>
        <v>0</v>
      </c>
      <c r="EXJ23" s="1902">
        <f t="shared" si="322"/>
        <v>0</v>
      </c>
      <c r="EXK23" s="1902">
        <f t="shared" si="322"/>
        <v>0</v>
      </c>
      <c r="EXL23" s="1902">
        <f t="shared" si="322"/>
        <v>0</v>
      </c>
      <c r="EXM23" s="1902">
        <f t="shared" si="322"/>
        <v>0</v>
      </c>
      <c r="EXN23" s="1902">
        <f t="shared" si="322"/>
        <v>0</v>
      </c>
      <c r="EXO23" s="1902">
        <f t="shared" si="322"/>
        <v>0</v>
      </c>
      <c r="EXP23" s="1902">
        <f t="shared" si="322"/>
        <v>0</v>
      </c>
      <c r="EXQ23" s="1902">
        <f t="shared" si="322"/>
        <v>0</v>
      </c>
      <c r="EXR23" s="1902">
        <f t="shared" si="322"/>
        <v>0</v>
      </c>
      <c r="EXS23" s="1902">
        <f t="shared" si="322"/>
        <v>0</v>
      </c>
      <c r="EXT23" s="1902">
        <f t="shared" si="322"/>
        <v>0</v>
      </c>
      <c r="EXU23" s="1902">
        <f t="shared" si="322"/>
        <v>0</v>
      </c>
      <c r="EXV23" s="1902">
        <f t="shared" si="322"/>
        <v>0</v>
      </c>
      <c r="EXW23" s="1902">
        <f t="shared" si="322"/>
        <v>0</v>
      </c>
      <c r="EXX23" s="1902">
        <f t="shared" si="322"/>
        <v>0</v>
      </c>
      <c r="EXY23" s="1902">
        <f t="shared" si="322"/>
        <v>0</v>
      </c>
      <c r="EXZ23" s="1902">
        <f t="shared" si="322"/>
        <v>0</v>
      </c>
      <c r="EYA23" s="1902">
        <f t="shared" si="322"/>
        <v>0</v>
      </c>
      <c r="EYB23" s="1902">
        <f t="shared" si="322"/>
        <v>0</v>
      </c>
      <c r="EYC23" s="1902">
        <f t="shared" si="322"/>
        <v>0</v>
      </c>
      <c r="EYD23" s="1902">
        <f t="shared" si="322"/>
        <v>0</v>
      </c>
      <c r="EYE23" s="1902">
        <f t="shared" si="322"/>
        <v>0</v>
      </c>
      <c r="EYF23" s="1902">
        <f t="shared" si="322"/>
        <v>0</v>
      </c>
      <c r="EYG23" s="1902">
        <f t="shared" si="322"/>
        <v>0</v>
      </c>
      <c r="EYH23" s="1902">
        <f t="shared" si="322"/>
        <v>0</v>
      </c>
      <c r="EYI23" s="1902">
        <f t="shared" si="322"/>
        <v>0</v>
      </c>
      <c r="EYJ23" s="1902">
        <f t="shared" si="322"/>
        <v>0</v>
      </c>
      <c r="EYK23" s="1902">
        <f t="shared" si="322"/>
        <v>0</v>
      </c>
      <c r="EYL23" s="1902">
        <f t="shared" si="322"/>
        <v>0</v>
      </c>
      <c r="EYM23" s="1902">
        <f t="shared" ref="EYM23:FAX23" si="323">IF(AND(EYM$26="End of period",EYM$25="Revenue"),EYM10,0)</f>
        <v>0</v>
      </c>
      <c r="EYN23" s="1902">
        <f t="shared" si="323"/>
        <v>0</v>
      </c>
      <c r="EYO23" s="1902">
        <f t="shared" si="323"/>
        <v>0</v>
      </c>
      <c r="EYP23" s="1902">
        <f t="shared" si="323"/>
        <v>0</v>
      </c>
      <c r="EYQ23" s="1902">
        <f t="shared" si="323"/>
        <v>0</v>
      </c>
      <c r="EYR23" s="1902">
        <f t="shared" si="323"/>
        <v>0</v>
      </c>
      <c r="EYS23" s="1902">
        <f t="shared" si="323"/>
        <v>0</v>
      </c>
      <c r="EYT23" s="1902">
        <f t="shared" si="323"/>
        <v>0</v>
      </c>
      <c r="EYU23" s="1902">
        <f t="shared" si="323"/>
        <v>0</v>
      </c>
      <c r="EYV23" s="1902">
        <f t="shared" si="323"/>
        <v>0</v>
      </c>
      <c r="EYW23" s="1902">
        <f t="shared" si="323"/>
        <v>0</v>
      </c>
      <c r="EYX23" s="1902">
        <f t="shared" si="323"/>
        <v>0</v>
      </c>
      <c r="EYY23" s="1902">
        <f t="shared" si="323"/>
        <v>0</v>
      </c>
      <c r="EYZ23" s="1902">
        <f t="shared" si="323"/>
        <v>0</v>
      </c>
      <c r="EZA23" s="1902">
        <f t="shared" si="323"/>
        <v>0</v>
      </c>
      <c r="EZB23" s="1902">
        <f t="shared" si="323"/>
        <v>0</v>
      </c>
      <c r="EZC23" s="1902">
        <f t="shared" si="323"/>
        <v>0</v>
      </c>
      <c r="EZD23" s="1902">
        <f t="shared" si="323"/>
        <v>0</v>
      </c>
      <c r="EZE23" s="1902">
        <f t="shared" si="323"/>
        <v>0</v>
      </c>
      <c r="EZF23" s="1902">
        <f t="shared" si="323"/>
        <v>0</v>
      </c>
      <c r="EZG23" s="1902">
        <f t="shared" si="323"/>
        <v>0</v>
      </c>
      <c r="EZH23" s="1902">
        <f t="shared" si="323"/>
        <v>0</v>
      </c>
      <c r="EZI23" s="1902">
        <f t="shared" si="323"/>
        <v>0</v>
      </c>
      <c r="EZJ23" s="1902">
        <f t="shared" si="323"/>
        <v>0</v>
      </c>
      <c r="EZK23" s="1902">
        <f t="shared" si="323"/>
        <v>0</v>
      </c>
      <c r="EZL23" s="1902">
        <f t="shared" si="323"/>
        <v>0</v>
      </c>
      <c r="EZM23" s="1902">
        <f t="shared" si="323"/>
        <v>0</v>
      </c>
      <c r="EZN23" s="1902">
        <f t="shared" si="323"/>
        <v>0</v>
      </c>
      <c r="EZO23" s="1902">
        <f t="shared" si="323"/>
        <v>0</v>
      </c>
      <c r="EZP23" s="1902">
        <f t="shared" si="323"/>
        <v>0</v>
      </c>
      <c r="EZQ23" s="1902">
        <f t="shared" si="323"/>
        <v>0</v>
      </c>
      <c r="EZR23" s="1902">
        <f t="shared" si="323"/>
        <v>0</v>
      </c>
      <c r="EZS23" s="1902">
        <f t="shared" si="323"/>
        <v>0</v>
      </c>
      <c r="EZT23" s="1902">
        <f t="shared" si="323"/>
        <v>0</v>
      </c>
      <c r="EZU23" s="1902">
        <f t="shared" si="323"/>
        <v>0</v>
      </c>
      <c r="EZV23" s="1902">
        <f t="shared" si="323"/>
        <v>0</v>
      </c>
      <c r="EZW23" s="1902">
        <f t="shared" si="323"/>
        <v>0</v>
      </c>
      <c r="EZX23" s="1902">
        <f t="shared" si="323"/>
        <v>0</v>
      </c>
      <c r="EZY23" s="1902">
        <f t="shared" si="323"/>
        <v>0</v>
      </c>
      <c r="EZZ23" s="1902">
        <f t="shared" si="323"/>
        <v>0</v>
      </c>
      <c r="FAA23" s="1902">
        <f t="shared" si="323"/>
        <v>0</v>
      </c>
      <c r="FAB23" s="1902">
        <f t="shared" si="323"/>
        <v>0</v>
      </c>
      <c r="FAC23" s="1902">
        <f t="shared" si="323"/>
        <v>0</v>
      </c>
      <c r="FAD23" s="1902">
        <f t="shared" si="323"/>
        <v>0</v>
      </c>
      <c r="FAE23" s="1902">
        <f t="shared" si="323"/>
        <v>0</v>
      </c>
      <c r="FAF23" s="1902">
        <f t="shared" si="323"/>
        <v>0</v>
      </c>
      <c r="FAG23" s="1902">
        <f t="shared" si="323"/>
        <v>0</v>
      </c>
      <c r="FAH23" s="1902">
        <f t="shared" si="323"/>
        <v>0</v>
      </c>
      <c r="FAI23" s="1902">
        <f t="shared" si="323"/>
        <v>0</v>
      </c>
      <c r="FAJ23" s="1902">
        <f t="shared" si="323"/>
        <v>0</v>
      </c>
      <c r="FAK23" s="1902">
        <f t="shared" si="323"/>
        <v>0</v>
      </c>
      <c r="FAL23" s="1902">
        <f t="shared" si="323"/>
        <v>0</v>
      </c>
      <c r="FAM23" s="1902">
        <f t="shared" si="323"/>
        <v>0</v>
      </c>
      <c r="FAN23" s="1902">
        <f t="shared" si="323"/>
        <v>0</v>
      </c>
      <c r="FAO23" s="1902">
        <f t="shared" si="323"/>
        <v>0</v>
      </c>
      <c r="FAP23" s="1902">
        <f t="shared" si="323"/>
        <v>0</v>
      </c>
      <c r="FAQ23" s="1902">
        <f t="shared" si="323"/>
        <v>0</v>
      </c>
      <c r="FAR23" s="1902">
        <f t="shared" si="323"/>
        <v>0</v>
      </c>
      <c r="FAS23" s="1902">
        <f t="shared" si="323"/>
        <v>0</v>
      </c>
      <c r="FAT23" s="1902">
        <f t="shared" si="323"/>
        <v>0</v>
      </c>
      <c r="FAU23" s="1902">
        <f t="shared" si="323"/>
        <v>0</v>
      </c>
      <c r="FAV23" s="1902">
        <f t="shared" si="323"/>
        <v>0</v>
      </c>
      <c r="FAW23" s="1902">
        <f t="shared" si="323"/>
        <v>0</v>
      </c>
      <c r="FAX23" s="1902">
        <f t="shared" si="323"/>
        <v>0</v>
      </c>
      <c r="FAY23" s="1902">
        <f t="shared" ref="FAY23:FDJ23" si="324">IF(AND(FAY$26="End of period",FAY$25="Revenue"),FAY10,0)</f>
        <v>0</v>
      </c>
      <c r="FAZ23" s="1902">
        <f t="shared" si="324"/>
        <v>0</v>
      </c>
      <c r="FBA23" s="1902">
        <f t="shared" si="324"/>
        <v>0</v>
      </c>
      <c r="FBB23" s="1902">
        <f t="shared" si="324"/>
        <v>0</v>
      </c>
      <c r="FBC23" s="1902">
        <f t="shared" si="324"/>
        <v>0</v>
      </c>
      <c r="FBD23" s="1902">
        <f t="shared" si="324"/>
        <v>0</v>
      </c>
      <c r="FBE23" s="1902">
        <f t="shared" si="324"/>
        <v>0</v>
      </c>
      <c r="FBF23" s="1902">
        <f t="shared" si="324"/>
        <v>0</v>
      </c>
      <c r="FBG23" s="1902">
        <f t="shared" si="324"/>
        <v>0</v>
      </c>
      <c r="FBH23" s="1902">
        <f t="shared" si="324"/>
        <v>0</v>
      </c>
      <c r="FBI23" s="1902">
        <f t="shared" si="324"/>
        <v>0</v>
      </c>
      <c r="FBJ23" s="1902">
        <f t="shared" si="324"/>
        <v>0</v>
      </c>
      <c r="FBK23" s="1902">
        <f t="shared" si="324"/>
        <v>0</v>
      </c>
      <c r="FBL23" s="1902">
        <f t="shared" si="324"/>
        <v>0</v>
      </c>
      <c r="FBM23" s="1902">
        <f t="shared" si="324"/>
        <v>0</v>
      </c>
      <c r="FBN23" s="1902">
        <f t="shared" si="324"/>
        <v>0</v>
      </c>
      <c r="FBO23" s="1902">
        <f t="shared" si="324"/>
        <v>0</v>
      </c>
      <c r="FBP23" s="1902">
        <f t="shared" si="324"/>
        <v>0</v>
      </c>
      <c r="FBQ23" s="1902">
        <f t="shared" si="324"/>
        <v>0</v>
      </c>
      <c r="FBR23" s="1902">
        <f t="shared" si="324"/>
        <v>0</v>
      </c>
      <c r="FBS23" s="1902">
        <f t="shared" si="324"/>
        <v>0</v>
      </c>
      <c r="FBT23" s="1902">
        <f t="shared" si="324"/>
        <v>0</v>
      </c>
      <c r="FBU23" s="1902">
        <f t="shared" si="324"/>
        <v>0</v>
      </c>
      <c r="FBV23" s="1902">
        <f t="shared" si="324"/>
        <v>0</v>
      </c>
      <c r="FBW23" s="1902">
        <f t="shared" si="324"/>
        <v>0</v>
      </c>
      <c r="FBX23" s="1902">
        <f t="shared" si="324"/>
        <v>0</v>
      </c>
      <c r="FBY23" s="1902">
        <f t="shared" si="324"/>
        <v>0</v>
      </c>
      <c r="FBZ23" s="1902">
        <f t="shared" si="324"/>
        <v>0</v>
      </c>
      <c r="FCA23" s="1902">
        <f t="shared" si="324"/>
        <v>0</v>
      </c>
      <c r="FCB23" s="1902">
        <f t="shared" si="324"/>
        <v>0</v>
      </c>
      <c r="FCC23" s="1902">
        <f t="shared" si="324"/>
        <v>0</v>
      </c>
      <c r="FCD23" s="1902">
        <f t="shared" si="324"/>
        <v>0</v>
      </c>
      <c r="FCE23" s="1902">
        <f t="shared" si="324"/>
        <v>0</v>
      </c>
      <c r="FCF23" s="1902">
        <f t="shared" si="324"/>
        <v>0</v>
      </c>
      <c r="FCG23" s="1902">
        <f t="shared" si="324"/>
        <v>0</v>
      </c>
      <c r="FCH23" s="1902">
        <f t="shared" si="324"/>
        <v>0</v>
      </c>
      <c r="FCI23" s="1902">
        <f t="shared" si="324"/>
        <v>0</v>
      </c>
      <c r="FCJ23" s="1902">
        <f t="shared" si="324"/>
        <v>0</v>
      </c>
      <c r="FCK23" s="1902">
        <f t="shared" si="324"/>
        <v>0</v>
      </c>
      <c r="FCL23" s="1902">
        <f t="shared" si="324"/>
        <v>0</v>
      </c>
      <c r="FCM23" s="1902">
        <f t="shared" si="324"/>
        <v>0</v>
      </c>
      <c r="FCN23" s="1902">
        <f t="shared" si="324"/>
        <v>0</v>
      </c>
      <c r="FCO23" s="1902">
        <f t="shared" si="324"/>
        <v>0</v>
      </c>
      <c r="FCP23" s="1902">
        <f t="shared" si="324"/>
        <v>0</v>
      </c>
      <c r="FCQ23" s="1902">
        <f t="shared" si="324"/>
        <v>0</v>
      </c>
      <c r="FCR23" s="1902">
        <f t="shared" si="324"/>
        <v>0</v>
      </c>
      <c r="FCS23" s="1902">
        <f t="shared" si="324"/>
        <v>0</v>
      </c>
      <c r="FCT23" s="1902">
        <f t="shared" si="324"/>
        <v>0</v>
      </c>
      <c r="FCU23" s="1902">
        <f t="shared" si="324"/>
        <v>0</v>
      </c>
      <c r="FCV23" s="1902">
        <f t="shared" si="324"/>
        <v>0</v>
      </c>
      <c r="FCW23" s="1902">
        <f t="shared" si="324"/>
        <v>0</v>
      </c>
      <c r="FCX23" s="1902">
        <f t="shared" si="324"/>
        <v>0</v>
      </c>
      <c r="FCY23" s="1902">
        <f t="shared" si="324"/>
        <v>0</v>
      </c>
      <c r="FCZ23" s="1902">
        <f t="shared" si="324"/>
        <v>0</v>
      </c>
      <c r="FDA23" s="1902">
        <f t="shared" si="324"/>
        <v>0</v>
      </c>
      <c r="FDB23" s="1902">
        <f t="shared" si="324"/>
        <v>0</v>
      </c>
      <c r="FDC23" s="1902">
        <f t="shared" si="324"/>
        <v>0</v>
      </c>
      <c r="FDD23" s="1902">
        <f t="shared" si="324"/>
        <v>0</v>
      </c>
      <c r="FDE23" s="1902">
        <f t="shared" si="324"/>
        <v>0</v>
      </c>
      <c r="FDF23" s="1902">
        <f t="shared" si="324"/>
        <v>0</v>
      </c>
      <c r="FDG23" s="1902">
        <f t="shared" si="324"/>
        <v>0</v>
      </c>
      <c r="FDH23" s="1902">
        <f t="shared" si="324"/>
        <v>0</v>
      </c>
      <c r="FDI23" s="1902">
        <f t="shared" si="324"/>
        <v>0</v>
      </c>
      <c r="FDJ23" s="1902">
        <f t="shared" si="324"/>
        <v>0</v>
      </c>
      <c r="FDK23" s="1902">
        <f t="shared" ref="FDK23:FFV23" si="325">IF(AND(FDK$26="End of period",FDK$25="Revenue"),FDK10,0)</f>
        <v>0</v>
      </c>
      <c r="FDL23" s="1902">
        <f t="shared" si="325"/>
        <v>0</v>
      </c>
      <c r="FDM23" s="1902">
        <f t="shared" si="325"/>
        <v>0</v>
      </c>
      <c r="FDN23" s="1902">
        <f t="shared" si="325"/>
        <v>0</v>
      </c>
      <c r="FDO23" s="1902">
        <f t="shared" si="325"/>
        <v>0</v>
      </c>
      <c r="FDP23" s="1902">
        <f t="shared" si="325"/>
        <v>0</v>
      </c>
      <c r="FDQ23" s="1902">
        <f t="shared" si="325"/>
        <v>0</v>
      </c>
      <c r="FDR23" s="1902">
        <f t="shared" si="325"/>
        <v>0</v>
      </c>
      <c r="FDS23" s="1902">
        <f t="shared" si="325"/>
        <v>0</v>
      </c>
      <c r="FDT23" s="1902">
        <f t="shared" si="325"/>
        <v>0</v>
      </c>
      <c r="FDU23" s="1902">
        <f t="shared" si="325"/>
        <v>0</v>
      </c>
      <c r="FDV23" s="1902">
        <f t="shared" si="325"/>
        <v>0</v>
      </c>
      <c r="FDW23" s="1902">
        <f t="shared" si="325"/>
        <v>0</v>
      </c>
      <c r="FDX23" s="1902">
        <f t="shared" si="325"/>
        <v>0</v>
      </c>
      <c r="FDY23" s="1902">
        <f t="shared" si="325"/>
        <v>0</v>
      </c>
      <c r="FDZ23" s="1902">
        <f t="shared" si="325"/>
        <v>0</v>
      </c>
      <c r="FEA23" s="1902">
        <f t="shared" si="325"/>
        <v>0</v>
      </c>
      <c r="FEB23" s="1902">
        <f t="shared" si="325"/>
        <v>0</v>
      </c>
      <c r="FEC23" s="1902">
        <f t="shared" si="325"/>
        <v>0</v>
      </c>
      <c r="FED23" s="1902">
        <f t="shared" si="325"/>
        <v>0</v>
      </c>
      <c r="FEE23" s="1902">
        <f t="shared" si="325"/>
        <v>0</v>
      </c>
      <c r="FEF23" s="1902">
        <f t="shared" si="325"/>
        <v>0</v>
      </c>
      <c r="FEG23" s="1902">
        <f t="shared" si="325"/>
        <v>0</v>
      </c>
      <c r="FEH23" s="1902">
        <f t="shared" si="325"/>
        <v>0</v>
      </c>
      <c r="FEI23" s="1902">
        <f t="shared" si="325"/>
        <v>0</v>
      </c>
      <c r="FEJ23" s="1902">
        <f t="shared" si="325"/>
        <v>0</v>
      </c>
      <c r="FEK23" s="1902">
        <f t="shared" si="325"/>
        <v>0</v>
      </c>
      <c r="FEL23" s="1902">
        <f t="shared" si="325"/>
        <v>0</v>
      </c>
      <c r="FEM23" s="1902">
        <f t="shared" si="325"/>
        <v>0</v>
      </c>
      <c r="FEN23" s="1902">
        <f t="shared" si="325"/>
        <v>0</v>
      </c>
      <c r="FEO23" s="1902">
        <f t="shared" si="325"/>
        <v>0</v>
      </c>
      <c r="FEP23" s="1902">
        <f t="shared" si="325"/>
        <v>0</v>
      </c>
      <c r="FEQ23" s="1902">
        <f t="shared" si="325"/>
        <v>0</v>
      </c>
      <c r="FER23" s="1902">
        <f t="shared" si="325"/>
        <v>0</v>
      </c>
      <c r="FES23" s="1902">
        <f t="shared" si="325"/>
        <v>0</v>
      </c>
      <c r="FET23" s="1902">
        <f t="shared" si="325"/>
        <v>0</v>
      </c>
      <c r="FEU23" s="1902">
        <f t="shared" si="325"/>
        <v>0</v>
      </c>
      <c r="FEV23" s="1902">
        <f t="shared" si="325"/>
        <v>0</v>
      </c>
      <c r="FEW23" s="1902">
        <f t="shared" si="325"/>
        <v>0</v>
      </c>
      <c r="FEX23" s="1902">
        <f t="shared" si="325"/>
        <v>0</v>
      </c>
      <c r="FEY23" s="1902">
        <f t="shared" si="325"/>
        <v>0</v>
      </c>
      <c r="FEZ23" s="1902">
        <f t="shared" si="325"/>
        <v>0</v>
      </c>
      <c r="FFA23" s="1902">
        <f t="shared" si="325"/>
        <v>0</v>
      </c>
      <c r="FFB23" s="1902">
        <f t="shared" si="325"/>
        <v>0</v>
      </c>
      <c r="FFC23" s="1902">
        <f t="shared" si="325"/>
        <v>0</v>
      </c>
      <c r="FFD23" s="1902">
        <f t="shared" si="325"/>
        <v>0</v>
      </c>
      <c r="FFE23" s="1902">
        <f t="shared" si="325"/>
        <v>0</v>
      </c>
      <c r="FFF23" s="1902">
        <f t="shared" si="325"/>
        <v>0</v>
      </c>
      <c r="FFG23" s="1902">
        <f t="shared" si="325"/>
        <v>0</v>
      </c>
      <c r="FFH23" s="1902">
        <f t="shared" si="325"/>
        <v>0</v>
      </c>
      <c r="FFI23" s="1902">
        <f t="shared" si="325"/>
        <v>0</v>
      </c>
      <c r="FFJ23" s="1902">
        <f t="shared" si="325"/>
        <v>0</v>
      </c>
      <c r="FFK23" s="1902">
        <f t="shared" si="325"/>
        <v>0</v>
      </c>
      <c r="FFL23" s="1902">
        <f t="shared" si="325"/>
        <v>0</v>
      </c>
      <c r="FFM23" s="1902">
        <f t="shared" si="325"/>
        <v>0</v>
      </c>
      <c r="FFN23" s="1902">
        <f t="shared" si="325"/>
        <v>0</v>
      </c>
      <c r="FFO23" s="1902">
        <f t="shared" si="325"/>
        <v>0</v>
      </c>
      <c r="FFP23" s="1902">
        <f t="shared" si="325"/>
        <v>0</v>
      </c>
      <c r="FFQ23" s="1902">
        <f t="shared" si="325"/>
        <v>0</v>
      </c>
      <c r="FFR23" s="1902">
        <f t="shared" si="325"/>
        <v>0</v>
      </c>
      <c r="FFS23" s="1902">
        <f t="shared" si="325"/>
        <v>0</v>
      </c>
      <c r="FFT23" s="1902">
        <f t="shared" si="325"/>
        <v>0</v>
      </c>
      <c r="FFU23" s="1902">
        <f t="shared" si="325"/>
        <v>0</v>
      </c>
      <c r="FFV23" s="1902">
        <f t="shared" si="325"/>
        <v>0</v>
      </c>
      <c r="FFW23" s="1902">
        <f t="shared" ref="FFW23:FIH23" si="326">IF(AND(FFW$26="End of period",FFW$25="Revenue"),FFW10,0)</f>
        <v>0</v>
      </c>
      <c r="FFX23" s="1902">
        <f t="shared" si="326"/>
        <v>0</v>
      </c>
      <c r="FFY23" s="1902">
        <f t="shared" si="326"/>
        <v>0</v>
      </c>
      <c r="FFZ23" s="1902">
        <f t="shared" si="326"/>
        <v>0</v>
      </c>
      <c r="FGA23" s="1902">
        <f t="shared" si="326"/>
        <v>0</v>
      </c>
      <c r="FGB23" s="1902">
        <f t="shared" si="326"/>
        <v>0</v>
      </c>
      <c r="FGC23" s="1902">
        <f t="shared" si="326"/>
        <v>0</v>
      </c>
      <c r="FGD23" s="1902">
        <f t="shared" si="326"/>
        <v>0</v>
      </c>
      <c r="FGE23" s="1902">
        <f t="shared" si="326"/>
        <v>0</v>
      </c>
      <c r="FGF23" s="1902">
        <f t="shared" si="326"/>
        <v>0</v>
      </c>
      <c r="FGG23" s="1902">
        <f t="shared" si="326"/>
        <v>0</v>
      </c>
      <c r="FGH23" s="1902">
        <f t="shared" si="326"/>
        <v>0</v>
      </c>
      <c r="FGI23" s="1902">
        <f t="shared" si="326"/>
        <v>0</v>
      </c>
      <c r="FGJ23" s="1902">
        <f t="shared" si="326"/>
        <v>0</v>
      </c>
      <c r="FGK23" s="1902">
        <f t="shared" si="326"/>
        <v>0</v>
      </c>
      <c r="FGL23" s="1902">
        <f t="shared" si="326"/>
        <v>0</v>
      </c>
      <c r="FGM23" s="1902">
        <f t="shared" si="326"/>
        <v>0</v>
      </c>
      <c r="FGN23" s="1902">
        <f t="shared" si="326"/>
        <v>0</v>
      </c>
      <c r="FGO23" s="1902">
        <f t="shared" si="326"/>
        <v>0</v>
      </c>
      <c r="FGP23" s="1902">
        <f t="shared" si="326"/>
        <v>0</v>
      </c>
      <c r="FGQ23" s="1902">
        <f t="shared" si="326"/>
        <v>0</v>
      </c>
      <c r="FGR23" s="1902">
        <f t="shared" si="326"/>
        <v>0</v>
      </c>
      <c r="FGS23" s="1902">
        <f t="shared" si="326"/>
        <v>0</v>
      </c>
      <c r="FGT23" s="1902">
        <f t="shared" si="326"/>
        <v>0</v>
      </c>
      <c r="FGU23" s="1902">
        <f t="shared" si="326"/>
        <v>0</v>
      </c>
      <c r="FGV23" s="1902">
        <f t="shared" si="326"/>
        <v>0</v>
      </c>
      <c r="FGW23" s="1902">
        <f t="shared" si="326"/>
        <v>0</v>
      </c>
      <c r="FGX23" s="1902">
        <f t="shared" si="326"/>
        <v>0</v>
      </c>
      <c r="FGY23" s="1902">
        <f t="shared" si="326"/>
        <v>0</v>
      </c>
      <c r="FGZ23" s="1902">
        <f t="shared" si="326"/>
        <v>0</v>
      </c>
      <c r="FHA23" s="1902">
        <f t="shared" si="326"/>
        <v>0</v>
      </c>
      <c r="FHB23" s="1902">
        <f t="shared" si="326"/>
        <v>0</v>
      </c>
      <c r="FHC23" s="1902">
        <f t="shared" si="326"/>
        <v>0</v>
      </c>
      <c r="FHD23" s="1902">
        <f t="shared" si="326"/>
        <v>0</v>
      </c>
      <c r="FHE23" s="1902">
        <f t="shared" si="326"/>
        <v>0</v>
      </c>
      <c r="FHF23" s="1902">
        <f t="shared" si="326"/>
        <v>0</v>
      </c>
      <c r="FHG23" s="1902">
        <f t="shared" si="326"/>
        <v>0</v>
      </c>
      <c r="FHH23" s="1902">
        <f t="shared" si="326"/>
        <v>0</v>
      </c>
      <c r="FHI23" s="1902">
        <f t="shared" si="326"/>
        <v>0</v>
      </c>
      <c r="FHJ23" s="1902">
        <f t="shared" si="326"/>
        <v>0</v>
      </c>
      <c r="FHK23" s="1902">
        <f t="shared" si="326"/>
        <v>0</v>
      </c>
      <c r="FHL23" s="1902">
        <f t="shared" si="326"/>
        <v>0</v>
      </c>
      <c r="FHM23" s="1902">
        <f t="shared" si="326"/>
        <v>0</v>
      </c>
      <c r="FHN23" s="1902">
        <f t="shared" si="326"/>
        <v>0</v>
      </c>
      <c r="FHO23" s="1902">
        <f t="shared" si="326"/>
        <v>0</v>
      </c>
      <c r="FHP23" s="1902">
        <f t="shared" si="326"/>
        <v>0</v>
      </c>
      <c r="FHQ23" s="1902">
        <f t="shared" si="326"/>
        <v>0</v>
      </c>
      <c r="FHR23" s="1902">
        <f t="shared" si="326"/>
        <v>0</v>
      </c>
      <c r="FHS23" s="1902">
        <f t="shared" si="326"/>
        <v>0</v>
      </c>
      <c r="FHT23" s="1902">
        <f t="shared" si="326"/>
        <v>0</v>
      </c>
      <c r="FHU23" s="1902">
        <f t="shared" si="326"/>
        <v>0</v>
      </c>
      <c r="FHV23" s="1902">
        <f t="shared" si="326"/>
        <v>0</v>
      </c>
      <c r="FHW23" s="1902">
        <f t="shared" si="326"/>
        <v>0</v>
      </c>
      <c r="FHX23" s="1902">
        <f t="shared" si="326"/>
        <v>0</v>
      </c>
      <c r="FHY23" s="1902">
        <f t="shared" si="326"/>
        <v>0</v>
      </c>
      <c r="FHZ23" s="1902">
        <f t="shared" si="326"/>
        <v>0</v>
      </c>
      <c r="FIA23" s="1902">
        <f t="shared" si="326"/>
        <v>0</v>
      </c>
      <c r="FIB23" s="1902">
        <f t="shared" si="326"/>
        <v>0</v>
      </c>
      <c r="FIC23" s="1902">
        <f t="shared" si="326"/>
        <v>0</v>
      </c>
      <c r="FID23" s="1902">
        <f t="shared" si="326"/>
        <v>0</v>
      </c>
      <c r="FIE23" s="1902">
        <f t="shared" si="326"/>
        <v>0</v>
      </c>
      <c r="FIF23" s="1902">
        <f t="shared" si="326"/>
        <v>0</v>
      </c>
      <c r="FIG23" s="1902">
        <f t="shared" si="326"/>
        <v>0</v>
      </c>
      <c r="FIH23" s="1902">
        <f t="shared" si="326"/>
        <v>0</v>
      </c>
      <c r="FII23" s="1902">
        <f t="shared" ref="FII23:FKT23" si="327">IF(AND(FII$26="End of period",FII$25="Revenue"),FII10,0)</f>
        <v>0</v>
      </c>
      <c r="FIJ23" s="1902">
        <f t="shared" si="327"/>
        <v>0</v>
      </c>
      <c r="FIK23" s="1902">
        <f t="shared" si="327"/>
        <v>0</v>
      </c>
      <c r="FIL23" s="1902">
        <f t="shared" si="327"/>
        <v>0</v>
      </c>
      <c r="FIM23" s="1902">
        <f t="shared" si="327"/>
        <v>0</v>
      </c>
      <c r="FIN23" s="1902">
        <f t="shared" si="327"/>
        <v>0</v>
      </c>
      <c r="FIO23" s="1902">
        <f t="shared" si="327"/>
        <v>0</v>
      </c>
      <c r="FIP23" s="1902">
        <f t="shared" si="327"/>
        <v>0</v>
      </c>
      <c r="FIQ23" s="1902">
        <f t="shared" si="327"/>
        <v>0</v>
      </c>
      <c r="FIR23" s="1902">
        <f t="shared" si="327"/>
        <v>0</v>
      </c>
      <c r="FIS23" s="1902">
        <f t="shared" si="327"/>
        <v>0</v>
      </c>
      <c r="FIT23" s="1902">
        <f t="shared" si="327"/>
        <v>0</v>
      </c>
      <c r="FIU23" s="1902">
        <f t="shared" si="327"/>
        <v>0</v>
      </c>
      <c r="FIV23" s="1902">
        <f t="shared" si="327"/>
        <v>0</v>
      </c>
      <c r="FIW23" s="1902">
        <f t="shared" si="327"/>
        <v>0</v>
      </c>
      <c r="FIX23" s="1902">
        <f t="shared" si="327"/>
        <v>0</v>
      </c>
      <c r="FIY23" s="1902">
        <f t="shared" si="327"/>
        <v>0</v>
      </c>
      <c r="FIZ23" s="1902">
        <f t="shared" si="327"/>
        <v>0</v>
      </c>
      <c r="FJA23" s="1902">
        <f t="shared" si="327"/>
        <v>0</v>
      </c>
      <c r="FJB23" s="1902">
        <f t="shared" si="327"/>
        <v>0</v>
      </c>
      <c r="FJC23" s="1902">
        <f t="shared" si="327"/>
        <v>0</v>
      </c>
      <c r="FJD23" s="1902">
        <f t="shared" si="327"/>
        <v>0</v>
      </c>
      <c r="FJE23" s="1902">
        <f t="shared" si="327"/>
        <v>0</v>
      </c>
      <c r="FJF23" s="1902">
        <f t="shared" si="327"/>
        <v>0</v>
      </c>
      <c r="FJG23" s="1902">
        <f t="shared" si="327"/>
        <v>0</v>
      </c>
      <c r="FJH23" s="1902">
        <f t="shared" si="327"/>
        <v>0</v>
      </c>
      <c r="FJI23" s="1902">
        <f t="shared" si="327"/>
        <v>0</v>
      </c>
      <c r="FJJ23" s="1902">
        <f t="shared" si="327"/>
        <v>0</v>
      </c>
      <c r="FJK23" s="1902">
        <f t="shared" si="327"/>
        <v>0</v>
      </c>
      <c r="FJL23" s="1902">
        <f t="shared" si="327"/>
        <v>0</v>
      </c>
      <c r="FJM23" s="1902">
        <f t="shared" si="327"/>
        <v>0</v>
      </c>
      <c r="FJN23" s="1902">
        <f t="shared" si="327"/>
        <v>0</v>
      </c>
      <c r="FJO23" s="1902">
        <f t="shared" si="327"/>
        <v>0</v>
      </c>
      <c r="FJP23" s="1902">
        <f t="shared" si="327"/>
        <v>0</v>
      </c>
      <c r="FJQ23" s="1902">
        <f t="shared" si="327"/>
        <v>0</v>
      </c>
      <c r="FJR23" s="1902">
        <f t="shared" si="327"/>
        <v>0</v>
      </c>
      <c r="FJS23" s="1902">
        <f t="shared" si="327"/>
        <v>0</v>
      </c>
      <c r="FJT23" s="1902">
        <f t="shared" si="327"/>
        <v>0</v>
      </c>
      <c r="FJU23" s="1902">
        <f t="shared" si="327"/>
        <v>0</v>
      </c>
      <c r="FJV23" s="1902">
        <f t="shared" si="327"/>
        <v>0</v>
      </c>
      <c r="FJW23" s="1902">
        <f t="shared" si="327"/>
        <v>0</v>
      </c>
      <c r="FJX23" s="1902">
        <f t="shared" si="327"/>
        <v>0</v>
      </c>
      <c r="FJY23" s="1902">
        <f t="shared" si="327"/>
        <v>0</v>
      </c>
      <c r="FJZ23" s="1902">
        <f t="shared" si="327"/>
        <v>0</v>
      </c>
      <c r="FKA23" s="1902">
        <f t="shared" si="327"/>
        <v>0</v>
      </c>
      <c r="FKB23" s="1902">
        <f t="shared" si="327"/>
        <v>0</v>
      </c>
      <c r="FKC23" s="1902">
        <f t="shared" si="327"/>
        <v>0</v>
      </c>
      <c r="FKD23" s="1902">
        <f t="shared" si="327"/>
        <v>0</v>
      </c>
      <c r="FKE23" s="1902">
        <f t="shared" si="327"/>
        <v>0</v>
      </c>
      <c r="FKF23" s="1902">
        <f t="shared" si="327"/>
        <v>0</v>
      </c>
      <c r="FKG23" s="1902">
        <f t="shared" si="327"/>
        <v>0</v>
      </c>
      <c r="FKH23" s="1902">
        <f t="shared" si="327"/>
        <v>0</v>
      </c>
      <c r="FKI23" s="1902">
        <f t="shared" si="327"/>
        <v>0</v>
      </c>
      <c r="FKJ23" s="1902">
        <f t="shared" si="327"/>
        <v>0</v>
      </c>
      <c r="FKK23" s="1902">
        <f t="shared" si="327"/>
        <v>0</v>
      </c>
      <c r="FKL23" s="1902">
        <f t="shared" si="327"/>
        <v>0</v>
      </c>
      <c r="FKM23" s="1902">
        <f t="shared" si="327"/>
        <v>0</v>
      </c>
      <c r="FKN23" s="1902">
        <f t="shared" si="327"/>
        <v>0</v>
      </c>
      <c r="FKO23" s="1902">
        <f t="shared" si="327"/>
        <v>0</v>
      </c>
      <c r="FKP23" s="1902">
        <f t="shared" si="327"/>
        <v>0</v>
      </c>
      <c r="FKQ23" s="1902">
        <f t="shared" si="327"/>
        <v>0</v>
      </c>
      <c r="FKR23" s="1902">
        <f t="shared" si="327"/>
        <v>0</v>
      </c>
      <c r="FKS23" s="1902">
        <f t="shared" si="327"/>
        <v>0</v>
      </c>
      <c r="FKT23" s="1902">
        <f t="shared" si="327"/>
        <v>0</v>
      </c>
      <c r="FKU23" s="1902">
        <f t="shared" ref="FKU23:FNF23" si="328">IF(AND(FKU$26="End of period",FKU$25="Revenue"),FKU10,0)</f>
        <v>0</v>
      </c>
      <c r="FKV23" s="1902">
        <f t="shared" si="328"/>
        <v>0</v>
      </c>
      <c r="FKW23" s="1902">
        <f t="shared" si="328"/>
        <v>0</v>
      </c>
      <c r="FKX23" s="1902">
        <f t="shared" si="328"/>
        <v>0</v>
      </c>
      <c r="FKY23" s="1902">
        <f t="shared" si="328"/>
        <v>0</v>
      </c>
      <c r="FKZ23" s="1902">
        <f t="shared" si="328"/>
        <v>0</v>
      </c>
      <c r="FLA23" s="1902">
        <f t="shared" si="328"/>
        <v>0</v>
      </c>
      <c r="FLB23" s="1902">
        <f t="shared" si="328"/>
        <v>0</v>
      </c>
      <c r="FLC23" s="1902">
        <f t="shared" si="328"/>
        <v>0</v>
      </c>
      <c r="FLD23" s="1902">
        <f t="shared" si="328"/>
        <v>0</v>
      </c>
      <c r="FLE23" s="1902">
        <f t="shared" si="328"/>
        <v>0</v>
      </c>
      <c r="FLF23" s="1902">
        <f t="shared" si="328"/>
        <v>0</v>
      </c>
      <c r="FLG23" s="1902">
        <f t="shared" si="328"/>
        <v>0</v>
      </c>
      <c r="FLH23" s="1902">
        <f t="shared" si="328"/>
        <v>0</v>
      </c>
      <c r="FLI23" s="1902">
        <f t="shared" si="328"/>
        <v>0</v>
      </c>
      <c r="FLJ23" s="1902">
        <f t="shared" si="328"/>
        <v>0</v>
      </c>
      <c r="FLK23" s="1902">
        <f t="shared" si="328"/>
        <v>0</v>
      </c>
      <c r="FLL23" s="1902">
        <f t="shared" si="328"/>
        <v>0</v>
      </c>
      <c r="FLM23" s="1902">
        <f t="shared" si="328"/>
        <v>0</v>
      </c>
      <c r="FLN23" s="1902">
        <f t="shared" si="328"/>
        <v>0</v>
      </c>
      <c r="FLO23" s="1902">
        <f t="shared" si="328"/>
        <v>0</v>
      </c>
      <c r="FLP23" s="1902">
        <f t="shared" si="328"/>
        <v>0</v>
      </c>
      <c r="FLQ23" s="1902">
        <f t="shared" si="328"/>
        <v>0</v>
      </c>
      <c r="FLR23" s="1902">
        <f t="shared" si="328"/>
        <v>0</v>
      </c>
      <c r="FLS23" s="1902">
        <f t="shared" si="328"/>
        <v>0</v>
      </c>
      <c r="FLT23" s="1902">
        <f t="shared" si="328"/>
        <v>0</v>
      </c>
      <c r="FLU23" s="1902">
        <f t="shared" si="328"/>
        <v>0</v>
      </c>
      <c r="FLV23" s="1902">
        <f t="shared" si="328"/>
        <v>0</v>
      </c>
      <c r="FLW23" s="1902">
        <f t="shared" si="328"/>
        <v>0</v>
      </c>
      <c r="FLX23" s="1902">
        <f t="shared" si="328"/>
        <v>0</v>
      </c>
      <c r="FLY23" s="1902">
        <f t="shared" si="328"/>
        <v>0</v>
      </c>
      <c r="FLZ23" s="1902">
        <f t="shared" si="328"/>
        <v>0</v>
      </c>
      <c r="FMA23" s="1902">
        <f t="shared" si="328"/>
        <v>0</v>
      </c>
      <c r="FMB23" s="1902">
        <f t="shared" si="328"/>
        <v>0</v>
      </c>
      <c r="FMC23" s="1902">
        <f t="shared" si="328"/>
        <v>0</v>
      </c>
      <c r="FMD23" s="1902">
        <f t="shared" si="328"/>
        <v>0</v>
      </c>
      <c r="FME23" s="1902">
        <f t="shared" si="328"/>
        <v>0</v>
      </c>
      <c r="FMF23" s="1902">
        <f t="shared" si="328"/>
        <v>0</v>
      </c>
      <c r="FMG23" s="1902">
        <f t="shared" si="328"/>
        <v>0</v>
      </c>
      <c r="FMH23" s="1902">
        <f t="shared" si="328"/>
        <v>0</v>
      </c>
      <c r="FMI23" s="1902">
        <f t="shared" si="328"/>
        <v>0</v>
      </c>
      <c r="FMJ23" s="1902">
        <f t="shared" si="328"/>
        <v>0</v>
      </c>
      <c r="FMK23" s="1902">
        <f t="shared" si="328"/>
        <v>0</v>
      </c>
      <c r="FML23" s="1902">
        <f t="shared" si="328"/>
        <v>0</v>
      </c>
      <c r="FMM23" s="1902">
        <f t="shared" si="328"/>
        <v>0</v>
      </c>
      <c r="FMN23" s="1902">
        <f t="shared" si="328"/>
        <v>0</v>
      </c>
      <c r="FMO23" s="1902">
        <f t="shared" si="328"/>
        <v>0</v>
      </c>
      <c r="FMP23" s="1902">
        <f t="shared" si="328"/>
        <v>0</v>
      </c>
      <c r="FMQ23" s="1902">
        <f t="shared" si="328"/>
        <v>0</v>
      </c>
      <c r="FMR23" s="1902">
        <f t="shared" si="328"/>
        <v>0</v>
      </c>
      <c r="FMS23" s="1902">
        <f t="shared" si="328"/>
        <v>0</v>
      </c>
      <c r="FMT23" s="1902">
        <f t="shared" si="328"/>
        <v>0</v>
      </c>
      <c r="FMU23" s="1902">
        <f t="shared" si="328"/>
        <v>0</v>
      </c>
      <c r="FMV23" s="1902">
        <f t="shared" si="328"/>
        <v>0</v>
      </c>
      <c r="FMW23" s="1902">
        <f t="shared" si="328"/>
        <v>0</v>
      </c>
      <c r="FMX23" s="1902">
        <f t="shared" si="328"/>
        <v>0</v>
      </c>
      <c r="FMY23" s="1902">
        <f t="shared" si="328"/>
        <v>0</v>
      </c>
      <c r="FMZ23" s="1902">
        <f t="shared" si="328"/>
        <v>0</v>
      </c>
      <c r="FNA23" s="1902">
        <f t="shared" si="328"/>
        <v>0</v>
      </c>
      <c r="FNB23" s="1902">
        <f t="shared" si="328"/>
        <v>0</v>
      </c>
      <c r="FNC23" s="1902">
        <f t="shared" si="328"/>
        <v>0</v>
      </c>
      <c r="FND23" s="1902">
        <f t="shared" si="328"/>
        <v>0</v>
      </c>
      <c r="FNE23" s="1902">
        <f t="shared" si="328"/>
        <v>0</v>
      </c>
      <c r="FNF23" s="1902">
        <f t="shared" si="328"/>
        <v>0</v>
      </c>
      <c r="FNG23" s="1902">
        <f t="shared" ref="FNG23:FPR23" si="329">IF(AND(FNG$26="End of period",FNG$25="Revenue"),FNG10,0)</f>
        <v>0</v>
      </c>
      <c r="FNH23" s="1902">
        <f t="shared" si="329"/>
        <v>0</v>
      </c>
      <c r="FNI23" s="1902">
        <f t="shared" si="329"/>
        <v>0</v>
      </c>
      <c r="FNJ23" s="1902">
        <f t="shared" si="329"/>
        <v>0</v>
      </c>
      <c r="FNK23" s="1902">
        <f t="shared" si="329"/>
        <v>0</v>
      </c>
      <c r="FNL23" s="1902">
        <f t="shared" si="329"/>
        <v>0</v>
      </c>
      <c r="FNM23" s="1902">
        <f t="shared" si="329"/>
        <v>0</v>
      </c>
      <c r="FNN23" s="1902">
        <f t="shared" si="329"/>
        <v>0</v>
      </c>
      <c r="FNO23" s="1902">
        <f t="shared" si="329"/>
        <v>0</v>
      </c>
      <c r="FNP23" s="1902">
        <f t="shared" si="329"/>
        <v>0</v>
      </c>
      <c r="FNQ23" s="1902">
        <f t="shared" si="329"/>
        <v>0</v>
      </c>
      <c r="FNR23" s="1902">
        <f t="shared" si="329"/>
        <v>0</v>
      </c>
      <c r="FNS23" s="1902">
        <f t="shared" si="329"/>
        <v>0</v>
      </c>
      <c r="FNT23" s="1902">
        <f t="shared" si="329"/>
        <v>0</v>
      </c>
      <c r="FNU23" s="1902">
        <f t="shared" si="329"/>
        <v>0</v>
      </c>
      <c r="FNV23" s="1902">
        <f t="shared" si="329"/>
        <v>0</v>
      </c>
      <c r="FNW23" s="1902">
        <f t="shared" si="329"/>
        <v>0</v>
      </c>
      <c r="FNX23" s="1902">
        <f t="shared" si="329"/>
        <v>0</v>
      </c>
      <c r="FNY23" s="1902">
        <f t="shared" si="329"/>
        <v>0</v>
      </c>
      <c r="FNZ23" s="1902">
        <f t="shared" si="329"/>
        <v>0</v>
      </c>
      <c r="FOA23" s="1902">
        <f t="shared" si="329"/>
        <v>0</v>
      </c>
      <c r="FOB23" s="1902">
        <f t="shared" si="329"/>
        <v>0</v>
      </c>
      <c r="FOC23" s="1902">
        <f t="shared" si="329"/>
        <v>0</v>
      </c>
      <c r="FOD23" s="1902">
        <f t="shared" si="329"/>
        <v>0</v>
      </c>
      <c r="FOE23" s="1902">
        <f t="shared" si="329"/>
        <v>0</v>
      </c>
      <c r="FOF23" s="1902">
        <f t="shared" si="329"/>
        <v>0</v>
      </c>
      <c r="FOG23" s="1902">
        <f t="shared" si="329"/>
        <v>0</v>
      </c>
      <c r="FOH23" s="1902">
        <f t="shared" si="329"/>
        <v>0</v>
      </c>
      <c r="FOI23" s="1902">
        <f t="shared" si="329"/>
        <v>0</v>
      </c>
      <c r="FOJ23" s="1902">
        <f t="shared" si="329"/>
        <v>0</v>
      </c>
      <c r="FOK23" s="1902">
        <f t="shared" si="329"/>
        <v>0</v>
      </c>
      <c r="FOL23" s="1902">
        <f t="shared" si="329"/>
        <v>0</v>
      </c>
      <c r="FOM23" s="1902">
        <f t="shared" si="329"/>
        <v>0</v>
      </c>
      <c r="FON23" s="1902">
        <f t="shared" si="329"/>
        <v>0</v>
      </c>
      <c r="FOO23" s="1902">
        <f t="shared" si="329"/>
        <v>0</v>
      </c>
      <c r="FOP23" s="1902">
        <f t="shared" si="329"/>
        <v>0</v>
      </c>
      <c r="FOQ23" s="1902">
        <f t="shared" si="329"/>
        <v>0</v>
      </c>
      <c r="FOR23" s="1902">
        <f t="shared" si="329"/>
        <v>0</v>
      </c>
      <c r="FOS23" s="1902">
        <f t="shared" si="329"/>
        <v>0</v>
      </c>
      <c r="FOT23" s="1902">
        <f t="shared" si="329"/>
        <v>0</v>
      </c>
      <c r="FOU23" s="1902">
        <f t="shared" si="329"/>
        <v>0</v>
      </c>
      <c r="FOV23" s="1902">
        <f t="shared" si="329"/>
        <v>0</v>
      </c>
      <c r="FOW23" s="1902">
        <f t="shared" si="329"/>
        <v>0</v>
      </c>
      <c r="FOX23" s="1902">
        <f t="shared" si="329"/>
        <v>0</v>
      </c>
      <c r="FOY23" s="1902">
        <f t="shared" si="329"/>
        <v>0</v>
      </c>
      <c r="FOZ23" s="1902">
        <f t="shared" si="329"/>
        <v>0</v>
      </c>
      <c r="FPA23" s="1902">
        <f t="shared" si="329"/>
        <v>0</v>
      </c>
      <c r="FPB23" s="1902">
        <f t="shared" si="329"/>
        <v>0</v>
      </c>
      <c r="FPC23" s="1902">
        <f t="shared" si="329"/>
        <v>0</v>
      </c>
      <c r="FPD23" s="1902">
        <f t="shared" si="329"/>
        <v>0</v>
      </c>
      <c r="FPE23" s="1902">
        <f t="shared" si="329"/>
        <v>0</v>
      </c>
      <c r="FPF23" s="1902">
        <f t="shared" si="329"/>
        <v>0</v>
      </c>
      <c r="FPG23" s="1902">
        <f t="shared" si="329"/>
        <v>0</v>
      </c>
      <c r="FPH23" s="1902">
        <f t="shared" si="329"/>
        <v>0</v>
      </c>
      <c r="FPI23" s="1902">
        <f t="shared" si="329"/>
        <v>0</v>
      </c>
      <c r="FPJ23" s="1902">
        <f t="shared" si="329"/>
        <v>0</v>
      </c>
      <c r="FPK23" s="1902">
        <f t="shared" si="329"/>
        <v>0</v>
      </c>
      <c r="FPL23" s="1902">
        <f t="shared" si="329"/>
        <v>0</v>
      </c>
      <c r="FPM23" s="1902">
        <f t="shared" si="329"/>
        <v>0</v>
      </c>
      <c r="FPN23" s="1902">
        <f t="shared" si="329"/>
        <v>0</v>
      </c>
      <c r="FPO23" s="1902">
        <f t="shared" si="329"/>
        <v>0</v>
      </c>
      <c r="FPP23" s="1902">
        <f t="shared" si="329"/>
        <v>0</v>
      </c>
      <c r="FPQ23" s="1902">
        <f t="shared" si="329"/>
        <v>0</v>
      </c>
      <c r="FPR23" s="1902">
        <f t="shared" si="329"/>
        <v>0</v>
      </c>
      <c r="FPS23" s="1902">
        <f t="shared" ref="FPS23:FSD23" si="330">IF(AND(FPS$26="End of period",FPS$25="Revenue"),FPS10,0)</f>
        <v>0</v>
      </c>
      <c r="FPT23" s="1902">
        <f t="shared" si="330"/>
        <v>0</v>
      </c>
      <c r="FPU23" s="1902">
        <f t="shared" si="330"/>
        <v>0</v>
      </c>
      <c r="FPV23" s="1902">
        <f t="shared" si="330"/>
        <v>0</v>
      </c>
      <c r="FPW23" s="1902">
        <f t="shared" si="330"/>
        <v>0</v>
      </c>
      <c r="FPX23" s="1902">
        <f t="shared" si="330"/>
        <v>0</v>
      </c>
      <c r="FPY23" s="1902">
        <f t="shared" si="330"/>
        <v>0</v>
      </c>
      <c r="FPZ23" s="1902">
        <f t="shared" si="330"/>
        <v>0</v>
      </c>
      <c r="FQA23" s="1902">
        <f t="shared" si="330"/>
        <v>0</v>
      </c>
      <c r="FQB23" s="1902">
        <f t="shared" si="330"/>
        <v>0</v>
      </c>
      <c r="FQC23" s="1902">
        <f t="shared" si="330"/>
        <v>0</v>
      </c>
      <c r="FQD23" s="1902">
        <f t="shared" si="330"/>
        <v>0</v>
      </c>
      <c r="FQE23" s="1902">
        <f t="shared" si="330"/>
        <v>0</v>
      </c>
      <c r="FQF23" s="1902">
        <f t="shared" si="330"/>
        <v>0</v>
      </c>
      <c r="FQG23" s="1902">
        <f t="shared" si="330"/>
        <v>0</v>
      </c>
      <c r="FQH23" s="1902">
        <f t="shared" si="330"/>
        <v>0</v>
      </c>
      <c r="FQI23" s="1902">
        <f t="shared" si="330"/>
        <v>0</v>
      </c>
      <c r="FQJ23" s="1902">
        <f t="shared" si="330"/>
        <v>0</v>
      </c>
      <c r="FQK23" s="1902">
        <f t="shared" si="330"/>
        <v>0</v>
      </c>
      <c r="FQL23" s="1902">
        <f t="shared" si="330"/>
        <v>0</v>
      </c>
      <c r="FQM23" s="1902">
        <f t="shared" si="330"/>
        <v>0</v>
      </c>
      <c r="FQN23" s="1902">
        <f t="shared" si="330"/>
        <v>0</v>
      </c>
      <c r="FQO23" s="1902">
        <f t="shared" si="330"/>
        <v>0</v>
      </c>
      <c r="FQP23" s="1902">
        <f t="shared" si="330"/>
        <v>0</v>
      </c>
      <c r="FQQ23" s="1902">
        <f t="shared" si="330"/>
        <v>0</v>
      </c>
      <c r="FQR23" s="1902">
        <f t="shared" si="330"/>
        <v>0</v>
      </c>
      <c r="FQS23" s="1902">
        <f t="shared" si="330"/>
        <v>0</v>
      </c>
      <c r="FQT23" s="1902">
        <f t="shared" si="330"/>
        <v>0</v>
      </c>
      <c r="FQU23" s="1902">
        <f t="shared" si="330"/>
        <v>0</v>
      </c>
      <c r="FQV23" s="1902">
        <f t="shared" si="330"/>
        <v>0</v>
      </c>
      <c r="FQW23" s="1902">
        <f t="shared" si="330"/>
        <v>0</v>
      </c>
      <c r="FQX23" s="1902">
        <f t="shared" si="330"/>
        <v>0</v>
      </c>
      <c r="FQY23" s="1902">
        <f t="shared" si="330"/>
        <v>0</v>
      </c>
      <c r="FQZ23" s="1902">
        <f t="shared" si="330"/>
        <v>0</v>
      </c>
      <c r="FRA23" s="1902">
        <f t="shared" si="330"/>
        <v>0</v>
      </c>
      <c r="FRB23" s="1902">
        <f t="shared" si="330"/>
        <v>0</v>
      </c>
      <c r="FRC23" s="1902">
        <f t="shared" si="330"/>
        <v>0</v>
      </c>
      <c r="FRD23" s="1902">
        <f t="shared" si="330"/>
        <v>0</v>
      </c>
      <c r="FRE23" s="1902">
        <f t="shared" si="330"/>
        <v>0</v>
      </c>
      <c r="FRF23" s="1902">
        <f t="shared" si="330"/>
        <v>0</v>
      </c>
      <c r="FRG23" s="1902">
        <f t="shared" si="330"/>
        <v>0</v>
      </c>
      <c r="FRH23" s="1902">
        <f t="shared" si="330"/>
        <v>0</v>
      </c>
      <c r="FRI23" s="1902">
        <f t="shared" si="330"/>
        <v>0</v>
      </c>
      <c r="FRJ23" s="1902">
        <f t="shared" si="330"/>
        <v>0</v>
      </c>
      <c r="FRK23" s="1902">
        <f t="shared" si="330"/>
        <v>0</v>
      </c>
      <c r="FRL23" s="1902">
        <f t="shared" si="330"/>
        <v>0</v>
      </c>
      <c r="FRM23" s="1902">
        <f t="shared" si="330"/>
        <v>0</v>
      </c>
      <c r="FRN23" s="1902">
        <f t="shared" si="330"/>
        <v>0</v>
      </c>
      <c r="FRO23" s="1902">
        <f t="shared" si="330"/>
        <v>0</v>
      </c>
      <c r="FRP23" s="1902">
        <f t="shared" si="330"/>
        <v>0</v>
      </c>
      <c r="FRQ23" s="1902">
        <f t="shared" si="330"/>
        <v>0</v>
      </c>
      <c r="FRR23" s="1902">
        <f t="shared" si="330"/>
        <v>0</v>
      </c>
      <c r="FRS23" s="1902">
        <f t="shared" si="330"/>
        <v>0</v>
      </c>
      <c r="FRT23" s="1902">
        <f t="shared" si="330"/>
        <v>0</v>
      </c>
      <c r="FRU23" s="1902">
        <f t="shared" si="330"/>
        <v>0</v>
      </c>
      <c r="FRV23" s="1902">
        <f t="shared" si="330"/>
        <v>0</v>
      </c>
      <c r="FRW23" s="1902">
        <f t="shared" si="330"/>
        <v>0</v>
      </c>
      <c r="FRX23" s="1902">
        <f t="shared" si="330"/>
        <v>0</v>
      </c>
      <c r="FRY23" s="1902">
        <f t="shared" si="330"/>
        <v>0</v>
      </c>
      <c r="FRZ23" s="1902">
        <f t="shared" si="330"/>
        <v>0</v>
      </c>
      <c r="FSA23" s="1902">
        <f t="shared" si="330"/>
        <v>0</v>
      </c>
      <c r="FSB23" s="1902">
        <f t="shared" si="330"/>
        <v>0</v>
      </c>
      <c r="FSC23" s="1902">
        <f t="shared" si="330"/>
        <v>0</v>
      </c>
      <c r="FSD23" s="1902">
        <f t="shared" si="330"/>
        <v>0</v>
      </c>
      <c r="FSE23" s="1902">
        <f t="shared" ref="FSE23:FUP23" si="331">IF(AND(FSE$26="End of period",FSE$25="Revenue"),FSE10,0)</f>
        <v>0</v>
      </c>
      <c r="FSF23" s="1902">
        <f t="shared" si="331"/>
        <v>0</v>
      </c>
      <c r="FSG23" s="1902">
        <f t="shared" si="331"/>
        <v>0</v>
      </c>
      <c r="FSH23" s="1902">
        <f t="shared" si="331"/>
        <v>0</v>
      </c>
      <c r="FSI23" s="1902">
        <f t="shared" si="331"/>
        <v>0</v>
      </c>
      <c r="FSJ23" s="1902">
        <f t="shared" si="331"/>
        <v>0</v>
      </c>
      <c r="FSK23" s="1902">
        <f t="shared" si="331"/>
        <v>0</v>
      </c>
      <c r="FSL23" s="1902">
        <f t="shared" si="331"/>
        <v>0</v>
      </c>
      <c r="FSM23" s="1902">
        <f t="shared" si="331"/>
        <v>0</v>
      </c>
      <c r="FSN23" s="1902">
        <f t="shared" si="331"/>
        <v>0</v>
      </c>
      <c r="FSO23" s="1902">
        <f t="shared" si="331"/>
        <v>0</v>
      </c>
      <c r="FSP23" s="1902">
        <f t="shared" si="331"/>
        <v>0</v>
      </c>
      <c r="FSQ23" s="1902">
        <f t="shared" si="331"/>
        <v>0</v>
      </c>
      <c r="FSR23" s="1902">
        <f t="shared" si="331"/>
        <v>0</v>
      </c>
      <c r="FSS23" s="1902">
        <f t="shared" si="331"/>
        <v>0</v>
      </c>
      <c r="FST23" s="1902">
        <f t="shared" si="331"/>
        <v>0</v>
      </c>
      <c r="FSU23" s="1902">
        <f t="shared" si="331"/>
        <v>0</v>
      </c>
      <c r="FSV23" s="1902">
        <f t="shared" si="331"/>
        <v>0</v>
      </c>
      <c r="FSW23" s="1902">
        <f t="shared" si="331"/>
        <v>0</v>
      </c>
      <c r="FSX23" s="1902">
        <f t="shared" si="331"/>
        <v>0</v>
      </c>
      <c r="FSY23" s="1902">
        <f t="shared" si="331"/>
        <v>0</v>
      </c>
      <c r="FSZ23" s="1902">
        <f t="shared" si="331"/>
        <v>0</v>
      </c>
      <c r="FTA23" s="1902">
        <f t="shared" si="331"/>
        <v>0</v>
      </c>
      <c r="FTB23" s="1902">
        <f t="shared" si="331"/>
        <v>0</v>
      </c>
      <c r="FTC23" s="1902">
        <f t="shared" si="331"/>
        <v>0</v>
      </c>
      <c r="FTD23" s="1902">
        <f t="shared" si="331"/>
        <v>0</v>
      </c>
      <c r="FTE23" s="1902">
        <f t="shared" si="331"/>
        <v>0</v>
      </c>
      <c r="FTF23" s="1902">
        <f t="shared" si="331"/>
        <v>0</v>
      </c>
      <c r="FTG23" s="1902">
        <f t="shared" si="331"/>
        <v>0</v>
      </c>
      <c r="FTH23" s="1902">
        <f t="shared" si="331"/>
        <v>0</v>
      </c>
      <c r="FTI23" s="1902">
        <f t="shared" si="331"/>
        <v>0</v>
      </c>
      <c r="FTJ23" s="1902">
        <f t="shared" si="331"/>
        <v>0</v>
      </c>
      <c r="FTK23" s="1902">
        <f t="shared" si="331"/>
        <v>0</v>
      </c>
      <c r="FTL23" s="1902">
        <f t="shared" si="331"/>
        <v>0</v>
      </c>
      <c r="FTM23" s="1902">
        <f t="shared" si="331"/>
        <v>0</v>
      </c>
      <c r="FTN23" s="1902">
        <f t="shared" si="331"/>
        <v>0</v>
      </c>
      <c r="FTO23" s="1902">
        <f t="shared" si="331"/>
        <v>0</v>
      </c>
      <c r="FTP23" s="1902">
        <f t="shared" si="331"/>
        <v>0</v>
      </c>
      <c r="FTQ23" s="1902">
        <f t="shared" si="331"/>
        <v>0</v>
      </c>
      <c r="FTR23" s="1902">
        <f t="shared" si="331"/>
        <v>0</v>
      </c>
      <c r="FTS23" s="1902">
        <f t="shared" si="331"/>
        <v>0</v>
      </c>
      <c r="FTT23" s="1902">
        <f t="shared" si="331"/>
        <v>0</v>
      </c>
      <c r="FTU23" s="1902">
        <f t="shared" si="331"/>
        <v>0</v>
      </c>
      <c r="FTV23" s="1902">
        <f t="shared" si="331"/>
        <v>0</v>
      </c>
      <c r="FTW23" s="1902">
        <f t="shared" si="331"/>
        <v>0</v>
      </c>
      <c r="FTX23" s="1902">
        <f t="shared" si="331"/>
        <v>0</v>
      </c>
      <c r="FTY23" s="1902">
        <f t="shared" si="331"/>
        <v>0</v>
      </c>
      <c r="FTZ23" s="1902">
        <f t="shared" si="331"/>
        <v>0</v>
      </c>
      <c r="FUA23" s="1902">
        <f t="shared" si="331"/>
        <v>0</v>
      </c>
      <c r="FUB23" s="1902">
        <f t="shared" si="331"/>
        <v>0</v>
      </c>
      <c r="FUC23" s="1902">
        <f t="shared" si="331"/>
        <v>0</v>
      </c>
      <c r="FUD23" s="1902">
        <f t="shared" si="331"/>
        <v>0</v>
      </c>
      <c r="FUE23" s="1902">
        <f t="shared" si="331"/>
        <v>0</v>
      </c>
      <c r="FUF23" s="1902">
        <f t="shared" si="331"/>
        <v>0</v>
      </c>
      <c r="FUG23" s="1902">
        <f t="shared" si="331"/>
        <v>0</v>
      </c>
      <c r="FUH23" s="1902">
        <f t="shared" si="331"/>
        <v>0</v>
      </c>
      <c r="FUI23" s="1902">
        <f t="shared" si="331"/>
        <v>0</v>
      </c>
      <c r="FUJ23" s="1902">
        <f t="shared" si="331"/>
        <v>0</v>
      </c>
      <c r="FUK23" s="1902">
        <f t="shared" si="331"/>
        <v>0</v>
      </c>
      <c r="FUL23" s="1902">
        <f t="shared" si="331"/>
        <v>0</v>
      </c>
      <c r="FUM23" s="1902">
        <f t="shared" si="331"/>
        <v>0</v>
      </c>
      <c r="FUN23" s="1902">
        <f t="shared" si="331"/>
        <v>0</v>
      </c>
      <c r="FUO23" s="1902">
        <f t="shared" si="331"/>
        <v>0</v>
      </c>
      <c r="FUP23" s="1902">
        <f t="shared" si="331"/>
        <v>0</v>
      </c>
      <c r="FUQ23" s="1902">
        <f t="shared" ref="FUQ23:FXB23" si="332">IF(AND(FUQ$26="End of period",FUQ$25="Revenue"),FUQ10,0)</f>
        <v>0</v>
      </c>
      <c r="FUR23" s="1902">
        <f t="shared" si="332"/>
        <v>0</v>
      </c>
      <c r="FUS23" s="1902">
        <f t="shared" si="332"/>
        <v>0</v>
      </c>
      <c r="FUT23" s="1902">
        <f t="shared" si="332"/>
        <v>0</v>
      </c>
      <c r="FUU23" s="1902">
        <f t="shared" si="332"/>
        <v>0</v>
      </c>
      <c r="FUV23" s="1902">
        <f t="shared" si="332"/>
        <v>0</v>
      </c>
      <c r="FUW23" s="1902">
        <f t="shared" si="332"/>
        <v>0</v>
      </c>
      <c r="FUX23" s="1902">
        <f t="shared" si="332"/>
        <v>0</v>
      </c>
      <c r="FUY23" s="1902">
        <f t="shared" si="332"/>
        <v>0</v>
      </c>
      <c r="FUZ23" s="1902">
        <f t="shared" si="332"/>
        <v>0</v>
      </c>
      <c r="FVA23" s="1902">
        <f t="shared" si="332"/>
        <v>0</v>
      </c>
      <c r="FVB23" s="1902">
        <f t="shared" si="332"/>
        <v>0</v>
      </c>
      <c r="FVC23" s="1902">
        <f t="shared" si="332"/>
        <v>0</v>
      </c>
      <c r="FVD23" s="1902">
        <f t="shared" si="332"/>
        <v>0</v>
      </c>
      <c r="FVE23" s="1902">
        <f t="shared" si="332"/>
        <v>0</v>
      </c>
      <c r="FVF23" s="1902">
        <f t="shared" si="332"/>
        <v>0</v>
      </c>
      <c r="FVG23" s="1902">
        <f t="shared" si="332"/>
        <v>0</v>
      </c>
      <c r="FVH23" s="1902">
        <f t="shared" si="332"/>
        <v>0</v>
      </c>
      <c r="FVI23" s="1902">
        <f t="shared" si="332"/>
        <v>0</v>
      </c>
      <c r="FVJ23" s="1902">
        <f t="shared" si="332"/>
        <v>0</v>
      </c>
      <c r="FVK23" s="1902">
        <f t="shared" si="332"/>
        <v>0</v>
      </c>
      <c r="FVL23" s="1902">
        <f t="shared" si="332"/>
        <v>0</v>
      </c>
      <c r="FVM23" s="1902">
        <f t="shared" si="332"/>
        <v>0</v>
      </c>
      <c r="FVN23" s="1902">
        <f t="shared" si="332"/>
        <v>0</v>
      </c>
      <c r="FVO23" s="1902">
        <f t="shared" si="332"/>
        <v>0</v>
      </c>
      <c r="FVP23" s="1902">
        <f t="shared" si="332"/>
        <v>0</v>
      </c>
      <c r="FVQ23" s="1902">
        <f t="shared" si="332"/>
        <v>0</v>
      </c>
      <c r="FVR23" s="1902">
        <f t="shared" si="332"/>
        <v>0</v>
      </c>
      <c r="FVS23" s="1902">
        <f t="shared" si="332"/>
        <v>0</v>
      </c>
      <c r="FVT23" s="1902">
        <f t="shared" si="332"/>
        <v>0</v>
      </c>
      <c r="FVU23" s="1902">
        <f t="shared" si="332"/>
        <v>0</v>
      </c>
      <c r="FVV23" s="1902">
        <f t="shared" si="332"/>
        <v>0</v>
      </c>
      <c r="FVW23" s="1902">
        <f t="shared" si="332"/>
        <v>0</v>
      </c>
      <c r="FVX23" s="1902">
        <f t="shared" si="332"/>
        <v>0</v>
      </c>
      <c r="FVY23" s="1902">
        <f t="shared" si="332"/>
        <v>0</v>
      </c>
      <c r="FVZ23" s="1902">
        <f t="shared" si="332"/>
        <v>0</v>
      </c>
      <c r="FWA23" s="1902">
        <f t="shared" si="332"/>
        <v>0</v>
      </c>
      <c r="FWB23" s="1902">
        <f t="shared" si="332"/>
        <v>0</v>
      </c>
      <c r="FWC23" s="1902">
        <f t="shared" si="332"/>
        <v>0</v>
      </c>
      <c r="FWD23" s="1902">
        <f t="shared" si="332"/>
        <v>0</v>
      </c>
      <c r="FWE23" s="1902">
        <f t="shared" si="332"/>
        <v>0</v>
      </c>
      <c r="FWF23" s="1902">
        <f t="shared" si="332"/>
        <v>0</v>
      </c>
      <c r="FWG23" s="1902">
        <f t="shared" si="332"/>
        <v>0</v>
      </c>
      <c r="FWH23" s="1902">
        <f t="shared" si="332"/>
        <v>0</v>
      </c>
      <c r="FWI23" s="1902">
        <f t="shared" si="332"/>
        <v>0</v>
      </c>
      <c r="FWJ23" s="1902">
        <f t="shared" si="332"/>
        <v>0</v>
      </c>
      <c r="FWK23" s="1902">
        <f t="shared" si="332"/>
        <v>0</v>
      </c>
      <c r="FWL23" s="1902">
        <f t="shared" si="332"/>
        <v>0</v>
      </c>
      <c r="FWM23" s="1902">
        <f t="shared" si="332"/>
        <v>0</v>
      </c>
      <c r="FWN23" s="1902">
        <f t="shared" si="332"/>
        <v>0</v>
      </c>
      <c r="FWO23" s="1902">
        <f t="shared" si="332"/>
        <v>0</v>
      </c>
      <c r="FWP23" s="1902">
        <f t="shared" si="332"/>
        <v>0</v>
      </c>
      <c r="FWQ23" s="1902">
        <f t="shared" si="332"/>
        <v>0</v>
      </c>
      <c r="FWR23" s="1902">
        <f t="shared" si="332"/>
        <v>0</v>
      </c>
      <c r="FWS23" s="1902">
        <f t="shared" si="332"/>
        <v>0</v>
      </c>
      <c r="FWT23" s="1902">
        <f t="shared" si="332"/>
        <v>0</v>
      </c>
      <c r="FWU23" s="1902">
        <f t="shared" si="332"/>
        <v>0</v>
      </c>
      <c r="FWV23" s="1902">
        <f t="shared" si="332"/>
        <v>0</v>
      </c>
      <c r="FWW23" s="1902">
        <f t="shared" si="332"/>
        <v>0</v>
      </c>
      <c r="FWX23" s="1902">
        <f t="shared" si="332"/>
        <v>0</v>
      </c>
      <c r="FWY23" s="1902">
        <f t="shared" si="332"/>
        <v>0</v>
      </c>
      <c r="FWZ23" s="1902">
        <f t="shared" si="332"/>
        <v>0</v>
      </c>
      <c r="FXA23" s="1902">
        <f t="shared" si="332"/>
        <v>0</v>
      </c>
      <c r="FXB23" s="1902">
        <f t="shared" si="332"/>
        <v>0</v>
      </c>
      <c r="FXC23" s="1902">
        <f t="shared" ref="FXC23:FZN23" si="333">IF(AND(FXC$26="End of period",FXC$25="Revenue"),FXC10,0)</f>
        <v>0</v>
      </c>
      <c r="FXD23" s="1902">
        <f t="shared" si="333"/>
        <v>0</v>
      </c>
      <c r="FXE23" s="1902">
        <f t="shared" si="333"/>
        <v>0</v>
      </c>
      <c r="FXF23" s="1902">
        <f t="shared" si="333"/>
        <v>0</v>
      </c>
      <c r="FXG23" s="1902">
        <f t="shared" si="333"/>
        <v>0</v>
      </c>
      <c r="FXH23" s="1902">
        <f t="shared" si="333"/>
        <v>0</v>
      </c>
      <c r="FXI23" s="1902">
        <f t="shared" si="333"/>
        <v>0</v>
      </c>
      <c r="FXJ23" s="1902">
        <f t="shared" si="333"/>
        <v>0</v>
      </c>
      <c r="FXK23" s="1902">
        <f t="shared" si="333"/>
        <v>0</v>
      </c>
      <c r="FXL23" s="1902">
        <f t="shared" si="333"/>
        <v>0</v>
      </c>
      <c r="FXM23" s="1902">
        <f t="shared" si="333"/>
        <v>0</v>
      </c>
      <c r="FXN23" s="1902">
        <f t="shared" si="333"/>
        <v>0</v>
      </c>
      <c r="FXO23" s="1902">
        <f t="shared" si="333"/>
        <v>0</v>
      </c>
      <c r="FXP23" s="1902">
        <f t="shared" si="333"/>
        <v>0</v>
      </c>
      <c r="FXQ23" s="1902">
        <f t="shared" si="333"/>
        <v>0</v>
      </c>
      <c r="FXR23" s="1902">
        <f t="shared" si="333"/>
        <v>0</v>
      </c>
      <c r="FXS23" s="1902">
        <f t="shared" si="333"/>
        <v>0</v>
      </c>
      <c r="FXT23" s="1902">
        <f t="shared" si="333"/>
        <v>0</v>
      </c>
      <c r="FXU23" s="1902">
        <f t="shared" si="333"/>
        <v>0</v>
      </c>
      <c r="FXV23" s="1902">
        <f t="shared" si="333"/>
        <v>0</v>
      </c>
      <c r="FXW23" s="1902">
        <f t="shared" si="333"/>
        <v>0</v>
      </c>
      <c r="FXX23" s="1902">
        <f t="shared" si="333"/>
        <v>0</v>
      </c>
      <c r="FXY23" s="1902">
        <f t="shared" si="333"/>
        <v>0</v>
      </c>
      <c r="FXZ23" s="1902">
        <f t="shared" si="333"/>
        <v>0</v>
      </c>
      <c r="FYA23" s="1902">
        <f t="shared" si="333"/>
        <v>0</v>
      </c>
      <c r="FYB23" s="1902">
        <f t="shared" si="333"/>
        <v>0</v>
      </c>
      <c r="FYC23" s="1902">
        <f t="shared" si="333"/>
        <v>0</v>
      </c>
      <c r="FYD23" s="1902">
        <f t="shared" si="333"/>
        <v>0</v>
      </c>
      <c r="FYE23" s="1902">
        <f t="shared" si="333"/>
        <v>0</v>
      </c>
      <c r="FYF23" s="1902">
        <f t="shared" si="333"/>
        <v>0</v>
      </c>
      <c r="FYG23" s="1902">
        <f t="shared" si="333"/>
        <v>0</v>
      </c>
      <c r="FYH23" s="1902">
        <f t="shared" si="333"/>
        <v>0</v>
      </c>
      <c r="FYI23" s="1902">
        <f t="shared" si="333"/>
        <v>0</v>
      </c>
      <c r="FYJ23" s="1902">
        <f t="shared" si="333"/>
        <v>0</v>
      </c>
      <c r="FYK23" s="1902">
        <f t="shared" si="333"/>
        <v>0</v>
      </c>
      <c r="FYL23" s="1902">
        <f t="shared" si="333"/>
        <v>0</v>
      </c>
      <c r="FYM23" s="1902">
        <f t="shared" si="333"/>
        <v>0</v>
      </c>
      <c r="FYN23" s="1902">
        <f t="shared" si="333"/>
        <v>0</v>
      </c>
      <c r="FYO23" s="1902">
        <f t="shared" si="333"/>
        <v>0</v>
      </c>
      <c r="FYP23" s="1902">
        <f t="shared" si="333"/>
        <v>0</v>
      </c>
      <c r="FYQ23" s="1902">
        <f t="shared" si="333"/>
        <v>0</v>
      </c>
      <c r="FYR23" s="1902">
        <f t="shared" si="333"/>
        <v>0</v>
      </c>
      <c r="FYS23" s="1902">
        <f t="shared" si="333"/>
        <v>0</v>
      </c>
      <c r="FYT23" s="1902">
        <f t="shared" si="333"/>
        <v>0</v>
      </c>
      <c r="FYU23" s="1902">
        <f t="shared" si="333"/>
        <v>0</v>
      </c>
      <c r="FYV23" s="1902">
        <f t="shared" si="333"/>
        <v>0</v>
      </c>
      <c r="FYW23" s="1902">
        <f t="shared" si="333"/>
        <v>0</v>
      </c>
      <c r="FYX23" s="1902">
        <f t="shared" si="333"/>
        <v>0</v>
      </c>
      <c r="FYY23" s="1902">
        <f t="shared" si="333"/>
        <v>0</v>
      </c>
      <c r="FYZ23" s="1902">
        <f t="shared" si="333"/>
        <v>0</v>
      </c>
      <c r="FZA23" s="1902">
        <f t="shared" si="333"/>
        <v>0</v>
      </c>
      <c r="FZB23" s="1902">
        <f t="shared" si="333"/>
        <v>0</v>
      </c>
      <c r="FZC23" s="1902">
        <f t="shared" si="333"/>
        <v>0</v>
      </c>
      <c r="FZD23" s="1902">
        <f t="shared" si="333"/>
        <v>0</v>
      </c>
      <c r="FZE23" s="1902">
        <f t="shared" si="333"/>
        <v>0</v>
      </c>
      <c r="FZF23" s="1902">
        <f t="shared" si="333"/>
        <v>0</v>
      </c>
      <c r="FZG23" s="1902">
        <f t="shared" si="333"/>
        <v>0</v>
      </c>
      <c r="FZH23" s="1902">
        <f t="shared" si="333"/>
        <v>0</v>
      </c>
      <c r="FZI23" s="1902">
        <f t="shared" si="333"/>
        <v>0</v>
      </c>
      <c r="FZJ23" s="1902">
        <f t="shared" si="333"/>
        <v>0</v>
      </c>
      <c r="FZK23" s="1902">
        <f t="shared" si="333"/>
        <v>0</v>
      </c>
      <c r="FZL23" s="1902">
        <f t="shared" si="333"/>
        <v>0</v>
      </c>
      <c r="FZM23" s="1902">
        <f t="shared" si="333"/>
        <v>0</v>
      </c>
      <c r="FZN23" s="1902">
        <f t="shared" si="333"/>
        <v>0</v>
      </c>
      <c r="FZO23" s="1902">
        <f t="shared" ref="FZO23:GBZ23" si="334">IF(AND(FZO$26="End of period",FZO$25="Revenue"),FZO10,0)</f>
        <v>0</v>
      </c>
      <c r="FZP23" s="1902">
        <f t="shared" si="334"/>
        <v>0</v>
      </c>
      <c r="FZQ23" s="1902">
        <f t="shared" si="334"/>
        <v>0</v>
      </c>
      <c r="FZR23" s="1902">
        <f t="shared" si="334"/>
        <v>0</v>
      </c>
      <c r="FZS23" s="1902">
        <f t="shared" si="334"/>
        <v>0</v>
      </c>
      <c r="FZT23" s="1902">
        <f t="shared" si="334"/>
        <v>0</v>
      </c>
      <c r="FZU23" s="1902">
        <f t="shared" si="334"/>
        <v>0</v>
      </c>
      <c r="FZV23" s="1902">
        <f t="shared" si="334"/>
        <v>0</v>
      </c>
      <c r="FZW23" s="1902">
        <f t="shared" si="334"/>
        <v>0</v>
      </c>
      <c r="FZX23" s="1902">
        <f t="shared" si="334"/>
        <v>0</v>
      </c>
      <c r="FZY23" s="1902">
        <f t="shared" si="334"/>
        <v>0</v>
      </c>
      <c r="FZZ23" s="1902">
        <f t="shared" si="334"/>
        <v>0</v>
      </c>
      <c r="GAA23" s="1902">
        <f t="shared" si="334"/>
        <v>0</v>
      </c>
      <c r="GAB23" s="1902">
        <f t="shared" si="334"/>
        <v>0</v>
      </c>
      <c r="GAC23" s="1902">
        <f t="shared" si="334"/>
        <v>0</v>
      </c>
      <c r="GAD23" s="1902">
        <f t="shared" si="334"/>
        <v>0</v>
      </c>
      <c r="GAE23" s="1902">
        <f t="shared" si="334"/>
        <v>0</v>
      </c>
      <c r="GAF23" s="1902">
        <f t="shared" si="334"/>
        <v>0</v>
      </c>
      <c r="GAG23" s="1902">
        <f t="shared" si="334"/>
        <v>0</v>
      </c>
      <c r="GAH23" s="1902">
        <f t="shared" si="334"/>
        <v>0</v>
      </c>
      <c r="GAI23" s="1902">
        <f t="shared" si="334"/>
        <v>0</v>
      </c>
      <c r="GAJ23" s="1902">
        <f t="shared" si="334"/>
        <v>0</v>
      </c>
      <c r="GAK23" s="1902">
        <f t="shared" si="334"/>
        <v>0</v>
      </c>
      <c r="GAL23" s="1902">
        <f t="shared" si="334"/>
        <v>0</v>
      </c>
      <c r="GAM23" s="1902">
        <f t="shared" si="334"/>
        <v>0</v>
      </c>
      <c r="GAN23" s="1902">
        <f t="shared" si="334"/>
        <v>0</v>
      </c>
      <c r="GAO23" s="1902">
        <f t="shared" si="334"/>
        <v>0</v>
      </c>
      <c r="GAP23" s="1902">
        <f t="shared" si="334"/>
        <v>0</v>
      </c>
      <c r="GAQ23" s="1902">
        <f t="shared" si="334"/>
        <v>0</v>
      </c>
      <c r="GAR23" s="1902">
        <f t="shared" si="334"/>
        <v>0</v>
      </c>
      <c r="GAS23" s="1902">
        <f t="shared" si="334"/>
        <v>0</v>
      </c>
      <c r="GAT23" s="1902">
        <f t="shared" si="334"/>
        <v>0</v>
      </c>
      <c r="GAU23" s="1902">
        <f t="shared" si="334"/>
        <v>0</v>
      </c>
      <c r="GAV23" s="1902">
        <f t="shared" si="334"/>
        <v>0</v>
      </c>
      <c r="GAW23" s="1902">
        <f t="shared" si="334"/>
        <v>0</v>
      </c>
      <c r="GAX23" s="1902">
        <f t="shared" si="334"/>
        <v>0</v>
      </c>
      <c r="GAY23" s="1902">
        <f t="shared" si="334"/>
        <v>0</v>
      </c>
      <c r="GAZ23" s="1902">
        <f t="shared" si="334"/>
        <v>0</v>
      </c>
      <c r="GBA23" s="1902">
        <f t="shared" si="334"/>
        <v>0</v>
      </c>
      <c r="GBB23" s="1902">
        <f t="shared" si="334"/>
        <v>0</v>
      </c>
      <c r="GBC23" s="1902">
        <f t="shared" si="334"/>
        <v>0</v>
      </c>
      <c r="GBD23" s="1902">
        <f t="shared" si="334"/>
        <v>0</v>
      </c>
      <c r="GBE23" s="1902">
        <f t="shared" si="334"/>
        <v>0</v>
      </c>
      <c r="GBF23" s="1902">
        <f t="shared" si="334"/>
        <v>0</v>
      </c>
      <c r="GBG23" s="1902">
        <f t="shared" si="334"/>
        <v>0</v>
      </c>
      <c r="GBH23" s="1902">
        <f t="shared" si="334"/>
        <v>0</v>
      </c>
      <c r="GBI23" s="1902">
        <f t="shared" si="334"/>
        <v>0</v>
      </c>
      <c r="GBJ23" s="1902">
        <f t="shared" si="334"/>
        <v>0</v>
      </c>
      <c r="GBK23" s="1902">
        <f t="shared" si="334"/>
        <v>0</v>
      </c>
      <c r="GBL23" s="1902">
        <f t="shared" si="334"/>
        <v>0</v>
      </c>
      <c r="GBM23" s="1902">
        <f t="shared" si="334"/>
        <v>0</v>
      </c>
      <c r="GBN23" s="1902">
        <f t="shared" si="334"/>
        <v>0</v>
      </c>
      <c r="GBO23" s="1902">
        <f t="shared" si="334"/>
        <v>0</v>
      </c>
      <c r="GBP23" s="1902">
        <f t="shared" si="334"/>
        <v>0</v>
      </c>
      <c r="GBQ23" s="1902">
        <f t="shared" si="334"/>
        <v>0</v>
      </c>
      <c r="GBR23" s="1902">
        <f t="shared" si="334"/>
        <v>0</v>
      </c>
      <c r="GBS23" s="1902">
        <f t="shared" si="334"/>
        <v>0</v>
      </c>
      <c r="GBT23" s="1902">
        <f t="shared" si="334"/>
        <v>0</v>
      </c>
      <c r="GBU23" s="1902">
        <f t="shared" si="334"/>
        <v>0</v>
      </c>
      <c r="GBV23" s="1902">
        <f t="shared" si="334"/>
        <v>0</v>
      </c>
      <c r="GBW23" s="1902">
        <f t="shared" si="334"/>
        <v>0</v>
      </c>
      <c r="GBX23" s="1902">
        <f t="shared" si="334"/>
        <v>0</v>
      </c>
      <c r="GBY23" s="1902">
        <f t="shared" si="334"/>
        <v>0</v>
      </c>
      <c r="GBZ23" s="1902">
        <f t="shared" si="334"/>
        <v>0</v>
      </c>
      <c r="GCA23" s="1902">
        <f t="shared" ref="GCA23:GEL23" si="335">IF(AND(GCA$26="End of period",GCA$25="Revenue"),GCA10,0)</f>
        <v>0</v>
      </c>
      <c r="GCB23" s="1902">
        <f t="shared" si="335"/>
        <v>0</v>
      </c>
      <c r="GCC23" s="1902">
        <f t="shared" si="335"/>
        <v>0</v>
      </c>
      <c r="GCD23" s="1902">
        <f t="shared" si="335"/>
        <v>0</v>
      </c>
      <c r="GCE23" s="1902">
        <f t="shared" si="335"/>
        <v>0</v>
      </c>
      <c r="GCF23" s="1902">
        <f t="shared" si="335"/>
        <v>0</v>
      </c>
      <c r="GCG23" s="1902">
        <f t="shared" si="335"/>
        <v>0</v>
      </c>
      <c r="GCH23" s="1902">
        <f t="shared" si="335"/>
        <v>0</v>
      </c>
      <c r="GCI23" s="1902">
        <f t="shared" si="335"/>
        <v>0</v>
      </c>
      <c r="GCJ23" s="1902">
        <f t="shared" si="335"/>
        <v>0</v>
      </c>
      <c r="GCK23" s="1902">
        <f t="shared" si="335"/>
        <v>0</v>
      </c>
      <c r="GCL23" s="1902">
        <f t="shared" si="335"/>
        <v>0</v>
      </c>
      <c r="GCM23" s="1902">
        <f t="shared" si="335"/>
        <v>0</v>
      </c>
      <c r="GCN23" s="1902">
        <f t="shared" si="335"/>
        <v>0</v>
      </c>
      <c r="GCO23" s="1902">
        <f t="shared" si="335"/>
        <v>0</v>
      </c>
      <c r="GCP23" s="1902">
        <f t="shared" si="335"/>
        <v>0</v>
      </c>
      <c r="GCQ23" s="1902">
        <f t="shared" si="335"/>
        <v>0</v>
      </c>
      <c r="GCR23" s="1902">
        <f t="shared" si="335"/>
        <v>0</v>
      </c>
      <c r="GCS23" s="1902">
        <f t="shared" si="335"/>
        <v>0</v>
      </c>
      <c r="GCT23" s="1902">
        <f t="shared" si="335"/>
        <v>0</v>
      </c>
      <c r="GCU23" s="1902">
        <f t="shared" si="335"/>
        <v>0</v>
      </c>
      <c r="GCV23" s="1902">
        <f t="shared" si="335"/>
        <v>0</v>
      </c>
      <c r="GCW23" s="1902">
        <f t="shared" si="335"/>
        <v>0</v>
      </c>
      <c r="GCX23" s="1902">
        <f t="shared" si="335"/>
        <v>0</v>
      </c>
      <c r="GCY23" s="1902">
        <f t="shared" si="335"/>
        <v>0</v>
      </c>
      <c r="GCZ23" s="1902">
        <f t="shared" si="335"/>
        <v>0</v>
      </c>
      <c r="GDA23" s="1902">
        <f t="shared" si="335"/>
        <v>0</v>
      </c>
      <c r="GDB23" s="1902">
        <f t="shared" si="335"/>
        <v>0</v>
      </c>
      <c r="GDC23" s="1902">
        <f t="shared" si="335"/>
        <v>0</v>
      </c>
      <c r="GDD23" s="1902">
        <f t="shared" si="335"/>
        <v>0</v>
      </c>
      <c r="GDE23" s="1902">
        <f t="shared" si="335"/>
        <v>0</v>
      </c>
      <c r="GDF23" s="1902">
        <f t="shared" si="335"/>
        <v>0</v>
      </c>
      <c r="GDG23" s="1902">
        <f t="shared" si="335"/>
        <v>0</v>
      </c>
      <c r="GDH23" s="1902">
        <f t="shared" si="335"/>
        <v>0</v>
      </c>
      <c r="GDI23" s="1902">
        <f t="shared" si="335"/>
        <v>0</v>
      </c>
      <c r="GDJ23" s="1902">
        <f t="shared" si="335"/>
        <v>0</v>
      </c>
      <c r="GDK23" s="1902">
        <f t="shared" si="335"/>
        <v>0</v>
      </c>
      <c r="GDL23" s="1902">
        <f t="shared" si="335"/>
        <v>0</v>
      </c>
      <c r="GDM23" s="1902">
        <f t="shared" si="335"/>
        <v>0</v>
      </c>
      <c r="GDN23" s="1902">
        <f t="shared" si="335"/>
        <v>0</v>
      </c>
      <c r="GDO23" s="1902">
        <f t="shared" si="335"/>
        <v>0</v>
      </c>
      <c r="GDP23" s="1902">
        <f t="shared" si="335"/>
        <v>0</v>
      </c>
      <c r="GDQ23" s="1902">
        <f t="shared" si="335"/>
        <v>0</v>
      </c>
      <c r="GDR23" s="1902">
        <f t="shared" si="335"/>
        <v>0</v>
      </c>
      <c r="GDS23" s="1902">
        <f t="shared" si="335"/>
        <v>0</v>
      </c>
      <c r="GDT23" s="1902">
        <f t="shared" si="335"/>
        <v>0</v>
      </c>
      <c r="GDU23" s="1902">
        <f t="shared" si="335"/>
        <v>0</v>
      </c>
      <c r="GDV23" s="1902">
        <f t="shared" si="335"/>
        <v>0</v>
      </c>
      <c r="GDW23" s="1902">
        <f t="shared" si="335"/>
        <v>0</v>
      </c>
      <c r="GDX23" s="1902">
        <f t="shared" si="335"/>
        <v>0</v>
      </c>
      <c r="GDY23" s="1902">
        <f t="shared" si="335"/>
        <v>0</v>
      </c>
      <c r="GDZ23" s="1902">
        <f t="shared" si="335"/>
        <v>0</v>
      </c>
      <c r="GEA23" s="1902">
        <f t="shared" si="335"/>
        <v>0</v>
      </c>
      <c r="GEB23" s="1902">
        <f t="shared" si="335"/>
        <v>0</v>
      </c>
      <c r="GEC23" s="1902">
        <f t="shared" si="335"/>
        <v>0</v>
      </c>
      <c r="GED23" s="1902">
        <f t="shared" si="335"/>
        <v>0</v>
      </c>
      <c r="GEE23" s="1902">
        <f t="shared" si="335"/>
        <v>0</v>
      </c>
      <c r="GEF23" s="1902">
        <f t="shared" si="335"/>
        <v>0</v>
      </c>
      <c r="GEG23" s="1902">
        <f t="shared" si="335"/>
        <v>0</v>
      </c>
      <c r="GEH23" s="1902">
        <f t="shared" si="335"/>
        <v>0</v>
      </c>
      <c r="GEI23" s="1902">
        <f t="shared" si="335"/>
        <v>0</v>
      </c>
      <c r="GEJ23" s="1902">
        <f t="shared" si="335"/>
        <v>0</v>
      </c>
      <c r="GEK23" s="1902">
        <f t="shared" si="335"/>
        <v>0</v>
      </c>
      <c r="GEL23" s="1902">
        <f t="shared" si="335"/>
        <v>0</v>
      </c>
      <c r="GEM23" s="1902">
        <f t="shared" ref="GEM23:GGX23" si="336">IF(AND(GEM$26="End of period",GEM$25="Revenue"),GEM10,0)</f>
        <v>0</v>
      </c>
      <c r="GEN23" s="1902">
        <f t="shared" si="336"/>
        <v>0</v>
      </c>
      <c r="GEO23" s="1902">
        <f t="shared" si="336"/>
        <v>0</v>
      </c>
      <c r="GEP23" s="1902">
        <f t="shared" si="336"/>
        <v>0</v>
      </c>
      <c r="GEQ23" s="1902">
        <f t="shared" si="336"/>
        <v>0</v>
      </c>
      <c r="GER23" s="1902">
        <f t="shared" si="336"/>
        <v>0</v>
      </c>
      <c r="GES23" s="1902">
        <f t="shared" si="336"/>
        <v>0</v>
      </c>
      <c r="GET23" s="1902">
        <f t="shared" si="336"/>
        <v>0</v>
      </c>
      <c r="GEU23" s="1902">
        <f t="shared" si="336"/>
        <v>0</v>
      </c>
      <c r="GEV23" s="1902">
        <f t="shared" si="336"/>
        <v>0</v>
      </c>
      <c r="GEW23" s="1902">
        <f t="shared" si="336"/>
        <v>0</v>
      </c>
      <c r="GEX23" s="1902">
        <f t="shared" si="336"/>
        <v>0</v>
      </c>
      <c r="GEY23" s="1902">
        <f t="shared" si="336"/>
        <v>0</v>
      </c>
      <c r="GEZ23" s="1902">
        <f t="shared" si="336"/>
        <v>0</v>
      </c>
      <c r="GFA23" s="1902">
        <f t="shared" si="336"/>
        <v>0</v>
      </c>
      <c r="GFB23" s="1902">
        <f t="shared" si="336"/>
        <v>0</v>
      </c>
      <c r="GFC23" s="1902">
        <f t="shared" si="336"/>
        <v>0</v>
      </c>
      <c r="GFD23" s="1902">
        <f t="shared" si="336"/>
        <v>0</v>
      </c>
      <c r="GFE23" s="1902">
        <f t="shared" si="336"/>
        <v>0</v>
      </c>
      <c r="GFF23" s="1902">
        <f t="shared" si="336"/>
        <v>0</v>
      </c>
      <c r="GFG23" s="1902">
        <f t="shared" si="336"/>
        <v>0</v>
      </c>
      <c r="GFH23" s="1902">
        <f t="shared" si="336"/>
        <v>0</v>
      </c>
      <c r="GFI23" s="1902">
        <f t="shared" si="336"/>
        <v>0</v>
      </c>
      <c r="GFJ23" s="1902">
        <f t="shared" si="336"/>
        <v>0</v>
      </c>
      <c r="GFK23" s="1902">
        <f t="shared" si="336"/>
        <v>0</v>
      </c>
      <c r="GFL23" s="1902">
        <f t="shared" si="336"/>
        <v>0</v>
      </c>
      <c r="GFM23" s="1902">
        <f t="shared" si="336"/>
        <v>0</v>
      </c>
      <c r="GFN23" s="1902">
        <f t="shared" si="336"/>
        <v>0</v>
      </c>
      <c r="GFO23" s="1902">
        <f t="shared" si="336"/>
        <v>0</v>
      </c>
      <c r="GFP23" s="1902">
        <f t="shared" si="336"/>
        <v>0</v>
      </c>
      <c r="GFQ23" s="1902">
        <f t="shared" si="336"/>
        <v>0</v>
      </c>
      <c r="GFR23" s="1902">
        <f t="shared" si="336"/>
        <v>0</v>
      </c>
      <c r="GFS23" s="1902">
        <f t="shared" si="336"/>
        <v>0</v>
      </c>
      <c r="GFT23" s="1902">
        <f t="shared" si="336"/>
        <v>0</v>
      </c>
      <c r="GFU23" s="1902">
        <f t="shared" si="336"/>
        <v>0</v>
      </c>
      <c r="GFV23" s="1902">
        <f t="shared" si="336"/>
        <v>0</v>
      </c>
      <c r="GFW23" s="1902">
        <f t="shared" si="336"/>
        <v>0</v>
      </c>
      <c r="GFX23" s="1902">
        <f t="shared" si="336"/>
        <v>0</v>
      </c>
      <c r="GFY23" s="1902">
        <f t="shared" si="336"/>
        <v>0</v>
      </c>
      <c r="GFZ23" s="1902">
        <f t="shared" si="336"/>
        <v>0</v>
      </c>
      <c r="GGA23" s="1902">
        <f t="shared" si="336"/>
        <v>0</v>
      </c>
      <c r="GGB23" s="1902">
        <f t="shared" si="336"/>
        <v>0</v>
      </c>
      <c r="GGC23" s="1902">
        <f t="shared" si="336"/>
        <v>0</v>
      </c>
      <c r="GGD23" s="1902">
        <f t="shared" si="336"/>
        <v>0</v>
      </c>
      <c r="GGE23" s="1902">
        <f t="shared" si="336"/>
        <v>0</v>
      </c>
      <c r="GGF23" s="1902">
        <f t="shared" si="336"/>
        <v>0</v>
      </c>
      <c r="GGG23" s="1902">
        <f t="shared" si="336"/>
        <v>0</v>
      </c>
      <c r="GGH23" s="1902">
        <f t="shared" si="336"/>
        <v>0</v>
      </c>
      <c r="GGI23" s="1902">
        <f t="shared" si="336"/>
        <v>0</v>
      </c>
      <c r="GGJ23" s="1902">
        <f t="shared" si="336"/>
        <v>0</v>
      </c>
      <c r="GGK23" s="1902">
        <f t="shared" si="336"/>
        <v>0</v>
      </c>
      <c r="GGL23" s="1902">
        <f t="shared" si="336"/>
        <v>0</v>
      </c>
      <c r="GGM23" s="1902">
        <f t="shared" si="336"/>
        <v>0</v>
      </c>
      <c r="GGN23" s="1902">
        <f t="shared" si="336"/>
        <v>0</v>
      </c>
      <c r="GGO23" s="1902">
        <f t="shared" si="336"/>
        <v>0</v>
      </c>
      <c r="GGP23" s="1902">
        <f t="shared" si="336"/>
        <v>0</v>
      </c>
      <c r="GGQ23" s="1902">
        <f t="shared" si="336"/>
        <v>0</v>
      </c>
      <c r="GGR23" s="1902">
        <f t="shared" si="336"/>
        <v>0</v>
      </c>
      <c r="GGS23" s="1902">
        <f t="shared" si="336"/>
        <v>0</v>
      </c>
      <c r="GGT23" s="1902">
        <f t="shared" si="336"/>
        <v>0</v>
      </c>
      <c r="GGU23" s="1902">
        <f t="shared" si="336"/>
        <v>0</v>
      </c>
      <c r="GGV23" s="1902">
        <f t="shared" si="336"/>
        <v>0</v>
      </c>
      <c r="GGW23" s="1902">
        <f t="shared" si="336"/>
        <v>0</v>
      </c>
      <c r="GGX23" s="1902">
        <f t="shared" si="336"/>
        <v>0</v>
      </c>
      <c r="GGY23" s="1902">
        <f t="shared" ref="GGY23:GJJ23" si="337">IF(AND(GGY$26="End of period",GGY$25="Revenue"),GGY10,0)</f>
        <v>0</v>
      </c>
      <c r="GGZ23" s="1902">
        <f t="shared" si="337"/>
        <v>0</v>
      </c>
      <c r="GHA23" s="1902">
        <f t="shared" si="337"/>
        <v>0</v>
      </c>
      <c r="GHB23" s="1902">
        <f t="shared" si="337"/>
        <v>0</v>
      </c>
      <c r="GHC23" s="1902">
        <f t="shared" si="337"/>
        <v>0</v>
      </c>
      <c r="GHD23" s="1902">
        <f t="shared" si="337"/>
        <v>0</v>
      </c>
      <c r="GHE23" s="1902">
        <f t="shared" si="337"/>
        <v>0</v>
      </c>
      <c r="GHF23" s="1902">
        <f t="shared" si="337"/>
        <v>0</v>
      </c>
      <c r="GHG23" s="1902">
        <f t="shared" si="337"/>
        <v>0</v>
      </c>
      <c r="GHH23" s="1902">
        <f t="shared" si="337"/>
        <v>0</v>
      </c>
      <c r="GHI23" s="1902">
        <f t="shared" si="337"/>
        <v>0</v>
      </c>
      <c r="GHJ23" s="1902">
        <f t="shared" si="337"/>
        <v>0</v>
      </c>
      <c r="GHK23" s="1902">
        <f t="shared" si="337"/>
        <v>0</v>
      </c>
      <c r="GHL23" s="1902">
        <f t="shared" si="337"/>
        <v>0</v>
      </c>
      <c r="GHM23" s="1902">
        <f t="shared" si="337"/>
        <v>0</v>
      </c>
      <c r="GHN23" s="1902">
        <f t="shared" si="337"/>
        <v>0</v>
      </c>
      <c r="GHO23" s="1902">
        <f t="shared" si="337"/>
        <v>0</v>
      </c>
      <c r="GHP23" s="1902">
        <f t="shared" si="337"/>
        <v>0</v>
      </c>
      <c r="GHQ23" s="1902">
        <f t="shared" si="337"/>
        <v>0</v>
      </c>
      <c r="GHR23" s="1902">
        <f t="shared" si="337"/>
        <v>0</v>
      </c>
      <c r="GHS23" s="1902">
        <f t="shared" si="337"/>
        <v>0</v>
      </c>
      <c r="GHT23" s="1902">
        <f t="shared" si="337"/>
        <v>0</v>
      </c>
      <c r="GHU23" s="1902">
        <f t="shared" si="337"/>
        <v>0</v>
      </c>
      <c r="GHV23" s="1902">
        <f t="shared" si="337"/>
        <v>0</v>
      </c>
      <c r="GHW23" s="1902">
        <f t="shared" si="337"/>
        <v>0</v>
      </c>
      <c r="GHX23" s="1902">
        <f t="shared" si="337"/>
        <v>0</v>
      </c>
      <c r="GHY23" s="1902">
        <f t="shared" si="337"/>
        <v>0</v>
      </c>
      <c r="GHZ23" s="1902">
        <f t="shared" si="337"/>
        <v>0</v>
      </c>
      <c r="GIA23" s="1902">
        <f t="shared" si="337"/>
        <v>0</v>
      </c>
      <c r="GIB23" s="1902">
        <f t="shared" si="337"/>
        <v>0</v>
      </c>
      <c r="GIC23" s="1902">
        <f t="shared" si="337"/>
        <v>0</v>
      </c>
      <c r="GID23" s="1902">
        <f t="shared" si="337"/>
        <v>0</v>
      </c>
      <c r="GIE23" s="1902">
        <f t="shared" si="337"/>
        <v>0</v>
      </c>
      <c r="GIF23" s="1902">
        <f t="shared" si="337"/>
        <v>0</v>
      </c>
      <c r="GIG23" s="1902">
        <f t="shared" si="337"/>
        <v>0</v>
      </c>
      <c r="GIH23" s="1902">
        <f t="shared" si="337"/>
        <v>0</v>
      </c>
      <c r="GII23" s="1902">
        <f t="shared" si="337"/>
        <v>0</v>
      </c>
      <c r="GIJ23" s="1902">
        <f t="shared" si="337"/>
        <v>0</v>
      </c>
      <c r="GIK23" s="1902">
        <f t="shared" si="337"/>
        <v>0</v>
      </c>
      <c r="GIL23" s="1902">
        <f t="shared" si="337"/>
        <v>0</v>
      </c>
      <c r="GIM23" s="1902">
        <f t="shared" si="337"/>
        <v>0</v>
      </c>
      <c r="GIN23" s="1902">
        <f t="shared" si="337"/>
        <v>0</v>
      </c>
      <c r="GIO23" s="1902">
        <f t="shared" si="337"/>
        <v>0</v>
      </c>
      <c r="GIP23" s="1902">
        <f t="shared" si="337"/>
        <v>0</v>
      </c>
      <c r="GIQ23" s="1902">
        <f t="shared" si="337"/>
        <v>0</v>
      </c>
      <c r="GIR23" s="1902">
        <f t="shared" si="337"/>
        <v>0</v>
      </c>
      <c r="GIS23" s="1902">
        <f t="shared" si="337"/>
        <v>0</v>
      </c>
      <c r="GIT23" s="1902">
        <f t="shared" si="337"/>
        <v>0</v>
      </c>
      <c r="GIU23" s="1902">
        <f t="shared" si="337"/>
        <v>0</v>
      </c>
      <c r="GIV23" s="1902">
        <f t="shared" si="337"/>
        <v>0</v>
      </c>
      <c r="GIW23" s="1902">
        <f t="shared" si="337"/>
        <v>0</v>
      </c>
      <c r="GIX23" s="1902">
        <f t="shared" si="337"/>
        <v>0</v>
      </c>
      <c r="GIY23" s="1902">
        <f t="shared" si="337"/>
        <v>0</v>
      </c>
      <c r="GIZ23" s="1902">
        <f t="shared" si="337"/>
        <v>0</v>
      </c>
      <c r="GJA23" s="1902">
        <f t="shared" si="337"/>
        <v>0</v>
      </c>
      <c r="GJB23" s="1902">
        <f t="shared" si="337"/>
        <v>0</v>
      </c>
      <c r="GJC23" s="1902">
        <f t="shared" si="337"/>
        <v>0</v>
      </c>
      <c r="GJD23" s="1902">
        <f t="shared" si="337"/>
        <v>0</v>
      </c>
      <c r="GJE23" s="1902">
        <f t="shared" si="337"/>
        <v>0</v>
      </c>
      <c r="GJF23" s="1902">
        <f t="shared" si="337"/>
        <v>0</v>
      </c>
      <c r="GJG23" s="1902">
        <f t="shared" si="337"/>
        <v>0</v>
      </c>
      <c r="GJH23" s="1902">
        <f t="shared" si="337"/>
        <v>0</v>
      </c>
      <c r="GJI23" s="1902">
        <f t="shared" si="337"/>
        <v>0</v>
      </c>
      <c r="GJJ23" s="1902">
        <f t="shared" si="337"/>
        <v>0</v>
      </c>
      <c r="GJK23" s="1902">
        <f t="shared" ref="GJK23:GLV23" si="338">IF(AND(GJK$26="End of period",GJK$25="Revenue"),GJK10,0)</f>
        <v>0</v>
      </c>
      <c r="GJL23" s="1902">
        <f t="shared" si="338"/>
        <v>0</v>
      </c>
      <c r="GJM23" s="1902">
        <f t="shared" si="338"/>
        <v>0</v>
      </c>
      <c r="GJN23" s="1902">
        <f t="shared" si="338"/>
        <v>0</v>
      </c>
      <c r="GJO23" s="1902">
        <f t="shared" si="338"/>
        <v>0</v>
      </c>
      <c r="GJP23" s="1902">
        <f t="shared" si="338"/>
        <v>0</v>
      </c>
      <c r="GJQ23" s="1902">
        <f t="shared" si="338"/>
        <v>0</v>
      </c>
      <c r="GJR23" s="1902">
        <f t="shared" si="338"/>
        <v>0</v>
      </c>
      <c r="GJS23" s="1902">
        <f t="shared" si="338"/>
        <v>0</v>
      </c>
      <c r="GJT23" s="1902">
        <f t="shared" si="338"/>
        <v>0</v>
      </c>
      <c r="GJU23" s="1902">
        <f t="shared" si="338"/>
        <v>0</v>
      </c>
      <c r="GJV23" s="1902">
        <f t="shared" si="338"/>
        <v>0</v>
      </c>
      <c r="GJW23" s="1902">
        <f t="shared" si="338"/>
        <v>0</v>
      </c>
      <c r="GJX23" s="1902">
        <f t="shared" si="338"/>
        <v>0</v>
      </c>
      <c r="GJY23" s="1902">
        <f t="shared" si="338"/>
        <v>0</v>
      </c>
      <c r="GJZ23" s="1902">
        <f t="shared" si="338"/>
        <v>0</v>
      </c>
      <c r="GKA23" s="1902">
        <f t="shared" si="338"/>
        <v>0</v>
      </c>
      <c r="GKB23" s="1902">
        <f t="shared" si="338"/>
        <v>0</v>
      </c>
      <c r="GKC23" s="1902">
        <f t="shared" si="338"/>
        <v>0</v>
      </c>
      <c r="GKD23" s="1902">
        <f t="shared" si="338"/>
        <v>0</v>
      </c>
      <c r="GKE23" s="1902">
        <f t="shared" si="338"/>
        <v>0</v>
      </c>
      <c r="GKF23" s="1902">
        <f t="shared" si="338"/>
        <v>0</v>
      </c>
      <c r="GKG23" s="1902">
        <f t="shared" si="338"/>
        <v>0</v>
      </c>
      <c r="GKH23" s="1902">
        <f t="shared" si="338"/>
        <v>0</v>
      </c>
      <c r="GKI23" s="1902">
        <f t="shared" si="338"/>
        <v>0</v>
      </c>
      <c r="GKJ23" s="1902">
        <f t="shared" si="338"/>
        <v>0</v>
      </c>
      <c r="GKK23" s="1902">
        <f t="shared" si="338"/>
        <v>0</v>
      </c>
      <c r="GKL23" s="1902">
        <f t="shared" si="338"/>
        <v>0</v>
      </c>
      <c r="GKM23" s="1902">
        <f t="shared" si="338"/>
        <v>0</v>
      </c>
      <c r="GKN23" s="1902">
        <f t="shared" si="338"/>
        <v>0</v>
      </c>
      <c r="GKO23" s="1902">
        <f t="shared" si="338"/>
        <v>0</v>
      </c>
      <c r="GKP23" s="1902">
        <f t="shared" si="338"/>
        <v>0</v>
      </c>
      <c r="GKQ23" s="1902">
        <f t="shared" si="338"/>
        <v>0</v>
      </c>
      <c r="GKR23" s="1902">
        <f t="shared" si="338"/>
        <v>0</v>
      </c>
      <c r="GKS23" s="1902">
        <f t="shared" si="338"/>
        <v>0</v>
      </c>
      <c r="GKT23" s="1902">
        <f t="shared" si="338"/>
        <v>0</v>
      </c>
      <c r="GKU23" s="1902">
        <f t="shared" si="338"/>
        <v>0</v>
      </c>
      <c r="GKV23" s="1902">
        <f t="shared" si="338"/>
        <v>0</v>
      </c>
      <c r="GKW23" s="1902">
        <f t="shared" si="338"/>
        <v>0</v>
      </c>
      <c r="GKX23" s="1902">
        <f t="shared" si="338"/>
        <v>0</v>
      </c>
      <c r="GKY23" s="1902">
        <f t="shared" si="338"/>
        <v>0</v>
      </c>
      <c r="GKZ23" s="1902">
        <f t="shared" si="338"/>
        <v>0</v>
      </c>
      <c r="GLA23" s="1902">
        <f t="shared" si="338"/>
        <v>0</v>
      </c>
      <c r="GLB23" s="1902">
        <f t="shared" si="338"/>
        <v>0</v>
      </c>
      <c r="GLC23" s="1902">
        <f t="shared" si="338"/>
        <v>0</v>
      </c>
      <c r="GLD23" s="1902">
        <f t="shared" si="338"/>
        <v>0</v>
      </c>
      <c r="GLE23" s="1902">
        <f t="shared" si="338"/>
        <v>0</v>
      </c>
      <c r="GLF23" s="1902">
        <f t="shared" si="338"/>
        <v>0</v>
      </c>
      <c r="GLG23" s="1902">
        <f t="shared" si="338"/>
        <v>0</v>
      </c>
      <c r="GLH23" s="1902">
        <f t="shared" si="338"/>
        <v>0</v>
      </c>
      <c r="GLI23" s="1902">
        <f t="shared" si="338"/>
        <v>0</v>
      </c>
      <c r="GLJ23" s="1902">
        <f t="shared" si="338"/>
        <v>0</v>
      </c>
      <c r="GLK23" s="1902">
        <f t="shared" si="338"/>
        <v>0</v>
      </c>
      <c r="GLL23" s="1902">
        <f t="shared" si="338"/>
        <v>0</v>
      </c>
      <c r="GLM23" s="1902">
        <f t="shared" si="338"/>
        <v>0</v>
      </c>
      <c r="GLN23" s="1902">
        <f t="shared" si="338"/>
        <v>0</v>
      </c>
      <c r="GLO23" s="1902">
        <f t="shared" si="338"/>
        <v>0</v>
      </c>
      <c r="GLP23" s="1902">
        <f t="shared" si="338"/>
        <v>0</v>
      </c>
      <c r="GLQ23" s="1902">
        <f t="shared" si="338"/>
        <v>0</v>
      </c>
      <c r="GLR23" s="1902">
        <f t="shared" si="338"/>
        <v>0</v>
      </c>
      <c r="GLS23" s="1902">
        <f t="shared" si="338"/>
        <v>0</v>
      </c>
      <c r="GLT23" s="1902">
        <f t="shared" si="338"/>
        <v>0</v>
      </c>
      <c r="GLU23" s="1902">
        <f t="shared" si="338"/>
        <v>0</v>
      </c>
      <c r="GLV23" s="1902">
        <f t="shared" si="338"/>
        <v>0</v>
      </c>
      <c r="GLW23" s="1902">
        <f t="shared" ref="GLW23:GOH23" si="339">IF(AND(GLW$26="End of period",GLW$25="Revenue"),GLW10,0)</f>
        <v>0</v>
      </c>
      <c r="GLX23" s="1902">
        <f t="shared" si="339"/>
        <v>0</v>
      </c>
      <c r="GLY23" s="1902">
        <f t="shared" si="339"/>
        <v>0</v>
      </c>
      <c r="GLZ23" s="1902">
        <f t="shared" si="339"/>
        <v>0</v>
      </c>
      <c r="GMA23" s="1902">
        <f t="shared" si="339"/>
        <v>0</v>
      </c>
      <c r="GMB23" s="1902">
        <f t="shared" si="339"/>
        <v>0</v>
      </c>
      <c r="GMC23" s="1902">
        <f t="shared" si="339"/>
        <v>0</v>
      </c>
      <c r="GMD23" s="1902">
        <f t="shared" si="339"/>
        <v>0</v>
      </c>
      <c r="GME23" s="1902">
        <f t="shared" si="339"/>
        <v>0</v>
      </c>
      <c r="GMF23" s="1902">
        <f t="shared" si="339"/>
        <v>0</v>
      </c>
      <c r="GMG23" s="1902">
        <f t="shared" si="339"/>
        <v>0</v>
      </c>
      <c r="GMH23" s="1902">
        <f t="shared" si="339"/>
        <v>0</v>
      </c>
      <c r="GMI23" s="1902">
        <f t="shared" si="339"/>
        <v>0</v>
      </c>
      <c r="GMJ23" s="1902">
        <f t="shared" si="339"/>
        <v>0</v>
      </c>
      <c r="GMK23" s="1902">
        <f t="shared" si="339"/>
        <v>0</v>
      </c>
      <c r="GML23" s="1902">
        <f t="shared" si="339"/>
        <v>0</v>
      </c>
      <c r="GMM23" s="1902">
        <f t="shared" si="339"/>
        <v>0</v>
      </c>
      <c r="GMN23" s="1902">
        <f t="shared" si="339"/>
        <v>0</v>
      </c>
      <c r="GMO23" s="1902">
        <f t="shared" si="339"/>
        <v>0</v>
      </c>
      <c r="GMP23" s="1902">
        <f t="shared" si="339"/>
        <v>0</v>
      </c>
      <c r="GMQ23" s="1902">
        <f t="shared" si="339"/>
        <v>0</v>
      </c>
      <c r="GMR23" s="1902">
        <f t="shared" si="339"/>
        <v>0</v>
      </c>
      <c r="GMS23" s="1902">
        <f t="shared" si="339"/>
        <v>0</v>
      </c>
      <c r="GMT23" s="1902">
        <f t="shared" si="339"/>
        <v>0</v>
      </c>
      <c r="GMU23" s="1902">
        <f t="shared" si="339"/>
        <v>0</v>
      </c>
      <c r="GMV23" s="1902">
        <f t="shared" si="339"/>
        <v>0</v>
      </c>
      <c r="GMW23" s="1902">
        <f t="shared" si="339"/>
        <v>0</v>
      </c>
      <c r="GMX23" s="1902">
        <f t="shared" si="339"/>
        <v>0</v>
      </c>
      <c r="GMY23" s="1902">
        <f t="shared" si="339"/>
        <v>0</v>
      </c>
      <c r="GMZ23" s="1902">
        <f t="shared" si="339"/>
        <v>0</v>
      </c>
      <c r="GNA23" s="1902">
        <f t="shared" si="339"/>
        <v>0</v>
      </c>
      <c r="GNB23" s="1902">
        <f t="shared" si="339"/>
        <v>0</v>
      </c>
      <c r="GNC23" s="1902">
        <f t="shared" si="339"/>
        <v>0</v>
      </c>
      <c r="GND23" s="1902">
        <f t="shared" si="339"/>
        <v>0</v>
      </c>
      <c r="GNE23" s="1902">
        <f t="shared" si="339"/>
        <v>0</v>
      </c>
      <c r="GNF23" s="1902">
        <f t="shared" si="339"/>
        <v>0</v>
      </c>
      <c r="GNG23" s="1902">
        <f t="shared" si="339"/>
        <v>0</v>
      </c>
      <c r="GNH23" s="1902">
        <f t="shared" si="339"/>
        <v>0</v>
      </c>
      <c r="GNI23" s="1902">
        <f t="shared" si="339"/>
        <v>0</v>
      </c>
      <c r="GNJ23" s="1902">
        <f t="shared" si="339"/>
        <v>0</v>
      </c>
      <c r="GNK23" s="1902">
        <f t="shared" si="339"/>
        <v>0</v>
      </c>
      <c r="GNL23" s="1902">
        <f t="shared" si="339"/>
        <v>0</v>
      </c>
      <c r="GNM23" s="1902">
        <f t="shared" si="339"/>
        <v>0</v>
      </c>
      <c r="GNN23" s="1902">
        <f t="shared" si="339"/>
        <v>0</v>
      </c>
      <c r="GNO23" s="1902">
        <f t="shared" si="339"/>
        <v>0</v>
      </c>
      <c r="GNP23" s="1902">
        <f t="shared" si="339"/>
        <v>0</v>
      </c>
      <c r="GNQ23" s="1902">
        <f t="shared" si="339"/>
        <v>0</v>
      </c>
      <c r="GNR23" s="1902">
        <f t="shared" si="339"/>
        <v>0</v>
      </c>
      <c r="GNS23" s="1902">
        <f t="shared" si="339"/>
        <v>0</v>
      </c>
      <c r="GNT23" s="1902">
        <f t="shared" si="339"/>
        <v>0</v>
      </c>
      <c r="GNU23" s="1902">
        <f t="shared" si="339"/>
        <v>0</v>
      </c>
      <c r="GNV23" s="1902">
        <f t="shared" si="339"/>
        <v>0</v>
      </c>
      <c r="GNW23" s="1902">
        <f t="shared" si="339"/>
        <v>0</v>
      </c>
      <c r="GNX23" s="1902">
        <f t="shared" si="339"/>
        <v>0</v>
      </c>
      <c r="GNY23" s="1902">
        <f t="shared" si="339"/>
        <v>0</v>
      </c>
      <c r="GNZ23" s="1902">
        <f t="shared" si="339"/>
        <v>0</v>
      </c>
      <c r="GOA23" s="1902">
        <f t="shared" si="339"/>
        <v>0</v>
      </c>
      <c r="GOB23" s="1902">
        <f t="shared" si="339"/>
        <v>0</v>
      </c>
      <c r="GOC23" s="1902">
        <f t="shared" si="339"/>
        <v>0</v>
      </c>
      <c r="GOD23" s="1902">
        <f t="shared" si="339"/>
        <v>0</v>
      </c>
      <c r="GOE23" s="1902">
        <f t="shared" si="339"/>
        <v>0</v>
      </c>
      <c r="GOF23" s="1902">
        <f t="shared" si="339"/>
        <v>0</v>
      </c>
      <c r="GOG23" s="1902">
        <f t="shared" si="339"/>
        <v>0</v>
      </c>
      <c r="GOH23" s="1902">
        <f t="shared" si="339"/>
        <v>0</v>
      </c>
      <c r="GOI23" s="1902">
        <f t="shared" ref="GOI23:GQT23" si="340">IF(AND(GOI$26="End of period",GOI$25="Revenue"),GOI10,0)</f>
        <v>0</v>
      </c>
      <c r="GOJ23" s="1902">
        <f t="shared" si="340"/>
        <v>0</v>
      </c>
      <c r="GOK23" s="1902">
        <f t="shared" si="340"/>
        <v>0</v>
      </c>
      <c r="GOL23" s="1902">
        <f t="shared" si="340"/>
        <v>0</v>
      </c>
      <c r="GOM23" s="1902">
        <f t="shared" si="340"/>
        <v>0</v>
      </c>
      <c r="GON23" s="1902">
        <f t="shared" si="340"/>
        <v>0</v>
      </c>
      <c r="GOO23" s="1902">
        <f t="shared" si="340"/>
        <v>0</v>
      </c>
      <c r="GOP23" s="1902">
        <f t="shared" si="340"/>
        <v>0</v>
      </c>
      <c r="GOQ23" s="1902">
        <f t="shared" si="340"/>
        <v>0</v>
      </c>
      <c r="GOR23" s="1902">
        <f t="shared" si="340"/>
        <v>0</v>
      </c>
      <c r="GOS23" s="1902">
        <f t="shared" si="340"/>
        <v>0</v>
      </c>
      <c r="GOT23" s="1902">
        <f t="shared" si="340"/>
        <v>0</v>
      </c>
      <c r="GOU23" s="1902">
        <f t="shared" si="340"/>
        <v>0</v>
      </c>
      <c r="GOV23" s="1902">
        <f t="shared" si="340"/>
        <v>0</v>
      </c>
      <c r="GOW23" s="1902">
        <f t="shared" si="340"/>
        <v>0</v>
      </c>
      <c r="GOX23" s="1902">
        <f t="shared" si="340"/>
        <v>0</v>
      </c>
      <c r="GOY23" s="1902">
        <f t="shared" si="340"/>
        <v>0</v>
      </c>
      <c r="GOZ23" s="1902">
        <f t="shared" si="340"/>
        <v>0</v>
      </c>
      <c r="GPA23" s="1902">
        <f t="shared" si="340"/>
        <v>0</v>
      </c>
      <c r="GPB23" s="1902">
        <f t="shared" si="340"/>
        <v>0</v>
      </c>
      <c r="GPC23" s="1902">
        <f t="shared" si="340"/>
        <v>0</v>
      </c>
      <c r="GPD23" s="1902">
        <f t="shared" si="340"/>
        <v>0</v>
      </c>
      <c r="GPE23" s="1902">
        <f t="shared" si="340"/>
        <v>0</v>
      </c>
      <c r="GPF23" s="1902">
        <f t="shared" si="340"/>
        <v>0</v>
      </c>
      <c r="GPG23" s="1902">
        <f t="shared" si="340"/>
        <v>0</v>
      </c>
      <c r="GPH23" s="1902">
        <f t="shared" si="340"/>
        <v>0</v>
      </c>
      <c r="GPI23" s="1902">
        <f t="shared" si="340"/>
        <v>0</v>
      </c>
      <c r="GPJ23" s="1902">
        <f t="shared" si="340"/>
        <v>0</v>
      </c>
      <c r="GPK23" s="1902">
        <f t="shared" si="340"/>
        <v>0</v>
      </c>
      <c r="GPL23" s="1902">
        <f t="shared" si="340"/>
        <v>0</v>
      </c>
      <c r="GPM23" s="1902">
        <f t="shared" si="340"/>
        <v>0</v>
      </c>
      <c r="GPN23" s="1902">
        <f t="shared" si="340"/>
        <v>0</v>
      </c>
      <c r="GPO23" s="1902">
        <f t="shared" si="340"/>
        <v>0</v>
      </c>
      <c r="GPP23" s="1902">
        <f t="shared" si="340"/>
        <v>0</v>
      </c>
      <c r="GPQ23" s="1902">
        <f t="shared" si="340"/>
        <v>0</v>
      </c>
      <c r="GPR23" s="1902">
        <f t="shared" si="340"/>
        <v>0</v>
      </c>
      <c r="GPS23" s="1902">
        <f t="shared" si="340"/>
        <v>0</v>
      </c>
      <c r="GPT23" s="1902">
        <f t="shared" si="340"/>
        <v>0</v>
      </c>
      <c r="GPU23" s="1902">
        <f t="shared" si="340"/>
        <v>0</v>
      </c>
      <c r="GPV23" s="1902">
        <f t="shared" si="340"/>
        <v>0</v>
      </c>
      <c r="GPW23" s="1902">
        <f t="shared" si="340"/>
        <v>0</v>
      </c>
      <c r="GPX23" s="1902">
        <f t="shared" si="340"/>
        <v>0</v>
      </c>
      <c r="GPY23" s="1902">
        <f t="shared" si="340"/>
        <v>0</v>
      </c>
      <c r="GPZ23" s="1902">
        <f t="shared" si="340"/>
        <v>0</v>
      </c>
      <c r="GQA23" s="1902">
        <f t="shared" si="340"/>
        <v>0</v>
      </c>
      <c r="GQB23" s="1902">
        <f t="shared" si="340"/>
        <v>0</v>
      </c>
      <c r="GQC23" s="1902">
        <f t="shared" si="340"/>
        <v>0</v>
      </c>
      <c r="GQD23" s="1902">
        <f t="shared" si="340"/>
        <v>0</v>
      </c>
      <c r="GQE23" s="1902">
        <f t="shared" si="340"/>
        <v>0</v>
      </c>
      <c r="GQF23" s="1902">
        <f t="shared" si="340"/>
        <v>0</v>
      </c>
      <c r="GQG23" s="1902">
        <f t="shared" si="340"/>
        <v>0</v>
      </c>
      <c r="GQH23" s="1902">
        <f t="shared" si="340"/>
        <v>0</v>
      </c>
      <c r="GQI23" s="1902">
        <f t="shared" si="340"/>
        <v>0</v>
      </c>
      <c r="GQJ23" s="1902">
        <f t="shared" si="340"/>
        <v>0</v>
      </c>
      <c r="GQK23" s="1902">
        <f t="shared" si="340"/>
        <v>0</v>
      </c>
      <c r="GQL23" s="1902">
        <f t="shared" si="340"/>
        <v>0</v>
      </c>
      <c r="GQM23" s="1902">
        <f t="shared" si="340"/>
        <v>0</v>
      </c>
      <c r="GQN23" s="1902">
        <f t="shared" si="340"/>
        <v>0</v>
      </c>
      <c r="GQO23" s="1902">
        <f t="shared" si="340"/>
        <v>0</v>
      </c>
      <c r="GQP23" s="1902">
        <f t="shared" si="340"/>
        <v>0</v>
      </c>
      <c r="GQQ23" s="1902">
        <f t="shared" si="340"/>
        <v>0</v>
      </c>
      <c r="GQR23" s="1902">
        <f t="shared" si="340"/>
        <v>0</v>
      </c>
      <c r="GQS23" s="1902">
        <f t="shared" si="340"/>
        <v>0</v>
      </c>
      <c r="GQT23" s="1902">
        <f t="shared" si="340"/>
        <v>0</v>
      </c>
      <c r="GQU23" s="1902">
        <f t="shared" ref="GQU23:GTF23" si="341">IF(AND(GQU$26="End of period",GQU$25="Revenue"),GQU10,0)</f>
        <v>0</v>
      </c>
      <c r="GQV23" s="1902">
        <f t="shared" si="341"/>
        <v>0</v>
      </c>
      <c r="GQW23" s="1902">
        <f t="shared" si="341"/>
        <v>0</v>
      </c>
      <c r="GQX23" s="1902">
        <f t="shared" si="341"/>
        <v>0</v>
      </c>
      <c r="GQY23" s="1902">
        <f t="shared" si="341"/>
        <v>0</v>
      </c>
      <c r="GQZ23" s="1902">
        <f t="shared" si="341"/>
        <v>0</v>
      </c>
      <c r="GRA23" s="1902">
        <f t="shared" si="341"/>
        <v>0</v>
      </c>
      <c r="GRB23" s="1902">
        <f t="shared" si="341"/>
        <v>0</v>
      </c>
      <c r="GRC23" s="1902">
        <f t="shared" si="341"/>
        <v>0</v>
      </c>
      <c r="GRD23" s="1902">
        <f t="shared" si="341"/>
        <v>0</v>
      </c>
      <c r="GRE23" s="1902">
        <f t="shared" si="341"/>
        <v>0</v>
      </c>
      <c r="GRF23" s="1902">
        <f t="shared" si="341"/>
        <v>0</v>
      </c>
      <c r="GRG23" s="1902">
        <f t="shared" si="341"/>
        <v>0</v>
      </c>
      <c r="GRH23" s="1902">
        <f t="shared" si="341"/>
        <v>0</v>
      </c>
      <c r="GRI23" s="1902">
        <f t="shared" si="341"/>
        <v>0</v>
      </c>
      <c r="GRJ23" s="1902">
        <f t="shared" si="341"/>
        <v>0</v>
      </c>
      <c r="GRK23" s="1902">
        <f t="shared" si="341"/>
        <v>0</v>
      </c>
      <c r="GRL23" s="1902">
        <f t="shared" si="341"/>
        <v>0</v>
      </c>
      <c r="GRM23" s="1902">
        <f t="shared" si="341"/>
        <v>0</v>
      </c>
      <c r="GRN23" s="1902">
        <f t="shared" si="341"/>
        <v>0</v>
      </c>
      <c r="GRO23" s="1902">
        <f t="shared" si="341"/>
        <v>0</v>
      </c>
      <c r="GRP23" s="1902">
        <f t="shared" si="341"/>
        <v>0</v>
      </c>
      <c r="GRQ23" s="1902">
        <f t="shared" si="341"/>
        <v>0</v>
      </c>
      <c r="GRR23" s="1902">
        <f t="shared" si="341"/>
        <v>0</v>
      </c>
      <c r="GRS23" s="1902">
        <f t="shared" si="341"/>
        <v>0</v>
      </c>
      <c r="GRT23" s="1902">
        <f t="shared" si="341"/>
        <v>0</v>
      </c>
      <c r="GRU23" s="1902">
        <f t="shared" si="341"/>
        <v>0</v>
      </c>
      <c r="GRV23" s="1902">
        <f t="shared" si="341"/>
        <v>0</v>
      </c>
      <c r="GRW23" s="1902">
        <f t="shared" si="341"/>
        <v>0</v>
      </c>
      <c r="GRX23" s="1902">
        <f t="shared" si="341"/>
        <v>0</v>
      </c>
      <c r="GRY23" s="1902">
        <f t="shared" si="341"/>
        <v>0</v>
      </c>
      <c r="GRZ23" s="1902">
        <f t="shared" si="341"/>
        <v>0</v>
      </c>
      <c r="GSA23" s="1902">
        <f t="shared" si="341"/>
        <v>0</v>
      </c>
      <c r="GSB23" s="1902">
        <f t="shared" si="341"/>
        <v>0</v>
      </c>
      <c r="GSC23" s="1902">
        <f t="shared" si="341"/>
        <v>0</v>
      </c>
      <c r="GSD23" s="1902">
        <f t="shared" si="341"/>
        <v>0</v>
      </c>
      <c r="GSE23" s="1902">
        <f t="shared" si="341"/>
        <v>0</v>
      </c>
      <c r="GSF23" s="1902">
        <f t="shared" si="341"/>
        <v>0</v>
      </c>
      <c r="GSG23" s="1902">
        <f t="shared" si="341"/>
        <v>0</v>
      </c>
      <c r="GSH23" s="1902">
        <f t="shared" si="341"/>
        <v>0</v>
      </c>
      <c r="GSI23" s="1902">
        <f t="shared" si="341"/>
        <v>0</v>
      </c>
      <c r="GSJ23" s="1902">
        <f t="shared" si="341"/>
        <v>0</v>
      </c>
      <c r="GSK23" s="1902">
        <f t="shared" si="341"/>
        <v>0</v>
      </c>
      <c r="GSL23" s="1902">
        <f t="shared" si="341"/>
        <v>0</v>
      </c>
      <c r="GSM23" s="1902">
        <f t="shared" si="341"/>
        <v>0</v>
      </c>
      <c r="GSN23" s="1902">
        <f t="shared" si="341"/>
        <v>0</v>
      </c>
      <c r="GSO23" s="1902">
        <f t="shared" si="341"/>
        <v>0</v>
      </c>
      <c r="GSP23" s="1902">
        <f t="shared" si="341"/>
        <v>0</v>
      </c>
      <c r="GSQ23" s="1902">
        <f t="shared" si="341"/>
        <v>0</v>
      </c>
      <c r="GSR23" s="1902">
        <f t="shared" si="341"/>
        <v>0</v>
      </c>
      <c r="GSS23" s="1902">
        <f t="shared" si="341"/>
        <v>0</v>
      </c>
      <c r="GST23" s="1902">
        <f t="shared" si="341"/>
        <v>0</v>
      </c>
      <c r="GSU23" s="1902">
        <f t="shared" si="341"/>
        <v>0</v>
      </c>
      <c r="GSV23" s="1902">
        <f t="shared" si="341"/>
        <v>0</v>
      </c>
      <c r="GSW23" s="1902">
        <f t="shared" si="341"/>
        <v>0</v>
      </c>
      <c r="GSX23" s="1902">
        <f t="shared" si="341"/>
        <v>0</v>
      </c>
      <c r="GSY23" s="1902">
        <f t="shared" si="341"/>
        <v>0</v>
      </c>
      <c r="GSZ23" s="1902">
        <f t="shared" si="341"/>
        <v>0</v>
      </c>
      <c r="GTA23" s="1902">
        <f t="shared" si="341"/>
        <v>0</v>
      </c>
      <c r="GTB23" s="1902">
        <f t="shared" si="341"/>
        <v>0</v>
      </c>
      <c r="GTC23" s="1902">
        <f t="shared" si="341"/>
        <v>0</v>
      </c>
      <c r="GTD23" s="1902">
        <f t="shared" si="341"/>
        <v>0</v>
      </c>
      <c r="GTE23" s="1902">
        <f t="shared" si="341"/>
        <v>0</v>
      </c>
      <c r="GTF23" s="1902">
        <f t="shared" si="341"/>
        <v>0</v>
      </c>
      <c r="GTG23" s="1902">
        <f t="shared" ref="GTG23:GVR23" si="342">IF(AND(GTG$26="End of period",GTG$25="Revenue"),GTG10,0)</f>
        <v>0</v>
      </c>
      <c r="GTH23" s="1902">
        <f t="shared" si="342"/>
        <v>0</v>
      </c>
      <c r="GTI23" s="1902">
        <f t="shared" si="342"/>
        <v>0</v>
      </c>
      <c r="GTJ23" s="1902">
        <f t="shared" si="342"/>
        <v>0</v>
      </c>
      <c r="GTK23" s="1902">
        <f t="shared" si="342"/>
        <v>0</v>
      </c>
      <c r="GTL23" s="1902">
        <f t="shared" si="342"/>
        <v>0</v>
      </c>
      <c r="GTM23" s="1902">
        <f t="shared" si="342"/>
        <v>0</v>
      </c>
      <c r="GTN23" s="1902">
        <f t="shared" si="342"/>
        <v>0</v>
      </c>
      <c r="GTO23" s="1902">
        <f t="shared" si="342"/>
        <v>0</v>
      </c>
      <c r="GTP23" s="1902">
        <f t="shared" si="342"/>
        <v>0</v>
      </c>
      <c r="GTQ23" s="1902">
        <f t="shared" si="342"/>
        <v>0</v>
      </c>
      <c r="GTR23" s="1902">
        <f t="shared" si="342"/>
        <v>0</v>
      </c>
      <c r="GTS23" s="1902">
        <f t="shared" si="342"/>
        <v>0</v>
      </c>
      <c r="GTT23" s="1902">
        <f t="shared" si="342"/>
        <v>0</v>
      </c>
      <c r="GTU23" s="1902">
        <f t="shared" si="342"/>
        <v>0</v>
      </c>
      <c r="GTV23" s="1902">
        <f t="shared" si="342"/>
        <v>0</v>
      </c>
      <c r="GTW23" s="1902">
        <f t="shared" si="342"/>
        <v>0</v>
      </c>
      <c r="GTX23" s="1902">
        <f t="shared" si="342"/>
        <v>0</v>
      </c>
      <c r="GTY23" s="1902">
        <f t="shared" si="342"/>
        <v>0</v>
      </c>
      <c r="GTZ23" s="1902">
        <f t="shared" si="342"/>
        <v>0</v>
      </c>
      <c r="GUA23" s="1902">
        <f t="shared" si="342"/>
        <v>0</v>
      </c>
      <c r="GUB23" s="1902">
        <f t="shared" si="342"/>
        <v>0</v>
      </c>
      <c r="GUC23" s="1902">
        <f t="shared" si="342"/>
        <v>0</v>
      </c>
      <c r="GUD23" s="1902">
        <f t="shared" si="342"/>
        <v>0</v>
      </c>
      <c r="GUE23" s="1902">
        <f t="shared" si="342"/>
        <v>0</v>
      </c>
      <c r="GUF23" s="1902">
        <f t="shared" si="342"/>
        <v>0</v>
      </c>
      <c r="GUG23" s="1902">
        <f t="shared" si="342"/>
        <v>0</v>
      </c>
      <c r="GUH23" s="1902">
        <f t="shared" si="342"/>
        <v>0</v>
      </c>
      <c r="GUI23" s="1902">
        <f t="shared" si="342"/>
        <v>0</v>
      </c>
      <c r="GUJ23" s="1902">
        <f t="shared" si="342"/>
        <v>0</v>
      </c>
      <c r="GUK23" s="1902">
        <f t="shared" si="342"/>
        <v>0</v>
      </c>
      <c r="GUL23" s="1902">
        <f t="shared" si="342"/>
        <v>0</v>
      </c>
      <c r="GUM23" s="1902">
        <f t="shared" si="342"/>
        <v>0</v>
      </c>
      <c r="GUN23" s="1902">
        <f t="shared" si="342"/>
        <v>0</v>
      </c>
      <c r="GUO23" s="1902">
        <f t="shared" si="342"/>
        <v>0</v>
      </c>
      <c r="GUP23" s="1902">
        <f t="shared" si="342"/>
        <v>0</v>
      </c>
      <c r="GUQ23" s="1902">
        <f t="shared" si="342"/>
        <v>0</v>
      </c>
      <c r="GUR23" s="1902">
        <f t="shared" si="342"/>
        <v>0</v>
      </c>
      <c r="GUS23" s="1902">
        <f t="shared" si="342"/>
        <v>0</v>
      </c>
      <c r="GUT23" s="1902">
        <f t="shared" si="342"/>
        <v>0</v>
      </c>
      <c r="GUU23" s="1902">
        <f t="shared" si="342"/>
        <v>0</v>
      </c>
      <c r="GUV23" s="1902">
        <f t="shared" si="342"/>
        <v>0</v>
      </c>
      <c r="GUW23" s="1902">
        <f t="shared" si="342"/>
        <v>0</v>
      </c>
      <c r="GUX23" s="1902">
        <f t="shared" si="342"/>
        <v>0</v>
      </c>
      <c r="GUY23" s="1902">
        <f t="shared" si="342"/>
        <v>0</v>
      </c>
      <c r="GUZ23" s="1902">
        <f t="shared" si="342"/>
        <v>0</v>
      </c>
      <c r="GVA23" s="1902">
        <f t="shared" si="342"/>
        <v>0</v>
      </c>
      <c r="GVB23" s="1902">
        <f t="shared" si="342"/>
        <v>0</v>
      </c>
      <c r="GVC23" s="1902">
        <f t="shared" si="342"/>
        <v>0</v>
      </c>
      <c r="GVD23" s="1902">
        <f t="shared" si="342"/>
        <v>0</v>
      </c>
      <c r="GVE23" s="1902">
        <f t="shared" si="342"/>
        <v>0</v>
      </c>
      <c r="GVF23" s="1902">
        <f t="shared" si="342"/>
        <v>0</v>
      </c>
      <c r="GVG23" s="1902">
        <f t="shared" si="342"/>
        <v>0</v>
      </c>
      <c r="GVH23" s="1902">
        <f t="shared" si="342"/>
        <v>0</v>
      </c>
      <c r="GVI23" s="1902">
        <f t="shared" si="342"/>
        <v>0</v>
      </c>
      <c r="GVJ23" s="1902">
        <f t="shared" si="342"/>
        <v>0</v>
      </c>
      <c r="GVK23" s="1902">
        <f t="shared" si="342"/>
        <v>0</v>
      </c>
      <c r="GVL23" s="1902">
        <f t="shared" si="342"/>
        <v>0</v>
      </c>
      <c r="GVM23" s="1902">
        <f t="shared" si="342"/>
        <v>0</v>
      </c>
      <c r="GVN23" s="1902">
        <f t="shared" si="342"/>
        <v>0</v>
      </c>
      <c r="GVO23" s="1902">
        <f t="shared" si="342"/>
        <v>0</v>
      </c>
      <c r="GVP23" s="1902">
        <f t="shared" si="342"/>
        <v>0</v>
      </c>
      <c r="GVQ23" s="1902">
        <f t="shared" si="342"/>
        <v>0</v>
      </c>
      <c r="GVR23" s="1902">
        <f t="shared" si="342"/>
        <v>0</v>
      </c>
      <c r="GVS23" s="1902">
        <f t="shared" ref="GVS23:GYD23" si="343">IF(AND(GVS$26="End of period",GVS$25="Revenue"),GVS10,0)</f>
        <v>0</v>
      </c>
      <c r="GVT23" s="1902">
        <f t="shared" si="343"/>
        <v>0</v>
      </c>
      <c r="GVU23" s="1902">
        <f t="shared" si="343"/>
        <v>0</v>
      </c>
      <c r="GVV23" s="1902">
        <f t="shared" si="343"/>
        <v>0</v>
      </c>
      <c r="GVW23" s="1902">
        <f t="shared" si="343"/>
        <v>0</v>
      </c>
      <c r="GVX23" s="1902">
        <f t="shared" si="343"/>
        <v>0</v>
      </c>
      <c r="GVY23" s="1902">
        <f t="shared" si="343"/>
        <v>0</v>
      </c>
      <c r="GVZ23" s="1902">
        <f t="shared" si="343"/>
        <v>0</v>
      </c>
      <c r="GWA23" s="1902">
        <f t="shared" si="343"/>
        <v>0</v>
      </c>
      <c r="GWB23" s="1902">
        <f t="shared" si="343"/>
        <v>0</v>
      </c>
      <c r="GWC23" s="1902">
        <f t="shared" si="343"/>
        <v>0</v>
      </c>
      <c r="GWD23" s="1902">
        <f t="shared" si="343"/>
        <v>0</v>
      </c>
      <c r="GWE23" s="1902">
        <f t="shared" si="343"/>
        <v>0</v>
      </c>
      <c r="GWF23" s="1902">
        <f t="shared" si="343"/>
        <v>0</v>
      </c>
      <c r="GWG23" s="1902">
        <f t="shared" si="343"/>
        <v>0</v>
      </c>
      <c r="GWH23" s="1902">
        <f t="shared" si="343"/>
        <v>0</v>
      </c>
      <c r="GWI23" s="1902">
        <f t="shared" si="343"/>
        <v>0</v>
      </c>
      <c r="GWJ23" s="1902">
        <f t="shared" si="343"/>
        <v>0</v>
      </c>
      <c r="GWK23" s="1902">
        <f t="shared" si="343"/>
        <v>0</v>
      </c>
      <c r="GWL23" s="1902">
        <f t="shared" si="343"/>
        <v>0</v>
      </c>
      <c r="GWM23" s="1902">
        <f t="shared" si="343"/>
        <v>0</v>
      </c>
      <c r="GWN23" s="1902">
        <f t="shared" si="343"/>
        <v>0</v>
      </c>
      <c r="GWO23" s="1902">
        <f t="shared" si="343"/>
        <v>0</v>
      </c>
      <c r="GWP23" s="1902">
        <f t="shared" si="343"/>
        <v>0</v>
      </c>
      <c r="GWQ23" s="1902">
        <f t="shared" si="343"/>
        <v>0</v>
      </c>
      <c r="GWR23" s="1902">
        <f t="shared" si="343"/>
        <v>0</v>
      </c>
      <c r="GWS23" s="1902">
        <f t="shared" si="343"/>
        <v>0</v>
      </c>
      <c r="GWT23" s="1902">
        <f t="shared" si="343"/>
        <v>0</v>
      </c>
      <c r="GWU23" s="1902">
        <f t="shared" si="343"/>
        <v>0</v>
      </c>
      <c r="GWV23" s="1902">
        <f t="shared" si="343"/>
        <v>0</v>
      </c>
      <c r="GWW23" s="1902">
        <f t="shared" si="343"/>
        <v>0</v>
      </c>
      <c r="GWX23" s="1902">
        <f t="shared" si="343"/>
        <v>0</v>
      </c>
      <c r="GWY23" s="1902">
        <f t="shared" si="343"/>
        <v>0</v>
      </c>
      <c r="GWZ23" s="1902">
        <f t="shared" si="343"/>
        <v>0</v>
      </c>
      <c r="GXA23" s="1902">
        <f t="shared" si="343"/>
        <v>0</v>
      </c>
      <c r="GXB23" s="1902">
        <f t="shared" si="343"/>
        <v>0</v>
      </c>
      <c r="GXC23" s="1902">
        <f t="shared" si="343"/>
        <v>0</v>
      </c>
      <c r="GXD23" s="1902">
        <f t="shared" si="343"/>
        <v>0</v>
      </c>
      <c r="GXE23" s="1902">
        <f t="shared" si="343"/>
        <v>0</v>
      </c>
      <c r="GXF23" s="1902">
        <f t="shared" si="343"/>
        <v>0</v>
      </c>
      <c r="GXG23" s="1902">
        <f t="shared" si="343"/>
        <v>0</v>
      </c>
      <c r="GXH23" s="1902">
        <f t="shared" si="343"/>
        <v>0</v>
      </c>
      <c r="GXI23" s="1902">
        <f t="shared" si="343"/>
        <v>0</v>
      </c>
      <c r="GXJ23" s="1902">
        <f t="shared" si="343"/>
        <v>0</v>
      </c>
      <c r="GXK23" s="1902">
        <f t="shared" si="343"/>
        <v>0</v>
      </c>
      <c r="GXL23" s="1902">
        <f t="shared" si="343"/>
        <v>0</v>
      </c>
      <c r="GXM23" s="1902">
        <f t="shared" si="343"/>
        <v>0</v>
      </c>
      <c r="GXN23" s="1902">
        <f t="shared" si="343"/>
        <v>0</v>
      </c>
      <c r="GXO23" s="1902">
        <f t="shared" si="343"/>
        <v>0</v>
      </c>
      <c r="GXP23" s="1902">
        <f t="shared" si="343"/>
        <v>0</v>
      </c>
      <c r="GXQ23" s="1902">
        <f t="shared" si="343"/>
        <v>0</v>
      </c>
      <c r="GXR23" s="1902">
        <f t="shared" si="343"/>
        <v>0</v>
      </c>
      <c r="GXS23" s="1902">
        <f t="shared" si="343"/>
        <v>0</v>
      </c>
      <c r="GXT23" s="1902">
        <f t="shared" si="343"/>
        <v>0</v>
      </c>
      <c r="GXU23" s="1902">
        <f t="shared" si="343"/>
        <v>0</v>
      </c>
      <c r="GXV23" s="1902">
        <f t="shared" si="343"/>
        <v>0</v>
      </c>
      <c r="GXW23" s="1902">
        <f t="shared" si="343"/>
        <v>0</v>
      </c>
      <c r="GXX23" s="1902">
        <f t="shared" si="343"/>
        <v>0</v>
      </c>
      <c r="GXY23" s="1902">
        <f t="shared" si="343"/>
        <v>0</v>
      </c>
      <c r="GXZ23" s="1902">
        <f t="shared" si="343"/>
        <v>0</v>
      </c>
      <c r="GYA23" s="1902">
        <f t="shared" si="343"/>
        <v>0</v>
      </c>
      <c r="GYB23" s="1902">
        <f t="shared" si="343"/>
        <v>0</v>
      </c>
      <c r="GYC23" s="1902">
        <f t="shared" si="343"/>
        <v>0</v>
      </c>
      <c r="GYD23" s="1902">
        <f t="shared" si="343"/>
        <v>0</v>
      </c>
      <c r="GYE23" s="1902">
        <f t="shared" ref="GYE23:HAP23" si="344">IF(AND(GYE$26="End of period",GYE$25="Revenue"),GYE10,0)</f>
        <v>0</v>
      </c>
      <c r="GYF23" s="1902">
        <f t="shared" si="344"/>
        <v>0</v>
      </c>
      <c r="GYG23" s="1902">
        <f t="shared" si="344"/>
        <v>0</v>
      </c>
      <c r="GYH23" s="1902">
        <f t="shared" si="344"/>
        <v>0</v>
      </c>
      <c r="GYI23" s="1902">
        <f t="shared" si="344"/>
        <v>0</v>
      </c>
      <c r="GYJ23" s="1902">
        <f t="shared" si="344"/>
        <v>0</v>
      </c>
      <c r="GYK23" s="1902">
        <f t="shared" si="344"/>
        <v>0</v>
      </c>
      <c r="GYL23" s="1902">
        <f t="shared" si="344"/>
        <v>0</v>
      </c>
      <c r="GYM23" s="1902">
        <f t="shared" si="344"/>
        <v>0</v>
      </c>
      <c r="GYN23" s="1902">
        <f t="shared" si="344"/>
        <v>0</v>
      </c>
      <c r="GYO23" s="1902">
        <f t="shared" si="344"/>
        <v>0</v>
      </c>
      <c r="GYP23" s="1902">
        <f t="shared" si="344"/>
        <v>0</v>
      </c>
      <c r="GYQ23" s="1902">
        <f t="shared" si="344"/>
        <v>0</v>
      </c>
      <c r="GYR23" s="1902">
        <f t="shared" si="344"/>
        <v>0</v>
      </c>
      <c r="GYS23" s="1902">
        <f t="shared" si="344"/>
        <v>0</v>
      </c>
      <c r="GYT23" s="1902">
        <f t="shared" si="344"/>
        <v>0</v>
      </c>
      <c r="GYU23" s="1902">
        <f t="shared" si="344"/>
        <v>0</v>
      </c>
      <c r="GYV23" s="1902">
        <f t="shared" si="344"/>
        <v>0</v>
      </c>
      <c r="GYW23" s="1902">
        <f t="shared" si="344"/>
        <v>0</v>
      </c>
      <c r="GYX23" s="1902">
        <f t="shared" si="344"/>
        <v>0</v>
      </c>
      <c r="GYY23" s="1902">
        <f t="shared" si="344"/>
        <v>0</v>
      </c>
      <c r="GYZ23" s="1902">
        <f t="shared" si="344"/>
        <v>0</v>
      </c>
      <c r="GZA23" s="1902">
        <f t="shared" si="344"/>
        <v>0</v>
      </c>
      <c r="GZB23" s="1902">
        <f t="shared" si="344"/>
        <v>0</v>
      </c>
      <c r="GZC23" s="1902">
        <f t="shared" si="344"/>
        <v>0</v>
      </c>
      <c r="GZD23" s="1902">
        <f t="shared" si="344"/>
        <v>0</v>
      </c>
      <c r="GZE23" s="1902">
        <f t="shared" si="344"/>
        <v>0</v>
      </c>
      <c r="GZF23" s="1902">
        <f t="shared" si="344"/>
        <v>0</v>
      </c>
      <c r="GZG23" s="1902">
        <f t="shared" si="344"/>
        <v>0</v>
      </c>
      <c r="GZH23" s="1902">
        <f t="shared" si="344"/>
        <v>0</v>
      </c>
      <c r="GZI23" s="1902">
        <f t="shared" si="344"/>
        <v>0</v>
      </c>
      <c r="GZJ23" s="1902">
        <f t="shared" si="344"/>
        <v>0</v>
      </c>
      <c r="GZK23" s="1902">
        <f t="shared" si="344"/>
        <v>0</v>
      </c>
      <c r="GZL23" s="1902">
        <f t="shared" si="344"/>
        <v>0</v>
      </c>
      <c r="GZM23" s="1902">
        <f t="shared" si="344"/>
        <v>0</v>
      </c>
      <c r="GZN23" s="1902">
        <f t="shared" si="344"/>
        <v>0</v>
      </c>
      <c r="GZO23" s="1902">
        <f t="shared" si="344"/>
        <v>0</v>
      </c>
      <c r="GZP23" s="1902">
        <f t="shared" si="344"/>
        <v>0</v>
      </c>
      <c r="GZQ23" s="1902">
        <f t="shared" si="344"/>
        <v>0</v>
      </c>
      <c r="GZR23" s="1902">
        <f t="shared" si="344"/>
        <v>0</v>
      </c>
      <c r="GZS23" s="1902">
        <f t="shared" si="344"/>
        <v>0</v>
      </c>
      <c r="GZT23" s="1902">
        <f t="shared" si="344"/>
        <v>0</v>
      </c>
      <c r="GZU23" s="1902">
        <f t="shared" si="344"/>
        <v>0</v>
      </c>
      <c r="GZV23" s="1902">
        <f t="shared" si="344"/>
        <v>0</v>
      </c>
      <c r="GZW23" s="1902">
        <f t="shared" si="344"/>
        <v>0</v>
      </c>
      <c r="GZX23" s="1902">
        <f t="shared" si="344"/>
        <v>0</v>
      </c>
      <c r="GZY23" s="1902">
        <f t="shared" si="344"/>
        <v>0</v>
      </c>
      <c r="GZZ23" s="1902">
        <f t="shared" si="344"/>
        <v>0</v>
      </c>
      <c r="HAA23" s="1902">
        <f t="shared" si="344"/>
        <v>0</v>
      </c>
      <c r="HAB23" s="1902">
        <f t="shared" si="344"/>
        <v>0</v>
      </c>
      <c r="HAC23" s="1902">
        <f t="shared" si="344"/>
        <v>0</v>
      </c>
      <c r="HAD23" s="1902">
        <f t="shared" si="344"/>
        <v>0</v>
      </c>
      <c r="HAE23" s="1902">
        <f t="shared" si="344"/>
        <v>0</v>
      </c>
      <c r="HAF23" s="1902">
        <f t="shared" si="344"/>
        <v>0</v>
      </c>
      <c r="HAG23" s="1902">
        <f t="shared" si="344"/>
        <v>0</v>
      </c>
      <c r="HAH23" s="1902">
        <f t="shared" si="344"/>
        <v>0</v>
      </c>
      <c r="HAI23" s="1902">
        <f t="shared" si="344"/>
        <v>0</v>
      </c>
      <c r="HAJ23" s="1902">
        <f t="shared" si="344"/>
        <v>0</v>
      </c>
      <c r="HAK23" s="1902">
        <f t="shared" si="344"/>
        <v>0</v>
      </c>
      <c r="HAL23" s="1902">
        <f t="shared" si="344"/>
        <v>0</v>
      </c>
      <c r="HAM23" s="1902">
        <f t="shared" si="344"/>
        <v>0</v>
      </c>
      <c r="HAN23" s="1902">
        <f t="shared" si="344"/>
        <v>0</v>
      </c>
      <c r="HAO23" s="1902">
        <f t="shared" si="344"/>
        <v>0</v>
      </c>
      <c r="HAP23" s="1902">
        <f t="shared" si="344"/>
        <v>0</v>
      </c>
      <c r="HAQ23" s="1902">
        <f t="shared" ref="HAQ23:HDB23" si="345">IF(AND(HAQ$26="End of period",HAQ$25="Revenue"),HAQ10,0)</f>
        <v>0</v>
      </c>
      <c r="HAR23" s="1902">
        <f t="shared" si="345"/>
        <v>0</v>
      </c>
      <c r="HAS23" s="1902">
        <f t="shared" si="345"/>
        <v>0</v>
      </c>
      <c r="HAT23" s="1902">
        <f t="shared" si="345"/>
        <v>0</v>
      </c>
      <c r="HAU23" s="1902">
        <f t="shared" si="345"/>
        <v>0</v>
      </c>
      <c r="HAV23" s="1902">
        <f t="shared" si="345"/>
        <v>0</v>
      </c>
      <c r="HAW23" s="1902">
        <f t="shared" si="345"/>
        <v>0</v>
      </c>
      <c r="HAX23" s="1902">
        <f t="shared" si="345"/>
        <v>0</v>
      </c>
      <c r="HAY23" s="1902">
        <f t="shared" si="345"/>
        <v>0</v>
      </c>
      <c r="HAZ23" s="1902">
        <f t="shared" si="345"/>
        <v>0</v>
      </c>
      <c r="HBA23" s="1902">
        <f t="shared" si="345"/>
        <v>0</v>
      </c>
      <c r="HBB23" s="1902">
        <f t="shared" si="345"/>
        <v>0</v>
      </c>
      <c r="HBC23" s="1902">
        <f t="shared" si="345"/>
        <v>0</v>
      </c>
      <c r="HBD23" s="1902">
        <f t="shared" si="345"/>
        <v>0</v>
      </c>
      <c r="HBE23" s="1902">
        <f t="shared" si="345"/>
        <v>0</v>
      </c>
      <c r="HBF23" s="1902">
        <f t="shared" si="345"/>
        <v>0</v>
      </c>
      <c r="HBG23" s="1902">
        <f t="shared" si="345"/>
        <v>0</v>
      </c>
      <c r="HBH23" s="1902">
        <f t="shared" si="345"/>
        <v>0</v>
      </c>
      <c r="HBI23" s="1902">
        <f t="shared" si="345"/>
        <v>0</v>
      </c>
      <c r="HBJ23" s="1902">
        <f t="shared" si="345"/>
        <v>0</v>
      </c>
      <c r="HBK23" s="1902">
        <f t="shared" si="345"/>
        <v>0</v>
      </c>
      <c r="HBL23" s="1902">
        <f t="shared" si="345"/>
        <v>0</v>
      </c>
      <c r="HBM23" s="1902">
        <f t="shared" si="345"/>
        <v>0</v>
      </c>
      <c r="HBN23" s="1902">
        <f t="shared" si="345"/>
        <v>0</v>
      </c>
      <c r="HBO23" s="1902">
        <f t="shared" si="345"/>
        <v>0</v>
      </c>
      <c r="HBP23" s="1902">
        <f t="shared" si="345"/>
        <v>0</v>
      </c>
      <c r="HBQ23" s="1902">
        <f t="shared" si="345"/>
        <v>0</v>
      </c>
      <c r="HBR23" s="1902">
        <f t="shared" si="345"/>
        <v>0</v>
      </c>
      <c r="HBS23" s="1902">
        <f t="shared" si="345"/>
        <v>0</v>
      </c>
      <c r="HBT23" s="1902">
        <f t="shared" si="345"/>
        <v>0</v>
      </c>
      <c r="HBU23" s="1902">
        <f t="shared" si="345"/>
        <v>0</v>
      </c>
      <c r="HBV23" s="1902">
        <f t="shared" si="345"/>
        <v>0</v>
      </c>
      <c r="HBW23" s="1902">
        <f t="shared" si="345"/>
        <v>0</v>
      </c>
      <c r="HBX23" s="1902">
        <f t="shared" si="345"/>
        <v>0</v>
      </c>
      <c r="HBY23" s="1902">
        <f t="shared" si="345"/>
        <v>0</v>
      </c>
      <c r="HBZ23" s="1902">
        <f t="shared" si="345"/>
        <v>0</v>
      </c>
      <c r="HCA23" s="1902">
        <f t="shared" si="345"/>
        <v>0</v>
      </c>
      <c r="HCB23" s="1902">
        <f t="shared" si="345"/>
        <v>0</v>
      </c>
      <c r="HCC23" s="1902">
        <f t="shared" si="345"/>
        <v>0</v>
      </c>
      <c r="HCD23" s="1902">
        <f t="shared" si="345"/>
        <v>0</v>
      </c>
      <c r="HCE23" s="1902">
        <f t="shared" si="345"/>
        <v>0</v>
      </c>
      <c r="HCF23" s="1902">
        <f t="shared" si="345"/>
        <v>0</v>
      </c>
      <c r="HCG23" s="1902">
        <f t="shared" si="345"/>
        <v>0</v>
      </c>
      <c r="HCH23" s="1902">
        <f t="shared" si="345"/>
        <v>0</v>
      </c>
      <c r="HCI23" s="1902">
        <f t="shared" si="345"/>
        <v>0</v>
      </c>
      <c r="HCJ23" s="1902">
        <f t="shared" si="345"/>
        <v>0</v>
      </c>
      <c r="HCK23" s="1902">
        <f t="shared" si="345"/>
        <v>0</v>
      </c>
      <c r="HCL23" s="1902">
        <f t="shared" si="345"/>
        <v>0</v>
      </c>
      <c r="HCM23" s="1902">
        <f t="shared" si="345"/>
        <v>0</v>
      </c>
      <c r="HCN23" s="1902">
        <f t="shared" si="345"/>
        <v>0</v>
      </c>
      <c r="HCO23" s="1902">
        <f t="shared" si="345"/>
        <v>0</v>
      </c>
      <c r="HCP23" s="1902">
        <f t="shared" si="345"/>
        <v>0</v>
      </c>
      <c r="HCQ23" s="1902">
        <f t="shared" si="345"/>
        <v>0</v>
      </c>
      <c r="HCR23" s="1902">
        <f t="shared" si="345"/>
        <v>0</v>
      </c>
      <c r="HCS23" s="1902">
        <f t="shared" si="345"/>
        <v>0</v>
      </c>
      <c r="HCT23" s="1902">
        <f t="shared" si="345"/>
        <v>0</v>
      </c>
      <c r="HCU23" s="1902">
        <f t="shared" si="345"/>
        <v>0</v>
      </c>
      <c r="HCV23" s="1902">
        <f t="shared" si="345"/>
        <v>0</v>
      </c>
      <c r="HCW23" s="1902">
        <f t="shared" si="345"/>
        <v>0</v>
      </c>
      <c r="HCX23" s="1902">
        <f t="shared" si="345"/>
        <v>0</v>
      </c>
      <c r="HCY23" s="1902">
        <f t="shared" si="345"/>
        <v>0</v>
      </c>
      <c r="HCZ23" s="1902">
        <f t="shared" si="345"/>
        <v>0</v>
      </c>
      <c r="HDA23" s="1902">
        <f t="shared" si="345"/>
        <v>0</v>
      </c>
      <c r="HDB23" s="1902">
        <f t="shared" si="345"/>
        <v>0</v>
      </c>
      <c r="HDC23" s="1902">
        <f t="shared" ref="HDC23:HFN23" si="346">IF(AND(HDC$26="End of period",HDC$25="Revenue"),HDC10,0)</f>
        <v>0</v>
      </c>
      <c r="HDD23" s="1902">
        <f t="shared" si="346"/>
        <v>0</v>
      </c>
      <c r="HDE23" s="1902">
        <f t="shared" si="346"/>
        <v>0</v>
      </c>
      <c r="HDF23" s="1902">
        <f t="shared" si="346"/>
        <v>0</v>
      </c>
      <c r="HDG23" s="1902">
        <f t="shared" si="346"/>
        <v>0</v>
      </c>
      <c r="HDH23" s="1902">
        <f t="shared" si="346"/>
        <v>0</v>
      </c>
      <c r="HDI23" s="1902">
        <f t="shared" si="346"/>
        <v>0</v>
      </c>
      <c r="HDJ23" s="1902">
        <f t="shared" si="346"/>
        <v>0</v>
      </c>
      <c r="HDK23" s="1902">
        <f t="shared" si="346"/>
        <v>0</v>
      </c>
      <c r="HDL23" s="1902">
        <f t="shared" si="346"/>
        <v>0</v>
      </c>
      <c r="HDM23" s="1902">
        <f t="shared" si="346"/>
        <v>0</v>
      </c>
      <c r="HDN23" s="1902">
        <f t="shared" si="346"/>
        <v>0</v>
      </c>
      <c r="HDO23" s="1902">
        <f t="shared" si="346"/>
        <v>0</v>
      </c>
      <c r="HDP23" s="1902">
        <f t="shared" si="346"/>
        <v>0</v>
      </c>
      <c r="HDQ23" s="1902">
        <f t="shared" si="346"/>
        <v>0</v>
      </c>
      <c r="HDR23" s="1902">
        <f t="shared" si="346"/>
        <v>0</v>
      </c>
      <c r="HDS23" s="1902">
        <f t="shared" si="346"/>
        <v>0</v>
      </c>
      <c r="HDT23" s="1902">
        <f t="shared" si="346"/>
        <v>0</v>
      </c>
      <c r="HDU23" s="1902">
        <f t="shared" si="346"/>
        <v>0</v>
      </c>
      <c r="HDV23" s="1902">
        <f t="shared" si="346"/>
        <v>0</v>
      </c>
      <c r="HDW23" s="1902">
        <f t="shared" si="346"/>
        <v>0</v>
      </c>
      <c r="HDX23" s="1902">
        <f t="shared" si="346"/>
        <v>0</v>
      </c>
      <c r="HDY23" s="1902">
        <f t="shared" si="346"/>
        <v>0</v>
      </c>
      <c r="HDZ23" s="1902">
        <f t="shared" si="346"/>
        <v>0</v>
      </c>
      <c r="HEA23" s="1902">
        <f t="shared" si="346"/>
        <v>0</v>
      </c>
      <c r="HEB23" s="1902">
        <f t="shared" si="346"/>
        <v>0</v>
      </c>
      <c r="HEC23" s="1902">
        <f t="shared" si="346"/>
        <v>0</v>
      </c>
      <c r="HED23" s="1902">
        <f t="shared" si="346"/>
        <v>0</v>
      </c>
      <c r="HEE23" s="1902">
        <f t="shared" si="346"/>
        <v>0</v>
      </c>
      <c r="HEF23" s="1902">
        <f t="shared" si="346"/>
        <v>0</v>
      </c>
      <c r="HEG23" s="1902">
        <f t="shared" si="346"/>
        <v>0</v>
      </c>
      <c r="HEH23" s="1902">
        <f t="shared" si="346"/>
        <v>0</v>
      </c>
      <c r="HEI23" s="1902">
        <f t="shared" si="346"/>
        <v>0</v>
      </c>
      <c r="HEJ23" s="1902">
        <f t="shared" si="346"/>
        <v>0</v>
      </c>
      <c r="HEK23" s="1902">
        <f t="shared" si="346"/>
        <v>0</v>
      </c>
      <c r="HEL23" s="1902">
        <f t="shared" si="346"/>
        <v>0</v>
      </c>
      <c r="HEM23" s="1902">
        <f t="shared" si="346"/>
        <v>0</v>
      </c>
      <c r="HEN23" s="1902">
        <f t="shared" si="346"/>
        <v>0</v>
      </c>
      <c r="HEO23" s="1902">
        <f t="shared" si="346"/>
        <v>0</v>
      </c>
      <c r="HEP23" s="1902">
        <f t="shared" si="346"/>
        <v>0</v>
      </c>
      <c r="HEQ23" s="1902">
        <f t="shared" si="346"/>
        <v>0</v>
      </c>
      <c r="HER23" s="1902">
        <f t="shared" si="346"/>
        <v>0</v>
      </c>
      <c r="HES23" s="1902">
        <f t="shared" si="346"/>
        <v>0</v>
      </c>
      <c r="HET23" s="1902">
        <f t="shared" si="346"/>
        <v>0</v>
      </c>
      <c r="HEU23" s="1902">
        <f t="shared" si="346"/>
        <v>0</v>
      </c>
      <c r="HEV23" s="1902">
        <f t="shared" si="346"/>
        <v>0</v>
      </c>
      <c r="HEW23" s="1902">
        <f t="shared" si="346"/>
        <v>0</v>
      </c>
      <c r="HEX23" s="1902">
        <f t="shared" si="346"/>
        <v>0</v>
      </c>
      <c r="HEY23" s="1902">
        <f t="shared" si="346"/>
        <v>0</v>
      </c>
      <c r="HEZ23" s="1902">
        <f t="shared" si="346"/>
        <v>0</v>
      </c>
      <c r="HFA23" s="1902">
        <f t="shared" si="346"/>
        <v>0</v>
      </c>
      <c r="HFB23" s="1902">
        <f t="shared" si="346"/>
        <v>0</v>
      </c>
      <c r="HFC23" s="1902">
        <f t="shared" si="346"/>
        <v>0</v>
      </c>
      <c r="HFD23" s="1902">
        <f t="shared" si="346"/>
        <v>0</v>
      </c>
      <c r="HFE23" s="1902">
        <f t="shared" si="346"/>
        <v>0</v>
      </c>
      <c r="HFF23" s="1902">
        <f t="shared" si="346"/>
        <v>0</v>
      </c>
      <c r="HFG23" s="1902">
        <f t="shared" si="346"/>
        <v>0</v>
      </c>
      <c r="HFH23" s="1902">
        <f t="shared" si="346"/>
        <v>0</v>
      </c>
      <c r="HFI23" s="1902">
        <f t="shared" si="346"/>
        <v>0</v>
      </c>
      <c r="HFJ23" s="1902">
        <f t="shared" si="346"/>
        <v>0</v>
      </c>
      <c r="HFK23" s="1902">
        <f t="shared" si="346"/>
        <v>0</v>
      </c>
      <c r="HFL23" s="1902">
        <f t="shared" si="346"/>
        <v>0</v>
      </c>
      <c r="HFM23" s="1902">
        <f t="shared" si="346"/>
        <v>0</v>
      </c>
      <c r="HFN23" s="1902">
        <f t="shared" si="346"/>
        <v>0</v>
      </c>
      <c r="HFO23" s="1902">
        <f t="shared" ref="HFO23:HHZ23" si="347">IF(AND(HFO$26="End of period",HFO$25="Revenue"),HFO10,0)</f>
        <v>0</v>
      </c>
      <c r="HFP23" s="1902">
        <f t="shared" si="347"/>
        <v>0</v>
      </c>
      <c r="HFQ23" s="1902">
        <f t="shared" si="347"/>
        <v>0</v>
      </c>
      <c r="HFR23" s="1902">
        <f t="shared" si="347"/>
        <v>0</v>
      </c>
      <c r="HFS23" s="1902">
        <f t="shared" si="347"/>
        <v>0</v>
      </c>
      <c r="HFT23" s="1902">
        <f t="shared" si="347"/>
        <v>0</v>
      </c>
      <c r="HFU23" s="1902">
        <f t="shared" si="347"/>
        <v>0</v>
      </c>
      <c r="HFV23" s="1902">
        <f t="shared" si="347"/>
        <v>0</v>
      </c>
      <c r="HFW23" s="1902">
        <f t="shared" si="347"/>
        <v>0</v>
      </c>
      <c r="HFX23" s="1902">
        <f t="shared" si="347"/>
        <v>0</v>
      </c>
      <c r="HFY23" s="1902">
        <f t="shared" si="347"/>
        <v>0</v>
      </c>
      <c r="HFZ23" s="1902">
        <f t="shared" si="347"/>
        <v>0</v>
      </c>
      <c r="HGA23" s="1902">
        <f t="shared" si="347"/>
        <v>0</v>
      </c>
      <c r="HGB23" s="1902">
        <f t="shared" si="347"/>
        <v>0</v>
      </c>
      <c r="HGC23" s="1902">
        <f t="shared" si="347"/>
        <v>0</v>
      </c>
      <c r="HGD23" s="1902">
        <f t="shared" si="347"/>
        <v>0</v>
      </c>
      <c r="HGE23" s="1902">
        <f t="shared" si="347"/>
        <v>0</v>
      </c>
      <c r="HGF23" s="1902">
        <f t="shared" si="347"/>
        <v>0</v>
      </c>
      <c r="HGG23" s="1902">
        <f t="shared" si="347"/>
        <v>0</v>
      </c>
      <c r="HGH23" s="1902">
        <f t="shared" si="347"/>
        <v>0</v>
      </c>
      <c r="HGI23" s="1902">
        <f t="shared" si="347"/>
        <v>0</v>
      </c>
      <c r="HGJ23" s="1902">
        <f t="shared" si="347"/>
        <v>0</v>
      </c>
      <c r="HGK23" s="1902">
        <f t="shared" si="347"/>
        <v>0</v>
      </c>
      <c r="HGL23" s="1902">
        <f t="shared" si="347"/>
        <v>0</v>
      </c>
      <c r="HGM23" s="1902">
        <f t="shared" si="347"/>
        <v>0</v>
      </c>
      <c r="HGN23" s="1902">
        <f t="shared" si="347"/>
        <v>0</v>
      </c>
      <c r="HGO23" s="1902">
        <f t="shared" si="347"/>
        <v>0</v>
      </c>
      <c r="HGP23" s="1902">
        <f t="shared" si="347"/>
        <v>0</v>
      </c>
      <c r="HGQ23" s="1902">
        <f t="shared" si="347"/>
        <v>0</v>
      </c>
      <c r="HGR23" s="1902">
        <f t="shared" si="347"/>
        <v>0</v>
      </c>
      <c r="HGS23" s="1902">
        <f t="shared" si="347"/>
        <v>0</v>
      </c>
      <c r="HGT23" s="1902">
        <f t="shared" si="347"/>
        <v>0</v>
      </c>
      <c r="HGU23" s="1902">
        <f t="shared" si="347"/>
        <v>0</v>
      </c>
      <c r="HGV23" s="1902">
        <f t="shared" si="347"/>
        <v>0</v>
      </c>
      <c r="HGW23" s="1902">
        <f t="shared" si="347"/>
        <v>0</v>
      </c>
      <c r="HGX23" s="1902">
        <f t="shared" si="347"/>
        <v>0</v>
      </c>
      <c r="HGY23" s="1902">
        <f t="shared" si="347"/>
        <v>0</v>
      </c>
      <c r="HGZ23" s="1902">
        <f t="shared" si="347"/>
        <v>0</v>
      </c>
      <c r="HHA23" s="1902">
        <f t="shared" si="347"/>
        <v>0</v>
      </c>
      <c r="HHB23" s="1902">
        <f t="shared" si="347"/>
        <v>0</v>
      </c>
      <c r="HHC23" s="1902">
        <f t="shared" si="347"/>
        <v>0</v>
      </c>
      <c r="HHD23" s="1902">
        <f t="shared" si="347"/>
        <v>0</v>
      </c>
      <c r="HHE23" s="1902">
        <f t="shared" si="347"/>
        <v>0</v>
      </c>
      <c r="HHF23" s="1902">
        <f t="shared" si="347"/>
        <v>0</v>
      </c>
      <c r="HHG23" s="1902">
        <f t="shared" si="347"/>
        <v>0</v>
      </c>
      <c r="HHH23" s="1902">
        <f t="shared" si="347"/>
        <v>0</v>
      </c>
      <c r="HHI23" s="1902">
        <f t="shared" si="347"/>
        <v>0</v>
      </c>
      <c r="HHJ23" s="1902">
        <f t="shared" si="347"/>
        <v>0</v>
      </c>
      <c r="HHK23" s="1902">
        <f t="shared" si="347"/>
        <v>0</v>
      </c>
      <c r="HHL23" s="1902">
        <f t="shared" si="347"/>
        <v>0</v>
      </c>
      <c r="HHM23" s="1902">
        <f t="shared" si="347"/>
        <v>0</v>
      </c>
      <c r="HHN23" s="1902">
        <f t="shared" si="347"/>
        <v>0</v>
      </c>
      <c r="HHO23" s="1902">
        <f t="shared" si="347"/>
        <v>0</v>
      </c>
      <c r="HHP23" s="1902">
        <f t="shared" si="347"/>
        <v>0</v>
      </c>
      <c r="HHQ23" s="1902">
        <f t="shared" si="347"/>
        <v>0</v>
      </c>
      <c r="HHR23" s="1902">
        <f t="shared" si="347"/>
        <v>0</v>
      </c>
      <c r="HHS23" s="1902">
        <f t="shared" si="347"/>
        <v>0</v>
      </c>
      <c r="HHT23" s="1902">
        <f t="shared" si="347"/>
        <v>0</v>
      </c>
      <c r="HHU23" s="1902">
        <f t="shared" si="347"/>
        <v>0</v>
      </c>
      <c r="HHV23" s="1902">
        <f t="shared" si="347"/>
        <v>0</v>
      </c>
      <c r="HHW23" s="1902">
        <f t="shared" si="347"/>
        <v>0</v>
      </c>
      <c r="HHX23" s="1902">
        <f t="shared" si="347"/>
        <v>0</v>
      </c>
      <c r="HHY23" s="1902">
        <f t="shared" si="347"/>
        <v>0</v>
      </c>
      <c r="HHZ23" s="1902">
        <f t="shared" si="347"/>
        <v>0</v>
      </c>
      <c r="HIA23" s="1902">
        <f t="shared" ref="HIA23:HKL23" si="348">IF(AND(HIA$26="End of period",HIA$25="Revenue"),HIA10,0)</f>
        <v>0</v>
      </c>
      <c r="HIB23" s="1902">
        <f t="shared" si="348"/>
        <v>0</v>
      </c>
      <c r="HIC23" s="1902">
        <f t="shared" si="348"/>
        <v>0</v>
      </c>
      <c r="HID23" s="1902">
        <f t="shared" si="348"/>
        <v>0</v>
      </c>
      <c r="HIE23" s="1902">
        <f t="shared" si="348"/>
        <v>0</v>
      </c>
      <c r="HIF23" s="1902">
        <f t="shared" si="348"/>
        <v>0</v>
      </c>
      <c r="HIG23" s="1902">
        <f t="shared" si="348"/>
        <v>0</v>
      </c>
      <c r="HIH23" s="1902">
        <f t="shared" si="348"/>
        <v>0</v>
      </c>
      <c r="HII23" s="1902">
        <f t="shared" si="348"/>
        <v>0</v>
      </c>
      <c r="HIJ23" s="1902">
        <f t="shared" si="348"/>
        <v>0</v>
      </c>
      <c r="HIK23" s="1902">
        <f t="shared" si="348"/>
        <v>0</v>
      </c>
      <c r="HIL23" s="1902">
        <f t="shared" si="348"/>
        <v>0</v>
      </c>
      <c r="HIM23" s="1902">
        <f t="shared" si="348"/>
        <v>0</v>
      </c>
      <c r="HIN23" s="1902">
        <f t="shared" si="348"/>
        <v>0</v>
      </c>
      <c r="HIO23" s="1902">
        <f t="shared" si="348"/>
        <v>0</v>
      </c>
      <c r="HIP23" s="1902">
        <f t="shared" si="348"/>
        <v>0</v>
      </c>
      <c r="HIQ23" s="1902">
        <f t="shared" si="348"/>
        <v>0</v>
      </c>
      <c r="HIR23" s="1902">
        <f t="shared" si="348"/>
        <v>0</v>
      </c>
      <c r="HIS23" s="1902">
        <f t="shared" si="348"/>
        <v>0</v>
      </c>
      <c r="HIT23" s="1902">
        <f t="shared" si="348"/>
        <v>0</v>
      </c>
      <c r="HIU23" s="1902">
        <f t="shared" si="348"/>
        <v>0</v>
      </c>
      <c r="HIV23" s="1902">
        <f t="shared" si="348"/>
        <v>0</v>
      </c>
      <c r="HIW23" s="1902">
        <f t="shared" si="348"/>
        <v>0</v>
      </c>
      <c r="HIX23" s="1902">
        <f t="shared" si="348"/>
        <v>0</v>
      </c>
      <c r="HIY23" s="1902">
        <f t="shared" si="348"/>
        <v>0</v>
      </c>
      <c r="HIZ23" s="1902">
        <f t="shared" si="348"/>
        <v>0</v>
      </c>
      <c r="HJA23" s="1902">
        <f t="shared" si="348"/>
        <v>0</v>
      </c>
      <c r="HJB23" s="1902">
        <f t="shared" si="348"/>
        <v>0</v>
      </c>
      <c r="HJC23" s="1902">
        <f t="shared" si="348"/>
        <v>0</v>
      </c>
      <c r="HJD23" s="1902">
        <f t="shared" si="348"/>
        <v>0</v>
      </c>
      <c r="HJE23" s="1902">
        <f t="shared" si="348"/>
        <v>0</v>
      </c>
      <c r="HJF23" s="1902">
        <f t="shared" si="348"/>
        <v>0</v>
      </c>
      <c r="HJG23" s="1902">
        <f t="shared" si="348"/>
        <v>0</v>
      </c>
      <c r="HJH23" s="1902">
        <f t="shared" si="348"/>
        <v>0</v>
      </c>
      <c r="HJI23" s="1902">
        <f t="shared" si="348"/>
        <v>0</v>
      </c>
      <c r="HJJ23" s="1902">
        <f t="shared" si="348"/>
        <v>0</v>
      </c>
      <c r="HJK23" s="1902">
        <f t="shared" si="348"/>
        <v>0</v>
      </c>
      <c r="HJL23" s="1902">
        <f t="shared" si="348"/>
        <v>0</v>
      </c>
      <c r="HJM23" s="1902">
        <f t="shared" si="348"/>
        <v>0</v>
      </c>
      <c r="HJN23" s="1902">
        <f t="shared" si="348"/>
        <v>0</v>
      </c>
      <c r="HJO23" s="1902">
        <f t="shared" si="348"/>
        <v>0</v>
      </c>
      <c r="HJP23" s="1902">
        <f t="shared" si="348"/>
        <v>0</v>
      </c>
      <c r="HJQ23" s="1902">
        <f t="shared" si="348"/>
        <v>0</v>
      </c>
      <c r="HJR23" s="1902">
        <f t="shared" si="348"/>
        <v>0</v>
      </c>
      <c r="HJS23" s="1902">
        <f t="shared" si="348"/>
        <v>0</v>
      </c>
      <c r="HJT23" s="1902">
        <f t="shared" si="348"/>
        <v>0</v>
      </c>
      <c r="HJU23" s="1902">
        <f t="shared" si="348"/>
        <v>0</v>
      </c>
      <c r="HJV23" s="1902">
        <f t="shared" si="348"/>
        <v>0</v>
      </c>
      <c r="HJW23" s="1902">
        <f t="shared" si="348"/>
        <v>0</v>
      </c>
      <c r="HJX23" s="1902">
        <f t="shared" si="348"/>
        <v>0</v>
      </c>
      <c r="HJY23" s="1902">
        <f t="shared" si="348"/>
        <v>0</v>
      </c>
      <c r="HJZ23" s="1902">
        <f t="shared" si="348"/>
        <v>0</v>
      </c>
      <c r="HKA23" s="1902">
        <f t="shared" si="348"/>
        <v>0</v>
      </c>
      <c r="HKB23" s="1902">
        <f t="shared" si="348"/>
        <v>0</v>
      </c>
      <c r="HKC23" s="1902">
        <f t="shared" si="348"/>
        <v>0</v>
      </c>
      <c r="HKD23" s="1902">
        <f t="shared" si="348"/>
        <v>0</v>
      </c>
      <c r="HKE23" s="1902">
        <f t="shared" si="348"/>
        <v>0</v>
      </c>
      <c r="HKF23" s="1902">
        <f t="shared" si="348"/>
        <v>0</v>
      </c>
      <c r="HKG23" s="1902">
        <f t="shared" si="348"/>
        <v>0</v>
      </c>
      <c r="HKH23" s="1902">
        <f t="shared" si="348"/>
        <v>0</v>
      </c>
      <c r="HKI23" s="1902">
        <f t="shared" si="348"/>
        <v>0</v>
      </c>
      <c r="HKJ23" s="1902">
        <f t="shared" si="348"/>
        <v>0</v>
      </c>
      <c r="HKK23" s="1902">
        <f t="shared" si="348"/>
        <v>0</v>
      </c>
      <c r="HKL23" s="1902">
        <f t="shared" si="348"/>
        <v>0</v>
      </c>
      <c r="HKM23" s="1902">
        <f t="shared" ref="HKM23:HMX23" si="349">IF(AND(HKM$26="End of period",HKM$25="Revenue"),HKM10,0)</f>
        <v>0</v>
      </c>
      <c r="HKN23" s="1902">
        <f t="shared" si="349"/>
        <v>0</v>
      </c>
      <c r="HKO23" s="1902">
        <f t="shared" si="349"/>
        <v>0</v>
      </c>
      <c r="HKP23" s="1902">
        <f t="shared" si="349"/>
        <v>0</v>
      </c>
      <c r="HKQ23" s="1902">
        <f t="shared" si="349"/>
        <v>0</v>
      </c>
      <c r="HKR23" s="1902">
        <f t="shared" si="349"/>
        <v>0</v>
      </c>
      <c r="HKS23" s="1902">
        <f t="shared" si="349"/>
        <v>0</v>
      </c>
      <c r="HKT23" s="1902">
        <f t="shared" si="349"/>
        <v>0</v>
      </c>
      <c r="HKU23" s="1902">
        <f t="shared" si="349"/>
        <v>0</v>
      </c>
      <c r="HKV23" s="1902">
        <f t="shared" si="349"/>
        <v>0</v>
      </c>
      <c r="HKW23" s="1902">
        <f t="shared" si="349"/>
        <v>0</v>
      </c>
      <c r="HKX23" s="1902">
        <f t="shared" si="349"/>
        <v>0</v>
      </c>
      <c r="HKY23" s="1902">
        <f t="shared" si="349"/>
        <v>0</v>
      </c>
      <c r="HKZ23" s="1902">
        <f t="shared" si="349"/>
        <v>0</v>
      </c>
      <c r="HLA23" s="1902">
        <f t="shared" si="349"/>
        <v>0</v>
      </c>
      <c r="HLB23" s="1902">
        <f t="shared" si="349"/>
        <v>0</v>
      </c>
      <c r="HLC23" s="1902">
        <f t="shared" si="349"/>
        <v>0</v>
      </c>
      <c r="HLD23" s="1902">
        <f t="shared" si="349"/>
        <v>0</v>
      </c>
      <c r="HLE23" s="1902">
        <f t="shared" si="349"/>
        <v>0</v>
      </c>
      <c r="HLF23" s="1902">
        <f t="shared" si="349"/>
        <v>0</v>
      </c>
      <c r="HLG23" s="1902">
        <f t="shared" si="349"/>
        <v>0</v>
      </c>
      <c r="HLH23" s="1902">
        <f t="shared" si="349"/>
        <v>0</v>
      </c>
      <c r="HLI23" s="1902">
        <f t="shared" si="349"/>
        <v>0</v>
      </c>
      <c r="HLJ23" s="1902">
        <f t="shared" si="349"/>
        <v>0</v>
      </c>
      <c r="HLK23" s="1902">
        <f t="shared" si="349"/>
        <v>0</v>
      </c>
      <c r="HLL23" s="1902">
        <f t="shared" si="349"/>
        <v>0</v>
      </c>
      <c r="HLM23" s="1902">
        <f t="shared" si="349"/>
        <v>0</v>
      </c>
      <c r="HLN23" s="1902">
        <f t="shared" si="349"/>
        <v>0</v>
      </c>
      <c r="HLO23" s="1902">
        <f t="shared" si="349"/>
        <v>0</v>
      </c>
      <c r="HLP23" s="1902">
        <f t="shared" si="349"/>
        <v>0</v>
      </c>
      <c r="HLQ23" s="1902">
        <f t="shared" si="349"/>
        <v>0</v>
      </c>
      <c r="HLR23" s="1902">
        <f t="shared" si="349"/>
        <v>0</v>
      </c>
      <c r="HLS23" s="1902">
        <f t="shared" si="349"/>
        <v>0</v>
      </c>
      <c r="HLT23" s="1902">
        <f t="shared" si="349"/>
        <v>0</v>
      </c>
      <c r="HLU23" s="1902">
        <f t="shared" si="349"/>
        <v>0</v>
      </c>
      <c r="HLV23" s="1902">
        <f t="shared" si="349"/>
        <v>0</v>
      </c>
      <c r="HLW23" s="1902">
        <f t="shared" si="349"/>
        <v>0</v>
      </c>
      <c r="HLX23" s="1902">
        <f t="shared" si="349"/>
        <v>0</v>
      </c>
      <c r="HLY23" s="1902">
        <f t="shared" si="349"/>
        <v>0</v>
      </c>
      <c r="HLZ23" s="1902">
        <f t="shared" si="349"/>
        <v>0</v>
      </c>
      <c r="HMA23" s="1902">
        <f t="shared" si="349"/>
        <v>0</v>
      </c>
      <c r="HMB23" s="1902">
        <f t="shared" si="349"/>
        <v>0</v>
      </c>
      <c r="HMC23" s="1902">
        <f t="shared" si="349"/>
        <v>0</v>
      </c>
      <c r="HMD23" s="1902">
        <f t="shared" si="349"/>
        <v>0</v>
      </c>
      <c r="HME23" s="1902">
        <f t="shared" si="349"/>
        <v>0</v>
      </c>
      <c r="HMF23" s="1902">
        <f t="shared" si="349"/>
        <v>0</v>
      </c>
      <c r="HMG23" s="1902">
        <f t="shared" si="349"/>
        <v>0</v>
      </c>
      <c r="HMH23" s="1902">
        <f t="shared" si="349"/>
        <v>0</v>
      </c>
      <c r="HMI23" s="1902">
        <f t="shared" si="349"/>
        <v>0</v>
      </c>
      <c r="HMJ23" s="1902">
        <f t="shared" si="349"/>
        <v>0</v>
      </c>
      <c r="HMK23" s="1902">
        <f t="shared" si="349"/>
        <v>0</v>
      </c>
      <c r="HML23" s="1902">
        <f t="shared" si="349"/>
        <v>0</v>
      </c>
      <c r="HMM23" s="1902">
        <f t="shared" si="349"/>
        <v>0</v>
      </c>
      <c r="HMN23" s="1902">
        <f t="shared" si="349"/>
        <v>0</v>
      </c>
      <c r="HMO23" s="1902">
        <f t="shared" si="349"/>
        <v>0</v>
      </c>
      <c r="HMP23" s="1902">
        <f t="shared" si="349"/>
        <v>0</v>
      </c>
      <c r="HMQ23" s="1902">
        <f t="shared" si="349"/>
        <v>0</v>
      </c>
      <c r="HMR23" s="1902">
        <f t="shared" si="349"/>
        <v>0</v>
      </c>
      <c r="HMS23" s="1902">
        <f t="shared" si="349"/>
        <v>0</v>
      </c>
      <c r="HMT23" s="1902">
        <f t="shared" si="349"/>
        <v>0</v>
      </c>
      <c r="HMU23" s="1902">
        <f t="shared" si="349"/>
        <v>0</v>
      </c>
      <c r="HMV23" s="1902">
        <f t="shared" si="349"/>
        <v>0</v>
      </c>
      <c r="HMW23" s="1902">
        <f t="shared" si="349"/>
        <v>0</v>
      </c>
      <c r="HMX23" s="1902">
        <f t="shared" si="349"/>
        <v>0</v>
      </c>
      <c r="HMY23" s="1902">
        <f t="shared" ref="HMY23:HPJ23" si="350">IF(AND(HMY$26="End of period",HMY$25="Revenue"),HMY10,0)</f>
        <v>0</v>
      </c>
      <c r="HMZ23" s="1902">
        <f t="shared" si="350"/>
        <v>0</v>
      </c>
      <c r="HNA23" s="1902">
        <f t="shared" si="350"/>
        <v>0</v>
      </c>
      <c r="HNB23" s="1902">
        <f t="shared" si="350"/>
        <v>0</v>
      </c>
      <c r="HNC23" s="1902">
        <f t="shared" si="350"/>
        <v>0</v>
      </c>
      <c r="HND23" s="1902">
        <f t="shared" si="350"/>
        <v>0</v>
      </c>
      <c r="HNE23" s="1902">
        <f t="shared" si="350"/>
        <v>0</v>
      </c>
      <c r="HNF23" s="1902">
        <f t="shared" si="350"/>
        <v>0</v>
      </c>
      <c r="HNG23" s="1902">
        <f t="shared" si="350"/>
        <v>0</v>
      </c>
      <c r="HNH23" s="1902">
        <f t="shared" si="350"/>
        <v>0</v>
      </c>
      <c r="HNI23" s="1902">
        <f t="shared" si="350"/>
        <v>0</v>
      </c>
      <c r="HNJ23" s="1902">
        <f t="shared" si="350"/>
        <v>0</v>
      </c>
      <c r="HNK23" s="1902">
        <f t="shared" si="350"/>
        <v>0</v>
      </c>
      <c r="HNL23" s="1902">
        <f t="shared" si="350"/>
        <v>0</v>
      </c>
      <c r="HNM23" s="1902">
        <f t="shared" si="350"/>
        <v>0</v>
      </c>
      <c r="HNN23" s="1902">
        <f t="shared" si="350"/>
        <v>0</v>
      </c>
      <c r="HNO23" s="1902">
        <f t="shared" si="350"/>
        <v>0</v>
      </c>
      <c r="HNP23" s="1902">
        <f t="shared" si="350"/>
        <v>0</v>
      </c>
      <c r="HNQ23" s="1902">
        <f t="shared" si="350"/>
        <v>0</v>
      </c>
      <c r="HNR23" s="1902">
        <f t="shared" si="350"/>
        <v>0</v>
      </c>
      <c r="HNS23" s="1902">
        <f t="shared" si="350"/>
        <v>0</v>
      </c>
      <c r="HNT23" s="1902">
        <f t="shared" si="350"/>
        <v>0</v>
      </c>
      <c r="HNU23" s="1902">
        <f t="shared" si="350"/>
        <v>0</v>
      </c>
      <c r="HNV23" s="1902">
        <f t="shared" si="350"/>
        <v>0</v>
      </c>
      <c r="HNW23" s="1902">
        <f t="shared" si="350"/>
        <v>0</v>
      </c>
      <c r="HNX23" s="1902">
        <f t="shared" si="350"/>
        <v>0</v>
      </c>
      <c r="HNY23" s="1902">
        <f t="shared" si="350"/>
        <v>0</v>
      </c>
      <c r="HNZ23" s="1902">
        <f t="shared" si="350"/>
        <v>0</v>
      </c>
      <c r="HOA23" s="1902">
        <f t="shared" si="350"/>
        <v>0</v>
      </c>
      <c r="HOB23" s="1902">
        <f t="shared" si="350"/>
        <v>0</v>
      </c>
      <c r="HOC23" s="1902">
        <f t="shared" si="350"/>
        <v>0</v>
      </c>
      <c r="HOD23" s="1902">
        <f t="shared" si="350"/>
        <v>0</v>
      </c>
      <c r="HOE23" s="1902">
        <f t="shared" si="350"/>
        <v>0</v>
      </c>
      <c r="HOF23" s="1902">
        <f t="shared" si="350"/>
        <v>0</v>
      </c>
      <c r="HOG23" s="1902">
        <f t="shared" si="350"/>
        <v>0</v>
      </c>
      <c r="HOH23" s="1902">
        <f t="shared" si="350"/>
        <v>0</v>
      </c>
      <c r="HOI23" s="1902">
        <f t="shared" si="350"/>
        <v>0</v>
      </c>
      <c r="HOJ23" s="1902">
        <f t="shared" si="350"/>
        <v>0</v>
      </c>
      <c r="HOK23" s="1902">
        <f t="shared" si="350"/>
        <v>0</v>
      </c>
      <c r="HOL23" s="1902">
        <f t="shared" si="350"/>
        <v>0</v>
      </c>
      <c r="HOM23" s="1902">
        <f t="shared" si="350"/>
        <v>0</v>
      </c>
      <c r="HON23" s="1902">
        <f t="shared" si="350"/>
        <v>0</v>
      </c>
      <c r="HOO23" s="1902">
        <f t="shared" si="350"/>
        <v>0</v>
      </c>
      <c r="HOP23" s="1902">
        <f t="shared" si="350"/>
        <v>0</v>
      </c>
      <c r="HOQ23" s="1902">
        <f t="shared" si="350"/>
        <v>0</v>
      </c>
      <c r="HOR23" s="1902">
        <f t="shared" si="350"/>
        <v>0</v>
      </c>
      <c r="HOS23" s="1902">
        <f t="shared" si="350"/>
        <v>0</v>
      </c>
      <c r="HOT23" s="1902">
        <f t="shared" si="350"/>
        <v>0</v>
      </c>
      <c r="HOU23" s="1902">
        <f t="shared" si="350"/>
        <v>0</v>
      </c>
      <c r="HOV23" s="1902">
        <f t="shared" si="350"/>
        <v>0</v>
      </c>
      <c r="HOW23" s="1902">
        <f t="shared" si="350"/>
        <v>0</v>
      </c>
      <c r="HOX23" s="1902">
        <f t="shared" si="350"/>
        <v>0</v>
      </c>
      <c r="HOY23" s="1902">
        <f t="shared" si="350"/>
        <v>0</v>
      </c>
      <c r="HOZ23" s="1902">
        <f t="shared" si="350"/>
        <v>0</v>
      </c>
      <c r="HPA23" s="1902">
        <f t="shared" si="350"/>
        <v>0</v>
      </c>
      <c r="HPB23" s="1902">
        <f t="shared" si="350"/>
        <v>0</v>
      </c>
      <c r="HPC23" s="1902">
        <f t="shared" si="350"/>
        <v>0</v>
      </c>
      <c r="HPD23" s="1902">
        <f t="shared" si="350"/>
        <v>0</v>
      </c>
      <c r="HPE23" s="1902">
        <f t="shared" si="350"/>
        <v>0</v>
      </c>
      <c r="HPF23" s="1902">
        <f t="shared" si="350"/>
        <v>0</v>
      </c>
      <c r="HPG23" s="1902">
        <f t="shared" si="350"/>
        <v>0</v>
      </c>
      <c r="HPH23" s="1902">
        <f t="shared" si="350"/>
        <v>0</v>
      </c>
      <c r="HPI23" s="1902">
        <f t="shared" si="350"/>
        <v>0</v>
      </c>
      <c r="HPJ23" s="1902">
        <f t="shared" si="350"/>
        <v>0</v>
      </c>
      <c r="HPK23" s="1902">
        <f t="shared" ref="HPK23:HRV23" si="351">IF(AND(HPK$26="End of period",HPK$25="Revenue"),HPK10,0)</f>
        <v>0</v>
      </c>
      <c r="HPL23" s="1902">
        <f t="shared" si="351"/>
        <v>0</v>
      </c>
      <c r="HPM23" s="1902">
        <f t="shared" si="351"/>
        <v>0</v>
      </c>
      <c r="HPN23" s="1902">
        <f t="shared" si="351"/>
        <v>0</v>
      </c>
      <c r="HPO23" s="1902">
        <f t="shared" si="351"/>
        <v>0</v>
      </c>
      <c r="HPP23" s="1902">
        <f t="shared" si="351"/>
        <v>0</v>
      </c>
      <c r="HPQ23" s="1902">
        <f t="shared" si="351"/>
        <v>0</v>
      </c>
      <c r="HPR23" s="1902">
        <f t="shared" si="351"/>
        <v>0</v>
      </c>
      <c r="HPS23" s="1902">
        <f t="shared" si="351"/>
        <v>0</v>
      </c>
      <c r="HPT23" s="1902">
        <f t="shared" si="351"/>
        <v>0</v>
      </c>
      <c r="HPU23" s="1902">
        <f t="shared" si="351"/>
        <v>0</v>
      </c>
      <c r="HPV23" s="1902">
        <f t="shared" si="351"/>
        <v>0</v>
      </c>
      <c r="HPW23" s="1902">
        <f t="shared" si="351"/>
        <v>0</v>
      </c>
      <c r="HPX23" s="1902">
        <f t="shared" si="351"/>
        <v>0</v>
      </c>
      <c r="HPY23" s="1902">
        <f t="shared" si="351"/>
        <v>0</v>
      </c>
      <c r="HPZ23" s="1902">
        <f t="shared" si="351"/>
        <v>0</v>
      </c>
      <c r="HQA23" s="1902">
        <f t="shared" si="351"/>
        <v>0</v>
      </c>
      <c r="HQB23" s="1902">
        <f t="shared" si="351"/>
        <v>0</v>
      </c>
      <c r="HQC23" s="1902">
        <f t="shared" si="351"/>
        <v>0</v>
      </c>
      <c r="HQD23" s="1902">
        <f t="shared" si="351"/>
        <v>0</v>
      </c>
      <c r="HQE23" s="1902">
        <f t="shared" si="351"/>
        <v>0</v>
      </c>
      <c r="HQF23" s="1902">
        <f t="shared" si="351"/>
        <v>0</v>
      </c>
      <c r="HQG23" s="1902">
        <f t="shared" si="351"/>
        <v>0</v>
      </c>
      <c r="HQH23" s="1902">
        <f t="shared" si="351"/>
        <v>0</v>
      </c>
      <c r="HQI23" s="1902">
        <f t="shared" si="351"/>
        <v>0</v>
      </c>
      <c r="HQJ23" s="1902">
        <f t="shared" si="351"/>
        <v>0</v>
      </c>
      <c r="HQK23" s="1902">
        <f t="shared" si="351"/>
        <v>0</v>
      </c>
      <c r="HQL23" s="1902">
        <f t="shared" si="351"/>
        <v>0</v>
      </c>
      <c r="HQM23" s="1902">
        <f t="shared" si="351"/>
        <v>0</v>
      </c>
      <c r="HQN23" s="1902">
        <f t="shared" si="351"/>
        <v>0</v>
      </c>
      <c r="HQO23" s="1902">
        <f t="shared" si="351"/>
        <v>0</v>
      </c>
      <c r="HQP23" s="1902">
        <f t="shared" si="351"/>
        <v>0</v>
      </c>
      <c r="HQQ23" s="1902">
        <f t="shared" si="351"/>
        <v>0</v>
      </c>
      <c r="HQR23" s="1902">
        <f t="shared" si="351"/>
        <v>0</v>
      </c>
      <c r="HQS23" s="1902">
        <f t="shared" si="351"/>
        <v>0</v>
      </c>
      <c r="HQT23" s="1902">
        <f t="shared" si="351"/>
        <v>0</v>
      </c>
      <c r="HQU23" s="1902">
        <f t="shared" si="351"/>
        <v>0</v>
      </c>
      <c r="HQV23" s="1902">
        <f t="shared" si="351"/>
        <v>0</v>
      </c>
      <c r="HQW23" s="1902">
        <f t="shared" si="351"/>
        <v>0</v>
      </c>
      <c r="HQX23" s="1902">
        <f t="shared" si="351"/>
        <v>0</v>
      </c>
      <c r="HQY23" s="1902">
        <f t="shared" si="351"/>
        <v>0</v>
      </c>
      <c r="HQZ23" s="1902">
        <f t="shared" si="351"/>
        <v>0</v>
      </c>
      <c r="HRA23" s="1902">
        <f t="shared" si="351"/>
        <v>0</v>
      </c>
      <c r="HRB23" s="1902">
        <f t="shared" si="351"/>
        <v>0</v>
      </c>
      <c r="HRC23" s="1902">
        <f t="shared" si="351"/>
        <v>0</v>
      </c>
      <c r="HRD23" s="1902">
        <f t="shared" si="351"/>
        <v>0</v>
      </c>
      <c r="HRE23" s="1902">
        <f t="shared" si="351"/>
        <v>0</v>
      </c>
      <c r="HRF23" s="1902">
        <f t="shared" si="351"/>
        <v>0</v>
      </c>
      <c r="HRG23" s="1902">
        <f t="shared" si="351"/>
        <v>0</v>
      </c>
      <c r="HRH23" s="1902">
        <f t="shared" si="351"/>
        <v>0</v>
      </c>
      <c r="HRI23" s="1902">
        <f t="shared" si="351"/>
        <v>0</v>
      </c>
      <c r="HRJ23" s="1902">
        <f t="shared" si="351"/>
        <v>0</v>
      </c>
      <c r="HRK23" s="1902">
        <f t="shared" si="351"/>
        <v>0</v>
      </c>
      <c r="HRL23" s="1902">
        <f t="shared" si="351"/>
        <v>0</v>
      </c>
      <c r="HRM23" s="1902">
        <f t="shared" si="351"/>
        <v>0</v>
      </c>
      <c r="HRN23" s="1902">
        <f t="shared" si="351"/>
        <v>0</v>
      </c>
      <c r="HRO23" s="1902">
        <f t="shared" si="351"/>
        <v>0</v>
      </c>
      <c r="HRP23" s="1902">
        <f t="shared" si="351"/>
        <v>0</v>
      </c>
      <c r="HRQ23" s="1902">
        <f t="shared" si="351"/>
        <v>0</v>
      </c>
      <c r="HRR23" s="1902">
        <f t="shared" si="351"/>
        <v>0</v>
      </c>
      <c r="HRS23" s="1902">
        <f t="shared" si="351"/>
        <v>0</v>
      </c>
      <c r="HRT23" s="1902">
        <f t="shared" si="351"/>
        <v>0</v>
      </c>
      <c r="HRU23" s="1902">
        <f t="shared" si="351"/>
        <v>0</v>
      </c>
      <c r="HRV23" s="1902">
        <f t="shared" si="351"/>
        <v>0</v>
      </c>
      <c r="HRW23" s="1902">
        <f t="shared" ref="HRW23:HUH23" si="352">IF(AND(HRW$26="End of period",HRW$25="Revenue"),HRW10,0)</f>
        <v>0</v>
      </c>
      <c r="HRX23" s="1902">
        <f t="shared" si="352"/>
        <v>0</v>
      </c>
      <c r="HRY23" s="1902">
        <f t="shared" si="352"/>
        <v>0</v>
      </c>
      <c r="HRZ23" s="1902">
        <f t="shared" si="352"/>
        <v>0</v>
      </c>
      <c r="HSA23" s="1902">
        <f t="shared" si="352"/>
        <v>0</v>
      </c>
      <c r="HSB23" s="1902">
        <f t="shared" si="352"/>
        <v>0</v>
      </c>
      <c r="HSC23" s="1902">
        <f t="shared" si="352"/>
        <v>0</v>
      </c>
      <c r="HSD23" s="1902">
        <f t="shared" si="352"/>
        <v>0</v>
      </c>
      <c r="HSE23" s="1902">
        <f t="shared" si="352"/>
        <v>0</v>
      </c>
      <c r="HSF23" s="1902">
        <f t="shared" si="352"/>
        <v>0</v>
      </c>
      <c r="HSG23" s="1902">
        <f t="shared" si="352"/>
        <v>0</v>
      </c>
      <c r="HSH23" s="1902">
        <f t="shared" si="352"/>
        <v>0</v>
      </c>
      <c r="HSI23" s="1902">
        <f t="shared" si="352"/>
        <v>0</v>
      </c>
      <c r="HSJ23" s="1902">
        <f t="shared" si="352"/>
        <v>0</v>
      </c>
      <c r="HSK23" s="1902">
        <f t="shared" si="352"/>
        <v>0</v>
      </c>
      <c r="HSL23" s="1902">
        <f t="shared" si="352"/>
        <v>0</v>
      </c>
      <c r="HSM23" s="1902">
        <f t="shared" si="352"/>
        <v>0</v>
      </c>
      <c r="HSN23" s="1902">
        <f t="shared" si="352"/>
        <v>0</v>
      </c>
      <c r="HSO23" s="1902">
        <f t="shared" si="352"/>
        <v>0</v>
      </c>
      <c r="HSP23" s="1902">
        <f t="shared" si="352"/>
        <v>0</v>
      </c>
      <c r="HSQ23" s="1902">
        <f t="shared" si="352"/>
        <v>0</v>
      </c>
      <c r="HSR23" s="1902">
        <f t="shared" si="352"/>
        <v>0</v>
      </c>
      <c r="HSS23" s="1902">
        <f t="shared" si="352"/>
        <v>0</v>
      </c>
      <c r="HST23" s="1902">
        <f t="shared" si="352"/>
        <v>0</v>
      </c>
      <c r="HSU23" s="1902">
        <f t="shared" si="352"/>
        <v>0</v>
      </c>
      <c r="HSV23" s="1902">
        <f t="shared" si="352"/>
        <v>0</v>
      </c>
      <c r="HSW23" s="1902">
        <f t="shared" si="352"/>
        <v>0</v>
      </c>
      <c r="HSX23" s="1902">
        <f t="shared" si="352"/>
        <v>0</v>
      </c>
      <c r="HSY23" s="1902">
        <f t="shared" si="352"/>
        <v>0</v>
      </c>
      <c r="HSZ23" s="1902">
        <f t="shared" si="352"/>
        <v>0</v>
      </c>
      <c r="HTA23" s="1902">
        <f t="shared" si="352"/>
        <v>0</v>
      </c>
      <c r="HTB23" s="1902">
        <f t="shared" si="352"/>
        <v>0</v>
      </c>
      <c r="HTC23" s="1902">
        <f t="shared" si="352"/>
        <v>0</v>
      </c>
      <c r="HTD23" s="1902">
        <f t="shared" si="352"/>
        <v>0</v>
      </c>
      <c r="HTE23" s="1902">
        <f t="shared" si="352"/>
        <v>0</v>
      </c>
      <c r="HTF23" s="1902">
        <f t="shared" si="352"/>
        <v>0</v>
      </c>
      <c r="HTG23" s="1902">
        <f t="shared" si="352"/>
        <v>0</v>
      </c>
      <c r="HTH23" s="1902">
        <f t="shared" si="352"/>
        <v>0</v>
      </c>
      <c r="HTI23" s="1902">
        <f t="shared" si="352"/>
        <v>0</v>
      </c>
      <c r="HTJ23" s="1902">
        <f t="shared" si="352"/>
        <v>0</v>
      </c>
      <c r="HTK23" s="1902">
        <f t="shared" si="352"/>
        <v>0</v>
      </c>
      <c r="HTL23" s="1902">
        <f t="shared" si="352"/>
        <v>0</v>
      </c>
      <c r="HTM23" s="1902">
        <f t="shared" si="352"/>
        <v>0</v>
      </c>
      <c r="HTN23" s="1902">
        <f t="shared" si="352"/>
        <v>0</v>
      </c>
      <c r="HTO23" s="1902">
        <f t="shared" si="352"/>
        <v>0</v>
      </c>
      <c r="HTP23" s="1902">
        <f t="shared" si="352"/>
        <v>0</v>
      </c>
      <c r="HTQ23" s="1902">
        <f t="shared" si="352"/>
        <v>0</v>
      </c>
      <c r="HTR23" s="1902">
        <f t="shared" si="352"/>
        <v>0</v>
      </c>
      <c r="HTS23" s="1902">
        <f t="shared" si="352"/>
        <v>0</v>
      </c>
      <c r="HTT23" s="1902">
        <f t="shared" si="352"/>
        <v>0</v>
      </c>
      <c r="HTU23" s="1902">
        <f t="shared" si="352"/>
        <v>0</v>
      </c>
      <c r="HTV23" s="1902">
        <f t="shared" si="352"/>
        <v>0</v>
      </c>
      <c r="HTW23" s="1902">
        <f t="shared" si="352"/>
        <v>0</v>
      </c>
      <c r="HTX23" s="1902">
        <f t="shared" si="352"/>
        <v>0</v>
      </c>
      <c r="HTY23" s="1902">
        <f t="shared" si="352"/>
        <v>0</v>
      </c>
      <c r="HTZ23" s="1902">
        <f t="shared" si="352"/>
        <v>0</v>
      </c>
      <c r="HUA23" s="1902">
        <f t="shared" si="352"/>
        <v>0</v>
      </c>
      <c r="HUB23" s="1902">
        <f t="shared" si="352"/>
        <v>0</v>
      </c>
      <c r="HUC23" s="1902">
        <f t="shared" si="352"/>
        <v>0</v>
      </c>
      <c r="HUD23" s="1902">
        <f t="shared" si="352"/>
        <v>0</v>
      </c>
      <c r="HUE23" s="1902">
        <f t="shared" si="352"/>
        <v>0</v>
      </c>
      <c r="HUF23" s="1902">
        <f t="shared" si="352"/>
        <v>0</v>
      </c>
      <c r="HUG23" s="1902">
        <f t="shared" si="352"/>
        <v>0</v>
      </c>
      <c r="HUH23" s="1902">
        <f t="shared" si="352"/>
        <v>0</v>
      </c>
      <c r="HUI23" s="1902">
        <f t="shared" ref="HUI23:HWT23" si="353">IF(AND(HUI$26="End of period",HUI$25="Revenue"),HUI10,0)</f>
        <v>0</v>
      </c>
      <c r="HUJ23" s="1902">
        <f t="shared" si="353"/>
        <v>0</v>
      </c>
      <c r="HUK23" s="1902">
        <f t="shared" si="353"/>
        <v>0</v>
      </c>
      <c r="HUL23" s="1902">
        <f t="shared" si="353"/>
        <v>0</v>
      </c>
      <c r="HUM23" s="1902">
        <f t="shared" si="353"/>
        <v>0</v>
      </c>
      <c r="HUN23" s="1902">
        <f t="shared" si="353"/>
        <v>0</v>
      </c>
      <c r="HUO23" s="1902">
        <f t="shared" si="353"/>
        <v>0</v>
      </c>
      <c r="HUP23" s="1902">
        <f t="shared" si="353"/>
        <v>0</v>
      </c>
      <c r="HUQ23" s="1902">
        <f t="shared" si="353"/>
        <v>0</v>
      </c>
      <c r="HUR23" s="1902">
        <f t="shared" si="353"/>
        <v>0</v>
      </c>
      <c r="HUS23" s="1902">
        <f t="shared" si="353"/>
        <v>0</v>
      </c>
      <c r="HUT23" s="1902">
        <f t="shared" si="353"/>
        <v>0</v>
      </c>
      <c r="HUU23" s="1902">
        <f t="shared" si="353"/>
        <v>0</v>
      </c>
      <c r="HUV23" s="1902">
        <f t="shared" si="353"/>
        <v>0</v>
      </c>
      <c r="HUW23" s="1902">
        <f t="shared" si="353"/>
        <v>0</v>
      </c>
      <c r="HUX23" s="1902">
        <f t="shared" si="353"/>
        <v>0</v>
      </c>
      <c r="HUY23" s="1902">
        <f t="shared" si="353"/>
        <v>0</v>
      </c>
      <c r="HUZ23" s="1902">
        <f t="shared" si="353"/>
        <v>0</v>
      </c>
      <c r="HVA23" s="1902">
        <f t="shared" si="353"/>
        <v>0</v>
      </c>
      <c r="HVB23" s="1902">
        <f t="shared" si="353"/>
        <v>0</v>
      </c>
      <c r="HVC23" s="1902">
        <f t="shared" si="353"/>
        <v>0</v>
      </c>
      <c r="HVD23" s="1902">
        <f t="shared" si="353"/>
        <v>0</v>
      </c>
      <c r="HVE23" s="1902">
        <f t="shared" si="353"/>
        <v>0</v>
      </c>
      <c r="HVF23" s="1902">
        <f t="shared" si="353"/>
        <v>0</v>
      </c>
      <c r="HVG23" s="1902">
        <f t="shared" si="353"/>
        <v>0</v>
      </c>
      <c r="HVH23" s="1902">
        <f t="shared" si="353"/>
        <v>0</v>
      </c>
      <c r="HVI23" s="1902">
        <f t="shared" si="353"/>
        <v>0</v>
      </c>
      <c r="HVJ23" s="1902">
        <f t="shared" si="353"/>
        <v>0</v>
      </c>
      <c r="HVK23" s="1902">
        <f t="shared" si="353"/>
        <v>0</v>
      </c>
      <c r="HVL23" s="1902">
        <f t="shared" si="353"/>
        <v>0</v>
      </c>
      <c r="HVM23" s="1902">
        <f t="shared" si="353"/>
        <v>0</v>
      </c>
      <c r="HVN23" s="1902">
        <f t="shared" si="353"/>
        <v>0</v>
      </c>
      <c r="HVO23" s="1902">
        <f t="shared" si="353"/>
        <v>0</v>
      </c>
      <c r="HVP23" s="1902">
        <f t="shared" si="353"/>
        <v>0</v>
      </c>
      <c r="HVQ23" s="1902">
        <f t="shared" si="353"/>
        <v>0</v>
      </c>
      <c r="HVR23" s="1902">
        <f t="shared" si="353"/>
        <v>0</v>
      </c>
      <c r="HVS23" s="1902">
        <f t="shared" si="353"/>
        <v>0</v>
      </c>
      <c r="HVT23" s="1902">
        <f t="shared" si="353"/>
        <v>0</v>
      </c>
      <c r="HVU23" s="1902">
        <f t="shared" si="353"/>
        <v>0</v>
      </c>
      <c r="HVV23" s="1902">
        <f t="shared" si="353"/>
        <v>0</v>
      </c>
      <c r="HVW23" s="1902">
        <f t="shared" si="353"/>
        <v>0</v>
      </c>
      <c r="HVX23" s="1902">
        <f t="shared" si="353"/>
        <v>0</v>
      </c>
      <c r="HVY23" s="1902">
        <f t="shared" si="353"/>
        <v>0</v>
      </c>
      <c r="HVZ23" s="1902">
        <f t="shared" si="353"/>
        <v>0</v>
      </c>
      <c r="HWA23" s="1902">
        <f t="shared" si="353"/>
        <v>0</v>
      </c>
      <c r="HWB23" s="1902">
        <f t="shared" si="353"/>
        <v>0</v>
      </c>
      <c r="HWC23" s="1902">
        <f t="shared" si="353"/>
        <v>0</v>
      </c>
      <c r="HWD23" s="1902">
        <f t="shared" si="353"/>
        <v>0</v>
      </c>
      <c r="HWE23" s="1902">
        <f t="shared" si="353"/>
        <v>0</v>
      </c>
      <c r="HWF23" s="1902">
        <f t="shared" si="353"/>
        <v>0</v>
      </c>
      <c r="HWG23" s="1902">
        <f t="shared" si="353"/>
        <v>0</v>
      </c>
      <c r="HWH23" s="1902">
        <f t="shared" si="353"/>
        <v>0</v>
      </c>
      <c r="HWI23" s="1902">
        <f t="shared" si="353"/>
        <v>0</v>
      </c>
      <c r="HWJ23" s="1902">
        <f t="shared" si="353"/>
        <v>0</v>
      </c>
      <c r="HWK23" s="1902">
        <f t="shared" si="353"/>
        <v>0</v>
      </c>
      <c r="HWL23" s="1902">
        <f t="shared" si="353"/>
        <v>0</v>
      </c>
      <c r="HWM23" s="1902">
        <f t="shared" si="353"/>
        <v>0</v>
      </c>
      <c r="HWN23" s="1902">
        <f t="shared" si="353"/>
        <v>0</v>
      </c>
      <c r="HWO23" s="1902">
        <f t="shared" si="353"/>
        <v>0</v>
      </c>
      <c r="HWP23" s="1902">
        <f t="shared" si="353"/>
        <v>0</v>
      </c>
      <c r="HWQ23" s="1902">
        <f t="shared" si="353"/>
        <v>0</v>
      </c>
      <c r="HWR23" s="1902">
        <f t="shared" si="353"/>
        <v>0</v>
      </c>
      <c r="HWS23" s="1902">
        <f t="shared" si="353"/>
        <v>0</v>
      </c>
      <c r="HWT23" s="1902">
        <f t="shared" si="353"/>
        <v>0</v>
      </c>
      <c r="HWU23" s="1902">
        <f t="shared" ref="HWU23:HZF23" si="354">IF(AND(HWU$26="End of period",HWU$25="Revenue"),HWU10,0)</f>
        <v>0</v>
      </c>
      <c r="HWV23" s="1902">
        <f t="shared" si="354"/>
        <v>0</v>
      </c>
      <c r="HWW23" s="1902">
        <f t="shared" si="354"/>
        <v>0</v>
      </c>
      <c r="HWX23" s="1902">
        <f t="shared" si="354"/>
        <v>0</v>
      </c>
      <c r="HWY23" s="1902">
        <f t="shared" si="354"/>
        <v>0</v>
      </c>
      <c r="HWZ23" s="1902">
        <f t="shared" si="354"/>
        <v>0</v>
      </c>
      <c r="HXA23" s="1902">
        <f t="shared" si="354"/>
        <v>0</v>
      </c>
      <c r="HXB23" s="1902">
        <f t="shared" si="354"/>
        <v>0</v>
      </c>
      <c r="HXC23" s="1902">
        <f t="shared" si="354"/>
        <v>0</v>
      </c>
      <c r="HXD23" s="1902">
        <f t="shared" si="354"/>
        <v>0</v>
      </c>
      <c r="HXE23" s="1902">
        <f t="shared" si="354"/>
        <v>0</v>
      </c>
      <c r="HXF23" s="1902">
        <f t="shared" si="354"/>
        <v>0</v>
      </c>
      <c r="HXG23" s="1902">
        <f t="shared" si="354"/>
        <v>0</v>
      </c>
      <c r="HXH23" s="1902">
        <f t="shared" si="354"/>
        <v>0</v>
      </c>
      <c r="HXI23" s="1902">
        <f t="shared" si="354"/>
        <v>0</v>
      </c>
      <c r="HXJ23" s="1902">
        <f t="shared" si="354"/>
        <v>0</v>
      </c>
      <c r="HXK23" s="1902">
        <f t="shared" si="354"/>
        <v>0</v>
      </c>
      <c r="HXL23" s="1902">
        <f t="shared" si="354"/>
        <v>0</v>
      </c>
      <c r="HXM23" s="1902">
        <f t="shared" si="354"/>
        <v>0</v>
      </c>
      <c r="HXN23" s="1902">
        <f t="shared" si="354"/>
        <v>0</v>
      </c>
      <c r="HXO23" s="1902">
        <f t="shared" si="354"/>
        <v>0</v>
      </c>
      <c r="HXP23" s="1902">
        <f t="shared" si="354"/>
        <v>0</v>
      </c>
      <c r="HXQ23" s="1902">
        <f t="shared" si="354"/>
        <v>0</v>
      </c>
      <c r="HXR23" s="1902">
        <f t="shared" si="354"/>
        <v>0</v>
      </c>
      <c r="HXS23" s="1902">
        <f t="shared" si="354"/>
        <v>0</v>
      </c>
      <c r="HXT23" s="1902">
        <f t="shared" si="354"/>
        <v>0</v>
      </c>
      <c r="HXU23" s="1902">
        <f t="shared" si="354"/>
        <v>0</v>
      </c>
      <c r="HXV23" s="1902">
        <f t="shared" si="354"/>
        <v>0</v>
      </c>
      <c r="HXW23" s="1902">
        <f t="shared" si="354"/>
        <v>0</v>
      </c>
      <c r="HXX23" s="1902">
        <f t="shared" si="354"/>
        <v>0</v>
      </c>
      <c r="HXY23" s="1902">
        <f t="shared" si="354"/>
        <v>0</v>
      </c>
      <c r="HXZ23" s="1902">
        <f t="shared" si="354"/>
        <v>0</v>
      </c>
      <c r="HYA23" s="1902">
        <f t="shared" si="354"/>
        <v>0</v>
      </c>
      <c r="HYB23" s="1902">
        <f t="shared" si="354"/>
        <v>0</v>
      </c>
      <c r="HYC23" s="1902">
        <f t="shared" si="354"/>
        <v>0</v>
      </c>
      <c r="HYD23" s="1902">
        <f t="shared" si="354"/>
        <v>0</v>
      </c>
      <c r="HYE23" s="1902">
        <f t="shared" si="354"/>
        <v>0</v>
      </c>
      <c r="HYF23" s="1902">
        <f t="shared" si="354"/>
        <v>0</v>
      </c>
      <c r="HYG23" s="1902">
        <f t="shared" si="354"/>
        <v>0</v>
      </c>
      <c r="HYH23" s="1902">
        <f t="shared" si="354"/>
        <v>0</v>
      </c>
      <c r="HYI23" s="1902">
        <f t="shared" si="354"/>
        <v>0</v>
      </c>
      <c r="HYJ23" s="1902">
        <f t="shared" si="354"/>
        <v>0</v>
      </c>
      <c r="HYK23" s="1902">
        <f t="shared" si="354"/>
        <v>0</v>
      </c>
      <c r="HYL23" s="1902">
        <f t="shared" si="354"/>
        <v>0</v>
      </c>
      <c r="HYM23" s="1902">
        <f t="shared" si="354"/>
        <v>0</v>
      </c>
      <c r="HYN23" s="1902">
        <f t="shared" si="354"/>
        <v>0</v>
      </c>
      <c r="HYO23" s="1902">
        <f t="shared" si="354"/>
        <v>0</v>
      </c>
      <c r="HYP23" s="1902">
        <f t="shared" si="354"/>
        <v>0</v>
      </c>
      <c r="HYQ23" s="1902">
        <f t="shared" si="354"/>
        <v>0</v>
      </c>
      <c r="HYR23" s="1902">
        <f t="shared" si="354"/>
        <v>0</v>
      </c>
      <c r="HYS23" s="1902">
        <f t="shared" si="354"/>
        <v>0</v>
      </c>
      <c r="HYT23" s="1902">
        <f t="shared" si="354"/>
        <v>0</v>
      </c>
      <c r="HYU23" s="1902">
        <f t="shared" si="354"/>
        <v>0</v>
      </c>
      <c r="HYV23" s="1902">
        <f t="shared" si="354"/>
        <v>0</v>
      </c>
      <c r="HYW23" s="1902">
        <f t="shared" si="354"/>
        <v>0</v>
      </c>
      <c r="HYX23" s="1902">
        <f t="shared" si="354"/>
        <v>0</v>
      </c>
      <c r="HYY23" s="1902">
        <f t="shared" si="354"/>
        <v>0</v>
      </c>
      <c r="HYZ23" s="1902">
        <f t="shared" si="354"/>
        <v>0</v>
      </c>
      <c r="HZA23" s="1902">
        <f t="shared" si="354"/>
        <v>0</v>
      </c>
      <c r="HZB23" s="1902">
        <f t="shared" si="354"/>
        <v>0</v>
      </c>
      <c r="HZC23" s="1902">
        <f t="shared" si="354"/>
        <v>0</v>
      </c>
      <c r="HZD23" s="1902">
        <f t="shared" si="354"/>
        <v>0</v>
      </c>
      <c r="HZE23" s="1902">
        <f t="shared" si="354"/>
        <v>0</v>
      </c>
      <c r="HZF23" s="1902">
        <f t="shared" si="354"/>
        <v>0</v>
      </c>
      <c r="HZG23" s="1902">
        <f t="shared" ref="HZG23:IBR23" si="355">IF(AND(HZG$26="End of period",HZG$25="Revenue"),HZG10,0)</f>
        <v>0</v>
      </c>
      <c r="HZH23" s="1902">
        <f t="shared" si="355"/>
        <v>0</v>
      </c>
      <c r="HZI23" s="1902">
        <f t="shared" si="355"/>
        <v>0</v>
      </c>
      <c r="HZJ23" s="1902">
        <f t="shared" si="355"/>
        <v>0</v>
      </c>
      <c r="HZK23" s="1902">
        <f t="shared" si="355"/>
        <v>0</v>
      </c>
      <c r="HZL23" s="1902">
        <f t="shared" si="355"/>
        <v>0</v>
      </c>
      <c r="HZM23" s="1902">
        <f t="shared" si="355"/>
        <v>0</v>
      </c>
      <c r="HZN23" s="1902">
        <f t="shared" si="355"/>
        <v>0</v>
      </c>
      <c r="HZO23" s="1902">
        <f t="shared" si="355"/>
        <v>0</v>
      </c>
      <c r="HZP23" s="1902">
        <f t="shared" si="355"/>
        <v>0</v>
      </c>
      <c r="HZQ23" s="1902">
        <f t="shared" si="355"/>
        <v>0</v>
      </c>
      <c r="HZR23" s="1902">
        <f t="shared" si="355"/>
        <v>0</v>
      </c>
      <c r="HZS23" s="1902">
        <f t="shared" si="355"/>
        <v>0</v>
      </c>
      <c r="HZT23" s="1902">
        <f t="shared" si="355"/>
        <v>0</v>
      </c>
      <c r="HZU23" s="1902">
        <f t="shared" si="355"/>
        <v>0</v>
      </c>
      <c r="HZV23" s="1902">
        <f t="shared" si="355"/>
        <v>0</v>
      </c>
      <c r="HZW23" s="1902">
        <f t="shared" si="355"/>
        <v>0</v>
      </c>
      <c r="HZX23" s="1902">
        <f t="shared" si="355"/>
        <v>0</v>
      </c>
      <c r="HZY23" s="1902">
        <f t="shared" si="355"/>
        <v>0</v>
      </c>
      <c r="HZZ23" s="1902">
        <f t="shared" si="355"/>
        <v>0</v>
      </c>
      <c r="IAA23" s="1902">
        <f t="shared" si="355"/>
        <v>0</v>
      </c>
      <c r="IAB23" s="1902">
        <f t="shared" si="355"/>
        <v>0</v>
      </c>
      <c r="IAC23" s="1902">
        <f t="shared" si="355"/>
        <v>0</v>
      </c>
      <c r="IAD23" s="1902">
        <f t="shared" si="355"/>
        <v>0</v>
      </c>
      <c r="IAE23" s="1902">
        <f t="shared" si="355"/>
        <v>0</v>
      </c>
      <c r="IAF23" s="1902">
        <f t="shared" si="355"/>
        <v>0</v>
      </c>
      <c r="IAG23" s="1902">
        <f t="shared" si="355"/>
        <v>0</v>
      </c>
      <c r="IAH23" s="1902">
        <f t="shared" si="355"/>
        <v>0</v>
      </c>
      <c r="IAI23" s="1902">
        <f t="shared" si="355"/>
        <v>0</v>
      </c>
      <c r="IAJ23" s="1902">
        <f t="shared" si="355"/>
        <v>0</v>
      </c>
      <c r="IAK23" s="1902">
        <f t="shared" si="355"/>
        <v>0</v>
      </c>
      <c r="IAL23" s="1902">
        <f t="shared" si="355"/>
        <v>0</v>
      </c>
      <c r="IAM23" s="1902">
        <f t="shared" si="355"/>
        <v>0</v>
      </c>
      <c r="IAN23" s="1902">
        <f t="shared" si="355"/>
        <v>0</v>
      </c>
      <c r="IAO23" s="1902">
        <f t="shared" si="355"/>
        <v>0</v>
      </c>
      <c r="IAP23" s="1902">
        <f t="shared" si="355"/>
        <v>0</v>
      </c>
      <c r="IAQ23" s="1902">
        <f t="shared" si="355"/>
        <v>0</v>
      </c>
      <c r="IAR23" s="1902">
        <f t="shared" si="355"/>
        <v>0</v>
      </c>
      <c r="IAS23" s="1902">
        <f t="shared" si="355"/>
        <v>0</v>
      </c>
      <c r="IAT23" s="1902">
        <f t="shared" si="355"/>
        <v>0</v>
      </c>
      <c r="IAU23" s="1902">
        <f t="shared" si="355"/>
        <v>0</v>
      </c>
      <c r="IAV23" s="1902">
        <f t="shared" si="355"/>
        <v>0</v>
      </c>
      <c r="IAW23" s="1902">
        <f t="shared" si="355"/>
        <v>0</v>
      </c>
      <c r="IAX23" s="1902">
        <f t="shared" si="355"/>
        <v>0</v>
      </c>
      <c r="IAY23" s="1902">
        <f t="shared" si="355"/>
        <v>0</v>
      </c>
      <c r="IAZ23" s="1902">
        <f t="shared" si="355"/>
        <v>0</v>
      </c>
      <c r="IBA23" s="1902">
        <f t="shared" si="355"/>
        <v>0</v>
      </c>
      <c r="IBB23" s="1902">
        <f t="shared" si="355"/>
        <v>0</v>
      </c>
      <c r="IBC23" s="1902">
        <f t="shared" si="355"/>
        <v>0</v>
      </c>
      <c r="IBD23" s="1902">
        <f t="shared" si="355"/>
        <v>0</v>
      </c>
      <c r="IBE23" s="1902">
        <f t="shared" si="355"/>
        <v>0</v>
      </c>
      <c r="IBF23" s="1902">
        <f t="shared" si="355"/>
        <v>0</v>
      </c>
      <c r="IBG23" s="1902">
        <f t="shared" si="355"/>
        <v>0</v>
      </c>
      <c r="IBH23" s="1902">
        <f t="shared" si="355"/>
        <v>0</v>
      </c>
      <c r="IBI23" s="1902">
        <f t="shared" si="355"/>
        <v>0</v>
      </c>
      <c r="IBJ23" s="1902">
        <f t="shared" si="355"/>
        <v>0</v>
      </c>
      <c r="IBK23" s="1902">
        <f t="shared" si="355"/>
        <v>0</v>
      </c>
      <c r="IBL23" s="1902">
        <f t="shared" si="355"/>
        <v>0</v>
      </c>
      <c r="IBM23" s="1902">
        <f t="shared" si="355"/>
        <v>0</v>
      </c>
      <c r="IBN23" s="1902">
        <f t="shared" si="355"/>
        <v>0</v>
      </c>
      <c r="IBO23" s="1902">
        <f t="shared" si="355"/>
        <v>0</v>
      </c>
      <c r="IBP23" s="1902">
        <f t="shared" si="355"/>
        <v>0</v>
      </c>
      <c r="IBQ23" s="1902">
        <f t="shared" si="355"/>
        <v>0</v>
      </c>
      <c r="IBR23" s="1902">
        <f t="shared" si="355"/>
        <v>0</v>
      </c>
      <c r="IBS23" s="1902">
        <f t="shared" ref="IBS23:IED23" si="356">IF(AND(IBS$26="End of period",IBS$25="Revenue"),IBS10,0)</f>
        <v>0</v>
      </c>
      <c r="IBT23" s="1902">
        <f t="shared" si="356"/>
        <v>0</v>
      </c>
      <c r="IBU23" s="1902">
        <f t="shared" si="356"/>
        <v>0</v>
      </c>
      <c r="IBV23" s="1902">
        <f t="shared" si="356"/>
        <v>0</v>
      </c>
      <c r="IBW23" s="1902">
        <f t="shared" si="356"/>
        <v>0</v>
      </c>
      <c r="IBX23" s="1902">
        <f t="shared" si="356"/>
        <v>0</v>
      </c>
      <c r="IBY23" s="1902">
        <f t="shared" si="356"/>
        <v>0</v>
      </c>
      <c r="IBZ23" s="1902">
        <f t="shared" si="356"/>
        <v>0</v>
      </c>
      <c r="ICA23" s="1902">
        <f t="shared" si="356"/>
        <v>0</v>
      </c>
      <c r="ICB23" s="1902">
        <f t="shared" si="356"/>
        <v>0</v>
      </c>
      <c r="ICC23" s="1902">
        <f t="shared" si="356"/>
        <v>0</v>
      </c>
      <c r="ICD23" s="1902">
        <f t="shared" si="356"/>
        <v>0</v>
      </c>
      <c r="ICE23" s="1902">
        <f t="shared" si="356"/>
        <v>0</v>
      </c>
      <c r="ICF23" s="1902">
        <f t="shared" si="356"/>
        <v>0</v>
      </c>
      <c r="ICG23" s="1902">
        <f t="shared" si="356"/>
        <v>0</v>
      </c>
      <c r="ICH23" s="1902">
        <f t="shared" si="356"/>
        <v>0</v>
      </c>
      <c r="ICI23" s="1902">
        <f t="shared" si="356"/>
        <v>0</v>
      </c>
      <c r="ICJ23" s="1902">
        <f t="shared" si="356"/>
        <v>0</v>
      </c>
      <c r="ICK23" s="1902">
        <f t="shared" si="356"/>
        <v>0</v>
      </c>
      <c r="ICL23" s="1902">
        <f t="shared" si="356"/>
        <v>0</v>
      </c>
      <c r="ICM23" s="1902">
        <f t="shared" si="356"/>
        <v>0</v>
      </c>
      <c r="ICN23" s="1902">
        <f t="shared" si="356"/>
        <v>0</v>
      </c>
      <c r="ICO23" s="1902">
        <f t="shared" si="356"/>
        <v>0</v>
      </c>
      <c r="ICP23" s="1902">
        <f t="shared" si="356"/>
        <v>0</v>
      </c>
      <c r="ICQ23" s="1902">
        <f t="shared" si="356"/>
        <v>0</v>
      </c>
      <c r="ICR23" s="1902">
        <f t="shared" si="356"/>
        <v>0</v>
      </c>
      <c r="ICS23" s="1902">
        <f t="shared" si="356"/>
        <v>0</v>
      </c>
      <c r="ICT23" s="1902">
        <f t="shared" si="356"/>
        <v>0</v>
      </c>
      <c r="ICU23" s="1902">
        <f t="shared" si="356"/>
        <v>0</v>
      </c>
      <c r="ICV23" s="1902">
        <f t="shared" si="356"/>
        <v>0</v>
      </c>
      <c r="ICW23" s="1902">
        <f t="shared" si="356"/>
        <v>0</v>
      </c>
      <c r="ICX23" s="1902">
        <f t="shared" si="356"/>
        <v>0</v>
      </c>
      <c r="ICY23" s="1902">
        <f t="shared" si="356"/>
        <v>0</v>
      </c>
      <c r="ICZ23" s="1902">
        <f t="shared" si="356"/>
        <v>0</v>
      </c>
      <c r="IDA23" s="1902">
        <f t="shared" si="356"/>
        <v>0</v>
      </c>
      <c r="IDB23" s="1902">
        <f t="shared" si="356"/>
        <v>0</v>
      </c>
      <c r="IDC23" s="1902">
        <f t="shared" si="356"/>
        <v>0</v>
      </c>
      <c r="IDD23" s="1902">
        <f t="shared" si="356"/>
        <v>0</v>
      </c>
      <c r="IDE23" s="1902">
        <f t="shared" si="356"/>
        <v>0</v>
      </c>
      <c r="IDF23" s="1902">
        <f t="shared" si="356"/>
        <v>0</v>
      </c>
      <c r="IDG23" s="1902">
        <f t="shared" si="356"/>
        <v>0</v>
      </c>
      <c r="IDH23" s="1902">
        <f t="shared" si="356"/>
        <v>0</v>
      </c>
      <c r="IDI23" s="1902">
        <f t="shared" si="356"/>
        <v>0</v>
      </c>
      <c r="IDJ23" s="1902">
        <f t="shared" si="356"/>
        <v>0</v>
      </c>
      <c r="IDK23" s="1902">
        <f t="shared" si="356"/>
        <v>0</v>
      </c>
      <c r="IDL23" s="1902">
        <f t="shared" si="356"/>
        <v>0</v>
      </c>
      <c r="IDM23" s="1902">
        <f t="shared" si="356"/>
        <v>0</v>
      </c>
      <c r="IDN23" s="1902">
        <f t="shared" si="356"/>
        <v>0</v>
      </c>
      <c r="IDO23" s="1902">
        <f t="shared" si="356"/>
        <v>0</v>
      </c>
      <c r="IDP23" s="1902">
        <f t="shared" si="356"/>
        <v>0</v>
      </c>
      <c r="IDQ23" s="1902">
        <f t="shared" si="356"/>
        <v>0</v>
      </c>
      <c r="IDR23" s="1902">
        <f t="shared" si="356"/>
        <v>0</v>
      </c>
      <c r="IDS23" s="1902">
        <f t="shared" si="356"/>
        <v>0</v>
      </c>
      <c r="IDT23" s="1902">
        <f t="shared" si="356"/>
        <v>0</v>
      </c>
      <c r="IDU23" s="1902">
        <f t="shared" si="356"/>
        <v>0</v>
      </c>
      <c r="IDV23" s="1902">
        <f t="shared" si="356"/>
        <v>0</v>
      </c>
      <c r="IDW23" s="1902">
        <f t="shared" si="356"/>
        <v>0</v>
      </c>
      <c r="IDX23" s="1902">
        <f t="shared" si="356"/>
        <v>0</v>
      </c>
      <c r="IDY23" s="1902">
        <f t="shared" si="356"/>
        <v>0</v>
      </c>
      <c r="IDZ23" s="1902">
        <f t="shared" si="356"/>
        <v>0</v>
      </c>
      <c r="IEA23" s="1902">
        <f t="shared" si="356"/>
        <v>0</v>
      </c>
      <c r="IEB23" s="1902">
        <f t="shared" si="356"/>
        <v>0</v>
      </c>
      <c r="IEC23" s="1902">
        <f t="shared" si="356"/>
        <v>0</v>
      </c>
      <c r="IED23" s="1902">
        <f t="shared" si="356"/>
        <v>0</v>
      </c>
      <c r="IEE23" s="1902">
        <f t="shared" ref="IEE23:IGP23" si="357">IF(AND(IEE$26="End of period",IEE$25="Revenue"),IEE10,0)</f>
        <v>0</v>
      </c>
      <c r="IEF23" s="1902">
        <f t="shared" si="357"/>
        <v>0</v>
      </c>
      <c r="IEG23" s="1902">
        <f t="shared" si="357"/>
        <v>0</v>
      </c>
      <c r="IEH23" s="1902">
        <f t="shared" si="357"/>
        <v>0</v>
      </c>
      <c r="IEI23" s="1902">
        <f t="shared" si="357"/>
        <v>0</v>
      </c>
      <c r="IEJ23" s="1902">
        <f t="shared" si="357"/>
        <v>0</v>
      </c>
      <c r="IEK23" s="1902">
        <f t="shared" si="357"/>
        <v>0</v>
      </c>
      <c r="IEL23" s="1902">
        <f t="shared" si="357"/>
        <v>0</v>
      </c>
      <c r="IEM23" s="1902">
        <f t="shared" si="357"/>
        <v>0</v>
      </c>
      <c r="IEN23" s="1902">
        <f t="shared" si="357"/>
        <v>0</v>
      </c>
      <c r="IEO23" s="1902">
        <f t="shared" si="357"/>
        <v>0</v>
      </c>
      <c r="IEP23" s="1902">
        <f t="shared" si="357"/>
        <v>0</v>
      </c>
      <c r="IEQ23" s="1902">
        <f t="shared" si="357"/>
        <v>0</v>
      </c>
      <c r="IER23" s="1902">
        <f t="shared" si="357"/>
        <v>0</v>
      </c>
      <c r="IES23" s="1902">
        <f t="shared" si="357"/>
        <v>0</v>
      </c>
      <c r="IET23" s="1902">
        <f t="shared" si="357"/>
        <v>0</v>
      </c>
      <c r="IEU23" s="1902">
        <f t="shared" si="357"/>
        <v>0</v>
      </c>
      <c r="IEV23" s="1902">
        <f t="shared" si="357"/>
        <v>0</v>
      </c>
      <c r="IEW23" s="1902">
        <f t="shared" si="357"/>
        <v>0</v>
      </c>
      <c r="IEX23" s="1902">
        <f t="shared" si="357"/>
        <v>0</v>
      </c>
      <c r="IEY23" s="1902">
        <f t="shared" si="357"/>
        <v>0</v>
      </c>
      <c r="IEZ23" s="1902">
        <f t="shared" si="357"/>
        <v>0</v>
      </c>
      <c r="IFA23" s="1902">
        <f t="shared" si="357"/>
        <v>0</v>
      </c>
      <c r="IFB23" s="1902">
        <f t="shared" si="357"/>
        <v>0</v>
      </c>
      <c r="IFC23" s="1902">
        <f t="shared" si="357"/>
        <v>0</v>
      </c>
      <c r="IFD23" s="1902">
        <f t="shared" si="357"/>
        <v>0</v>
      </c>
      <c r="IFE23" s="1902">
        <f t="shared" si="357"/>
        <v>0</v>
      </c>
      <c r="IFF23" s="1902">
        <f t="shared" si="357"/>
        <v>0</v>
      </c>
      <c r="IFG23" s="1902">
        <f t="shared" si="357"/>
        <v>0</v>
      </c>
      <c r="IFH23" s="1902">
        <f t="shared" si="357"/>
        <v>0</v>
      </c>
      <c r="IFI23" s="1902">
        <f t="shared" si="357"/>
        <v>0</v>
      </c>
      <c r="IFJ23" s="1902">
        <f t="shared" si="357"/>
        <v>0</v>
      </c>
      <c r="IFK23" s="1902">
        <f t="shared" si="357"/>
        <v>0</v>
      </c>
      <c r="IFL23" s="1902">
        <f t="shared" si="357"/>
        <v>0</v>
      </c>
      <c r="IFM23" s="1902">
        <f t="shared" si="357"/>
        <v>0</v>
      </c>
      <c r="IFN23" s="1902">
        <f t="shared" si="357"/>
        <v>0</v>
      </c>
      <c r="IFO23" s="1902">
        <f t="shared" si="357"/>
        <v>0</v>
      </c>
      <c r="IFP23" s="1902">
        <f t="shared" si="357"/>
        <v>0</v>
      </c>
      <c r="IFQ23" s="1902">
        <f t="shared" si="357"/>
        <v>0</v>
      </c>
      <c r="IFR23" s="1902">
        <f t="shared" si="357"/>
        <v>0</v>
      </c>
      <c r="IFS23" s="1902">
        <f t="shared" si="357"/>
        <v>0</v>
      </c>
      <c r="IFT23" s="1902">
        <f t="shared" si="357"/>
        <v>0</v>
      </c>
      <c r="IFU23" s="1902">
        <f t="shared" si="357"/>
        <v>0</v>
      </c>
      <c r="IFV23" s="1902">
        <f t="shared" si="357"/>
        <v>0</v>
      </c>
      <c r="IFW23" s="1902">
        <f t="shared" si="357"/>
        <v>0</v>
      </c>
      <c r="IFX23" s="1902">
        <f t="shared" si="357"/>
        <v>0</v>
      </c>
      <c r="IFY23" s="1902">
        <f t="shared" si="357"/>
        <v>0</v>
      </c>
      <c r="IFZ23" s="1902">
        <f t="shared" si="357"/>
        <v>0</v>
      </c>
      <c r="IGA23" s="1902">
        <f t="shared" si="357"/>
        <v>0</v>
      </c>
      <c r="IGB23" s="1902">
        <f t="shared" si="357"/>
        <v>0</v>
      </c>
      <c r="IGC23" s="1902">
        <f t="shared" si="357"/>
        <v>0</v>
      </c>
      <c r="IGD23" s="1902">
        <f t="shared" si="357"/>
        <v>0</v>
      </c>
      <c r="IGE23" s="1902">
        <f t="shared" si="357"/>
        <v>0</v>
      </c>
      <c r="IGF23" s="1902">
        <f t="shared" si="357"/>
        <v>0</v>
      </c>
      <c r="IGG23" s="1902">
        <f t="shared" si="357"/>
        <v>0</v>
      </c>
      <c r="IGH23" s="1902">
        <f t="shared" si="357"/>
        <v>0</v>
      </c>
      <c r="IGI23" s="1902">
        <f t="shared" si="357"/>
        <v>0</v>
      </c>
      <c r="IGJ23" s="1902">
        <f t="shared" si="357"/>
        <v>0</v>
      </c>
      <c r="IGK23" s="1902">
        <f t="shared" si="357"/>
        <v>0</v>
      </c>
      <c r="IGL23" s="1902">
        <f t="shared" si="357"/>
        <v>0</v>
      </c>
      <c r="IGM23" s="1902">
        <f t="shared" si="357"/>
        <v>0</v>
      </c>
      <c r="IGN23" s="1902">
        <f t="shared" si="357"/>
        <v>0</v>
      </c>
      <c r="IGO23" s="1902">
        <f t="shared" si="357"/>
        <v>0</v>
      </c>
      <c r="IGP23" s="1902">
        <f t="shared" si="357"/>
        <v>0</v>
      </c>
      <c r="IGQ23" s="1902">
        <f t="shared" ref="IGQ23:IJB23" si="358">IF(AND(IGQ$26="End of period",IGQ$25="Revenue"),IGQ10,0)</f>
        <v>0</v>
      </c>
      <c r="IGR23" s="1902">
        <f t="shared" si="358"/>
        <v>0</v>
      </c>
      <c r="IGS23" s="1902">
        <f t="shared" si="358"/>
        <v>0</v>
      </c>
      <c r="IGT23" s="1902">
        <f t="shared" si="358"/>
        <v>0</v>
      </c>
      <c r="IGU23" s="1902">
        <f t="shared" si="358"/>
        <v>0</v>
      </c>
      <c r="IGV23" s="1902">
        <f t="shared" si="358"/>
        <v>0</v>
      </c>
      <c r="IGW23" s="1902">
        <f t="shared" si="358"/>
        <v>0</v>
      </c>
      <c r="IGX23" s="1902">
        <f t="shared" si="358"/>
        <v>0</v>
      </c>
      <c r="IGY23" s="1902">
        <f t="shared" si="358"/>
        <v>0</v>
      </c>
      <c r="IGZ23" s="1902">
        <f t="shared" si="358"/>
        <v>0</v>
      </c>
      <c r="IHA23" s="1902">
        <f t="shared" si="358"/>
        <v>0</v>
      </c>
      <c r="IHB23" s="1902">
        <f t="shared" si="358"/>
        <v>0</v>
      </c>
      <c r="IHC23" s="1902">
        <f t="shared" si="358"/>
        <v>0</v>
      </c>
      <c r="IHD23" s="1902">
        <f t="shared" si="358"/>
        <v>0</v>
      </c>
      <c r="IHE23" s="1902">
        <f t="shared" si="358"/>
        <v>0</v>
      </c>
      <c r="IHF23" s="1902">
        <f t="shared" si="358"/>
        <v>0</v>
      </c>
      <c r="IHG23" s="1902">
        <f t="shared" si="358"/>
        <v>0</v>
      </c>
      <c r="IHH23" s="1902">
        <f t="shared" si="358"/>
        <v>0</v>
      </c>
      <c r="IHI23" s="1902">
        <f t="shared" si="358"/>
        <v>0</v>
      </c>
      <c r="IHJ23" s="1902">
        <f t="shared" si="358"/>
        <v>0</v>
      </c>
      <c r="IHK23" s="1902">
        <f t="shared" si="358"/>
        <v>0</v>
      </c>
      <c r="IHL23" s="1902">
        <f t="shared" si="358"/>
        <v>0</v>
      </c>
      <c r="IHM23" s="1902">
        <f t="shared" si="358"/>
        <v>0</v>
      </c>
      <c r="IHN23" s="1902">
        <f t="shared" si="358"/>
        <v>0</v>
      </c>
      <c r="IHO23" s="1902">
        <f t="shared" si="358"/>
        <v>0</v>
      </c>
      <c r="IHP23" s="1902">
        <f t="shared" si="358"/>
        <v>0</v>
      </c>
      <c r="IHQ23" s="1902">
        <f t="shared" si="358"/>
        <v>0</v>
      </c>
      <c r="IHR23" s="1902">
        <f t="shared" si="358"/>
        <v>0</v>
      </c>
      <c r="IHS23" s="1902">
        <f t="shared" si="358"/>
        <v>0</v>
      </c>
      <c r="IHT23" s="1902">
        <f t="shared" si="358"/>
        <v>0</v>
      </c>
      <c r="IHU23" s="1902">
        <f t="shared" si="358"/>
        <v>0</v>
      </c>
      <c r="IHV23" s="1902">
        <f t="shared" si="358"/>
        <v>0</v>
      </c>
      <c r="IHW23" s="1902">
        <f t="shared" si="358"/>
        <v>0</v>
      </c>
      <c r="IHX23" s="1902">
        <f t="shared" si="358"/>
        <v>0</v>
      </c>
      <c r="IHY23" s="1902">
        <f t="shared" si="358"/>
        <v>0</v>
      </c>
      <c r="IHZ23" s="1902">
        <f t="shared" si="358"/>
        <v>0</v>
      </c>
      <c r="IIA23" s="1902">
        <f t="shared" si="358"/>
        <v>0</v>
      </c>
      <c r="IIB23" s="1902">
        <f t="shared" si="358"/>
        <v>0</v>
      </c>
      <c r="IIC23" s="1902">
        <f t="shared" si="358"/>
        <v>0</v>
      </c>
      <c r="IID23" s="1902">
        <f t="shared" si="358"/>
        <v>0</v>
      </c>
      <c r="IIE23" s="1902">
        <f t="shared" si="358"/>
        <v>0</v>
      </c>
      <c r="IIF23" s="1902">
        <f t="shared" si="358"/>
        <v>0</v>
      </c>
      <c r="IIG23" s="1902">
        <f t="shared" si="358"/>
        <v>0</v>
      </c>
      <c r="IIH23" s="1902">
        <f t="shared" si="358"/>
        <v>0</v>
      </c>
      <c r="III23" s="1902">
        <f t="shared" si="358"/>
        <v>0</v>
      </c>
      <c r="IIJ23" s="1902">
        <f t="shared" si="358"/>
        <v>0</v>
      </c>
      <c r="IIK23" s="1902">
        <f t="shared" si="358"/>
        <v>0</v>
      </c>
      <c r="IIL23" s="1902">
        <f t="shared" si="358"/>
        <v>0</v>
      </c>
      <c r="IIM23" s="1902">
        <f t="shared" si="358"/>
        <v>0</v>
      </c>
      <c r="IIN23" s="1902">
        <f t="shared" si="358"/>
        <v>0</v>
      </c>
      <c r="IIO23" s="1902">
        <f t="shared" si="358"/>
        <v>0</v>
      </c>
      <c r="IIP23" s="1902">
        <f t="shared" si="358"/>
        <v>0</v>
      </c>
      <c r="IIQ23" s="1902">
        <f t="shared" si="358"/>
        <v>0</v>
      </c>
      <c r="IIR23" s="1902">
        <f t="shared" si="358"/>
        <v>0</v>
      </c>
      <c r="IIS23" s="1902">
        <f t="shared" si="358"/>
        <v>0</v>
      </c>
      <c r="IIT23" s="1902">
        <f t="shared" si="358"/>
        <v>0</v>
      </c>
      <c r="IIU23" s="1902">
        <f t="shared" si="358"/>
        <v>0</v>
      </c>
      <c r="IIV23" s="1902">
        <f t="shared" si="358"/>
        <v>0</v>
      </c>
      <c r="IIW23" s="1902">
        <f t="shared" si="358"/>
        <v>0</v>
      </c>
      <c r="IIX23" s="1902">
        <f t="shared" si="358"/>
        <v>0</v>
      </c>
      <c r="IIY23" s="1902">
        <f t="shared" si="358"/>
        <v>0</v>
      </c>
      <c r="IIZ23" s="1902">
        <f t="shared" si="358"/>
        <v>0</v>
      </c>
      <c r="IJA23" s="1902">
        <f t="shared" si="358"/>
        <v>0</v>
      </c>
      <c r="IJB23" s="1902">
        <f t="shared" si="358"/>
        <v>0</v>
      </c>
      <c r="IJC23" s="1902">
        <f t="shared" ref="IJC23:ILN23" si="359">IF(AND(IJC$26="End of period",IJC$25="Revenue"),IJC10,0)</f>
        <v>0</v>
      </c>
      <c r="IJD23" s="1902">
        <f t="shared" si="359"/>
        <v>0</v>
      </c>
      <c r="IJE23" s="1902">
        <f t="shared" si="359"/>
        <v>0</v>
      </c>
      <c r="IJF23" s="1902">
        <f t="shared" si="359"/>
        <v>0</v>
      </c>
      <c r="IJG23" s="1902">
        <f t="shared" si="359"/>
        <v>0</v>
      </c>
      <c r="IJH23" s="1902">
        <f t="shared" si="359"/>
        <v>0</v>
      </c>
      <c r="IJI23" s="1902">
        <f t="shared" si="359"/>
        <v>0</v>
      </c>
      <c r="IJJ23" s="1902">
        <f t="shared" si="359"/>
        <v>0</v>
      </c>
      <c r="IJK23" s="1902">
        <f t="shared" si="359"/>
        <v>0</v>
      </c>
      <c r="IJL23" s="1902">
        <f t="shared" si="359"/>
        <v>0</v>
      </c>
      <c r="IJM23" s="1902">
        <f t="shared" si="359"/>
        <v>0</v>
      </c>
      <c r="IJN23" s="1902">
        <f t="shared" si="359"/>
        <v>0</v>
      </c>
      <c r="IJO23" s="1902">
        <f t="shared" si="359"/>
        <v>0</v>
      </c>
      <c r="IJP23" s="1902">
        <f t="shared" si="359"/>
        <v>0</v>
      </c>
      <c r="IJQ23" s="1902">
        <f t="shared" si="359"/>
        <v>0</v>
      </c>
      <c r="IJR23" s="1902">
        <f t="shared" si="359"/>
        <v>0</v>
      </c>
      <c r="IJS23" s="1902">
        <f t="shared" si="359"/>
        <v>0</v>
      </c>
      <c r="IJT23" s="1902">
        <f t="shared" si="359"/>
        <v>0</v>
      </c>
      <c r="IJU23" s="1902">
        <f t="shared" si="359"/>
        <v>0</v>
      </c>
      <c r="IJV23" s="1902">
        <f t="shared" si="359"/>
        <v>0</v>
      </c>
      <c r="IJW23" s="1902">
        <f t="shared" si="359"/>
        <v>0</v>
      </c>
      <c r="IJX23" s="1902">
        <f t="shared" si="359"/>
        <v>0</v>
      </c>
      <c r="IJY23" s="1902">
        <f t="shared" si="359"/>
        <v>0</v>
      </c>
      <c r="IJZ23" s="1902">
        <f t="shared" si="359"/>
        <v>0</v>
      </c>
      <c r="IKA23" s="1902">
        <f t="shared" si="359"/>
        <v>0</v>
      </c>
      <c r="IKB23" s="1902">
        <f t="shared" si="359"/>
        <v>0</v>
      </c>
      <c r="IKC23" s="1902">
        <f t="shared" si="359"/>
        <v>0</v>
      </c>
      <c r="IKD23" s="1902">
        <f t="shared" si="359"/>
        <v>0</v>
      </c>
      <c r="IKE23" s="1902">
        <f t="shared" si="359"/>
        <v>0</v>
      </c>
      <c r="IKF23" s="1902">
        <f t="shared" si="359"/>
        <v>0</v>
      </c>
      <c r="IKG23" s="1902">
        <f t="shared" si="359"/>
        <v>0</v>
      </c>
      <c r="IKH23" s="1902">
        <f t="shared" si="359"/>
        <v>0</v>
      </c>
      <c r="IKI23" s="1902">
        <f t="shared" si="359"/>
        <v>0</v>
      </c>
      <c r="IKJ23" s="1902">
        <f t="shared" si="359"/>
        <v>0</v>
      </c>
      <c r="IKK23" s="1902">
        <f t="shared" si="359"/>
        <v>0</v>
      </c>
      <c r="IKL23" s="1902">
        <f t="shared" si="359"/>
        <v>0</v>
      </c>
      <c r="IKM23" s="1902">
        <f t="shared" si="359"/>
        <v>0</v>
      </c>
      <c r="IKN23" s="1902">
        <f t="shared" si="359"/>
        <v>0</v>
      </c>
      <c r="IKO23" s="1902">
        <f t="shared" si="359"/>
        <v>0</v>
      </c>
      <c r="IKP23" s="1902">
        <f t="shared" si="359"/>
        <v>0</v>
      </c>
      <c r="IKQ23" s="1902">
        <f t="shared" si="359"/>
        <v>0</v>
      </c>
      <c r="IKR23" s="1902">
        <f t="shared" si="359"/>
        <v>0</v>
      </c>
      <c r="IKS23" s="1902">
        <f t="shared" si="359"/>
        <v>0</v>
      </c>
      <c r="IKT23" s="1902">
        <f t="shared" si="359"/>
        <v>0</v>
      </c>
      <c r="IKU23" s="1902">
        <f t="shared" si="359"/>
        <v>0</v>
      </c>
      <c r="IKV23" s="1902">
        <f t="shared" si="359"/>
        <v>0</v>
      </c>
      <c r="IKW23" s="1902">
        <f t="shared" si="359"/>
        <v>0</v>
      </c>
      <c r="IKX23" s="1902">
        <f t="shared" si="359"/>
        <v>0</v>
      </c>
      <c r="IKY23" s="1902">
        <f t="shared" si="359"/>
        <v>0</v>
      </c>
      <c r="IKZ23" s="1902">
        <f t="shared" si="359"/>
        <v>0</v>
      </c>
      <c r="ILA23" s="1902">
        <f t="shared" si="359"/>
        <v>0</v>
      </c>
      <c r="ILB23" s="1902">
        <f t="shared" si="359"/>
        <v>0</v>
      </c>
      <c r="ILC23" s="1902">
        <f t="shared" si="359"/>
        <v>0</v>
      </c>
      <c r="ILD23" s="1902">
        <f t="shared" si="359"/>
        <v>0</v>
      </c>
      <c r="ILE23" s="1902">
        <f t="shared" si="359"/>
        <v>0</v>
      </c>
      <c r="ILF23" s="1902">
        <f t="shared" si="359"/>
        <v>0</v>
      </c>
      <c r="ILG23" s="1902">
        <f t="shared" si="359"/>
        <v>0</v>
      </c>
      <c r="ILH23" s="1902">
        <f t="shared" si="359"/>
        <v>0</v>
      </c>
      <c r="ILI23" s="1902">
        <f t="shared" si="359"/>
        <v>0</v>
      </c>
      <c r="ILJ23" s="1902">
        <f t="shared" si="359"/>
        <v>0</v>
      </c>
      <c r="ILK23" s="1902">
        <f t="shared" si="359"/>
        <v>0</v>
      </c>
      <c r="ILL23" s="1902">
        <f t="shared" si="359"/>
        <v>0</v>
      </c>
      <c r="ILM23" s="1902">
        <f t="shared" si="359"/>
        <v>0</v>
      </c>
      <c r="ILN23" s="1902">
        <f t="shared" si="359"/>
        <v>0</v>
      </c>
      <c r="ILO23" s="1902">
        <f t="shared" ref="ILO23:INZ23" si="360">IF(AND(ILO$26="End of period",ILO$25="Revenue"),ILO10,0)</f>
        <v>0</v>
      </c>
      <c r="ILP23" s="1902">
        <f t="shared" si="360"/>
        <v>0</v>
      </c>
      <c r="ILQ23" s="1902">
        <f t="shared" si="360"/>
        <v>0</v>
      </c>
      <c r="ILR23" s="1902">
        <f t="shared" si="360"/>
        <v>0</v>
      </c>
      <c r="ILS23" s="1902">
        <f t="shared" si="360"/>
        <v>0</v>
      </c>
      <c r="ILT23" s="1902">
        <f t="shared" si="360"/>
        <v>0</v>
      </c>
      <c r="ILU23" s="1902">
        <f t="shared" si="360"/>
        <v>0</v>
      </c>
      <c r="ILV23" s="1902">
        <f t="shared" si="360"/>
        <v>0</v>
      </c>
      <c r="ILW23" s="1902">
        <f t="shared" si="360"/>
        <v>0</v>
      </c>
      <c r="ILX23" s="1902">
        <f t="shared" si="360"/>
        <v>0</v>
      </c>
      <c r="ILY23" s="1902">
        <f t="shared" si="360"/>
        <v>0</v>
      </c>
      <c r="ILZ23" s="1902">
        <f t="shared" si="360"/>
        <v>0</v>
      </c>
      <c r="IMA23" s="1902">
        <f t="shared" si="360"/>
        <v>0</v>
      </c>
      <c r="IMB23" s="1902">
        <f t="shared" si="360"/>
        <v>0</v>
      </c>
      <c r="IMC23" s="1902">
        <f t="shared" si="360"/>
        <v>0</v>
      </c>
      <c r="IMD23" s="1902">
        <f t="shared" si="360"/>
        <v>0</v>
      </c>
      <c r="IME23" s="1902">
        <f t="shared" si="360"/>
        <v>0</v>
      </c>
      <c r="IMF23" s="1902">
        <f t="shared" si="360"/>
        <v>0</v>
      </c>
      <c r="IMG23" s="1902">
        <f t="shared" si="360"/>
        <v>0</v>
      </c>
      <c r="IMH23" s="1902">
        <f t="shared" si="360"/>
        <v>0</v>
      </c>
      <c r="IMI23" s="1902">
        <f t="shared" si="360"/>
        <v>0</v>
      </c>
      <c r="IMJ23" s="1902">
        <f t="shared" si="360"/>
        <v>0</v>
      </c>
      <c r="IMK23" s="1902">
        <f t="shared" si="360"/>
        <v>0</v>
      </c>
      <c r="IML23" s="1902">
        <f t="shared" si="360"/>
        <v>0</v>
      </c>
      <c r="IMM23" s="1902">
        <f t="shared" si="360"/>
        <v>0</v>
      </c>
      <c r="IMN23" s="1902">
        <f t="shared" si="360"/>
        <v>0</v>
      </c>
      <c r="IMO23" s="1902">
        <f t="shared" si="360"/>
        <v>0</v>
      </c>
      <c r="IMP23" s="1902">
        <f t="shared" si="360"/>
        <v>0</v>
      </c>
      <c r="IMQ23" s="1902">
        <f t="shared" si="360"/>
        <v>0</v>
      </c>
      <c r="IMR23" s="1902">
        <f t="shared" si="360"/>
        <v>0</v>
      </c>
      <c r="IMS23" s="1902">
        <f t="shared" si="360"/>
        <v>0</v>
      </c>
      <c r="IMT23" s="1902">
        <f t="shared" si="360"/>
        <v>0</v>
      </c>
      <c r="IMU23" s="1902">
        <f t="shared" si="360"/>
        <v>0</v>
      </c>
      <c r="IMV23" s="1902">
        <f t="shared" si="360"/>
        <v>0</v>
      </c>
      <c r="IMW23" s="1902">
        <f t="shared" si="360"/>
        <v>0</v>
      </c>
      <c r="IMX23" s="1902">
        <f t="shared" si="360"/>
        <v>0</v>
      </c>
      <c r="IMY23" s="1902">
        <f t="shared" si="360"/>
        <v>0</v>
      </c>
      <c r="IMZ23" s="1902">
        <f t="shared" si="360"/>
        <v>0</v>
      </c>
      <c r="INA23" s="1902">
        <f t="shared" si="360"/>
        <v>0</v>
      </c>
      <c r="INB23" s="1902">
        <f t="shared" si="360"/>
        <v>0</v>
      </c>
      <c r="INC23" s="1902">
        <f t="shared" si="360"/>
        <v>0</v>
      </c>
      <c r="IND23" s="1902">
        <f t="shared" si="360"/>
        <v>0</v>
      </c>
      <c r="INE23" s="1902">
        <f t="shared" si="360"/>
        <v>0</v>
      </c>
      <c r="INF23" s="1902">
        <f t="shared" si="360"/>
        <v>0</v>
      </c>
      <c r="ING23" s="1902">
        <f t="shared" si="360"/>
        <v>0</v>
      </c>
      <c r="INH23" s="1902">
        <f t="shared" si="360"/>
        <v>0</v>
      </c>
      <c r="INI23" s="1902">
        <f t="shared" si="360"/>
        <v>0</v>
      </c>
      <c r="INJ23" s="1902">
        <f t="shared" si="360"/>
        <v>0</v>
      </c>
      <c r="INK23" s="1902">
        <f t="shared" si="360"/>
        <v>0</v>
      </c>
      <c r="INL23" s="1902">
        <f t="shared" si="360"/>
        <v>0</v>
      </c>
      <c r="INM23" s="1902">
        <f t="shared" si="360"/>
        <v>0</v>
      </c>
      <c r="INN23" s="1902">
        <f t="shared" si="360"/>
        <v>0</v>
      </c>
      <c r="INO23" s="1902">
        <f t="shared" si="360"/>
        <v>0</v>
      </c>
      <c r="INP23" s="1902">
        <f t="shared" si="360"/>
        <v>0</v>
      </c>
      <c r="INQ23" s="1902">
        <f t="shared" si="360"/>
        <v>0</v>
      </c>
      <c r="INR23" s="1902">
        <f t="shared" si="360"/>
        <v>0</v>
      </c>
      <c r="INS23" s="1902">
        <f t="shared" si="360"/>
        <v>0</v>
      </c>
      <c r="INT23" s="1902">
        <f t="shared" si="360"/>
        <v>0</v>
      </c>
      <c r="INU23" s="1902">
        <f t="shared" si="360"/>
        <v>0</v>
      </c>
      <c r="INV23" s="1902">
        <f t="shared" si="360"/>
        <v>0</v>
      </c>
      <c r="INW23" s="1902">
        <f t="shared" si="360"/>
        <v>0</v>
      </c>
      <c r="INX23" s="1902">
        <f t="shared" si="360"/>
        <v>0</v>
      </c>
      <c r="INY23" s="1902">
        <f t="shared" si="360"/>
        <v>0</v>
      </c>
      <c r="INZ23" s="1902">
        <f t="shared" si="360"/>
        <v>0</v>
      </c>
      <c r="IOA23" s="1902">
        <f t="shared" ref="IOA23:IQL23" si="361">IF(AND(IOA$26="End of period",IOA$25="Revenue"),IOA10,0)</f>
        <v>0</v>
      </c>
      <c r="IOB23" s="1902">
        <f t="shared" si="361"/>
        <v>0</v>
      </c>
      <c r="IOC23" s="1902">
        <f t="shared" si="361"/>
        <v>0</v>
      </c>
      <c r="IOD23" s="1902">
        <f t="shared" si="361"/>
        <v>0</v>
      </c>
      <c r="IOE23" s="1902">
        <f t="shared" si="361"/>
        <v>0</v>
      </c>
      <c r="IOF23" s="1902">
        <f t="shared" si="361"/>
        <v>0</v>
      </c>
      <c r="IOG23" s="1902">
        <f t="shared" si="361"/>
        <v>0</v>
      </c>
      <c r="IOH23" s="1902">
        <f t="shared" si="361"/>
        <v>0</v>
      </c>
      <c r="IOI23" s="1902">
        <f t="shared" si="361"/>
        <v>0</v>
      </c>
      <c r="IOJ23" s="1902">
        <f t="shared" si="361"/>
        <v>0</v>
      </c>
      <c r="IOK23" s="1902">
        <f t="shared" si="361"/>
        <v>0</v>
      </c>
      <c r="IOL23" s="1902">
        <f t="shared" si="361"/>
        <v>0</v>
      </c>
      <c r="IOM23" s="1902">
        <f t="shared" si="361"/>
        <v>0</v>
      </c>
      <c r="ION23" s="1902">
        <f t="shared" si="361"/>
        <v>0</v>
      </c>
      <c r="IOO23" s="1902">
        <f t="shared" si="361"/>
        <v>0</v>
      </c>
      <c r="IOP23" s="1902">
        <f t="shared" si="361"/>
        <v>0</v>
      </c>
      <c r="IOQ23" s="1902">
        <f t="shared" si="361"/>
        <v>0</v>
      </c>
      <c r="IOR23" s="1902">
        <f t="shared" si="361"/>
        <v>0</v>
      </c>
      <c r="IOS23" s="1902">
        <f t="shared" si="361"/>
        <v>0</v>
      </c>
      <c r="IOT23" s="1902">
        <f t="shared" si="361"/>
        <v>0</v>
      </c>
      <c r="IOU23" s="1902">
        <f t="shared" si="361"/>
        <v>0</v>
      </c>
      <c r="IOV23" s="1902">
        <f t="shared" si="361"/>
        <v>0</v>
      </c>
      <c r="IOW23" s="1902">
        <f t="shared" si="361"/>
        <v>0</v>
      </c>
      <c r="IOX23" s="1902">
        <f t="shared" si="361"/>
        <v>0</v>
      </c>
      <c r="IOY23" s="1902">
        <f t="shared" si="361"/>
        <v>0</v>
      </c>
      <c r="IOZ23" s="1902">
        <f t="shared" si="361"/>
        <v>0</v>
      </c>
      <c r="IPA23" s="1902">
        <f t="shared" si="361"/>
        <v>0</v>
      </c>
      <c r="IPB23" s="1902">
        <f t="shared" si="361"/>
        <v>0</v>
      </c>
      <c r="IPC23" s="1902">
        <f t="shared" si="361"/>
        <v>0</v>
      </c>
      <c r="IPD23" s="1902">
        <f t="shared" si="361"/>
        <v>0</v>
      </c>
      <c r="IPE23" s="1902">
        <f t="shared" si="361"/>
        <v>0</v>
      </c>
      <c r="IPF23" s="1902">
        <f t="shared" si="361"/>
        <v>0</v>
      </c>
      <c r="IPG23" s="1902">
        <f t="shared" si="361"/>
        <v>0</v>
      </c>
      <c r="IPH23" s="1902">
        <f t="shared" si="361"/>
        <v>0</v>
      </c>
      <c r="IPI23" s="1902">
        <f t="shared" si="361"/>
        <v>0</v>
      </c>
      <c r="IPJ23" s="1902">
        <f t="shared" si="361"/>
        <v>0</v>
      </c>
      <c r="IPK23" s="1902">
        <f t="shared" si="361"/>
        <v>0</v>
      </c>
      <c r="IPL23" s="1902">
        <f t="shared" si="361"/>
        <v>0</v>
      </c>
      <c r="IPM23" s="1902">
        <f t="shared" si="361"/>
        <v>0</v>
      </c>
      <c r="IPN23" s="1902">
        <f t="shared" si="361"/>
        <v>0</v>
      </c>
      <c r="IPO23" s="1902">
        <f t="shared" si="361"/>
        <v>0</v>
      </c>
      <c r="IPP23" s="1902">
        <f t="shared" si="361"/>
        <v>0</v>
      </c>
      <c r="IPQ23" s="1902">
        <f t="shared" si="361"/>
        <v>0</v>
      </c>
      <c r="IPR23" s="1902">
        <f t="shared" si="361"/>
        <v>0</v>
      </c>
      <c r="IPS23" s="1902">
        <f t="shared" si="361"/>
        <v>0</v>
      </c>
      <c r="IPT23" s="1902">
        <f t="shared" si="361"/>
        <v>0</v>
      </c>
      <c r="IPU23" s="1902">
        <f t="shared" si="361"/>
        <v>0</v>
      </c>
      <c r="IPV23" s="1902">
        <f t="shared" si="361"/>
        <v>0</v>
      </c>
      <c r="IPW23" s="1902">
        <f t="shared" si="361"/>
        <v>0</v>
      </c>
      <c r="IPX23" s="1902">
        <f t="shared" si="361"/>
        <v>0</v>
      </c>
      <c r="IPY23" s="1902">
        <f t="shared" si="361"/>
        <v>0</v>
      </c>
      <c r="IPZ23" s="1902">
        <f t="shared" si="361"/>
        <v>0</v>
      </c>
      <c r="IQA23" s="1902">
        <f t="shared" si="361"/>
        <v>0</v>
      </c>
      <c r="IQB23" s="1902">
        <f t="shared" si="361"/>
        <v>0</v>
      </c>
      <c r="IQC23" s="1902">
        <f t="shared" si="361"/>
        <v>0</v>
      </c>
      <c r="IQD23" s="1902">
        <f t="shared" si="361"/>
        <v>0</v>
      </c>
      <c r="IQE23" s="1902">
        <f t="shared" si="361"/>
        <v>0</v>
      </c>
      <c r="IQF23" s="1902">
        <f t="shared" si="361"/>
        <v>0</v>
      </c>
      <c r="IQG23" s="1902">
        <f t="shared" si="361"/>
        <v>0</v>
      </c>
      <c r="IQH23" s="1902">
        <f t="shared" si="361"/>
        <v>0</v>
      </c>
      <c r="IQI23" s="1902">
        <f t="shared" si="361"/>
        <v>0</v>
      </c>
      <c r="IQJ23" s="1902">
        <f t="shared" si="361"/>
        <v>0</v>
      </c>
      <c r="IQK23" s="1902">
        <f t="shared" si="361"/>
        <v>0</v>
      </c>
      <c r="IQL23" s="1902">
        <f t="shared" si="361"/>
        <v>0</v>
      </c>
      <c r="IQM23" s="1902">
        <f t="shared" ref="IQM23:ISX23" si="362">IF(AND(IQM$26="End of period",IQM$25="Revenue"),IQM10,0)</f>
        <v>0</v>
      </c>
      <c r="IQN23" s="1902">
        <f t="shared" si="362"/>
        <v>0</v>
      </c>
      <c r="IQO23" s="1902">
        <f t="shared" si="362"/>
        <v>0</v>
      </c>
      <c r="IQP23" s="1902">
        <f t="shared" si="362"/>
        <v>0</v>
      </c>
      <c r="IQQ23" s="1902">
        <f t="shared" si="362"/>
        <v>0</v>
      </c>
      <c r="IQR23" s="1902">
        <f t="shared" si="362"/>
        <v>0</v>
      </c>
      <c r="IQS23" s="1902">
        <f t="shared" si="362"/>
        <v>0</v>
      </c>
      <c r="IQT23" s="1902">
        <f t="shared" si="362"/>
        <v>0</v>
      </c>
      <c r="IQU23" s="1902">
        <f t="shared" si="362"/>
        <v>0</v>
      </c>
      <c r="IQV23" s="1902">
        <f t="shared" si="362"/>
        <v>0</v>
      </c>
      <c r="IQW23" s="1902">
        <f t="shared" si="362"/>
        <v>0</v>
      </c>
      <c r="IQX23" s="1902">
        <f t="shared" si="362"/>
        <v>0</v>
      </c>
      <c r="IQY23" s="1902">
        <f t="shared" si="362"/>
        <v>0</v>
      </c>
      <c r="IQZ23" s="1902">
        <f t="shared" si="362"/>
        <v>0</v>
      </c>
      <c r="IRA23" s="1902">
        <f t="shared" si="362"/>
        <v>0</v>
      </c>
      <c r="IRB23" s="1902">
        <f t="shared" si="362"/>
        <v>0</v>
      </c>
      <c r="IRC23" s="1902">
        <f t="shared" si="362"/>
        <v>0</v>
      </c>
      <c r="IRD23" s="1902">
        <f t="shared" si="362"/>
        <v>0</v>
      </c>
      <c r="IRE23" s="1902">
        <f t="shared" si="362"/>
        <v>0</v>
      </c>
      <c r="IRF23" s="1902">
        <f t="shared" si="362"/>
        <v>0</v>
      </c>
      <c r="IRG23" s="1902">
        <f t="shared" si="362"/>
        <v>0</v>
      </c>
      <c r="IRH23" s="1902">
        <f t="shared" si="362"/>
        <v>0</v>
      </c>
      <c r="IRI23" s="1902">
        <f t="shared" si="362"/>
        <v>0</v>
      </c>
      <c r="IRJ23" s="1902">
        <f t="shared" si="362"/>
        <v>0</v>
      </c>
      <c r="IRK23" s="1902">
        <f t="shared" si="362"/>
        <v>0</v>
      </c>
      <c r="IRL23" s="1902">
        <f t="shared" si="362"/>
        <v>0</v>
      </c>
      <c r="IRM23" s="1902">
        <f t="shared" si="362"/>
        <v>0</v>
      </c>
      <c r="IRN23" s="1902">
        <f t="shared" si="362"/>
        <v>0</v>
      </c>
      <c r="IRO23" s="1902">
        <f t="shared" si="362"/>
        <v>0</v>
      </c>
      <c r="IRP23" s="1902">
        <f t="shared" si="362"/>
        <v>0</v>
      </c>
      <c r="IRQ23" s="1902">
        <f t="shared" si="362"/>
        <v>0</v>
      </c>
      <c r="IRR23" s="1902">
        <f t="shared" si="362"/>
        <v>0</v>
      </c>
      <c r="IRS23" s="1902">
        <f t="shared" si="362"/>
        <v>0</v>
      </c>
      <c r="IRT23" s="1902">
        <f t="shared" si="362"/>
        <v>0</v>
      </c>
      <c r="IRU23" s="1902">
        <f t="shared" si="362"/>
        <v>0</v>
      </c>
      <c r="IRV23" s="1902">
        <f t="shared" si="362"/>
        <v>0</v>
      </c>
      <c r="IRW23" s="1902">
        <f t="shared" si="362"/>
        <v>0</v>
      </c>
      <c r="IRX23" s="1902">
        <f t="shared" si="362"/>
        <v>0</v>
      </c>
      <c r="IRY23" s="1902">
        <f t="shared" si="362"/>
        <v>0</v>
      </c>
      <c r="IRZ23" s="1902">
        <f t="shared" si="362"/>
        <v>0</v>
      </c>
      <c r="ISA23" s="1902">
        <f t="shared" si="362"/>
        <v>0</v>
      </c>
      <c r="ISB23" s="1902">
        <f t="shared" si="362"/>
        <v>0</v>
      </c>
      <c r="ISC23" s="1902">
        <f t="shared" si="362"/>
        <v>0</v>
      </c>
      <c r="ISD23" s="1902">
        <f t="shared" si="362"/>
        <v>0</v>
      </c>
      <c r="ISE23" s="1902">
        <f t="shared" si="362"/>
        <v>0</v>
      </c>
      <c r="ISF23" s="1902">
        <f t="shared" si="362"/>
        <v>0</v>
      </c>
      <c r="ISG23" s="1902">
        <f t="shared" si="362"/>
        <v>0</v>
      </c>
      <c r="ISH23" s="1902">
        <f t="shared" si="362"/>
        <v>0</v>
      </c>
      <c r="ISI23" s="1902">
        <f t="shared" si="362"/>
        <v>0</v>
      </c>
      <c r="ISJ23" s="1902">
        <f t="shared" si="362"/>
        <v>0</v>
      </c>
      <c r="ISK23" s="1902">
        <f t="shared" si="362"/>
        <v>0</v>
      </c>
      <c r="ISL23" s="1902">
        <f t="shared" si="362"/>
        <v>0</v>
      </c>
      <c r="ISM23" s="1902">
        <f t="shared" si="362"/>
        <v>0</v>
      </c>
      <c r="ISN23" s="1902">
        <f t="shared" si="362"/>
        <v>0</v>
      </c>
      <c r="ISO23" s="1902">
        <f t="shared" si="362"/>
        <v>0</v>
      </c>
      <c r="ISP23" s="1902">
        <f t="shared" si="362"/>
        <v>0</v>
      </c>
      <c r="ISQ23" s="1902">
        <f t="shared" si="362"/>
        <v>0</v>
      </c>
      <c r="ISR23" s="1902">
        <f t="shared" si="362"/>
        <v>0</v>
      </c>
      <c r="ISS23" s="1902">
        <f t="shared" si="362"/>
        <v>0</v>
      </c>
      <c r="IST23" s="1902">
        <f t="shared" si="362"/>
        <v>0</v>
      </c>
      <c r="ISU23" s="1902">
        <f t="shared" si="362"/>
        <v>0</v>
      </c>
      <c r="ISV23" s="1902">
        <f t="shared" si="362"/>
        <v>0</v>
      </c>
      <c r="ISW23" s="1902">
        <f t="shared" si="362"/>
        <v>0</v>
      </c>
      <c r="ISX23" s="1902">
        <f t="shared" si="362"/>
        <v>0</v>
      </c>
      <c r="ISY23" s="1902">
        <f t="shared" ref="ISY23:IVJ23" si="363">IF(AND(ISY$26="End of period",ISY$25="Revenue"),ISY10,0)</f>
        <v>0</v>
      </c>
      <c r="ISZ23" s="1902">
        <f t="shared" si="363"/>
        <v>0</v>
      </c>
      <c r="ITA23" s="1902">
        <f t="shared" si="363"/>
        <v>0</v>
      </c>
      <c r="ITB23" s="1902">
        <f t="shared" si="363"/>
        <v>0</v>
      </c>
      <c r="ITC23" s="1902">
        <f t="shared" si="363"/>
        <v>0</v>
      </c>
      <c r="ITD23" s="1902">
        <f t="shared" si="363"/>
        <v>0</v>
      </c>
      <c r="ITE23" s="1902">
        <f t="shared" si="363"/>
        <v>0</v>
      </c>
      <c r="ITF23" s="1902">
        <f t="shared" si="363"/>
        <v>0</v>
      </c>
      <c r="ITG23" s="1902">
        <f t="shared" si="363"/>
        <v>0</v>
      </c>
      <c r="ITH23" s="1902">
        <f t="shared" si="363"/>
        <v>0</v>
      </c>
      <c r="ITI23" s="1902">
        <f t="shared" si="363"/>
        <v>0</v>
      </c>
      <c r="ITJ23" s="1902">
        <f t="shared" si="363"/>
        <v>0</v>
      </c>
      <c r="ITK23" s="1902">
        <f t="shared" si="363"/>
        <v>0</v>
      </c>
      <c r="ITL23" s="1902">
        <f t="shared" si="363"/>
        <v>0</v>
      </c>
      <c r="ITM23" s="1902">
        <f t="shared" si="363"/>
        <v>0</v>
      </c>
      <c r="ITN23" s="1902">
        <f t="shared" si="363"/>
        <v>0</v>
      </c>
      <c r="ITO23" s="1902">
        <f t="shared" si="363"/>
        <v>0</v>
      </c>
      <c r="ITP23" s="1902">
        <f t="shared" si="363"/>
        <v>0</v>
      </c>
      <c r="ITQ23" s="1902">
        <f t="shared" si="363"/>
        <v>0</v>
      </c>
      <c r="ITR23" s="1902">
        <f t="shared" si="363"/>
        <v>0</v>
      </c>
      <c r="ITS23" s="1902">
        <f t="shared" si="363"/>
        <v>0</v>
      </c>
      <c r="ITT23" s="1902">
        <f t="shared" si="363"/>
        <v>0</v>
      </c>
      <c r="ITU23" s="1902">
        <f t="shared" si="363"/>
        <v>0</v>
      </c>
      <c r="ITV23" s="1902">
        <f t="shared" si="363"/>
        <v>0</v>
      </c>
      <c r="ITW23" s="1902">
        <f t="shared" si="363"/>
        <v>0</v>
      </c>
      <c r="ITX23" s="1902">
        <f t="shared" si="363"/>
        <v>0</v>
      </c>
      <c r="ITY23" s="1902">
        <f t="shared" si="363"/>
        <v>0</v>
      </c>
      <c r="ITZ23" s="1902">
        <f t="shared" si="363"/>
        <v>0</v>
      </c>
      <c r="IUA23" s="1902">
        <f t="shared" si="363"/>
        <v>0</v>
      </c>
      <c r="IUB23" s="1902">
        <f t="shared" si="363"/>
        <v>0</v>
      </c>
      <c r="IUC23" s="1902">
        <f t="shared" si="363"/>
        <v>0</v>
      </c>
      <c r="IUD23" s="1902">
        <f t="shared" si="363"/>
        <v>0</v>
      </c>
      <c r="IUE23" s="1902">
        <f t="shared" si="363"/>
        <v>0</v>
      </c>
      <c r="IUF23" s="1902">
        <f t="shared" si="363"/>
        <v>0</v>
      </c>
      <c r="IUG23" s="1902">
        <f t="shared" si="363"/>
        <v>0</v>
      </c>
      <c r="IUH23" s="1902">
        <f t="shared" si="363"/>
        <v>0</v>
      </c>
      <c r="IUI23" s="1902">
        <f t="shared" si="363"/>
        <v>0</v>
      </c>
      <c r="IUJ23" s="1902">
        <f t="shared" si="363"/>
        <v>0</v>
      </c>
      <c r="IUK23" s="1902">
        <f t="shared" si="363"/>
        <v>0</v>
      </c>
      <c r="IUL23" s="1902">
        <f t="shared" si="363"/>
        <v>0</v>
      </c>
      <c r="IUM23" s="1902">
        <f t="shared" si="363"/>
        <v>0</v>
      </c>
      <c r="IUN23" s="1902">
        <f t="shared" si="363"/>
        <v>0</v>
      </c>
      <c r="IUO23" s="1902">
        <f t="shared" si="363"/>
        <v>0</v>
      </c>
      <c r="IUP23" s="1902">
        <f t="shared" si="363"/>
        <v>0</v>
      </c>
      <c r="IUQ23" s="1902">
        <f t="shared" si="363"/>
        <v>0</v>
      </c>
      <c r="IUR23" s="1902">
        <f t="shared" si="363"/>
        <v>0</v>
      </c>
      <c r="IUS23" s="1902">
        <f t="shared" si="363"/>
        <v>0</v>
      </c>
      <c r="IUT23" s="1902">
        <f t="shared" si="363"/>
        <v>0</v>
      </c>
      <c r="IUU23" s="1902">
        <f t="shared" si="363"/>
        <v>0</v>
      </c>
      <c r="IUV23" s="1902">
        <f t="shared" si="363"/>
        <v>0</v>
      </c>
      <c r="IUW23" s="1902">
        <f t="shared" si="363"/>
        <v>0</v>
      </c>
      <c r="IUX23" s="1902">
        <f t="shared" si="363"/>
        <v>0</v>
      </c>
      <c r="IUY23" s="1902">
        <f t="shared" si="363"/>
        <v>0</v>
      </c>
      <c r="IUZ23" s="1902">
        <f t="shared" si="363"/>
        <v>0</v>
      </c>
      <c r="IVA23" s="1902">
        <f t="shared" si="363"/>
        <v>0</v>
      </c>
      <c r="IVB23" s="1902">
        <f t="shared" si="363"/>
        <v>0</v>
      </c>
      <c r="IVC23" s="1902">
        <f t="shared" si="363"/>
        <v>0</v>
      </c>
      <c r="IVD23" s="1902">
        <f t="shared" si="363"/>
        <v>0</v>
      </c>
      <c r="IVE23" s="1902">
        <f t="shared" si="363"/>
        <v>0</v>
      </c>
      <c r="IVF23" s="1902">
        <f t="shared" si="363"/>
        <v>0</v>
      </c>
      <c r="IVG23" s="1902">
        <f t="shared" si="363"/>
        <v>0</v>
      </c>
      <c r="IVH23" s="1902">
        <f t="shared" si="363"/>
        <v>0</v>
      </c>
      <c r="IVI23" s="1902">
        <f t="shared" si="363"/>
        <v>0</v>
      </c>
      <c r="IVJ23" s="1902">
        <f t="shared" si="363"/>
        <v>0</v>
      </c>
      <c r="IVK23" s="1902">
        <f t="shared" ref="IVK23:IXV23" si="364">IF(AND(IVK$26="End of period",IVK$25="Revenue"),IVK10,0)</f>
        <v>0</v>
      </c>
      <c r="IVL23" s="1902">
        <f t="shared" si="364"/>
        <v>0</v>
      </c>
      <c r="IVM23" s="1902">
        <f t="shared" si="364"/>
        <v>0</v>
      </c>
      <c r="IVN23" s="1902">
        <f t="shared" si="364"/>
        <v>0</v>
      </c>
      <c r="IVO23" s="1902">
        <f t="shared" si="364"/>
        <v>0</v>
      </c>
      <c r="IVP23" s="1902">
        <f t="shared" si="364"/>
        <v>0</v>
      </c>
      <c r="IVQ23" s="1902">
        <f t="shared" si="364"/>
        <v>0</v>
      </c>
      <c r="IVR23" s="1902">
        <f t="shared" si="364"/>
        <v>0</v>
      </c>
      <c r="IVS23" s="1902">
        <f t="shared" si="364"/>
        <v>0</v>
      </c>
      <c r="IVT23" s="1902">
        <f t="shared" si="364"/>
        <v>0</v>
      </c>
      <c r="IVU23" s="1902">
        <f t="shared" si="364"/>
        <v>0</v>
      </c>
      <c r="IVV23" s="1902">
        <f t="shared" si="364"/>
        <v>0</v>
      </c>
      <c r="IVW23" s="1902">
        <f t="shared" si="364"/>
        <v>0</v>
      </c>
      <c r="IVX23" s="1902">
        <f t="shared" si="364"/>
        <v>0</v>
      </c>
      <c r="IVY23" s="1902">
        <f t="shared" si="364"/>
        <v>0</v>
      </c>
      <c r="IVZ23" s="1902">
        <f t="shared" si="364"/>
        <v>0</v>
      </c>
      <c r="IWA23" s="1902">
        <f t="shared" si="364"/>
        <v>0</v>
      </c>
      <c r="IWB23" s="1902">
        <f t="shared" si="364"/>
        <v>0</v>
      </c>
      <c r="IWC23" s="1902">
        <f t="shared" si="364"/>
        <v>0</v>
      </c>
      <c r="IWD23" s="1902">
        <f t="shared" si="364"/>
        <v>0</v>
      </c>
      <c r="IWE23" s="1902">
        <f t="shared" si="364"/>
        <v>0</v>
      </c>
      <c r="IWF23" s="1902">
        <f t="shared" si="364"/>
        <v>0</v>
      </c>
      <c r="IWG23" s="1902">
        <f t="shared" si="364"/>
        <v>0</v>
      </c>
      <c r="IWH23" s="1902">
        <f t="shared" si="364"/>
        <v>0</v>
      </c>
      <c r="IWI23" s="1902">
        <f t="shared" si="364"/>
        <v>0</v>
      </c>
      <c r="IWJ23" s="1902">
        <f t="shared" si="364"/>
        <v>0</v>
      </c>
      <c r="IWK23" s="1902">
        <f t="shared" si="364"/>
        <v>0</v>
      </c>
      <c r="IWL23" s="1902">
        <f t="shared" si="364"/>
        <v>0</v>
      </c>
      <c r="IWM23" s="1902">
        <f t="shared" si="364"/>
        <v>0</v>
      </c>
      <c r="IWN23" s="1902">
        <f t="shared" si="364"/>
        <v>0</v>
      </c>
      <c r="IWO23" s="1902">
        <f t="shared" si="364"/>
        <v>0</v>
      </c>
      <c r="IWP23" s="1902">
        <f t="shared" si="364"/>
        <v>0</v>
      </c>
      <c r="IWQ23" s="1902">
        <f t="shared" si="364"/>
        <v>0</v>
      </c>
      <c r="IWR23" s="1902">
        <f t="shared" si="364"/>
        <v>0</v>
      </c>
      <c r="IWS23" s="1902">
        <f t="shared" si="364"/>
        <v>0</v>
      </c>
      <c r="IWT23" s="1902">
        <f t="shared" si="364"/>
        <v>0</v>
      </c>
      <c r="IWU23" s="1902">
        <f t="shared" si="364"/>
        <v>0</v>
      </c>
      <c r="IWV23" s="1902">
        <f t="shared" si="364"/>
        <v>0</v>
      </c>
      <c r="IWW23" s="1902">
        <f t="shared" si="364"/>
        <v>0</v>
      </c>
      <c r="IWX23" s="1902">
        <f t="shared" si="364"/>
        <v>0</v>
      </c>
      <c r="IWY23" s="1902">
        <f t="shared" si="364"/>
        <v>0</v>
      </c>
      <c r="IWZ23" s="1902">
        <f t="shared" si="364"/>
        <v>0</v>
      </c>
      <c r="IXA23" s="1902">
        <f t="shared" si="364"/>
        <v>0</v>
      </c>
      <c r="IXB23" s="1902">
        <f t="shared" si="364"/>
        <v>0</v>
      </c>
      <c r="IXC23" s="1902">
        <f t="shared" si="364"/>
        <v>0</v>
      </c>
      <c r="IXD23" s="1902">
        <f t="shared" si="364"/>
        <v>0</v>
      </c>
      <c r="IXE23" s="1902">
        <f t="shared" si="364"/>
        <v>0</v>
      </c>
      <c r="IXF23" s="1902">
        <f t="shared" si="364"/>
        <v>0</v>
      </c>
      <c r="IXG23" s="1902">
        <f t="shared" si="364"/>
        <v>0</v>
      </c>
      <c r="IXH23" s="1902">
        <f t="shared" si="364"/>
        <v>0</v>
      </c>
      <c r="IXI23" s="1902">
        <f t="shared" si="364"/>
        <v>0</v>
      </c>
      <c r="IXJ23" s="1902">
        <f t="shared" si="364"/>
        <v>0</v>
      </c>
      <c r="IXK23" s="1902">
        <f t="shared" si="364"/>
        <v>0</v>
      </c>
      <c r="IXL23" s="1902">
        <f t="shared" si="364"/>
        <v>0</v>
      </c>
      <c r="IXM23" s="1902">
        <f t="shared" si="364"/>
        <v>0</v>
      </c>
      <c r="IXN23" s="1902">
        <f t="shared" si="364"/>
        <v>0</v>
      </c>
      <c r="IXO23" s="1902">
        <f t="shared" si="364"/>
        <v>0</v>
      </c>
      <c r="IXP23" s="1902">
        <f t="shared" si="364"/>
        <v>0</v>
      </c>
      <c r="IXQ23" s="1902">
        <f t="shared" si="364"/>
        <v>0</v>
      </c>
      <c r="IXR23" s="1902">
        <f t="shared" si="364"/>
        <v>0</v>
      </c>
      <c r="IXS23" s="1902">
        <f t="shared" si="364"/>
        <v>0</v>
      </c>
      <c r="IXT23" s="1902">
        <f t="shared" si="364"/>
        <v>0</v>
      </c>
      <c r="IXU23" s="1902">
        <f t="shared" si="364"/>
        <v>0</v>
      </c>
      <c r="IXV23" s="1902">
        <f t="shared" si="364"/>
        <v>0</v>
      </c>
      <c r="IXW23" s="1902">
        <f t="shared" ref="IXW23:JAH23" si="365">IF(AND(IXW$26="End of period",IXW$25="Revenue"),IXW10,0)</f>
        <v>0</v>
      </c>
      <c r="IXX23" s="1902">
        <f t="shared" si="365"/>
        <v>0</v>
      </c>
      <c r="IXY23" s="1902">
        <f t="shared" si="365"/>
        <v>0</v>
      </c>
      <c r="IXZ23" s="1902">
        <f t="shared" si="365"/>
        <v>0</v>
      </c>
      <c r="IYA23" s="1902">
        <f t="shared" si="365"/>
        <v>0</v>
      </c>
      <c r="IYB23" s="1902">
        <f t="shared" si="365"/>
        <v>0</v>
      </c>
      <c r="IYC23" s="1902">
        <f t="shared" si="365"/>
        <v>0</v>
      </c>
      <c r="IYD23" s="1902">
        <f t="shared" si="365"/>
        <v>0</v>
      </c>
      <c r="IYE23" s="1902">
        <f t="shared" si="365"/>
        <v>0</v>
      </c>
      <c r="IYF23" s="1902">
        <f t="shared" si="365"/>
        <v>0</v>
      </c>
      <c r="IYG23" s="1902">
        <f t="shared" si="365"/>
        <v>0</v>
      </c>
      <c r="IYH23" s="1902">
        <f t="shared" si="365"/>
        <v>0</v>
      </c>
      <c r="IYI23" s="1902">
        <f t="shared" si="365"/>
        <v>0</v>
      </c>
      <c r="IYJ23" s="1902">
        <f t="shared" si="365"/>
        <v>0</v>
      </c>
      <c r="IYK23" s="1902">
        <f t="shared" si="365"/>
        <v>0</v>
      </c>
      <c r="IYL23" s="1902">
        <f t="shared" si="365"/>
        <v>0</v>
      </c>
      <c r="IYM23" s="1902">
        <f t="shared" si="365"/>
        <v>0</v>
      </c>
      <c r="IYN23" s="1902">
        <f t="shared" si="365"/>
        <v>0</v>
      </c>
      <c r="IYO23" s="1902">
        <f t="shared" si="365"/>
        <v>0</v>
      </c>
      <c r="IYP23" s="1902">
        <f t="shared" si="365"/>
        <v>0</v>
      </c>
      <c r="IYQ23" s="1902">
        <f t="shared" si="365"/>
        <v>0</v>
      </c>
      <c r="IYR23" s="1902">
        <f t="shared" si="365"/>
        <v>0</v>
      </c>
      <c r="IYS23" s="1902">
        <f t="shared" si="365"/>
        <v>0</v>
      </c>
      <c r="IYT23" s="1902">
        <f t="shared" si="365"/>
        <v>0</v>
      </c>
      <c r="IYU23" s="1902">
        <f t="shared" si="365"/>
        <v>0</v>
      </c>
      <c r="IYV23" s="1902">
        <f t="shared" si="365"/>
        <v>0</v>
      </c>
      <c r="IYW23" s="1902">
        <f t="shared" si="365"/>
        <v>0</v>
      </c>
      <c r="IYX23" s="1902">
        <f t="shared" si="365"/>
        <v>0</v>
      </c>
      <c r="IYY23" s="1902">
        <f t="shared" si="365"/>
        <v>0</v>
      </c>
      <c r="IYZ23" s="1902">
        <f t="shared" si="365"/>
        <v>0</v>
      </c>
      <c r="IZA23" s="1902">
        <f t="shared" si="365"/>
        <v>0</v>
      </c>
      <c r="IZB23" s="1902">
        <f t="shared" si="365"/>
        <v>0</v>
      </c>
      <c r="IZC23" s="1902">
        <f t="shared" si="365"/>
        <v>0</v>
      </c>
      <c r="IZD23" s="1902">
        <f t="shared" si="365"/>
        <v>0</v>
      </c>
      <c r="IZE23" s="1902">
        <f t="shared" si="365"/>
        <v>0</v>
      </c>
      <c r="IZF23" s="1902">
        <f t="shared" si="365"/>
        <v>0</v>
      </c>
      <c r="IZG23" s="1902">
        <f t="shared" si="365"/>
        <v>0</v>
      </c>
      <c r="IZH23" s="1902">
        <f t="shared" si="365"/>
        <v>0</v>
      </c>
      <c r="IZI23" s="1902">
        <f t="shared" si="365"/>
        <v>0</v>
      </c>
      <c r="IZJ23" s="1902">
        <f t="shared" si="365"/>
        <v>0</v>
      </c>
      <c r="IZK23" s="1902">
        <f t="shared" si="365"/>
        <v>0</v>
      </c>
      <c r="IZL23" s="1902">
        <f t="shared" si="365"/>
        <v>0</v>
      </c>
      <c r="IZM23" s="1902">
        <f t="shared" si="365"/>
        <v>0</v>
      </c>
      <c r="IZN23" s="1902">
        <f t="shared" si="365"/>
        <v>0</v>
      </c>
      <c r="IZO23" s="1902">
        <f t="shared" si="365"/>
        <v>0</v>
      </c>
      <c r="IZP23" s="1902">
        <f t="shared" si="365"/>
        <v>0</v>
      </c>
      <c r="IZQ23" s="1902">
        <f t="shared" si="365"/>
        <v>0</v>
      </c>
      <c r="IZR23" s="1902">
        <f t="shared" si="365"/>
        <v>0</v>
      </c>
      <c r="IZS23" s="1902">
        <f t="shared" si="365"/>
        <v>0</v>
      </c>
      <c r="IZT23" s="1902">
        <f t="shared" si="365"/>
        <v>0</v>
      </c>
      <c r="IZU23" s="1902">
        <f t="shared" si="365"/>
        <v>0</v>
      </c>
      <c r="IZV23" s="1902">
        <f t="shared" si="365"/>
        <v>0</v>
      </c>
      <c r="IZW23" s="1902">
        <f t="shared" si="365"/>
        <v>0</v>
      </c>
      <c r="IZX23" s="1902">
        <f t="shared" si="365"/>
        <v>0</v>
      </c>
      <c r="IZY23" s="1902">
        <f t="shared" si="365"/>
        <v>0</v>
      </c>
      <c r="IZZ23" s="1902">
        <f t="shared" si="365"/>
        <v>0</v>
      </c>
      <c r="JAA23" s="1902">
        <f t="shared" si="365"/>
        <v>0</v>
      </c>
      <c r="JAB23" s="1902">
        <f t="shared" si="365"/>
        <v>0</v>
      </c>
      <c r="JAC23" s="1902">
        <f t="shared" si="365"/>
        <v>0</v>
      </c>
      <c r="JAD23" s="1902">
        <f t="shared" si="365"/>
        <v>0</v>
      </c>
      <c r="JAE23" s="1902">
        <f t="shared" si="365"/>
        <v>0</v>
      </c>
      <c r="JAF23" s="1902">
        <f t="shared" si="365"/>
        <v>0</v>
      </c>
      <c r="JAG23" s="1902">
        <f t="shared" si="365"/>
        <v>0</v>
      </c>
      <c r="JAH23" s="1902">
        <f t="shared" si="365"/>
        <v>0</v>
      </c>
      <c r="JAI23" s="1902">
        <f t="shared" ref="JAI23:JCT23" si="366">IF(AND(JAI$26="End of period",JAI$25="Revenue"),JAI10,0)</f>
        <v>0</v>
      </c>
      <c r="JAJ23" s="1902">
        <f t="shared" si="366"/>
        <v>0</v>
      </c>
      <c r="JAK23" s="1902">
        <f t="shared" si="366"/>
        <v>0</v>
      </c>
      <c r="JAL23" s="1902">
        <f t="shared" si="366"/>
        <v>0</v>
      </c>
      <c r="JAM23" s="1902">
        <f t="shared" si="366"/>
        <v>0</v>
      </c>
      <c r="JAN23" s="1902">
        <f t="shared" si="366"/>
        <v>0</v>
      </c>
      <c r="JAO23" s="1902">
        <f t="shared" si="366"/>
        <v>0</v>
      </c>
      <c r="JAP23" s="1902">
        <f t="shared" si="366"/>
        <v>0</v>
      </c>
      <c r="JAQ23" s="1902">
        <f t="shared" si="366"/>
        <v>0</v>
      </c>
      <c r="JAR23" s="1902">
        <f t="shared" si="366"/>
        <v>0</v>
      </c>
      <c r="JAS23" s="1902">
        <f t="shared" si="366"/>
        <v>0</v>
      </c>
      <c r="JAT23" s="1902">
        <f t="shared" si="366"/>
        <v>0</v>
      </c>
      <c r="JAU23" s="1902">
        <f t="shared" si="366"/>
        <v>0</v>
      </c>
      <c r="JAV23" s="1902">
        <f t="shared" si="366"/>
        <v>0</v>
      </c>
      <c r="JAW23" s="1902">
        <f t="shared" si="366"/>
        <v>0</v>
      </c>
      <c r="JAX23" s="1902">
        <f t="shared" si="366"/>
        <v>0</v>
      </c>
      <c r="JAY23" s="1902">
        <f t="shared" si="366"/>
        <v>0</v>
      </c>
      <c r="JAZ23" s="1902">
        <f t="shared" si="366"/>
        <v>0</v>
      </c>
      <c r="JBA23" s="1902">
        <f t="shared" si="366"/>
        <v>0</v>
      </c>
      <c r="JBB23" s="1902">
        <f t="shared" si="366"/>
        <v>0</v>
      </c>
      <c r="JBC23" s="1902">
        <f t="shared" si="366"/>
        <v>0</v>
      </c>
      <c r="JBD23" s="1902">
        <f t="shared" si="366"/>
        <v>0</v>
      </c>
      <c r="JBE23" s="1902">
        <f t="shared" si="366"/>
        <v>0</v>
      </c>
      <c r="JBF23" s="1902">
        <f t="shared" si="366"/>
        <v>0</v>
      </c>
      <c r="JBG23" s="1902">
        <f t="shared" si="366"/>
        <v>0</v>
      </c>
      <c r="JBH23" s="1902">
        <f t="shared" si="366"/>
        <v>0</v>
      </c>
      <c r="JBI23" s="1902">
        <f t="shared" si="366"/>
        <v>0</v>
      </c>
      <c r="JBJ23" s="1902">
        <f t="shared" si="366"/>
        <v>0</v>
      </c>
      <c r="JBK23" s="1902">
        <f t="shared" si="366"/>
        <v>0</v>
      </c>
      <c r="JBL23" s="1902">
        <f t="shared" si="366"/>
        <v>0</v>
      </c>
      <c r="JBM23" s="1902">
        <f t="shared" si="366"/>
        <v>0</v>
      </c>
      <c r="JBN23" s="1902">
        <f t="shared" si="366"/>
        <v>0</v>
      </c>
      <c r="JBO23" s="1902">
        <f t="shared" si="366"/>
        <v>0</v>
      </c>
      <c r="JBP23" s="1902">
        <f t="shared" si="366"/>
        <v>0</v>
      </c>
      <c r="JBQ23" s="1902">
        <f t="shared" si="366"/>
        <v>0</v>
      </c>
      <c r="JBR23" s="1902">
        <f t="shared" si="366"/>
        <v>0</v>
      </c>
      <c r="JBS23" s="1902">
        <f t="shared" si="366"/>
        <v>0</v>
      </c>
      <c r="JBT23" s="1902">
        <f t="shared" si="366"/>
        <v>0</v>
      </c>
      <c r="JBU23" s="1902">
        <f t="shared" si="366"/>
        <v>0</v>
      </c>
      <c r="JBV23" s="1902">
        <f t="shared" si="366"/>
        <v>0</v>
      </c>
      <c r="JBW23" s="1902">
        <f t="shared" si="366"/>
        <v>0</v>
      </c>
      <c r="JBX23" s="1902">
        <f t="shared" si="366"/>
        <v>0</v>
      </c>
      <c r="JBY23" s="1902">
        <f t="shared" si="366"/>
        <v>0</v>
      </c>
      <c r="JBZ23" s="1902">
        <f t="shared" si="366"/>
        <v>0</v>
      </c>
      <c r="JCA23" s="1902">
        <f t="shared" si="366"/>
        <v>0</v>
      </c>
      <c r="JCB23" s="1902">
        <f t="shared" si="366"/>
        <v>0</v>
      </c>
      <c r="JCC23" s="1902">
        <f t="shared" si="366"/>
        <v>0</v>
      </c>
      <c r="JCD23" s="1902">
        <f t="shared" si="366"/>
        <v>0</v>
      </c>
      <c r="JCE23" s="1902">
        <f t="shared" si="366"/>
        <v>0</v>
      </c>
      <c r="JCF23" s="1902">
        <f t="shared" si="366"/>
        <v>0</v>
      </c>
      <c r="JCG23" s="1902">
        <f t="shared" si="366"/>
        <v>0</v>
      </c>
      <c r="JCH23" s="1902">
        <f t="shared" si="366"/>
        <v>0</v>
      </c>
      <c r="JCI23" s="1902">
        <f t="shared" si="366"/>
        <v>0</v>
      </c>
      <c r="JCJ23" s="1902">
        <f t="shared" si="366"/>
        <v>0</v>
      </c>
      <c r="JCK23" s="1902">
        <f t="shared" si="366"/>
        <v>0</v>
      </c>
      <c r="JCL23" s="1902">
        <f t="shared" si="366"/>
        <v>0</v>
      </c>
      <c r="JCM23" s="1902">
        <f t="shared" si="366"/>
        <v>0</v>
      </c>
      <c r="JCN23" s="1902">
        <f t="shared" si="366"/>
        <v>0</v>
      </c>
      <c r="JCO23" s="1902">
        <f t="shared" si="366"/>
        <v>0</v>
      </c>
      <c r="JCP23" s="1902">
        <f t="shared" si="366"/>
        <v>0</v>
      </c>
      <c r="JCQ23" s="1902">
        <f t="shared" si="366"/>
        <v>0</v>
      </c>
      <c r="JCR23" s="1902">
        <f t="shared" si="366"/>
        <v>0</v>
      </c>
      <c r="JCS23" s="1902">
        <f t="shared" si="366"/>
        <v>0</v>
      </c>
      <c r="JCT23" s="1902">
        <f t="shared" si="366"/>
        <v>0</v>
      </c>
      <c r="JCU23" s="1902">
        <f t="shared" ref="JCU23:JFF23" si="367">IF(AND(JCU$26="End of period",JCU$25="Revenue"),JCU10,0)</f>
        <v>0</v>
      </c>
      <c r="JCV23" s="1902">
        <f t="shared" si="367"/>
        <v>0</v>
      </c>
      <c r="JCW23" s="1902">
        <f t="shared" si="367"/>
        <v>0</v>
      </c>
      <c r="JCX23" s="1902">
        <f t="shared" si="367"/>
        <v>0</v>
      </c>
      <c r="JCY23" s="1902">
        <f t="shared" si="367"/>
        <v>0</v>
      </c>
      <c r="JCZ23" s="1902">
        <f t="shared" si="367"/>
        <v>0</v>
      </c>
      <c r="JDA23" s="1902">
        <f t="shared" si="367"/>
        <v>0</v>
      </c>
      <c r="JDB23" s="1902">
        <f t="shared" si="367"/>
        <v>0</v>
      </c>
      <c r="JDC23" s="1902">
        <f t="shared" si="367"/>
        <v>0</v>
      </c>
      <c r="JDD23" s="1902">
        <f t="shared" si="367"/>
        <v>0</v>
      </c>
      <c r="JDE23" s="1902">
        <f t="shared" si="367"/>
        <v>0</v>
      </c>
      <c r="JDF23" s="1902">
        <f t="shared" si="367"/>
        <v>0</v>
      </c>
      <c r="JDG23" s="1902">
        <f t="shared" si="367"/>
        <v>0</v>
      </c>
      <c r="JDH23" s="1902">
        <f t="shared" si="367"/>
        <v>0</v>
      </c>
      <c r="JDI23" s="1902">
        <f t="shared" si="367"/>
        <v>0</v>
      </c>
      <c r="JDJ23" s="1902">
        <f t="shared" si="367"/>
        <v>0</v>
      </c>
      <c r="JDK23" s="1902">
        <f t="shared" si="367"/>
        <v>0</v>
      </c>
      <c r="JDL23" s="1902">
        <f t="shared" si="367"/>
        <v>0</v>
      </c>
      <c r="JDM23" s="1902">
        <f t="shared" si="367"/>
        <v>0</v>
      </c>
      <c r="JDN23" s="1902">
        <f t="shared" si="367"/>
        <v>0</v>
      </c>
      <c r="JDO23" s="1902">
        <f t="shared" si="367"/>
        <v>0</v>
      </c>
      <c r="JDP23" s="1902">
        <f t="shared" si="367"/>
        <v>0</v>
      </c>
      <c r="JDQ23" s="1902">
        <f t="shared" si="367"/>
        <v>0</v>
      </c>
      <c r="JDR23" s="1902">
        <f t="shared" si="367"/>
        <v>0</v>
      </c>
      <c r="JDS23" s="1902">
        <f t="shared" si="367"/>
        <v>0</v>
      </c>
      <c r="JDT23" s="1902">
        <f t="shared" si="367"/>
        <v>0</v>
      </c>
      <c r="JDU23" s="1902">
        <f t="shared" si="367"/>
        <v>0</v>
      </c>
      <c r="JDV23" s="1902">
        <f t="shared" si="367"/>
        <v>0</v>
      </c>
      <c r="JDW23" s="1902">
        <f t="shared" si="367"/>
        <v>0</v>
      </c>
      <c r="JDX23" s="1902">
        <f t="shared" si="367"/>
        <v>0</v>
      </c>
      <c r="JDY23" s="1902">
        <f t="shared" si="367"/>
        <v>0</v>
      </c>
      <c r="JDZ23" s="1902">
        <f t="shared" si="367"/>
        <v>0</v>
      </c>
      <c r="JEA23" s="1902">
        <f t="shared" si="367"/>
        <v>0</v>
      </c>
      <c r="JEB23" s="1902">
        <f t="shared" si="367"/>
        <v>0</v>
      </c>
      <c r="JEC23" s="1902">
        <f t="shared" si="367"/>
        <v>0</v>
      </c>
      <c r="JED23" s="1902">
        <f t="shared" si="367"/>
        <v>0</v>
      </c>
      <c r="JEE23" s="1902">
        <f t="shared" si="367"/>
        <v>0</v>
      </c>
      <c r="JEF23" s="1902">
        <f t="shared" si="367"/>
        <v>0</v>
      </c>
      <c r="JEG23" s="1902">
        <f t="shared" si="367"/>
        <v>0</v>
      </c>
      <c r="JEH23" s="1902">
        <f t="shared" si="367"/>
        <v>0</v>
      </c>
      <c r="JEI23" s="1902">
        <f t="shared" si="367"/>
        <v>0</v>
      </c>
      <c r="JEJ23" s="1902">
        <f t="shared" si="367"/>
        <v>0</v>
      </c>
      <c r="JEK23" s="1902">
        <f t="shared" si="367"/>
        <v>0</v>
      </c>
      <c r="JEL23" s="1902">
        <f t="shared" si="367"/>
        <v>0</v>
      </c>
      <c r="JEM23" s="1902">
        <f t="shared" si="367"/>
        <v>0</v>
      </c>
      <c r="JEN23" s="1902">
        <f t="shared" si="367"/>
        <v>0</v>
      </c>
      <c r="JEO23" s="1902">
        <f t="shared" si="367"/>
        <v>0</v>
      </c>
      <c r="JEP23" s="1902">
        <f t="shared" si="367"/>
        <v>0</v>
      </c>
      <c r="JEQ23" s="1902">
        <f t="shared" si="367"/>
        <v>0</v>
      </c>
      <c r="JER23" s="1902">
        <f t="shared" si="367"/>
        <v>0</v>
      </c>
      <c r="JES23" s="1902">
        <f t="shared" si="367"/>
        <v>0</v>
      </c>
      <c r="JET23" s="1902">
        <f t="shared" si="367"/>
        <v>0</v>
      </c>
      <c r="JEU23" s="1902">
        <f t="shared" si="367"/>
        <v>0</v>
      </c>
      <c r="JEV23" s="1902">
        <f t="shared" si="367"/>
        <v>0</v>
      </c>
      <c r="JEW23" s="1902">
        <f t="shared" si="367"/>
        <v>0</v>
      </c>
      <c r="JEX23" s="1902">
        <f t="shared" si="367"/>
        <v>0</v>
      </c>
      <c r="JEY23" s="1902">
        <f t="shared" si="367"/>
        <v>0</v>
      </c>
      <c r="JEZ23" s="1902">
        <f t="shared" si="367"/>
        <v>0</v>
      </c>
      <c r="JFA23" s="1902">
        <f t="shared" si="367"/>
        <v>0</v>
      </c>
      <c r="JFB23" s="1902">
        <f t="shared" si="367"/>
        <v>0</v>
      </c>
      <c r="JFC23" s="1902">
        <f t="shared" si="367"/>
        <v>0</v>
      </c>
      <c r="JFD23" s="1902">
        <f t="shared" si="367"/>
        <v>0</v>
      </c>
      <c r="JFE23" s="1902">
        <f t="shared" si="367"/>
        <v>0</v>
      </c>
      <c r="JFF23" s="1902">
        <f t="shared" si="367"/>
        <v>0</v>
      </c>
      <c r="JFG23" s="1902">
        <f t="shared" ref="JFG23:JHR23" si="368">IF(AND(JFG$26="End of period",JFG$25="Revenue"),JFG10,0)</f>
        <v>0</v>
      </c>
      <c r="JFH23" s="1902">
        <f t="shared" si="368"/>
        <v>0</v>
      </c>
      <c r="JFI23" s="1902">
        <f t="shared" si="368"/>
        <v>0</v>
      </c>
      <c r="JFJ23" s="1902">
        <f t="shared" si="368"/>
        <v>0</v>
      </c>
      <c r="JFK23" s="1902">
        <f t="shared" si="368"/>
        <v>0</v>
      </c>
      <c r="JFL23" s="1902">
        <f t="shared" si="368"/>
        <v>0</v>
      </c>
      <c r="JFM23" s="1902">
        <f t="shared" si="368"/>
        <v>0</v>
      </c>
      <c r="JFN23" s="1902">
        <f t="shared" si="368"/>
        <v>0</v>
      </c>
      <c r="JFO23" s="1902">
        <f t="shared" si="368"/>
        <v>0</v>
      </c>
      <c r="JFP23" s="1902">
        <f t="shared" si="368"/>
        <v>0</v>
      </c>
      <c r="JFQ23" s="1902">
        <f t="shared" si="368"/>
        <v>0</v>
      </c>
      <c r="JFR23" s="1902">
        <f t="shared" si="368"/>
        <v>0</v>
      </c>
      <c r="JFS23" s="1902">
        <f t="shared" si="368"/>
        <v>0</v>
      </c>
      <c r="JFT23" s="1902">
        <f t="shared" si="368"/>
        <v>0</v>
      </c>
      <c r="JFU23" s="1902">
        <f t="shared" si="368"/>
        <v>0</v>
      </c>
      <c r="JFV23" s="1902">
        <f t="shared" si="368"/>
        <v>0</v>
      </c>
      <c r="JFW23" s="1902">
        <f t="shared" si="368"/>
        <v>0</v>
      </c>
      <c r="JFX23" s="1902">
        <f t="shared" si="368"/>
        <v>0</v>
      </c>
      <c r="JFY23" s="1902">
        <f t="shared" si="368"/>
        <v>0</v>
      </c>
      <c r="JFZ23" s="1902">
        <f t="shared" si="368"/>
        <v>0</v>
      </c>
      <c r="JGA23" s="1902">
        <f t="shared" si="368"/>
        <v>0</v>
      </c>
      <c r="JGB23" s="1902">
        <f t="shared" si="368"/>
        <v>0</v>
      </c>
      <c r="JGC23" s="1902">
        <f t="shared" si="368"/>
        <v>0</v>
      </c>
      <c r="JGD23" s="1902">
        <f t="shared" si="368"/>
        <v>0</v>
      </c>
      <c r="JGE23" s="1902">
        <f t="shared" si="368"/>
        <v>0</v>
      </c>
      <c r="JGF23" s="1902">
        <f t="shared" si="368"/>
        <v>0</v>
      </c>
      <c r="JGG23" s="1902">
        <f t="shared" si="368"/>
        <v>0</v>
      </c>
      <c r="JGH23" s="1902">
        <f t="shared" si="368"/>
        <v>0</v>
      </c>
      <c r="JGI23" s="1902">
        <f t="shared" si="368"/>
        <v>0</v>
      </c>
      <c r="JGJ23" s="1902">
        <f t="shared" si="368"/>
        <v>0</v>
      </c>
      <c r="JGK23" s="1902">
        <f t="shared" si="368"/>
        <v>0</v>
      </c>
      <c r="JGL23" s="1902">
        <f t="shared" si="368"/>
        <v>0</v>
      </c>
      <c r="JGM23" s="1902">
        <f t="shared" si="368"/>
        <v>0</v>
      </c>
      <c r="JGN23" s="1902">
        <f t="shared" si="368"/>
        <v>0</v>
      </c>
      <c r="JGO23" s="1902">
        <f t="shared" si="368"/>
        <v>0</v>
      </c>
      <c r="JGP23" s="1902">
        <f t="shared" si="368"/>
        <v>0</v>
      </c>
      <c r="JGQ23" s="1902">
        <f t="shared" si="368"/>
        <v>0</v>
      </c>
      <c r="JGR23" s="1902">
        <f t="shared" si="368"/>
        <v>0</v>
      </c>
      <c r="JGS23" s="1902">
        <f t="shared" si="368"/>
        <v>0</v>
      </c>
      <c r="JGT23" s="1902">
        <f t="shared" si="368"/>
        <v>0</v>
      </c>
      <c r="JGU23" s="1902">
        <f t="shared" si="368"/>
        <v>0</v>
      </c>
      <c r="JGV23" s="1902">
        <f t="shared" si="368"/>
        <v>0</v>
      </c>
      <c r="JGW23" s="1902">
        <f t="shared" si="368"/>
        <v>0</v>
      </c>
      <c r="JGX23" s="1902">
        <f t="shared" si="368"/>
        <v>0</v>
      </c>
      <c r="JGY23" s="1902">
        <f t="shared" si="368"/>
        <v>0</v>
      </c>
      <c r="JGZ23" s="1902">
        <f t="shared" si="368"/>
        <v>0</v>
      </c>
      <c r="JHA23" s="1902">
        <f t="shared" si="368"/>
        <v>0</v>
      </c>
      <c r="JHB23" s="1902">
        <f t="shared" si="368"/>
        <v>0</v>
      </c>
      <c r="JHC23" s="1902">
        <f t="shared" si="368"/>
        <v>0</v>
      </c>
      <c r="JHD23" s="1902">
        <f t="shared" si="368"/>
        <v>0</v>
      </c>
      <c r="JHE23" s="1902">
        <f t="shared" si="368"/>
        <v>0</v>
      </c>
      <c r="JHF23" s="1902">
        <f t="shared" si="368"/>
        <v>0</v>
      </c>
      <c r="JHG23" s="1902">
        <f t="shared" si="368"/>
        <v>0</v>
      </c>
      <c r="JHH23" s="1902">
        <f t="shared" si="368"/>
        <v>0</v>
      </c>
      <c r="JHI23" s="1902">
        <f t="shared" si="368"/>
        <v>0</v>
      </c>
      <c r="JHJ23" s="1902">
        <f t="shared" si="368"/>
        <v>0</v>
      </c>
      <c r="JHK23" s="1902">
        <f t="shared" si="368"/>
        <v>0</v>
      </c>
      <c r="JHL23" s="1902">
        <f t="shared" si="368"/>
        <v>0</v>
      </c>
      <c r="JHM23" s="1902">
        <f t="shared" si="368"/>
        <v>0</v>
      </c>
      <c r="JHN23" s="1902">
        <f t="shared" si="368"/>
        <v>0</v>
      </c>
      <c r="JHO23" s="1902">
        <f t="shared" si="368"/>
        <v>0</v>
      </c>
      <c r="JHP23" s="1902">
        <f t="shared" si="368"/>
        <v>0</v>
      </c>
      <c r="JHQ23" s="1902">
        <f t="shared" si="368"/>
        <v>0</v>
      </c>
      <c r="JHR23" s="1902">
        <f t="shared" si="368"/>
        <v>0</v>
      </c>
      <c r="JHS23" s="1902">
        <f t="shared" ref="JHS23:JKD23" si="369">IF(AND(JHS$26="End of period",JHS$25="Revenue"),JHS10,0)</f>
        <v>0</v>
      </c>
      <c r="JHT23" s="1902">
        <f t="shared" si="369"/>
        <v>0</v>
      </c>
      <c r="JHU23" s="1902">
        <f t="shared" si="369"/>
        <v>0</v>
      </c>
      <c r="JHV23" s="1902">
        <f t="shared" si="369"/>
        <v>0</v>
      </c>
      <c r="JHW23" s="1902">
        <f t="shared" si="369"/>
        <v>0</v>
      </c>
      <c r="JHX23" s="1902">
        <f t="shared" si="369"/>
        <v>0</v>
      </c>
      <c r="JHY23" s="1902">
        <f t="shared" si="369"/>
        <v>0</v>
      </c>
      <c r="JHZ23" s="1902">
        <f t="shared" si="369"/>
        <v>0</v>
      </c>
      <c r="JIA23" s="1902">
        <f t="shared" si="369"/>
        <v>0</v>
      </c>
      <c r="JIB23" s="1902">
        <f t="shared" si="369"/>
        <v>0</v>
      </c>
      <c r="JIC23" s="1902">
        <f t="shared" si="369"/>
        <v>0</v>
      </c>
      <c r="JID23" s="1902">
        <f t="shared" si="369"/>
        <v>0</v>
      </c>
      <c r="JIE23" s="1902">
        <f t="shared" si="369"/>
        <v>0</v>
      </c>
      <c r="JIF23" s="1902">
        <f t="shared" si="369"/>
        <v>0</v>
      </c>
      <c r="JIG23" s="1902">
        <f t="shared" si="369"/>
        <v>0</v>
      </c>
      <c r="JIH23" s="1902">
        <f t="shared" si="369"/>
        <v>0</v>
      </c>
      <c r="JII23" s="1902">
        <f t="shared" si="369"/>
        <v>0</v>
      </c>
      <c r="JIJ23" s="1902">
        <f t="shared" si="369"/>
        <v>0</v>
      </c>
      <c r="JIK23" s="1902">
        <f t="shared" si="369"/>
        <v>0</v>
      </c>
      <c r="JIL23" s="1902">
        <f t="shared" si="369"/>
        <v>0</v>
      </c>
      <c r="JIM23" s="1902">
        <f t="shared" si="369"/>
        <v>0</v>
      </c>
      <c r="JIN23" s="1902">
        <f t="shared" si="369"/>
        <v>0</v>
      </c>
      <c r="JIO23" s="1902">
        <f t="shared" si="369"/>
        <v>0</v>
      </c>
      <c r="JIP23" s="1902">
        <f t="shared" si="369"/>
        <v>0</v>
      </c>
      <c r="JIQ23" s="1902">
        <f t="shared" si="369"/>
        <v>0</v>
      </c>
      <c r="JIR23" s="1902">
        <f t="shared" si="369"/>
        <v>0</v>
      </c>
      <c r="JIS23" s="1902">
        <f t="shared" si="369"/>
        <v>0</v>
      </c>
      <c r="JIT23" s="1902">
        <f t="shared" si="369"/>
        <v>0</v>
      </c>
      <c r="JIU23" s="1902">
        <f t="shared" si="369"/>
        <v>0</v>
      </c>
      <c r="JIV23" s="1902">
        <f t="shared" si="369"/>
        <v>0</v>
      </c>
      <c r="JIW23" s="1902">
        <f t="shared" si="369"/>
        <v>0</v>
      </c>
      <c r="JIX23" s="1902">
        <f t="shared" si="369"/>
        <v>0</v>
      </c>
      <c r="JIY23" s="1902">
        <f t="shared" si="369"/>
        <v>0</v>
      </c>
      <c r="JIZ23" s="1902">
        <f t="shared" si="369"/>
        <v>0</v>
      </c>
      <c r="JJA23" s="1902">
        <f t="shared" si="369"/>
        <v>0</v>
      </c>
      <c r="JJB23" s="1902">
        <f t="shared" si="369"/>
        <v>0</v>
      </c>
      <c r="JJC23" s="1902">
        <f t="shared" si="369"/>
        <v>0</v>
      </c>
      <c r="JJD23" s="1902">
        <f t="shared" si="369"/>
        <v>0</v>
      </c>
      <c r="JJE23" s="1902">
        <f t="shared" si="369"/>
        <v>0</v>
      </c>
      <c r="JJF23" s="1902">
        <f t="shared" si="369"/>
        <v>0</v>
      </c>
      <c r="JJG23" s="1902">
        <f t="shared" si="369"/>
        <v>0</v>
      </c>
      <c r="JJH23" s="1902">
        <f t="shared" si="369"/>
        <v>0</v>
      </c>
      <c r="JJI23" s="1902">
        <f t="shared" si="369"/>
        <v>0</v>
      </c>
      <c r="JJJ23" s="1902">
        <f t="shared" si="369"/>
        <v>0</v>
      </c>
      <c r="JJK23" s="1902">
        <f t="shared" si="369"/>
        <v>0</v>
      </c>
      <c r="JJL23" s="1902">
        <f t="shared" si="369"/>
        <v>0</v>
      </c>
      <c r="JJM23" s="1902">
        <f t="shared" si="369"/>
        <v>0</v>
      </c>
      <c r="JJN23" s="1902">
        <f t="shared" si="369"/>
        <v>0</v>
      </c>
      <c r="JJO23" s="1902">
        <f t="shared" si="369"/>
        <v>0</v>
      </c>
      <c r="JJP23" s="1902">
        <f t="shared" si="369"/>
        <v>0</v>
      </c>
      <c r="JJQ23" s="1902">
        <f t="shared" si="369"/>
        <v>0</v>
      </c>
      <c r="JJR23" s="1902">
        <f t="shared" si="369"/>
        <v>0</v>
      </c>
      <c r="JJS23" s="1902">
        <f t="shared" si="369"/>
        <v>0</v>
      </c>
      <c r="JJT23" s="1902">
        <f t="shared" si="369"/>
        <v>0</v>
      </c>
      <c r="JJU23" s="1902">
        <f t="shared" si="369"/>
        <v>0</v>
      </c>
      <c r="JJV23" s="1902">
        <f t="shared" si="369"/>
        <v>0</v>
      </c>
      <c r="JJW23" s="1902">
        <f t="shared" si="369"/>
        <v>0</v>
      </c>
      <c r="JJX23" s="1902">
        <f t="shared" si="369"/>
        <v>0</v>
      </c>
      <c r="JJY23" s="1902">
        <f t="shared" si="369"/>
        <v>0</v>
      </c>
      <c r="JJZ23" s="1902">
        <f t="shared" si="369"/>
        <v>0</v>
      </c>
      <c r="JKA23" s="1902">
        <f t="shared" si="369"/>
        <v>0</v>
      </c>
      <c r="JKB23" s="1902">
        <f t="shared" si="369"/>
        <v>0</v>
      </c>
      <c r="JKC23" s="1902">
        <f t="shared" si="369"/>
        <v>0</v>
      </c>
      <c r="JKD23" s="1902">
        <f t="shared" si="369"/>
        <v>0</v>
      </c>
      <c r="JKE23" s="1902">
        <f t="shared" ref="JKE23:JMP23" si="370">IF(AND(JKE$26="End of period",JKE$25="Revenue"),JKE10,0)</f>
        <v>0</v>
      </c>
      <c r="JKF23" s="1902">
        <f t="shared" si="370"/>
        <v>0</v>
      </c>
      <c r="JKG23" s="1902">
        <f t="shared" si="370"/>
        <v>0</v>
      </c>
      <c r="JKH23" s="1902">
        <f t="shared" si="370"/>
        <v>0</v>
      </c>
      <c r="JKI23" s="1902">
        <f t="shared" si="370"/>
        <v>0</v>
      </c>
      <c r="JKJ23" s="1902">
        <f t="shared" si="370"/>
        <v>0</v>
      </c>
      <c r="JKK23" s="1902">
        <f t="shared" si="370"/>
        <v>0</v>
      </c>
      <c r="JKL23" s="1902">
        <f t="shared" si="370"/>
        <v>0</v>
      </c>
      <c r="JKM23" s="1902">
        <f t="shared" si="370"/>
        <v>0</v>
      </c>
      <c r="JKN23" s="1902">
        <f t="shared" si="370"/>
        <v>0</v>
      </c>
      <c r="JKO23" s="1902">
        <f t="shared" si="370"/>
        <v>0</v>
      </c>
      <c r="JKP23" s="1902">
        <f t="shared" si="370"/>
        <v>0</v>
      </c>
      <c r="JKQ23" s="1902">
        <f t="shared" si="370"/>
        <v>0</v>
      </c>
      <c r="JKR23" s="1902">
        <f t="shared" si="370"/>
        <v>0</v>
      </c>
      <c r="JKS23" s="1902">
        <f t="shared" si="370"/>
        <v>0</v>
      </c>
      <c r="JKT23" s="1902">
        <f t="shared" si="370"/>
        <v>0</v>
      </c>
      <c r="JKU23" s="1902">
        <f t="shared" si="370"/>
        <v>0</v>
      </c>
      <c r="JKV23" s="1902">
        <f t="shared" si="370"/>
        <v>0</v>
      </c>
      <c r="JKW23" s="1902">
        <f t="shared" si="370"/>
        <v>0</v>
      </c>
      <c r="JKX23" s="1902">
        <f t="shared" si="370"/>
        <v>0</v>
      </c>
      <c r="JKY23" s="1902">
        <f t="shared" si="370"/>
        <v>0</v>
      </c>
      <c r="JKZ23" s="1902">
        <f t="shared" si="370"/>
        <v>0</v>
      </c>
      <c r="JLA23" s="1902">
        <f t="shared" si="370"/>
        <v>0</v>
      </c>
      <c r="JLB23" s="1902">
        <f t="shared" si="370"/>
        <v>0</v>
      </c>
      <c r="JLC23" s="1902">
        <f t="shared" si="370"/>
        <v>0</v>
      </c>
      <c r="JLD23" s="1902">
        <f t="shared" si="370"/>
        <v>0</v>
      </c>
      <c r="JLE23" s="1902">
        <f t="shared" si="370"/>
        <v>0</v>
      </c>
      <c r="JLF23" s="1902">
        <f t="shared" si="370"/>
        <v>0</v>
      </c>
      <c r="JLG23" s="1902">
        <f t="shared" si="370"/>
        <v>0</v>
      </c>
      <c r="JLH23" s="1902">
        <f t="shared" si="370"/>
        <v>0</v>
      </c>
      <c r="JLI23" s="1902">
        <f t="shared" si="370"/>
        <v>0</v>
      </c>
      <c r="JLJ23" s="1902">
        <f t="shared" si="370"/>
        <v>0</v>
      </c>
      <c r="JLK23" s="1902">
        <f t="shared" si="370"/>
        <v>0</v>
      </c>
      <c r="JLL23" s="1902">
        <f t="shared" si="370"/>
        <v>0</v>
      </c>
      <c r="JLM23" s="1902">
        <f t="shared" si="370"/>
        <v>0</v>
      </c>
      <c r="JLN23" s="1902">
        <f t="shared" si="370"/>
        <v>0</v>
      </c>
      <c r="JLO23" s="1902">
        <f t="shared" si="370"/>
        <v>0</v>
      </c>
      <c r="JLP23" s="1902">
        <f t="shared" si="370"/>
        <v>0</v>
      </c>
      <c r="JLQ23" s="1902">
        <f t="shared" si="370"/>
        <v>0</v>
      </c>
      <c r="JLR23" s="1902">
        <f t="shared" si="370"/>
        <v>0</v>
      </c>
      <c r="JLS23" s="1902">
        <f t="shared" si="370"/>
        <v>0</v>
      </c>
      <c r="JLT23" s="1902">
        <f t="shared" si="370"/>
        <v>0</v>
      </c>
      <c r="JLU23" s="1902">
        <f t="shared" si="370"/>
        <v>0</v>
      </c>
      <c r="JLV23" s="1902">
        <f t="shared" si="370"/>
        <v>0</v>
      </c>
      <c r="JLW23" s="1902">
        <f t="shared" si="370"/>
        <v>0</v>
      </c>
      <c r="JLX23" s="1902">
        <f t="shared" si="370"/>
        <v>0</v>
      </c>
      <c r="JLY23" s="1902">
        <f t="shared" si="370"/>
        <v>0</v>
      </c>
      <c r="JLZ23" s="1902">
        <f t="shared" si="370"/>
        <v>0</v>
      </c>
      <c r="JMA23" s="1902">
        <f t="shared" si="370"/>
        <v>0</v>
      </c>
      <c r="JMB23" s="1902">
        <f t="shared" si="370"/>
        <v>0</v>
      </c>
      <c r="JMC23" s="1902">
        <f t="shared" si="370"/>
        <v>0</v>
      </c>
      <c r="JMD23" s="1902">
        <f t="shared" si="370"/>
        <v>0</v>
      </c>
      <c r="JME23" s="1902">
        <f t="shared" si="370"/>
        <v>0</v>
      </c>
      <c r="JMF23" s="1902">
        <f t="shared" si="370"/>
        <v>0</v>
      </c>
      <c r="JMG23" s="1902">
        <f t="shared" si="370"/>
        <v>0</v>
      </c>
      <c r="JMH23" s="1902">
        <f t="shared" si="370"/>
        <v>0</v>
      </c>
      <c r="JMI23" s="1902">
        <f t="shared" si="370"/>
        <v>0</v>
      </c>
      <c r="JMJ23" s="1902">
        <f t="shared" si="370"/>
        <v>0</v>
      </c>
      <c r="JMK23" s="1902">
        <f t="shared" si="370"/>
        <v>0</v>
      </c>
      <c r="JML23" s="1902">
        <f t="shared" si="370"/>
        <v>0</v>
      </c>
      <c r="JMM23" s="1902">
        <f t="shared" si="370"/>
        <v>0</v>
      </c>
      <c r="JMN23" s="1902">
        <f t="shared" si="370"/>
        <v>0</v>
      </c>
      <c r="JMO23" s="1902">
        <f t="shared" si="370"/>
        <v>0</v>
      </c>
      <c r="JMP23" s="1902">
        <f t="shared" si="370"/>
        <v>0</v>
      </c>
      <c r="JMQ23" s="1902">
        <f t="shared" ref="JMQ23:JPB23" si="371">IF(AND(JMQ$26="End of period",JMQ$25="Revenue"),JMQ10,0)</f>
        <v>0</v>
      </c>
      <c r="JMR23" s="1902">
        <f t="shared" si="371"/>
        <v>0</v>
      </c>
      <c r="JMS23" s="1902">
        <f t="shared" si="371"/>
        <v>0</v>
      </c>
      <c r="JMT23" s="1902">
        <f t="shared" si="371"/>
        <v>0</v>
      </c>
      <c r="JMU23" s="1902">
        <f t="shared" si="371"/>
        <v>0</v>
      </c>
      <c r="JMV23" s="1902">
        <f t="shared" si="371"/>
        <v>0</v>
      </c>
      <c r="JMW23" s="1902">
        <f t="shared" si="371"/>
        <v>0</v>
      </c>
      <c r="JMX23" s="1902">
        <f t="shared" si="371"/>
        <v>0</v>
      </c>
      <c r="JMY23" s="1902">
        <f t="shared" si="371"/>
        <v>0</v>
      </c>
      <c r="JMZ23" s="1902">
        <f t="shared" si="371"/>
        <v>0</v>
      </c>
      <c r="JNA23" s="1902">
        <f t="shared" si="371"/>
        <v>0</v>
      </c>
      <c r="JNB23" s="1902">
        <f t="shared" si="371"/>
        <v>0</v>
      </c>
      <c r="JNC23" s="1902">
        <f t="shared" si="371"/>
        <v>0</v>
      </c>
      <c r="JND23" s="1902">
        <f t="shared" si="371"/>
        <v>0</v>
      </c>
      <c r="JNE23" s="1902">
        <f t="shared" si="371"/>
        <v>0</v>
      </c>
      <c r="JNF23" s="1902">
        <f t="shared" si="371"/>
        <v>0</v>
      </c>
      <c r="JNG23" s="1902">
        <f t="shared" si="371"/>
        <v>0</v>
      </c>
      <c r="JNH23" s="1902">
        <f t="shared" si="371"/>
        <v>0</v>
      </c>
      <c r="JNI23" s="1902">
        <f t="shared" si="371"/>
        <v>0</v>
      </c>
      <c r="JNJ23" s="1902">
        <f t="shared" si="371"/>
        <v>0</v>
      </c>
      <c r="JNK23" s="1902">
        <f t="shared" si="371"/>
        <v>0</v>
      </c>
      <c r="JNL23" s="1902">
        <f t="shared" si="371"/>
        <v>0</v>
      </c>
      <c r="JNM23" s="1902">
        <f t="shared" si="371"/>
        <v>0</v>
      </c>
      <c r="JNN23" s="1902">
        <f t="shared" si="371"/>
        <v>0</v>
      </c>
      <c r="JNO23" s="1902">
        <f t="shared" si="371"/>
        <v>0</v>
      </c>
      <c r="JNP23" s="1902">
        <f t="shared" si="371"/>
        <v>0</v>
      </c>
      <c r="JNQ23" s="1902">
        <f t="shared" si="371"/>
        <v>0</v>
      </c>
      <c r="JNR23" s="1902">
        <f t="shared" si="371"/>
        <v>0</v>
      </c>
      <c r="JNS23" s="1902">
        <f t="shared" si="371"/>
        <v>0</v>
      </c>
      <c r="JNT23" s="1902">
        <f t="shared" si="371"/>
        <v>0</v>
      </c>
      <c r="JNU23" s="1902">
        <f t="shared" si="371"/>
        <v>0</v>
      </c>
      <c r="JNV23" s="1902">
        <f t="shared" si="371"/>
        <v>0</v>
      </c>
      <c r="JNW23" s="1902">
        <f t="shared" si="371"/>
        <v>0</v>
      </c>
      <c r="JNX23" s="1902">
        <f t="shared" si="371"/>
        <v>0</v>
      </c>
      <c r="JNY23" s="1902">
        <f t="shared" si="371"/>
        <v>0</v>
      </c>
      <c r="JNZ23" s="1902">
        <f t="shared" si="371"/>
        <v>0</v>
      </c>
      <c r="JOA23" s="1902">
        <f t="shared" si="371"/>
        <v>0</v>
      </c>
      <c r="JOB23" s="1902">
        <f t="shared" si="371"/>
        <v>0</v>
      </c>
      <c r="JOC23" s="1902">
        <f t="shared" si="371"/>
        <v>0</v>
      </c>
      <c r="JOD23" s="1902">
        <f t="shared" si="371"/>
        <v>0</v>
      </c>
      <c r="JOE23" s="1902">
        <f t="shared" si="371"/>
        <v>0</v>
      </c>
      <c r="JOF23" s="1902">
        <f t="shared" si="371"/>
        <v>0</v>
      </c>
      <c r="JOG23" s="1902">
        <f t="shared" si="371"/>
        <v>0</v>
      </c>
      <c r="JOH23" s="1902">
        <f t="shared" si="371"/>
        <v>0</v>
      </c>
      <c r="JOI23" s="1902">
        <f t="shared" si="371"/>
        <v>0</v>
      </c>
      <c r="JOJ23" s="1902">
        <f t="shared" si="371"/>
        <v>0</v>
      </c>
      <c r="JOK23" s="1902">
        <f t="shared" si="371"/>
        <v>0</v>
      </c>
      <c r="JOL23" s="1902">
        <f t="shared" si="371"/>
        <v>0</v>
      </c>
      <c r="JOM23" s="1902">
        <f t="shared" si="371"/>
        <v>0</v>
      </c>
      <c r="JON23" s="1902">
        <f t="shared" si="371"/>
        <v>0</v>
      </c>
      <c r="JOO23" s="1902">
        <f t="shared" si="371"/>
        <v>0</v>
      </c>
      <c r="JOP23" s="1902">
        <f t="shared" si="371"/>
        <v>0</v>
      </c>
      <c r="JOQ23" s="1902">
        <f t="shared" si="371"/>
        <v>0</v>
      </c>
      <c r="JOR23" s="1902">
        <f t="shared" si="371"/>
        <v>0</v>
      </c>
      <c r="JOS23" s="1902">
        <f t="shared" si="371"/>
        <v>0</v>
      </c>
      <c r="JOT23" s="1902">
        <f t="shared" si="371"/>
        <v>0</v>
      </c>
      <c r="JOU23" s="1902">
        <f t="shared" si="371"/>
        <v>0</v>
      </c>
      <c r="JOV23" s="1902">
        <f t="shared" si="371"/>
        <v>0</v>
      </c>
      <c r="JOW23" s="1902">
        <f t="shared" si="371"/>
        <v>0</v>
      </c>
      <c r="JOX23" s="1902">
        <f t="shared" si="371"/>
        <v>0</v>
      </c>
      <c r="JOY23" s="1902">
        <f t="shared" si="371"/>
        <v>0</v>
      </c>
      <c r="JOZ23" s="1902">
        <f t="shared" si="371"/>
        <v>0</v>
      </c>
      <c r="JPA23" s="1902">
        <f t="shared" si="371"/>
        <v>0</v>
      </c>
      <c r="JPB23" s="1902">
        <f t="shared" si="371"/>
        <v>0</v>
      </c>
      <c r="JPC23" s="1902">
        <f t="shared" ref="JPC23:JRN23" si="372">IF(AND(JPC$26="End of period",JPC$25="Revenue"),JPC10,0)</f>
        <v>0</v>
      </c>
      <c r="JPD23" s="1902">
        <f t="shared" si="372"/>
        <v>0</v>
      </c>
      <c r="JPE23" s="1902">
        <f t="shared" si="372"/>
        <v>0</v>
      </c>
      <c r="JPF23" s="1902">
        <f t="shared" si="372"/>
        <v>0</v>
      </c>
      <c r="JPG23" s="1902">
        <f t="shared" si="372"/>
        <v>0</v>
      </c>
      <c r="JPH23" s="1902">
        <f t="shared" si="372"/>
        <v>0</v>
      </c>
      <c r="JPI23" s="1902">
        <f t="shared" si="372"/>
        <v>0</v>
      </c>
      <c r="JPJ23" s="1902">
        <f t="shared" si="372"/>
        <v>0</v>
      </c>
      <c r="JPK23" s="1902">
        <f t="shared" si="372"/>
        <v>0</v>
      </c>
      <c r="JPL23" s="1902">
        <f t="shared" si="372"/>
        <v>0</v>
      </c>
      <c r="JPM23" s="1902">
        <f t="shared" si="372"/>
        <v>0</v>
      </c>
      <c r="JPN23" s="1902">
        <f t="shared" si="372"/>
        <v>0</v>
      </c>
      <c r="JPO23" s="1902">
        <f t="shared" si="372"/>
        <v>0</v>
      </c>
      <c r="JPP23" s="1902">
        <f t="shared" si="372"/>
        <v>0</v>
      </c>
      <c r="JPQ23" s="1902">
        <f t="shared" si="372"/>
        <v>0</v>
      </c>
      <c r="JPR23" s="1902">
        <f t="shared" si="372"/>
        <v>0</v>
      </c>
      <c r="JPS23" s="1902">
        <f t="shared" si="372"/>
        <v>0</v>
      </c>
      <c r="JPT23" s="1902">
        <f t="shared" si="372"/>
        <v>0</v>
      </c>
      <c r="JPU23" s="1902">
        <f t="shared" si="372"/>
        <v>0</v>
      </c>
      <c r="JPV23" s="1902">
        <f t="shared" si="372"/>
        <v>0</v>
      </c>
      <c r="JPW23" s="1902">
        <f t="shared" si="372"/>
        <v>0</v>
      </c>
      <c r="JPX23" s="1902">
        <f t="shared" si="372"/>
        <v>0</v>
      </c>
      <c r="JPY23" s="1902">
        <f t="shared" si="372"/>
        <v>0</v>
      </c>
      <c r="JPZ23" s="1902">
        <f t="shared" si="372"/>
        <v>0</v>
      </c>
      <c r="JQA23" s="1902">
        <f t="shared" si="372"/>
        <v>0</v>
      </c>
      <c r="JQB23" s="1902">
        <f t="shared" si="372"/>
        <v>0</v>
      </c>
      <c r="JQC23" s="1902">
        <f t="shared" si="372"/>
        <v>0</v>
      </c>
      <c r="JQD23" s="1902">
        <f t="shared" si="372"/>
        <v>0</v>
      </c>
      <c r="JQE23" s="1902">
        <f t="shared" si="372"/>
        <v>0</v>
      </c>
      <c r="JQF23" s="1902">
        <f t="shared" si="372"/>
        <v>0</v>
      </c>
      <c r="JQG23" s="1902">
        <f t="shared" si="372"/>
        <v>0</v>
      </c>
      <c r="JQH23" s="1902">
        <f t="shared" si="372"/>
        <v>0</v>
      </c>
      <c r="JQI23" s="1902">
        <f t="shared" si="372"/>
        <v>0</v>
      </c>
      <c r="JQJ23" s="1902">
        <f t="shared" si="372"/>
        <v>0</v>
      </c>
      <c r="JQK23" s="1902">
        <f t="shared" si="372"/>
        <v>0</v>
      </c>
      <c r="JQL23" s="1902">
        <f t="shared" si="372"/>
        <v>0</v>
      </c>
      <c r="JQM23" s="1902">
        <f t="shared" si="372"/>
        <v>0</v>
      </c>
      <c r="JQN23" s="1902">
        <f t="shared" si="372"/>
        <v>0</v>
      </c>
      <c r="JQO23" s="1902">
        <f t="shared" si="372"/>
        <v>0</v>
      </c>
      <c r="JQP23" s="1902">
        <f t="shared" si="372"/>
        <v>0</v>
      </c>
      <c r="JQQ23" s="1902">
        <f t="shared" si="372"/>
        <v>0</v>
      </c>
      <c r="JQR23" s="1902">
        <f t="shared" si="372"/>
        <v>0</v>
      </c>
      <c r="JQS23" s="1902">
        <f t="shared" si="372"/>
        <v>0</v>
      </c>
      <c r="JQT23" s="1902">
        <f t="shared" si="372"/>
        <v>0</v>
      </c>
      <c r="JQU23" s="1902">
        <f t="shared" si="372"/>
        <v>0</v>
      </c>
      <c r="JQV23" s="1902">
        <f t="shared" si="372"/>
        <v>0</v>
      </c>
      <c r="JQW23" s="1902">
        <f t="shared" si="372"/>
        <v>0</v>
      </c>
      <c r="JQX23" s="1902">
        <f t="shared" si="372"/>
        <v>0</v>
      </c>
      <c r="JQY23" s="1902">
        <f t="shared" si="372"/>
        <v>0</v>
      </c>
      <c r="JQZ23" s="1902">
        <f t="shared" si="372"/>
        <v>0</v>
      </c>
      <c r="JRA23" s="1902">
        <f t="shared" si="372"/>
        <v>0</v>
      </c>
      <c r="JRB23" s="1902">
        <f t="shared" si="372"/>
        <v>0</v>
      </c>
      <c r="JRC23" s="1902">
        <f t="shared" si="372"/>
        <v>0</v>
      </c>
      <c r="JRD23" s="1902">
        <f t="shared" si="372"/>
        <v>0</v>
      </c>
      <c r="JRE23" s="1902">
        <f t="shared" si="372"/>
        <v>0</v>
      </c>
      <c r="JRF23" s="1902">
        <f t="shared" si="372"/>
        <v>0</v>
      </c>
      <c r="JRG23" s="1902">
        <f t="shared" si="372"/>
        <v>0</v>
      </c>
      <c r="JRH23" s="1902">
        <f t="shared" si="372"/>
        <v>0</v>
      </c>
      <c r="JRI23" s="1902">
        <f t="shared" si="372"/>
        <v>0</v>
      </c>
      <c r="JRJ23" s="1902">
        <f t="shared" si="372"/>
        <v>0</v>
      </c>
      <c r="JRK23" s="1902">
        <f t="shared" si="372"/>
        <v>0</v>
      </c>
      <c r="JRL23" s="1902">
        <f t="shared" si="372"/>
        <v>0</v>
      </c>
      <c r="JRM23" s="1902">
        <f t="shared" si="372"/>
        <v>0</v>
      </c>
      <c r="JRN23" s="1902">
        <f t="shared" si="372"/>
        <v>0</v>
      </c>
      <c r="JRO23" s="1902">
        <f t="shared" ref="JRO23:JTZ23" si="373">IF(AND(JRO$26="End of period",JRO$25="Revenue"),JRO10,0)</f>
        <v>0</v>
      </c>
      <c r="JRP23" s="1902">
        <f t="shared" si="373"/>
        <v>0</v>
      </c>
      <c r="JRQ23" s="1902">
        <f t="shared" si="373"/>
        <v>0</v>
      </c>
      <c r="JRR23" s="1902">
        <f t="shared" si="373"/>
        <v>0</v>
      </c>
      <c r="JRS23" s="1902">
        <f t="shared" si="373"/>
        <v>0</v>
      </c>
      <c r="JRT23" s="1902">
        <f t="shared" si="373"/>
        <v>0</v>
      </c>
      <c r="JRU23" s="1902">
        <f t="shared" si="373"/>
        <v>0</v>
      </c>
      <c r="JRV23" s="1902">
        <f t="shared" si="373"/>
        <v>0</v>
      </c>
      <c r="JRW23" s="1902">
        <f t="shared" si="373"/>
        <v>0</v>
      </c>
      <c r="JRX23" s="1902">
        <f t="shared" si="373"/>
        <v>0</v>
      </c>
      <c r="JRY23" s="1902">
        <f t="shared" si="373"/>
        <v>0</v>
      </c>
      <c r="JRZ23" s="1902">
        <f t="shared" si="373"/>
        <v>0</v>
      </c>
      <c r="JSA23" s="1902">
        <f t="shared" si="373"/>
        <v>0</v>
      </c>
      <c r="JSB23" s="1902">
        <f t="shared" si="373"/>
        <v>0</v>
      </c>
      <c r="JSC23" s="1902">
        <f t="shared" si="373"/>
        <v>0</v>
      </c>
      <c r="JSD23" s="1902">
        <f t="shared" si="373"/>
        <v>0</v>
      </c>
      <c r="JSE23" s="1902">
        <f t="shared" si="373"/>
        <v>0</v>
      </c>
      <c r="JSF23" s="1902">
        <f t="shared" si="373"/>
        <v>0</v>
      </c>
      <c r="JSG23" s="1902">
        <f t="shared" si="373"/>
        <v>0</v>
      </c>
      <c r="JSH23" s="1902">
        <f t="shared" si="373"/>
        <v>0</v>
      </c>
      <c r="JSI23" s="1902">
        <f t="shared" si="373"/>
        <v>0</v>
      </c>
      <c r="JSJ23" s="1902">
        <f t="shared" si="373"/>
        <v>0</v>
      </c>
      <c r="JSK23" s="1902">
        <f t="shared" si="373"/>
        <v>0</v>
      </c>
      <c r="JSL23" s="1902">
        <f t="shared" si="373"/>
        <v>0</v>
      </c>
      <c r="JSM23" s="1902">
        <f t="shared" si="373"/>
        <v>0</v>
      </c>
      <c r="JSN23" s="1902">
        <f t="shared" si="373"/>
        <v>0</v>
      </c>
      <c r="JSO23" s="1902">
        <f t="shared" si="373"/>
        <v>0</v>
      </c>
      <c r="JSP23" s="1902">
        <f t="shared" si="373"/>
        <v>0</v>
      </c>
      <c r="JSQ23" s="1902">
        <f t="shared" si="373"/>
        <v>0</v>
      </c>
      <c r="JSR23" s="1902">
        <f t="shared" si="373"/>
        <v>0</v>
      </c>
      <c r="JSS23" s="1902">
        <f t="shared" si="373"/>
        <v>0</v>
      </c>
      <c r="JST23" s="1902">
        <f t="shared" si="373"/>
        <v>0</v>
      </c>
      <c r="JSU23" s="1902">
        <f t="shared" si="373"/>
        <v>0</v>
      </c>
      <c r="JSV23" s="1902">
        <f t="shared" si="373"/>
        <v>0</v>
      </c>
      <c r="JSW23" s="1902">
        <f t="shared" si="373"/>
        <v>0</v>
      </c>
      <c r="JSX23" s="1902">
        <f t="shared" si="373"/>
        <v>0</v>
      </c>
      <c r="JSY23" s="1902">
        <f t="shared" si="373"/>
        <v>0</v>
      </c>
      <c r="JSZ23" s="1902">
        <f t="shared" si="373"/>
        <v>0</v>
      </c>
      <c r="JTA23" s="1902">
        <f t="shared" si="373"/>
        <v>0</v>
      </c>
      <c r="JTB23" s="1902">
        <f t="shared" si="373"/>
        <v>0</v>
      </c>
      <c r="JTC23" s="1902">
        <f t="shared" si="373"/>
        <v>0</v>
      </c>
      <c r="JTD23" s="1902">
        <f t="shared" si="373"/>
        <v>0</v>
      </c>
      <c r="JTE23" s="1902">
        <f t="shared" si="373"/>
        <v>0</v>
      </c>
      <c r="JTF23" s="1902">
        <f t="shared" si="373"/>
        <v>0</v>
      </c>
      <c r="JTG23" s="1902">
        <f t="shared" si="373"/>
        <v>0</v>
      </c>
      <c r="JTH23" s="1902">
        <f t="shared" si="373"/>
        <v>0</v>
      </c>
      <c r="JTI23" s="1902">
        <f t="shared" si="373"/>
        <v>0</v>
      </c>
      <c r="JTJ23" s="1902">
        <f t="shared" si="373"/>
        <v>0</v>
      </c>
      <c r="JTK23" s="1902">
        <f t="shared" si="373"/>
        <v>0</v>
      </c>
      <c r="JTL23" s="1902">
        <f t="shared" si="373"/>
        <v>0</v>
      </c>
      <c r="JTM23" s="1902">
        <f t="shared" si="373"/>
        <v>0</v>
      </c>
      <c r="JTN23" s="1902">
        <f t="shared" si="373"/>
        <v>0</v>
      </c>
      <c r="JTO23" s="1902">
        <f t="shared" si="373"/>
        <v>0</v>
      </c>
      <c r="JTP23" s="1902">
        <f t="shared" si="373"/>
        <v>0</v>
      </c>
      <c r="JTQ23" s="1902">
        <f t="shared" si="373"/>
        <v>0</v>
      </c>
      <c r="JTR23" s="1902">
        <f t="shared" si="373"/>
        <v>0</v>
      </c>
      <c r="JTS23" s="1902">
        <f t="shared" si="373"/>
        <v>0</v>
      </c>
      <c r="JTT23" s="1902">
        <f t="shared" si="373"/>
        <v>0</v>
      </c>
      <c r="JTU23" s="1902">
        <f t="shared" si="373"/>
        <v>0</v>
      </c>
      <c r="JTV23" s="1902">
        <f t="shared" si="373"/>
        <v>0</v>
      </c>
      <c r="JTW23" s="1902">
        <f t="shared" si="373"/>
        <v>0</v>
      </c>
      <c r="JTX23" s="1902">
        <f t="shared" si="373"/>
        <v>0</v>
      </c>
      <c r="JTY23" s="1902">
        <f t="shared" si="373"/>
        <v>0</v>
      </c>
      <c r="JTZ23" s="1902">
        <f t="shared" si="373"/>
        <v>0</v>
      </c>
      <c r="JUA23" s="1902">
        <f t="shared" ref="JUA23:JWL23" si="374">IF(AND(JUA$26="End of period",JUA$25="Revenue"),JUA10,0)</f>
        <v>0</v>
      </c>
      <c r="JUB23" s="1902">
        <f t="shared" si="374"/>
        <v>0</v>
      </c>
      <c r="JUC23" s="1902">
        <f t="shared" si="374"/>
        <v>0</v>
      </c>
      <c r="JUD23" s="1902">
        <f t="shared" si="374"/>
        <v>0</v>
      </c>
      <c r="JUE23" s="1902">
        <f t="shared" si="374"/>
        <v>0</v>
      </c>
      <c r="JUF23" s="1902">
        <f t="shared" si="374"/>
        <v>0</v>
      </c>
      <c r="JUG23" s="1902">
        <f t="shared" si="374"/>
        <v>0</v>
      </c>
      <c r="JUH23" s="1902">
        <f t="shared" si="374"/>
        <v>0</v>
      </c>
      <c r="JUI23" s="1902">
        <f t="shared" si="374"/>
        <v>0</v>
      </c>
      <c r="JUJ23" s="1902">
        <f t="shared" si="374"/>
        <v>0</v>
      </c>
      <c r="JUK23" s="1902">
        <f t="shared" si="374"/>
        <v>0</v>
      </c>
      <c r="JUL23" s="1902">
        <f t="shared" si="374"/>
        <v>0</v>
      </c>
      <c r="JUM23" s="1902">
        <f t="shared" si="374"/>
        <v>0</v>
      </c>
      <c r="JUN23" s="1902">
        <f t="shared" si="374"/>
        <v>0</v>
      </c>
      <c r="JUO23" s="1902">
        <f t="shared" si="374"/>
        <v>0</v>
      </c>
      <c r="JUP23" s="1902">
        <f t="shared" si="374"/>
        <v>0</v>
      </c>
      <c r="JUQ23" s="1902">
        <f t="shared" si="374"/>
        <v>0</v>
      </c>
      <c r="JUR23" s="1902">
        <f t="shared" si="374"/>
        <v>0</v>
      </c>
      <c r="JUS23" s="1902">
        <f t="shared" si="374"/>
        <v>0</v>
      </c>
      <c r="JUT23" s="1902">
        <f t="shared" si="374"/>
        <v>0</v>
      </c>
      <c r="JUU23" s="1902">
        <f t="shared" si="374"/>
        <v>0</v>
      </c>
      <c r="JUV23" s="1902">
        <f t="shared" si="374"/>
        <v>0</v>
      </c>
      <c r="JUW23" s="1902">
        <f t="shared" si="374"/>
        <v>0</v>
      </c>
      <c r="JUX23" s="1902">
        <f t="shared" si="374"/>
        <v>0</v>
      </c>
      <c r="JUY23" s="1902">
        <f t="shared" si="374"/>
        <v>0</v>
      </c>
      <c r="JUZ23" s="1902">
        <f t="shared" si="374"/>
        <v>0</v>
      </c>
      <c r="JVA23" s="1902">
        <f t="shared" si="374"/>
        <v>0</v>
      </c>
      <c r="JVB23" s="1902">
        <f t="shared" si="374"/>
        <v>0</v>
      </c>
      <c r="JVC23" s="1902">
        <f t="shared" si="374"/>
        <v>0</v>
      </c>
      <c r="JVD23" s="1902">
        <f t="shared" si="374"/>
        <v>0</v>
      </c>
      <c r="JVE23" s="1902">
        <f t="shared" si="374"/>
        <v>0</v>
      </c>
      <c r="JVF23" s="1902">
        <f t="shared" si="374"/>
        <v>0</v>
      </c>
      <c r="JVG23" s="1902">
        <f t="shared" si="374"/>
        <v>0</v>
      </c>
      <c r="JVH23" s="1902">
        <f t="shared" si="374"/>
        <v>0</v>
      </c>
      <c r="JVI23" s="1902">
        <f t="shared" si="374"/>
        <v>0</v>
      </c>
      <c r="JVJ23" s="1902">
        <f t="shared" si="374"/>
        <v>0</v>
      </c>
      <c r="JVK23" s="1902">
        <f t="shared" si="374"/>
        <v>0</v>
      </c>
      <c r="JVL23" s="1902">
        <f t="shared" si="374"/>
        <v>0</v>
      </c>
      <c r="JVM23" s="1902">
        <f t="shared" si="374"/>
        <v>0</v>
      </c>
      <c r="JVN23" s="1902">
        <f t="shared" si="374"/>
        <v>0</v>
      </c>
      <c r="JVO23" s="1902">
        <f t="shared" si="374"/>
        <v>0</v>
      </c>
      <c r="JVP23" s="1902">
        <f t="shared" si="374"/>
        <v>0</v>
      </c>
      <c r="JVQ23" s="1902">
        <f t="shared" si="374"/>
        <v>0</v>
      </c>
      <c r="JVR23" s="1902">
        <f t="shared" si="374"/>
        <v>0</v>
      </c>
      <c r="JVS23" s="1902">
        <f t="shared" si="374"/>
        <v>0</v>
      </c>
      <c r="JVT23" s="1902">
        <f t="shared" si="374"/>
        <v>0</v>
      </c>
      <c r="JVU23" s="1902">
        <f t="shared" si="374"/>
        <v>0</v>
      </c>
      <c r="JVV23" s="1902">
        <f t="shared" si="374"/>
        <v>0</v>
      </c>
      <c r="JVW23" s="1902">
        <f t="shared" si="374"/>
        <v>0</v>
      </c>
      <c r="JVX23" s="1902">
        <f t="shared" si="374"/>
        <v>0</v>
      </c>
      <c r="JVY23" s="1902">
        <f t="shared" si="374"/>
        <v>0</v>
      </c>
      <c r="JVZ23" s="1902">
        <f t="shared" si="374"/>
        <v>0</v>
      </c>
      <c r="JWA23" s="1902">
        <f t="shared" si="374"/>
        <v>0</v>
      </c>
      <c r="JWB23" s="1902">
        <f t="shared" si="374"/>
        <v>0</v>
      </c>
      <c r="JWC23" s="1902">
        <f t="shared" si="374"/>
        <v>0</v>
      </c>
      <c r="JWD23" s="1902">
        <f t="shared" si="374"/>
        <v>0</v>
      </c>
      <c r="JWE23" s="1902">
        <f t="shared" si="374"/>
        <v>0</v>
      </c>
      <c r="JWF23" s="1902">
        <f t="shared" si="374"/>
        <v>0</v>
      </c>
      <c r="JWG23" s="1902">
        <f t="shared" si="374"/>
        <v>0</v>
      </c>
      <c r="JWH23" s="1902">
        <f t="shared" si="374"/>
        <v>0</v>
      </c>
      <c r="JWI23" s="1902">
        <f t="shared" si="374"/>
        <v>0</v>
      </c>
      <c r="JWJ23" s="1902">
        <f t="shared" si="374"/>
        <v>0</v>
      </c>
      <c r="JWK23" s="1902">
        <f t="shared" si="374"/>
        <v>0</v>
      </c>
      <c r="JWL23" s="1902">
        <f t="shared" si="374"/>
        <v>0</v>
      </c>
      <c r="JWM23" s="1902">
        <f t="shared" ref="JWM23:JYX23" si="375">IF(AND(JWM$26="End of period",JWM$25="Revenue"),JWM10,0)</f>
        <v>0</v>
      </c>
      <c r="JWN23" s="1902">
        <f t="shared" si="375"/>
        <v>0</v>
      </c>
      <c r="JWO23" s="1902">
        <f t="shared" si="375"/>
        <v>0</v>
      </c>
      <c r="JWP23" s="1902">
        <f t="shared" si="375"/>
        <v>0</v>
      </c>
      <c r="JWQ23" s="1902">
        <f t="shared" si="375"/>
        <v>0</v>
      </c>
      <c r="JWR23" s="1902">
        <f t="shared" si="375"/>
        <v>0</v>
      </c>
      <c r="JWS23" s="1902">
        <f t="shared" si="375"/>
        <v>0</v>
      </c>
      <c r="JWT23" s="1902">
        <f t="shared" si="375"/>
        <v>0</v>
      </c>
      <c r="JWU23" s="1902">
        <f t="shared" si="375"/>
        <v>0</v>
      </c>
      <c r="JWV23" s="1902">
        <f t="shared" si="375"/>
        <v>0</v>
      </c>
      <c r="JWW23" s="1902">
        <f t="shared" si="375"/>
        <v>0</v>
      </c>
      <c r="JWX23" s="1902">
        <f t="shared" si="375"/>
        <v>0</v>
      </c>
      <c r="JWY23" s="1902">
        <f t="shared" si="375"/>
        <v>0</v>
      </c>
      <c r="JWZ23" s="1902">
        <f t="shared" si="375"/>
        <v>0</v>
      </c>
      <c r="JXA23" s="1902">
        <f t="shared" si="375"/>
        <v>0</v>
      </c>
      <c r="JXB23" s="1902">
        <f t="shared" si="375"/>
        <v>0</v>
      </c>
      <c r="JXC23" s="1902">
        <f t="shared" si="375"/>
        <v>0</v>
      </c>
      <c r="JXD23" s="1902">
        <f t="shared" si="375"/>
        <v>0</v>
      </c>
      <c r="JXE23" s="1902">
        <f t="shared" si="375"/>
        <v>0</v>
      </c>
      <c r="JXF23" s="1902">
        <f t="shared" si="375"/>
        <v>0</v>
      </c>
      <c r="JXG23" s="1902">
        <f t="shared" si="375"/>
        <v>0</v>
      </c>
      <c r="JXH23" s="1902">
        <f t="shared" si="375"/>
        <v>0</v>
      </c>
      <c r="JXI23" s="1902">
        <f t="shared" si="375"/>
        <v>0</v>
      </c>
      <c r="JXJ23" s="1902">
        <f t="shared" si="375"/>
        <v>0</v>
      </c>
      <c r="JXK23" s="1902">
        <f t="shared" si="375"/>
        <v>0</v>
      </c>
      <c r="JXL23" s="1902">
        <f t="shared" si="375"/>
        <v>0</v>
      </c>
      <c r="JXM23" s="1902">
        <f t="shared" si="375"/>
        <v>0</v>
      </c>
      <c r="JXN23" s="1902">
        <f t="shared" si="375"/>
        <v>0</v>
      </c>
      <c r="JXO23" s="1902">
        <f t="shared" si="375"/>
        <v>0</v>
      </c>
      <c r="JXP23" s="1902">
        <f t="shared" si="375"/>
        <v>0</v>
      </c>
      <c r="JXQ23" s="1902">
        <f t="shared" si="375"/>
        <v>0</v>
      </c>
      <c r="JXR23" s="1902">
        <f t="shared" si="375"/>
        <v>0</v>
      </c>
      <c r="JXS23" s="1902">
        <f t="shared" si="375"/>
        <v>0</v>
      </c>
      <c r="JXT23" s="1902">
        <f t="shared" si="375"/>
        <v>0</v>
      </c>
      <c r="JXU23" s="1902">
        <f t="shared" si="375"/>
        <v>0</v>
      </c>
      <c r="JXV23" s="1902">
        <f t="shared" si="375"/>
        <v>0</v>
      </c>
      <c r="JXW23" s="1902">
        <f t="shared" si="375"/>
        <v>0</v>
      </c>
      <c r="JXX23" s="1902">
        <f t="shared" si="375"/>
        <v>0</v>
      </c>
      <c r="JXY23" s="1902">
        <f t="shared" si="375"/>
        <v>0</v>
      </c>
      <c r="JXZ23" s="1902">
        <f t="shared" si="375"/>
        <v>0</v>
      </c>
      <c r="JYA23" s="1902">
        <f t="shared" si="375"/>
        <v>0</v>
      </c>
      <c r="JYB23" s="1902">
        <f t="shared" si="375"/>
        <v>0</v>
      </c>
      <c r="JYC23" s="1902">
        <f t="shared" si="375"/>
        <v>0</v>
      </c>
      <c r="JYD23" s="1902">
        <f t="shared" si="375"/>
        <v>0</v>
      </c>
      <c r="JYE23" s="1902">
        <f t="shared" si="375"/>
        <v>0</v>
      </c>
      <c r="JYF23" s="1902">
        <f t="shared" si="375"/>
        <v>0</v>
      </c>
      <c r="JYG23" s="1902">
        <f t="shared" si="375"/>
        <v>0</v>
      </c>
      <c r="JYH23" s="1902">
        <f t="shared" si="375"/>
        <v>0</v>
      </c>
      <c r="JYI23" s="1902">
        <f t="shared" si="375"/>
        <v>0</v>
      </c>
      <c r="JYJ23" s="1902">
        <f t="shared" si="375"/>
        <v>0</v>
      </c>
      <c r="JYK23" s="1902">
        <f t="shared" si="375"/>
        <v>0</v>
      </c>
      <c r="JYL23" s="1902">
        <f t="shared" si="375"/>
        <v>0</v>
      </c>
      <c r="JYM23" s="1902">
        <f t="shared" si="375"/>
        <v>0</v>
      </c>
      <c r="JYN23" s="1902">
        <f t="shared" si="375"/>
        <v>0</v>
      </c>
      <c r="JYO23" s="1902">
        <f t="shared" si="375"/>
        <v>0</v>
      </c>
      <c r="JYP23" s="1902">
        <f t="shared" si="375"/>
        <v>0</v>
      </c>
      <c r="JYQ23" s="1902">
        <f t="shared" si="375"/>
        <v>0</v>
      </c>
      <c r="JYR23" s="1902">
        <f t="shared" si="375"/>
        <v>0</v>
      </c>
      <c r="JYS23" s="1902">
        <f t="shared" si="375"/>
        <v>0</v>
      </c>
      <c r="JYT23" s="1902">
        <f t="shared" si="375"/>
        <v>0</v>
      </c>
      <c r="JYU23" s="1902">
        <f t="shared" si="375"/>
        <v>0</v>
      </c>
      <c r="JYV23" s="1902">
        <f t="shared" si="375"/>
        <v>0</v>
      </c>
      <c r="JYW23" s="1902">
        <f t="shared" si="375"/>
        <v>0</v>
      </c>
      <c r="JYX23" s="1902">
        <f t="shared" si="375"/>
        <v>0</v>
      </c>
      <c r="JYY23" s="1902">
        <f t="shared" ref="JYY23:KBJ23" si="376">IF(AND(JYY$26="End of period",JYY$25="Revenue"),JYY10,0)</f>
        <v>0</v>
      </c>
      <c r="JYZ23" s="1902">
        <f t="shared" si="376"/>
        <v>0</v>
      </c>
      <c r="JZA23" s="1902">
        <f t="shared" si="376"/>
        <v>0</v>
      </c>
      <c r="JZB23" s="1902">
        <f t="shared" si="376"/>
        <v>0</v>
      </c>
      <c r="JZC23" s="1902">
        <f t="shared" si="376"/>
        <v>0</v>
      </c>
      <c r="JZD23" s="1902">
        <f t="shared" si="376"/>
        <v>0</v>
      </c>
      <c r="JZE23" s="1902">
        <f t="shared" si="376"/>
        <v>0</v>
      </c>
      <c r="JZF23" s="1902">
        <f t="shared" si="376"/>
        <v>0</v>
      </c>
      <c r="JZG23" s="1902">
        <f t="shared" si="376"/>
        <v>0</v>
      </c>
      <c r="JZH23" s="1902">
        <f t="shared" si="376"/>
        <v>0</v>
      </c>
      <c r="JZI23" s="1902">
        <f t="shared" si="376"/>
        <v>0</v>
      </c>
      <c r="JZJ23" s="1902">
        <f t="shared" si="376"/>
        <v>0</v>
      </c>
      <c r="JZK23" s="1902">
        <f t="shared" si="376"/>
        <v>0</v>
      </c>
      <c r="JZL23" s="1902">
        <f t="shared" si="376"/>
        <v>0</v>
      </c>
      <c r="JZM23" s="1902">
        <f t="shared" si="376"/>
        <v>0</v>
      </c>
      <c r="JZN23" s="1902">
        <f t="shared" si="376"/>
        <v>0</v>
      </c>
      <c r="JZO23" s="1902">
        <f t="shared" si="376"/>
        <v>0</v>
      </c>
      <c r="JZP23" s="1902">
        <f t="shared" si="376"/>
        <v>0</v>
      </c>
      <c r="JZQ23" s="1902">
        <f t="shared" si="376"/>
        <v>0</v>
      </c>
      <c r="JZR23" s="1902">
        <f t="shared" si="376"/>
        <v>0</v>
      </c>
      <c r="JZS23" s="1902">
        <f t="shared" si="376"/>
        <v>0</v>
      </c>
      <c r="JZT23" s="1902">
        <f t="shared" si="376"/>
        <v>0</v>
      </c>
      <c r="JZU23" s="1902">
        <f t="shared" si="376"/>
        <v>0</v>
      </c>
      <c r="JZV23" s="1902">
        <f t="shared" si="376"/>
        <v>0</v>
      </c>
      <c r="JZW23" s="1902">
        <f t="shared" si="376"/>
        <v>0</v>
      </c>
      <c r="JZX23" s="1902">
        <f t="shared" si="376"/>
        <v>0</v>
      </c>
      <c r="JZY23" s="1902">
        <f t="shared" si="376"/>
        <v>0</v>
      </c>
      <c r="JZZ23" s="1902">
        <f t="shared" si="376"/>
        <v>0</v>
      </c>
      <c r="KAA23" s="1902">
        <f t="shared" si="376"/>
        <v>0</v>
      </c>
      <c r="KAB23" s="1902">
        <f t="shared" si="376"/>
        <v>0</v>
      </c>
      <c r="KAC23" s="1902">
        <f t="shared" si="376"/>
        <v>0</v>
      </c>
      <c r="KAD23" s="1902">
        <f t="shared" si="376"/>
        <v>0</v>
      </c>
      <c r="KAE23" s="1902">
        <f t="shared" si="376"/>
        <v>0</v>
      </c>
      <c r="KAF23" s="1902">
        <f t="shared" si="376"/>
        <v>0</v>
      </c>
      <c r="KAG23" s="1902">
        <f t="shared" si="376"/>
        <v>0</v>
      </c>
      <c r="KAH23" s="1902">
        <f t="shared" si="376"/>
        <v>0</v>
      </c>
      <c r="KAI23" s="1902">
        <f t="shared" si="376"/>
        <v>0</v>
      </c>
      <c r="KAJ23" s="1902">
        <f t="shared" si="376"/>
        <v>0</v>
      </c>
      <c r="KAK23" s="1902">
        <f t="shared" si="376"/>
        <v>0</v>
      </c>
      <c r="KAL23" s="1902">
        <f t="shared" si="376"/>
        <v>0</v>
      </c>
      <c r="KAM23" s="1902">
        <f t="shared" si="376"/>
        <v>0</v>
      </c>
      <c r="KAN23" s="1902">
        <f t="shared" si="376"/>
        <v>0</v>
      </c>
      <c r="KAO23" s="1902">
        <f t="shared" si="376"/>
        <v>0</v>
      </c>
      <c r="KAP23" s="1902">
        <f t="shared" si="376"/>
        <v>0</v>
      </c>
      <c r="KAQ23" s="1902">
        <f t="shared" si="376"/>
        <v>0</v>
      </c>
      <c r="KAR23" s="1902">
        <f t="shared" si="376"/>
        <v>0</v>
      </c>
      <c r="KAS23" s="1902">
        <f t="shared" si="376"/>
        <v>0</v>
      </c>
      <c r="KAT23" s="1902">
        <f t="shared" si="376"/>
        <v>0</v>
      </c>
      <c r="KAU23" s="1902">
        <f t="shared" si="376"/>
        <v>0</v>
      </c>
      <c r="KAV23" s="1902">
        <f t="shared" si="376"/>
        <v>0</v>
      </c>
      <c r="KAW23" s="1902">
        <f t="shared" si="376"/>
        <v>0</v>
      </c>
      <c r="KAX23" s="1902">
        <f t="shared" si="376"/>
        <v>0</v>
      </c>
      <c r="KAY23" s="1902">
        <f t="shared" si="376"/>
        <v>0</v>
      </c>
      <c r="KAZ23" s="1902">
        <f t="shared" si="376"/>
        <v>0</v>
      </c>
      <c r="KBA23" s="1902">
        <f t="shared" si="376"/>
        <v>0</v>
      </c>
      <c r="KBB23" s="1902">
        <f t="shared" si="376"/>
        <v>0</v>
      </c>
      <c r="KBC23" s="1902">
        <f t="shared" si="376"/>
        <v>0</v>
      </c>
      <c r="KBD23" s="1902">
        <f t="shared" si="376"/>
        <v>0</v>
      </c>
      <c r="KBE23" s="1902">
        <f t="shared" si="376"/>
        <v>0</v>
      </c>
      <c r="KBF23" s="1902">
        <f t="shared" si="376"/>
        <v>0</v>
      </c>
      <c r="KBG23" s="1902">
        <f t="shared" si="376"/>
        <v>0</v>
      </c>
      <c r="KBH23" s="1902">
        <f t="shared" si="376"/>
        <v>0</v>
      </c>
      <c r="KBI23" s="1902">
        <f t="shared" si="376"/>
        <v>0</v>
      </c>
      <c r="KBJ23" s="1902">
        <f t="shared" si="376"/>
        <v>0</v>
      </c>
      <c r="KBK23" s="1902">
        <f t="shared" ref="KBK23:KDV23" si="377">IF(AND(KBK$26="End of period",KBK$25="Revenue"),KBK10,0)</f>
        <v>0</v>
      </c>
      <c r="KBL23" s="1902">
        <f t="shared" si="377"/>
        <v>0</v>
      </c>
      <c r="KBM23" s="1902">
        <f t="shared" si="377"/>
        <v>0</v>
      </c>
      <c r="KBN23" s="1902">
        <f t="shared" si="377"/>
        <v>0</v>
      </c>
      <c r="KBO23" s="1902">
        <f t="shared" si="377"/>
        <v>0</v>
      </c>
      <c r="KBP23" s="1902">
        <f t="shared" si="377"/>
        <v>0</v>
      </c>
      <c r="KBQ23" s="1902">
        <f t="shared" si="377"/>
        <v>0</v>
      </c>
      <c r="KBR23" s="1902">
        <f t="shared" si="377"/>
        <v>0</v>
      </c>
      <c r="KBS23" s="1902">
        <f t="shared" si="377"/>
        <v>0</v>
      </c>
      <c r="KBT23" s="1902">
        <f t="shared" si="377"/>
        <v>0</v>
      </c>
      <c r="KBU23" s="1902">
        <f t="shared" si="377"/>
        <v>0</v>
      </c>
      <c r="KBV23" s="1902">
        <f t="shared" si="377"/>
        <v>0</v>
      </c>
      <c r="KBW23" s="1902">
        <f t="shared" si="377"/>
        <v>0</v>
      </c>
      <c r="KBX23" s="1902">
        <f t="shared" si="377"/>
        <v>0</v>
      </c>
      <c r="KBY23" s="1902">
        <f t="shared" si="377"/>
        <v>0</v>
      </c>
      <c r="KBZ23" s="1902">
        <f t="shared" si="377"/>
        <v>0</v>
      </c>
      <c r="KCA23" s="1902">
        <f t="shared" si="377"/>
        <v>0</v>
      </c>
      <c r="KCB23" s="1902">
        <f t="shared" si="377"/>
        <v>0</v>
      </c>
      <c r="KCC23" s="1902">
        <f t="shared" si="377"/>
        <v>0</v>
      </c>
      <c r="KCD23" s="1902">
        <f t="shared" si="377"/>
        <v>0</v>
      </c>
      <c r="KCE23" s="1902">
        <f t="shared" si="377"/>
        <v>0</v>
      </c>
      <c r="KCF23" s="1902">
        <f t="shared" si="377"/>
        <v>0</v>
      </c>
      <c r="KCG23" s="1902">
        <f t="shared" si="377"/>
        <v>0</v>
      </c>
      <c r="KCH23" s="1902">
        <f t="shared" si="377"/>
        <v>0</v>
      </c>
      <c r="KCI23" s="1902">
        <f t="shared" si="377"/>
        <v>0</v>
      </c>
      <c r="KCJ23" s="1902">
        <f t="shared" si="377"/>
        <v>0</v>
      </c>
      <c r="KCK23" s="1902">
        <f t="shared" si="377"/>
        <v>0</v>
      </c>
      <c r="KCL23" s="1902">
        <f t="shared" si="377"/>
        <v>0</v>
      </c>
      <c r="KCM23" s="1902">
        <f t="shared" si="377"/>
        <v>0</v>
      </c>
      <c r="KCN23" s="1902">
        <f t="shared" si="377"/>
        <v>0</v>
      </c>
      <c r="KCO23" s="1902">
        <f t="shared" si="377"/>
        <v>0</v>
      </c>
      <c r="KCP23" s="1902">
        <f t="shared" si="377"/>
        <v>0</v>
      </c>
      <c r="KCQ23" s="1902">
        <f t="shared" si="377"/>
        <v>0</v>
      </c>
      <c r="KCR23" s="1902">
        <f t="shared" si="377"/>
        <v>0</v>
      </c>
      <c r="KCS23" s="1902">
        <f t="shared" si="377"/>
        <v>0</v>
      </c>
      <c r="KCT23" s="1902">
        <f t="shared" si="377"/>
        <v>0</v>
      </c>
      <c r="KCU23" s="1902">
        <f t="shared" si="377"/>
        <v>0</v>
      </c>
      <c r="KCV23" s="1902">
        <f t="shared" si="377"/>
        <v>0</v>
      </c>
      <c r="KCW23" s="1902">
        <f t="shared" si="377"/>
        <v>0</v>
      </c>
      <c r="KCX23" s="1902">
        <f t="shared" si="377"/>
        <v>0</v>
      </c>
      <c r="KCY23" s="1902">
        <f t="shared" si="377"/>
        <v>0</v>
      </c>
      <c r="KCZ23" s="1902">
        <f t="shared" si="377"/>
        <v>0</v>
      </c>
      <c r="KDA23" s="1902">
        <f t="shared" si="377"/>
        <v>0</v>
      </c>
      <c r="KDB23" s="1902">
        <f t="shared" si="377"/>
        <v>0</v>
      </c>
      <c r="KDC23" s="1902">
        <f t="shared" si="377"/>
        <v>0</v>
      </c>
      <c r="KDD23" s="1902">
        <f t="shared" si="377"/>
        <v>0</v>
      </c>
      <c r="KDE23" s="1902">
        <f t="shared" si="377"/>
        <v>0</v>
      </c>
      <c r="KDF23" s="1902">
        <f t="shared" si="377"/>
        <v>0</v>
      </c>
      <c r="KDG23" s="1902">
        <f t="shared" si="377"/>
        <v>0</v>
      </c>
      <c r="KDH23" s="1902">
        <f t="shared" si="377"/>
        <v>0</v>
      </c>
      <c r="KDI23" s="1902">
        <f t="shared" si="377"/>
        <v>0</v>
      </c>
      <c r="KDJ23" s="1902">
        <f t="shared" si="377"/>
        <v>0</v>
      </c>
      <c r="KDK23" s="1902">
        <f t="shared" si="377"/>
        <v>0</v>
      </c>
      <c r="KDL23" s="1902">
        <f t="shared" si="377"/>
        <v>0</v>
      </c>
      <c r="KDM23" s="1902">
        <f t="shared" si="377"/>
        <v>0</v>
      </c>
      <c r="KDN23" s="1902">
        <f t="shared" si="377"/>
        <v>0</v>
      </c>
      <c r="KDO23" s="1902">
        <f t="shared" si="377"/>
        <v>0</v>
      </c>
      <c r="KDP23" s="1902">
        <f t="shared" si="377"/>
        <v>0</v>
      </c>
      <c r="KDQ23" s="1902">
        <f t="shared" si="377"/>
        <v>0</v>
      </c>
      <c r="KDR23" s="1902">
        <f t="shared" si="377"/>
        <v>0</v>
      </c>
      <c r="KDS23" s="1902">
        <f t="shared" si="377"/>
        <v>0</v>
      </c>
      <c r="KDT23" s="1902">
        <f t="shared" si="377"/>
        <v>0</v>
      </c>
      <c r="KDU23" s="1902">
        <f t="shared" si="377"/>
        <v>0</v>
      </c>
      <c r="KDV23" s="1902">
        <f t="shared" si="377"/>
        <v>0</v>
      </c>
      <c r="KDW23" s="1902">
        <f t="shared" ref="KDW23:KGH23" si="378">IF(AND(KDW$26="End of period",KDW$25="Revenue"),KDW10,0)</f>
        <v>0</v>
      </c>
      <c r="KDX23" s="1902">
        <f t="shared" si="378"/>
        <v>0</v>
      </c>
      <c r="KDY23" s="1902">
        <f t="shared" si="378"/>
        <v>0</v>
      </c>
      <c r="KDZ23" s="1902">
        <f t="shared" si="378"/>
        <v>0</v>
      </c>
      <c r="KEA23" s="1902">
        <f t="shared" si="378"/>
        <v>0</v>
      </c>
      <c r="KEB23" s="1902">
        <f t="shared" si="378"/>
        <v>0</v>
      </c>
      <c r="KEC23" s="1902">
        <f t="shared" si="378"/>
        <v>0</v>
      </c>
      <c r="KED23" s="1902">
        <f t="shared" si="378"/>
        <v>0</v>
      </c>
      <c r="KEE23" s="1902">
        <f t="shared" si="378"/>
        <v>0</v>
      </c>
      <c r="KEF23" s="1902">
        <f t="shared" si="378"/>
        <v>0</v>
      </c>
      <c r="KEG23" s="1902">
        <f t="shared" si="378"/>
        <v>0</v>
      </c>
      <c r="KEH23" s="1902">
        <f t="shared" si="378"/>
        <v>0</v>
      </c>
      <c r="KEI23" s="1902">
        <f t="shared" si="378"/>
        <v>0</v>
      </c>
      <c r="KEJ23" s="1902">
        <f t="shared" si="378"/>
        <v>0</v>
      </c>
      <c r="KEK23" s="1902">
        <f t="shared" si="378"/>
        <v>0</v>
      </c>
      <c r="KEL23" s="1902">
        <f t="shared" si="378"/>
        <v>0</v>
      </c>
      <c r="KEM23" s="1902">
        <f t="shared" si="378"/>
        <v>0</v>
      </c>
      <c r="KEN23" s="1902">
        <f t="shared" si="378"/>
        <v>0</v>
      </c>
      <c r="KEO23" s="1902">
        <f t="shared" si="378"/>
        <v>0</v>
      </c>
      <c r="KEP23" s="1902">
        <f t="shared" si="378"/>
        <v>0</v>
      </c>
      <c r="KEQ23" s="1902">
        <f t="shared" si="378"/>
        <v>0</v>
      </c>
      <c r="KER23" s="1902">
        <f t="shared" si="378"/>
        <v>0</v>
      </c>
      <c r="KES23" s="1902">
        <f t="shared" si="378"/>
        <v>0</v>
      </c>
      <c r="KET23" s="1902">
        <f t="shared" si="378"/>
        <v>0</v>
      </c>
      <c r="KEU23" s="1902">
        <f t="shared" si="378"/>
        <v>0</v>
      </c>
      <c r="KEV23" s="1902">
        <f t="shared" si="378"/>
        <v>0</v>
      </c>
      <c r="KEW23" s="1902">
        <f t="shared" si="378"/>
        <v>0</v>
      </c>
      <c r="KEX23" s="1902">
        <f t="shared" si="378"/>
        <v>0</v>
      </c>
      <c r="KEY23" s="1902">
        <f t="shared" si="378"/>
        <v>0</v>
      </c>
      <c r="KEZ23" s="1902">
        <f t="shared" si="378"/>
        <v>0</v>
      </c>
      <c r="KFA23" s="1902">
        <f t="shared" si="378"/>
        <v>0</v>
      </c>
      <c r="KFB23" s="1902">
        <f t="shared" si="378"/>
        <v>0</v>
      </c>
      <c r="KFC23" s="1902">
        <f t="shared" si="378"/>
        <v>0</v>
      </c>
      <c r="KFD23" s="1902">
        <f t="shared" si="378"/>
        <v>0</v>
      </c>
      <c r="KFE23" s="1902">
        <f t="shared" si="378"/>
        <v>0</v>
      </c>
      <c r="KFF23" s="1902">
        <f t="shared" si="378"/>
        <v>0</v>
      </c>
      <c r="KFG23" s="1902">
        <f t="shared" si="378"/>
        <v>0</v>
      </c>
      <c r="KFH23" s="1902">
        <f t="shared" si="378"/>
        <v>0</v>
      </c>
      <c r="KFI23" s="1902">
        <f t="shared" si="378"/>
        <v>0</v>
      </c>
      <c r="KFJ23" s="1902">
        <f t="shared" si="378"/>
        <v>0</v>
      </c>
      <c r="KFK23" s="1902">
        <f t="shared" si="378"/>
        <v>0</v>
      </c>
      <c r="KFL23" s="1902">
        <f t="shared" si="378"/>
        <v>0</v>
      </c>
      <c r="KFM23" s="1902">
        <f t="shared" si="378"/>
        <v>0</v>
      </c>
      <c r="KFN23" s="1902">
        <f t="shared" si="378"/>
        <v>0</v>
      </c>
      <c r="KFO23" s="1902">
        <f t="shared" si="378"/>
        <v>0</v>
      </c>
      <c r="KFP23" s="1902">
        <f t="shared" si="378"/>
        <v>0</v>
      </c>
      <c r="KFQ23" s="1902">
        <f t="shared" si="378"/>
        <v>0</v>
      </c>
      <c r="KFR23" s="1902">
        <f t="shared" si="378"/>
        <v>0</v>
      </c>
      <c r="KFS23" s="1902">
        <f t="shared" si="378"/>
        <v>0</v>
      </c>
      <c r="KFT23" s="1902">
        <f t="shared" si="378"/>
        <v>0</v>
      </c>
      <c r="KFU23" s="1902">
        <f t="shared" si="378"/>
        <v>0</v>
      </c>
      <c r="KFV23" s="1902">
        <f t="shared" si="378"/>
        <v>0</v>
      </c>
      <c r="KFW23" s="1902">
        <f t="shared" si="378"/>
        <v>0</v>
      </c>
      <c r="KFX23" s="1902">
        <f t="shared" si="378"/>
        <v>0</v>
      </c>
      <c r="KFY23" s="1902">
        <f t="shared" si="378"/>
        <v>0</v>
      </c>
      <c r="KFZ23" s="1902">
        <f t="shared" si="378"/>
        <v>0</v>
      </c>
      <c r="KGA23" s="1902">
        <f t="shared" si="378"/>
        <v>0</v>
      </c>
      <c r="KGB23" s="1902">
        <f t="shared" si="378"/>
        <v>0</v>
      </c>
      <c r="KGC23" s="1902">
        <f t="shared" si="378"/>
        <v>0</v>
      </c>
      <c r="KGD23" s="1902">
        <f t="shared" si="378"/>
        <v>0</v>
      </c>
      <c r="KGE23" s="1902">
        <f t="shared" si="378"/>
        <v>0</v>
      </c>
      <c r="KGF23" s="1902">
        <f t="shared" si="378"/>
        <v>0</v>
      </c>
      <c r="KGG23" s="1902">
        <f t="shared" si="378"/>
        <v>0</v>
      </c>
      <c r="KGH23" s="1902">
        <f t="shared" si="378"/>
        <v>0</v>
      </c>
      <c r="KGI23" s="1902">
        <f t="shared" ref="KGI23:KIT23" si="379">IF(AND(KGI$26="End of period",KGI$25="Revenue"),KGI10,0)</f>
        <v>0</v>
      </c>
      <c r="KGJ23" s="1902">
        <f t="shared" si="379"/>
        <v>0</v>
      </c>
      <c r="KGK23" s="1902">
        <f t="shared" si="379"/>
        <v>0</v>
      </c>
      <c r="KGL23" s="1902">
        <f t="shared" si="379"/>
        <v>0</v>
      </c>
      <c r="KGM23" s="1902">
        <f t="shared" si="379"/>
        <v>0</v>
      </c>
      <c r="KGN23" s="1902">
        <f t="shared" si="379"/>
        <v>0</v>
      </c>
      <c r="KGO23" s="1902">
        <f t="shared" si="379"/>
        <v>0</v>
      </c>
      <c r="KGP23" s="1902">
        <f t="shared" si="379"/>
        <v>0</v>
      </c>
      <c r="KGQ23" s="1902">
        <f t="shared" si="379"/>
        <v>0</v>
      </c>
      <c r="KGR23" s="1902">
        <f t="shared" si="379"/>
        <v>0</v>
      </c>
      <c r="KGS23" s="1902">
        <f t="shared" si="379"/>
        <v>0</v>
      </c>
      <c r="KGT23" s="1902">
        <f t="shared" si="379"/>
        <v>0</v>
      </c>
      <c r="KGU23" s="1902">
        <f t="shared" si="379"/>
        <v>0</v>
      </c>
      <c r="KGV23" s="1902">
        <f t="shared" si="379"/>
        <v>0</v>
      </c>
      <c r="KGW23" s="1902">
        <f t="shared" si="379"/>
        <v>0</v>
      </c>
      <c r="KGX23" s="1902">
        <f t="shared" si="379"/>
        <v>0</v>
      </c>
      <c r="KGY23" s="1902">
        <f t="shared" si="379"/>
        <v>0</v>
      </c>
      <c r="KGZ23" s="1902">
        <f t="shared" si="379"/>
        <v>0</v>
      </c>
      <c r="KHA23" s="1902">
        <f t="shared" si="379"/>
        <v>0</v>
      </c>
      <c r="KHB23" s="1902">
        <f t="shared" si="379"/>
        <v>0</v>
      </c>
      <c r="KHC23" s="1902">
        <f t="shared" si="379"/>
        <v>0</v>
      </c>
      <c r="KHD23" s="1902">
        <f t="shared" si="379"/>
        <v>0</v>
      </c>
      <c r="KHE23" s="1902">
        <f t="shared" si="379"/>
        <v>0</v>
      </c>
      <c r="KHF23" s="1902">
        <f t="shared" si="379"/>
        <v>0</v>
      </c>
      <c r="KHG23" s="1902">
        <f t="shared" si="379"/>
        <v>0</v>
      </c>
      <c r="KHH23" s="1902">
        <f t="shared" si="379"/>
        <v>0</v>
      </c>
      <c r="KHI23" s="1902">
        <f t="shared" si="379"/>
        <v>0</v>
      </c>
      <c r="KHJ23" s="1902">
        <f t="shared" si="379"/>
        <v>0</v>
      </c>
      <c r="KHK23" s="1902">
        <f t="shared" si="379"/>
        <v>0</v>
      </c>
      <c r="KHL23" s="1902">
        <f t="shared" si="379"/>
        <v>0</v>
      </c>
      <c r="KHM23" s="1902">
        <f t="shared" si="379"/>
        <v>0</v>
      </c>
      <c r="KHN23" s="1902">
        <f t="shared" si="379"/>
        <v>0</v>
      </c>
      <c r="KHO23" s="1902">
        <f t="shared" si="379"/>
        <v>0</v>
      </c>
      <c r="KHP23" s="1902">
        <f t="shared" si="379"/>
        <v>0</v>
      </c>
      <c r="KHQ23" s="1902">
        <f t="shared" si="379"/>
        <v>0</v>
      </c>
      <c r="KHR23" s="1902">
        <f t="shared" si="379"/>
        <v>0</v>
      </c>
      <c r="KHS23" s="1902">
        <f t="shared" si="379"/>
        <v>0</v>
      </c>
      <c r="KHT23" s="1902">
        <f t="shared" si="379"/>
        <v>0</v>
      </c>
      <c r="KHU23" s="1902">
        <f t="shared" si="379"/>
        <v>0</v>
      </c>
      <c r="KHV23" s="1902">
        <f t="shared" si="379"/>
        <v>0</v>
      </c>
      <c r="KHW23" s="1902">
        <f t="shared" si="379"/>
        <v>0</v>
      </c>
      <c r="KHX23" s="1902">
        <f t="shared" si="379"/>
        <v>0</v>
      </c>
      <c r="KHY23" s="1902">
        <f t="shared" si="379"/>
        <v>0</v>
      </c>
      <c r="KHZ23" s="1902">
        <f t="shared" si="379"/>
        <v>0</v>
      </c>
      <c r="KIA23" s="1902">
        <f t="shared" si="379"/>
        <v>0</v>
      </c>
      <c r="KIB23" s="1902">
        <f t="shared" si="379"/>
        <v>0</v>
      </c>
      <c r="KIC23" s="1902">
        <f t="shared" si="379"/>
        <v>0</v>
      </c>
      <c r="KID23" s="1902">
        <f t="shared" si="379"/>
        <v>0</v>
      </c>
      <c r="KIE23" s="1902">
        <f t="shared" si="379"/>
        <v>0</v>
      </c>
      <c r="KIF23" s="1902">
        <f t="shared" si="379"/>
        <v>0</v>
      </c>
      <c r="KIG23" s="1902">
        <f t="shared" si="379"/>
        <v>0</v>
      </c>
      <c r="KIH23" s="1902">
        <f t="shared" si="379"/>
        <v>0</v>
      </c>
      <c r="KII23" s="1902">
        <f t="shared" si="379"/>
        <v>0</v>
      </c>
      <c r="KIJ23" s="1902">
        <f t="shared" si="379"/>
        <v>0</v>
      </c>
      <c r="KIK23" s="1902">
        <f t="shared" si="379"/>
        <v>0</v>
      </c>
      <c r="KIL23" s="1902">
        <f t="shared" si="379"/>
        <v>0</v>
      </c>
      <c r="KIM23" s="1902">
        <f t="shared" si="379"/>
        <v>0</v>
      </c>
      <c r="KIN23" s="1902">
        <f t="shared" si="379"/>
        <v>0</v>
      </c>
      <c r="KIO23" s="1902">
        <f t="shared" si="379"/>
        <v>0</v>
      </c>
      <c r="KIP23" s="1902">
        <f t="shared" si="379"/>
        <v>0</v>
      </c>
      <c r="KIQ23" s="1902">
        <f t="shared" si="379"/>
        <v>0</v>
      </c>
      <c r="KIR23" s="1902">
        <f t="shared" si="379"/>
        <v>0</v>
      </c>
      <c r="KIS23" s="1902">
        <f t="shared" si="379"/>
        <v>0</v>
      </c>
      <c r="KIT23" s="1902">
        <f t="shared" si="379"/>
        <v>0</v>
      </c>
      <c r="KIU23" s="1902">
        <f t="shared" ref="KIU23:KLF23" si="380">IF(AND(KIU$26="End of period",KIU$25="Revenue"),KIU10,0)</f>
        <v>0</v>
      </c>
      <c r="KIV23" s="1902">
        <f t="shared" si="380"/>
        <v>0</v>
      </c>
      <c r="KIW23" s="1902">
        <f t="shared" si="380"/>
        <v>0</v>
      </c>
      <c r="KIX23" s="1902">
        <f t="shared" si="380"/>
        <v>0</v>
      </c>
      <c r="KIY23" s="1902">
        <f t="shared" si="380"/>
        <v>0</v>
      </c>
      <c r="KIZ23" s="1902">
        <f t="shared" si="380"/>
        <v>0</v>
      </c>
      <c r="KJA23" s="1902">
        <f t="shared" si="380"/>
        <v>0</v>
      </c>
      <c r="KJB23" s="1902">
        <f t="shared" si="380"/>
        <v>0</v>
      </c>
      <c r="KJC23" s="1902">
        <f t="shared" si="380"/>
        <v>0</v>
      </c>
      <c r="KJD23" s="1902">
        <f t="shared" si="380"/>
        <v>0</v>
      </c>
      <c r="KJE23" s="1902">
        <f t="shared" si="380"/>
        <v>0</v>
      </c>
      <c r="KJF23" s="1902">
        <f t="shared" si="380"/>
        <v>0</v>
      </c>
      <c r="KJG23" s="1902">
        <f t="shared" si="380"/>
        <v>0</v>
      </c>
      <c r="KJH23" s="1902">
        <f t="shared" si="380"/>
        <v>0</v>
      </c>
      <c r="KJI23" s="1902">
        <f t="shared" si="380"/>
        <v>0</v>
      </c>
      <c r="KJJ23" s="1902">
        <f t="shared" si="380"/>
        <v>0</v>
      </c>
      <c r="KJK23" s="1902">
        <f t="shared" si="380"/>
        <v>0</v>
      </c>
      <c r="KJL23" s="1902">
        <f t="shared" si="380"/>
        <v>0</v>
      </c>
      <c r="KJM23" s="1902">
        <f t="shared" si="380"/>
        <v>0</v>
      </c>
      <c r="KJN23" s="1902">
        <f t="shared" si="380"/>
        <v>0</v>
      </c>
      <c r="KJO23" s="1902">
        <f t="shared" si="380"/>
        <v>0</v>
      </c>
      <c r="KJP23" s="1902">
        <f t="shared" si="380"/>
        <v>0</v>
      </c>
      <c r="KJQ23" s="1902">
        <f t="shared" si="380"/>
        <v>0</v>
      </c>
      <c r="KJR23" s="1902">
        <f t="shared" si="380"/>
        <v>0</v>
      </c>
      <c r="KJS23" s="1902">
        <f t="shared" si="380"/>
        <v>0</v>
      </c>
      <c r="KJT23" s="1902">
        <f t="shared" si="380"/>
        <v>0</v>
      </c>
      <c r="KJU23" s="1902">
        <f t="shared" si="380"/>
        <v>0</v>
      </c>
      <c r="KJV23" s="1902">
        <f t="shared" si="380"/>
        <v>0</v>
      </c>
      <c r="KJW23" s="1902">
        <f t="shared" si="380"/>
        <v>0</v>
      </c>
      <c r="KJX23" s="1902">
        <f t="shared" si="380"/>
        <v>0</v>
      </c>
      <c r="KJY23" s="1902">
        <f t="shared" si="380"/>
        <v>0</v>
      </c>
      <c r="KJZ23" s="1902">
        <f t="shared" si="380"/>
        <v>0</v>
      </c>
      <c r="KKA23" s="1902">
        <f t="shared" si="380"/>
        <v>0</v>
      </c>
      <c r="KKB23" s="1902">
        <f t="shared" si="380"/>
        <v>0</v>
      </c>
      <c r="KKC23" s="1902">
        <f t="shared" si="380"/>
        <v>0</v>
      </c>
      <c r="KKD23" s="1902">
        <f t="shared" si="380"/>
        <v>0</v>
      </c>
      <c r="KKE23" s="1902">
        <f t="shared" si="380"/>
        <v>0</v>
      </c>
      <c r="KKF23" s="1902">
        <f t="shared" si="380"/>
        <v>0</v>
      </c>
      <c r="KKG23" s="1902">
        <f t="shared" si="380"/>
        <v>0</v>
      </c>
      <c r="KKH23" s="1902">
        <f t="shared" si="380"/>
        <v>0</v>
      </c>
      <c r="KKI23" s="1902">
        <f t="shared" si="380"/>
        <v>0</v>
      </c>
      <c r="KKJ23" s="1902">
        <f t="shared" si="380"/>
        <v>0</v>
      </c>
      <c r="KKK23" s="1902">
        <f t="shared" si="380"/>
        <v>0</v>
      </c>
      <c r="KKL23" s="1902">
        <f t="shared" si="380"/>
        <v>0</v>
      </c>
      <c r="KKM23" s="1902">
        <f t="shared" si="380"/>
        <v>0</v>
      </c>
      <c r="KKN23" s="1902">
        <f t="shared" si="380"/>
        <v>0</v>
      </c>
      <c r="KKO23" s="1902">
        <f t="shared" si="380"/>
        <v>0</v>
      </c>
      <c r="KKP23" s="1902">
        <f t="shared" si="380"/>
        <v>0</v>
      </c>
      <c r="KKQ23" s="1902">
        <f t="shared" si="380"/>
        <v>0</v>
      </c>
      <c r="KKR23" s="1902">
        <f t="shared" si="380"/>
        <v>0</v>
      </c>
      <c r="KKS23" s="1902">
        <f t="shared" si="380"/>
        <v>0</v>
      </c>
      <c r="KKT23" s="1902">
        <f t="shared" si="380"/>
        <v>0</v>
      </c>
      <c r="KKU23" s="1902">
        <f t="shared" si="380"/>
        <v>0</v>
      </c>
      <c r="KKV23" s="1902">
        <f t="shared" si="380"/>
        <v>0</v>
      </c>
      <c r="KKW23" s="1902">
        <f t="shared" si="380"/>
        <v>0</v>
      </c>
      <c r="KKX23" s="1902">
        <f t="shared" si="380"/>
        <v>0</v>
      </c>
      <c r="KKY23" s="1902">
        <f t="shared" si="380"/>
        <v>0</v>
      </c>
      <c r="KKZ23" s="1902">
        <f t="shared" si="380"/>
        <v>0</v>
      </c>
      <c r="KLA23" s="1902">
        <f t="shared" si="380"/>
        <v>0</v>
      </c>
      <c r="KLB23" s="1902">
        <f t="shared" si="380"/>
        <v>0</v>
      </c>
      <c r="KLC23" s="1902">
        <f t="shared" si="380"/>
        <v>0</v>
      </c>
      <c r="KLD23" s="1902">
        <f t="shared" si="380"/>
        <v>0</v>
      </c>
      <c r="KLE23" s="1902">
        <f t="shared" si="380"/>
        <v>0</v>
      </c>
      <c r="KLF23" s="1902">
        <f t="shared" si="380"/>
        <v>0</v>
      </c>
      <c r="KLG23" s="1902">
        <f t="shared" ref="KLG23:KNR23" si="381">IF(AND(KLG$26="End of period",KLG$25="Revenue"),KLG10,0)</f>
        <v>0</v>
      </c>
      <c r="KLH23" s="1902">
        <f t="shared" si="381"/>
        <v>0</v>
      </c>
      <c r="KLI23" s="1902">
        <f t="shared" si="381"/>
        <v>0</v>
      </c>
      <c r="KLJ23" s="1902">
        <f t="shared" si="381"/>
        <v>0</v>
      </c>
      <c r="KLK23" s="1902">
        <f t="shared" si="381"/>
        <v>0</v>
      </c>
      <c r="KLL23" s="1902">
        <f t="shared" si="381"/>
        <v>0</v>
      </c>
      <c r="KLM23" s="1902">
        <f t="shared" si="381"/>
        <v>0</v>
      </c>
      <c r="KLN23" s="1902">
        <f t="shared" si="381"/>
        <v>0</v>
      </c>
      <c r="KLO23" s="1902">
        <f t="shared" si="381"/>
        <v>0</v>
      </c>
      <c r="KLP23" s="1902">
        <f t="shared" si="381"/>
        <v>0</v>
      </c>
      <c r="KLQ23" s="1902">
        <f t="shared" si="381"/>
        <v>0</v>
      </c>
      <c r="KLR23" s="1902">
        <f t="shared" si="381"/>
        <v>0</v>
      </c>
      <c r="KLS23" s="1902">
        <f t="shared" si="381"/>
        <v>0</v>
      </c>
      <c r="KLT23" s="1902">
        <f t="shared" si="381"/>
        <v>0</v>
      </c>
      <c r="KLU23" s="1902">
        <f t="shared" si="381"/>
        <v>0</v>
      </c>
      <c r="KLV23" s="1902">
        <f t="shared" si="381"/>
        <v>0</v>
      </c>
      <c r="KLW23" s="1902">
        <f t="shared" si="381"/>
        <v>0</v>
      </c>
      <c r="KLX23" s="1902">
        <f t="shared" si="381"/>
        <v>0</v>
      </c>
      <c r="KLY23" s="1902">
        <f t="shared" si="381"/>
        <v>0</v>
      </c>
      <c r="KLZ23" s="1902">
        <f t="shared" si="381"/>
        <v>0</v>
      </c>
      <c r="KMA23" s="1902">
        <f t="shared" si="381"/>
        <v>0</v>
      </c>
      <c r="KMB23" s="1902">
        <f t="shared" si="381"/>
        <v>0</v>
      </c>
      <c r="KMC23" s="1902">
        <f t="shared" si="381"/>
        <v>0</v>
      </c>
      <c r="KMD23" s="1902">
        <f t="shared" si="381"/>
        <v>0</v>
      </c>
      <c r="KME23" s="1902">
        <f t="shared" si="381"/>
        <v>0</v>
      </c>
      <c r="KMF23" s="1902">
        <f t="shared" si="381"/>
        <v>0</v>
      </c>
      <c r="KMG23" s="1902">
        <f t="shared" si="381"/>
        <v>0</v>
      </c>
      <c r="KMH23" s="1902">
        <f t="shared" si="381"/>
        <v>0</v>
      </c>
      <c r="KMI23" s="1902">
        <f t="shared" si="381"/>
        <v>0</v>
      </c>
      <c r="KMJ23" s="1902">
        <f t="shared" si="381"/>
        <v>0</v>
      </c>
      <c r="KMK23" s="1902">
        <f t="shared" si="381"/>
        <v>0</v>
      </c>
      <c r="KML23" s="1902">
        <f t="shared" si="381"/>
        <v>0</v>
      </c>
      <c r="KMM23" s="1902">
        <f t="shared" si="381"/>
        <v>0</v>
      </c>
      <c r="KMN23" s="1902">
        <f t="shared" si="381"/>
        <v>0</v>
      </c>
      <c r="KMO23" s="1902">
        <f t="shared" si="381"/>
        <v>0</v>
      </c>
      <c r="KMP23" s="1902">
        <f t="shared" si="381"/>
        <v>0</v>
      </c>
      <c r="KMQ23" s="1902">
        <f t="shared" si="381"/>
        <v>0</v>
      </c>
      <c r="KMR23" s="1902">
        <f t="shared" si="381"/>
        <v>0</v>
      </c>
      <c r="KMS23" s="1902">
        <f t="shared" si="381"/>
        <v>0</v>
      </c>
      <c r="KMT23" s="1902">
        <f t="shared" si="381"/>
        <v>0</v>
      </c>
      <c r="KMU23" s="1902">
        <f t="shared" si="381"/>
        <v>0</v>
      </c>
      <c r="KMV23" s="1902">
        <f t="shared" si="381"/>
        <v>0</v>
      </c>
      <c r="KMW23" s="1902">
        <f t="shared" si="381"/>
        <v>0</v>
      </c>
      <c r="KMX23" s="1902">
        <f t="shared" si="381"/>
        <v>0</v>
      </c>
      <c r="KMY23" s="1902">
        <f t="shared" si="381"/>
        <v>0</v>
      </c>
      <c r="KMZ23" s="1902">
        <f t="shared" si="381"/>
        <v>0</v>
      </c>
      <c r="KNA23" s="1902">
        <f t="shared" si="381"/>
        <v>0</v>
      </c>
      <c r="KNB23" s="1902">
        <f t="shared" si="381"/>
        <v>0</v>
      </c>
      <c r="KNC23" s="1902">
        <f t="shared" si="381"/>
        <v>0</v>
      </c>
      <c r="KND23" s="1902">
        <f t="shared" si="381"/>
        <v>0</v>
      </c>
      <c r="KNE23" s="1902">
        <f t="shared" si="381"/>
        <v>0</v>
      </c>
      <c r="KNF23" s="1902">
        <f t="shared" si="381"/>
        <v>0</v>
      </c>
      <c r="KNG23" s="1902">
        <f t="shared" si="381"/>
        <v>0</v>
      </c>
      <c r="KNH23" s="1902">
        <f t="shared" si="381"/>
        <v>0</v>
      </c>
      <c r="KNI23" s="1902">
        <f t="shared" si="381"/>
        <v>0</v>
      </c>
      <c r="KNJ23" s="1902">
        <f t="shared" si="381"/>
        <v>0</v>
      </c>
      <c r="KNK23" s="1902">
        <f t="shared" si="381"/>
        <v>0</v>
      </c>
      <c r="KNL23" s="1902">
        <f t="shared" si="381"/>
        <v>0</v>
      </c>
      <c r="KNM23" s="1902">
        <f t="shared" si="381"/>
        <v>0</v>
      </c>
      <c r="KNN23" s="1902">
        <f t="shared" si="381"/>
        <v>0</v>
      </c>
      <c r="KNO23" s="1902">
        <f t="shared" si="381"/>
        <v>0</v>
      </c>
      <c r="KNP23" s="1902">
        <f t="shared" si="381"/>
        <v>0</v>
      </c>
      <c r="KNQ23" s="1902">
        <f t="shared" si="381"/>
        <v>0</v>
      </c>
      <c r="KNR23" s="1902">
        <f t="shared" si="381"/>
        <v>0</v>
      </c>
      <c r="KNS23" s="1902">
        <f t="shared" ref="KNS23:KQD23" si="382">IF(AND(KNS$26="End of period",KNS$25="Revenue"),KNS10,0)</f>
        <v>0</v>
      </c>
      <c r="KNT23" s="1902">
        <f t="shared" si="382"/>
        <v>0</v>
      </c>
      <c r="KNU23" s="1902">
        <f t="shared" si="382"/>
        <v>0</v>
      </c>
      <c r="KNV23" s="1902">
        <f t="shared" si="382"/>
        <v>0</v>
      </c>
      <c r="KNW23" s="1902">
        <f t="shared" si="382"/>
        <v>0</v>
      </c>
      <c r="KNX23" s="1902">
        <f t="shared" si="382"/>
        <v>0</v>
      </c>
      <c r="KNY23" s="1902">
        <f t="shared" si="382"/>
        <v>0</v>
      </c>
      <c r="KNZ23" s="1902">
        <f t="shared" si="382"/>
        <v>0</v>
      </c>
      <c r="KOA23" s="1902">
        <f t="shared" si="382"/>
        <v>0</v>
      </c>
      <c r="KOB23" s="1902">
        <f t="shared" si="382"/>
        <v>0</v>
      </c>
      <c r="KOC23" s="1902">
        <f t="shared" si="382"/>
        <v>0</v>
      </c>
      <c r="KOD23" s="1902">
        <f t="shared" si="382"/>
        <v>0</v>
      </c>
      <c r="KOE23" s="1902">
        <f t="shared" si="382"/>
        <v>0</v>
      </c>
      <c r="KOF23" s="1902">
        <f t="shared" si="382"/>
        <v>0</v>
      </c>
      <c r="KOG23" s="1902">
        <f t="shared" si="382"/>
        <v>0</v>
      </c>
      <c r="KOH23" s="1902">
        <f t="shared" si="382"/>
        <v>0</v>
      </c>
      <c r="KOI23" s="1902">
        <f t="shared" si="382"/>
        <v>0</v>
      </c>
      <c r="KOJ23" s="1902">
        <f t="shared" si="382"/>
        <v>0</v>
      </c>
      <c r="KOK23" s="1902">
        <f t="shared" si="382"/>
        <v>0</v>
      </c>
      <c r="KOL23" s="1902">
        <f t="shared" si="382"/>
        <v>0</v>
      </c>
      <c r="KOM23" s="1902">
        <f t="shared" si="382"/>
        <v>0</v>
      </c>
      <c r="KON23" s="1902">
        <f t="shared" si="382"/>
        <v>0</v>
      </c>
      <c r="KOO23" s="1902">
        <f t="shared" si="382"/>
        <v>0</v>
      </c>
      <c r="KOP23" s="1902">
        <f t="shared" si="382"/>
        <v>0</v>
      </c>
      <c r="KOQ23" s="1902">
        <f t="shared" si="382"/>
        <v>0</v>
      </c>
      <c r="KOR23" s="1902">
        <f t="shared" si="382"/>
        <v>0</v>
      </c>
      <c r="KOS23" s="1902">
        <f t="shared" si="382"/>
        <v>0</v>
      </c>
      <c r="KOT23" s="1902">
        <f t="shared" si="382"/>
        <v>0</v>
      </c>
      <c r="KOU23" s="1902">
        <f t="shared" si="382"/>
        <v>0</v>
      </c>
      <c r="KOV23" s="1902">
        <f t="shared" si="382"/>
        <v>0</v>
      </c>
      <c r="KOW23" s="1902">
        <f t="shared" si="382"/>
        <v>0</v>
      </c>
      <c r="KOX23" s="1902">
        <f t="shared" si="382"/>
        <v>0</v>
      </c>
      <c r="KOY23" s="1902">
        <f t="shared" si="382"/>
        <v>0</v>
      </c>
      <c r="KOZ23" s="1902">
        <f t="shared" si="382"/>
        <v>0</v>
      </c>
      <c r="KPA23" s="1902">
        <f t="shared" si="382"/>
        <v>0</v>
      </c>
      <c r="KPB23" s="1902">
        <f t="shared" si="382"/>
        <v>0</v>
      </c>
      <c r="KPC23" s="1902">
        <f t="shared" si="382"/>
        <v>0</v>
      </c>
      <c r="KPD23" s="1902">
        <f t="shared" si="382"/>
        <v>0</v>
      </c>
      <c r="KPE23" s="1902">
        <f t="shared" si="382"/>
        <v>0</v>
      </c>
      <c r="KPF23" s="1902">
        <f t="shared" si="382"/>
        <v>0</v>
      </c>
      <c r="KPG23" s="1902">
        <f t="shared" si="382"/>
        <v>0</v>
      </c>
      <c r="KPH23" s="1902">
        <f t="shared" si="382"/>
        <v>0</v>
      </c>
      <c r="KPI23" s="1902">
        <f t="shared" si="382"/>
        <v>0</v>
      </c>
      <c r="KPJ23" s="1902">
        <f t="shared" si="382"/>
        <v>0</v>
      </c>
      <c r="KPK23" s="1902">
        <f t="shared" si="382"/>
        <v>0</v>
      </c>
      <c r="KPL23" s="1902">
        <f t="shared" si="382"/>
        <v>0</v>
      </c>
      <c r="KPM23" s="1902">
        <f t="shared" si="382"/>
        <v>0</v>
      </c>
      <c r="KPN23" s="1902">
        <f t="shared" si="382"/>
        <v>0</v>
      </c>
      <c r="KPO23" s="1902">
        <f t="shared" si="382"/>
        <v>0</v>
      </c>
      <c r="KPP23" s="1902">
        <f t="shared" si="382"/>
        <v>0</v>
      </c>
      <c r="KPQ23" s="1902">
        <f t="shared" si="382"/>
        <v>0</v>
      </c>
      <c r="KPR23" s="1902">
        <f t="shared" si="382"/>
        <v>0</v>
      </c>
      <c r="KPS23" s="1902">
        <f t="shared" si="382"/>
        <v>0</v>
      </c>
      <c r="KPT23" s="1902">
        <f t="shared" si="382"/>
        <v>0</v>
      </c>
      <c r="KPU23" s="1902">
        <f t="shared" si="382"/>
        <v>0</v>
      </c>
      <c r="KPV23" s="1902">
        <f t="shared" si="382"/>
        <v>0</v>
      </c>
      <c r="KPW23" s="1902">
        <f t="shared" si="382"/>
        <v>0</v>
      </c>
      <c r="KPX23" s="1902">
        <f t="shared" si="382"/>
        <v>0</v>
      </c>
      <c r="KPY23" s="1902">
        <f t="shared" si="382"/>
        <v>0</v>
      </c>
      <c r="KPZ23" s="1902">
        <f t="shared" si="382"/>
        <v>0</v>
      </c>
      <c r="KQA23" s="1902">
        <f t="shared" si="382"/>
        <v>0</v>
      </c>
      <c r="KQB23" s="1902">
        <f t="shared" si="382"/>
        <v>0</v>
      </c>
      <c r="KQC23" s="1902">
        <f t="shared" si="382"/>
        <v>0</v>
      </c>
      <c r="KQD23" s="1902">
        <f t="shared" si="382"/>
        <v>0</v>
      </c>
      <c r="KQE23" s="1902">
        <f t="shared" ref="KQE23:KSP23" si="383">IF(AND(KQE$26="End of period",KQE$25="Revenue"),KQE10,0)</f>
        <v>0</v>
      </c>
      <c r="KQF23" s="1902">
        <f t="shared" si="383"/>
        <v>0</v>
      </c>
      <c r="KQG23" s="1902">
        <f t="shared" si="383"/>
        <v>0</v>
      </c>
      <c r="KQH23" s="1902">
        <f t="shared" si="383"/>
        <v>0</v>
      </c>
      <c r="KQI23" s="1902">
        <f t="shared" si="383"/>
        <v>0</v>
      </c>
      <c r="KQJ23" s="1902">
        <f t="shared" si="383"/>
        <v>0</v>
      </c>
      <c r="KQK23" s="1902">
        <f t="shared" si="383"/>
        <v>0</v>
      </c>
      <c r="KQL23" s="1902">
        <f t="shared" si="383"/>
        <v>0</v>
      </c>
      <c r="KQM23" s="1902">
        <f t="shared" si="383"/>
        <v>0</v>
      </c>
      <c r="KQN23" s="1902">
        <f t="shared" si="383"/>
        <v>0</v>
      </c>
      <c r="KQO23" s="1902">
        <f t="shared" si="383"/>
        <v>0</v>
      </c>
      <c r="KQP23" s="1902">
        <f t="shared" si="383"/>
        <v>0</v>
      </c>
      <c r="KQQ23" s="1902">
        <f t="shared" si="383"/>
        <v>0</v>
      </c>
      <c r="KQR23" s="1902">
        <f t="shared" si="383"/>
        <v>0</v>
      </c>
      <c r="KQS23" s="1902">
        <f t="shared" si="383"/>
        <v>0</v>
      </c>
      <c r="KQT23" s="1902">
        <f t="shared" si="383"/>
        <v>0</v>
      </c>
      <c r="KQU23" s="1902">
        <f t="shared" si="383"/>
        <v>0</v>
      </c>
      <c r="KQV23" s="1902">
        <f t="shared" si="383"/>
        <v>0</v>
      </c>
      <c r="KQW23" s="1902">
        <f t="shared" si="383"/>
        <v>0</v>
      </c>
      <c r="KQX23" s="1902">
        <f t="shared" si="383"/>
        <v>0</v>
      </c>
      <c r="KQY23" s="1902">
        <f t="shared" si="383"/>
        <v>0</v>
      </c>
      <c r="KQZ23" s="1902">
        <f t="shared" si="383"/>
        <v>0</v>
      </c>
      <c r="KRA23" s="1902">
        <f t="shared" si="383"/>
        <v>0</v>
      </c>
      <c r="KRB23" s="1902">
        <f t="shared" si="383"/>
        <v>0</v>
      </c>
      <c r="KRC23" s="1902">
        <f t="shared" si="383"/>
        <v>0</v>
      </c>
      <c r="KRD23" s="1902">
        <f t="shared" si="383"/>
        <v>0</v>
      </c>
      <c r="KRE23" s="1902">
        <f t="shared" si="383"/>
        <v>0</v>
      </c>
      <c r="KRF23" s="1902">
        <f t="shared" si="383"/>
        <v>0</v>
      </c>
      <c r="KRG23" s="1902">
        <f t="shared" si="383"/>
        <v>0</v>
      </c>
      <c r="KRH23" s="1902">
        <f t="shared" si="383"/>
        <v>0</v>
      </c>
      <c r="KRI23" s="1902">
        <f t="shared" si="383"/>
        <v>0</v>
      </c>
      <c r="KRJ23" s="1902">
        <f t="shared" si="383"/>
        <v>0</v>
      </c>
      <c r="KRK23" s="1902">
        <f t="shared" si="383"/>
        <v>0</v>
      </c>
      <c r="KRL23" s="1902">
        <f t="shared" si="383"/>
        <v>0</v>
      </c>
      <c r="KRM23" s="1902">
        <f t="shared" si="383"/>
        <v>0</v>
      </c>
      <c r="KRN23" s="1902">
        <f t="shared" si="383"/>
        <v>0</v>
      </c>
      <c r="KRO23" s="1902">
        <f t="shared" si="383"/>
        <v>0</v>
      </c>
      <c r="KRP23" s="1902">
        <f t="shared" si="383"/>
        <v>0</v>
      </c>
      <c r="KRQ23" s="1902">
        <f t="shared" si="383"/>
        <v>0</v>
      </c>
      <c r="KRR23" s="1902">
        <f t="shared" si="383"/>
        <v>0</v>
      </c>
      <c r="KRS23" s="1902">
        <f t="shared" si="383"/>
        <v>0</v>
      </c>
      <c r="KRT23" s="1902">
        <f t="shared" si="383"/>
        <v>0</v>
      </c>
      <c r="KRU23" s="1902">
        <f t="shared" si="383"/>
        <v>0</v>
      </c>
      <c r="KRV23" s="1902">
        <f t="shared" si="383"/>
        <v>0</v>
      </c>
      <c r="KRW23" s="1902">
        <f t="shared" si="383"/>
        <v>0</v>
      </c>
      <c r="KRX23" s="1902">
        <f t="shared" si="383"/>
        <v>0</v>
      </c>
      <c r="KRY23" s="1902">
        <f t="shared" si="383"/>
        <v>0</v>
      </c>
      <c r="KRZ23" s="1902">
        <f t="shared" si="383"/>
        <v>0</v>
      </c>
      <c r="KSA23" s="1902">
        <f t="shared" si="383"/>
        <v>0</v>
      </c>
      <c r="KSB23" s="1902">
        <f t="shared" si="383"/>
        <v>0</v>
      </c>
      <c r="KSC23" s="1902">
        <f t="shared" si="383"/>
        <v>0</v>
      </c>
      <c r="KSD23" s="1902">
        <f t="shared" si="383"/>
        <v>0</v>
      </c>
      <c r="KSE23" s="1902">
        <f t="shared" si="383"/>
        <v>0</v>
      </c>
      <c r="KSF23" s="1902">
        <f t="shared" si="383"/>
        <v>0</v>
      </c>
      <c r="KSG23" s="1902">
        <f t="shared" si="383"/>
        <v>0</v>
      </c>
      <c r="KSH23" s="1902">
        <f t="shared" si="383"/>
        <v>0</v>
      </c>
      <c r="KSI23" s="1902">
        <f t="shared" si="383"/>
        <v>0</v>
      </c>
      <c r="KSJ23" s="1902">
        <f t="shared" si="383"/>
        <v>0</v>
      </c>
      <c r="KSK23" s="1902">
        <f t="shared" si="383"/>
        <v>0</v>
      </c>
      <c r="KSL23" s="1902">
        <f t="shared" si="383"/>
        <v>0</v>
      </c>
      <c r="KSM23" s="1902">
        <f t="shared" si="383"/>
        <v>0</v>
      </c>
      <c r="KSN23" s="1902">
        <f t="shared" si="383"/>
        <v>0</v>
      </c>
      <c r="KSO23" s="1902">
        <f t="shared" si="383"/>
        <v>0</v>
      </c>
      <c r="KSP23" s="1902">
        <f t="shared" si="383"/>
        <v>0</v>
      </c>
      <c r="KSQ23" s="1902">
        <f t="shared" ref="KSQ23:KVB23" si="384">IF(AND(KSQ$26="End of period",KSQ$25="Revenue"),KSQ10,0)</f>
        <v>0</v>
      </c>
      <c r="KSR23" s="1902">
        <f t="shared" si="384"/>
        <v>0</v>
      </c>
      <c r="KSS23" s="1902">
        <f t="shared" si="384"/>
        <v>0</v>
      </c>
      <c r="KST23" s="1902">
        <f t="shared" si="384"/>
        <v>0</v>
      </c>
      <c r="KSU23" s="1902">
        <f t="shared" si="384"/>
        <v>0</v>
      </c>
      <c r="KSV23" s="1902">
        <f t="shared" si="384"/>
        <v>0</v>
      </c>
      <c r="KSW23" s="1902">
        <f t="shared" si="384"/>
        <v>0</v>
      </c>
      <c r="KSX23" s="1902">
        <f t="shared" si="384"/>
        <v>0</v>
      </c>
      <c r="KSY23" s="1902">
        <f t="shared" si="384"/>
        <v>0</v>
      </c>
      <c r="KSZ23" s="1902">
        <f t="shared" si="384"/>
        <v>0</v>
      </c>
      <c r="KTA23" s="1902">
        <f t="shared" si="384"/>
        <v>0</v>
      </c>
      <c r="KTB23" s="1902">
        <f t="shared" si="384"/>
        <v>0</v>
      </c>
      <c r="KTC23" s="1902">
        <f t="shared" si="384"/>
        <v>0</v>
      </c>
      <c r="KTD23" s="1902">
        <f t="shared" si="384"/>
        <v>0</v>
      </c>
      <c r="KTE23" s="1902">
        <f t="shared" si="384"/>
        <v>0</v>
      </c>
      <c r="KTF23" s="1902">
        <f t="shared" si="384"/>
        <v>0</v>
      </c>
      <c r="KTG23" s="1902">
        <f t="shared" si="384"/>
        <v>0</v>
      </c>
      <c r="KTH23" s="1902">
        <f t="shared" si="384"/>
        <v>0</v>
      </c>
      <c r="KTI23" s="1902">
        <f t="shared" si="384"/>
        <v>0</v>
      </c>
      <c r="KTJ23" s="1902">
        <f t="shared" si="384"/>
        <v>0</v>
      </c>
      <c r="KTK23" s="1902">
        <f t="shared" si="384"/>
        <v>0</v>
      </c>
      <c r="KTL23" s="1902">
        <f t="shared" si="384"/>
        <v>0</v>
      </c>
      <c r="KTM23" s="1902">
        <f t="shared" si="384"/>
        <v>0</v>
      </c>
      <c r="KTN23" s="1902">
        <f t="shared" si="384"/>
        <v>0</v>
      </c>
      <c r="KTO23" s="1902">
        <f t="shared" si="384"/>
        <v>0</v>
      </c>
      <c r="KTP23" s="1902">
        <f t="shared" si="384"/>
        <v>0</v>
      </c>
      <c r="KTQ23" s="1902">
        <f t="shared" si="384"/>
        <v>0</v>
      </c>
      <c r="KTR23" s="1902">
        <f t="shared" si="384"/>
        <v>0</v>
      </c>
      <c r="KTS23" s="1902">
        <f t="shared" si="384"/>
        <v>0</v>
      </c>
      <c r="KTT23" s="1902">
        <f t="shared" si="384"/>
        <v>0</v>
      </c>
      <c r="KTU23" s="1902">
        <f t="shared" si="384"/>
        <v>0</v>
      </c>
      <c r="KTV23" s="1902">
        <f t="shared" si="384"/>
        <v>0</v>
      </c>
      <c r="KTW23" s="1902">
        <f t="shared" si="384"/>
        <v>0</v>
      </c>
      <c r="KTX23" s="1902">
        <f t="shared" si="384"/>
        <v>0</v>
      </c>
      <c r="KTY23" s="1902">
        <f t="shared" si="384"/>
        <v>0</v>
      </c>
      <c r="KTZ23" s="1902">
        <f t="shared" si="384"/>
        <v>0</v>
      </c>
      <c r="KUA23" s="1902">
        <f t="shared" si="384"/>
        <v>0</v>
      </c>
      <c r="KUB23" s="1902">
        <f t="shared" si="384"/>
        <v>0</v>
      </c>
      <c r="KUC23" s="1902">
        <f t="shared" si="384"/>
        <v>0</v>
      </c>
      <c r="KUD23" s="1902">
        <f t="shared" si="384"/>
        <v>0</v>
      </c>
      <c r="KUE23" s="1902">
        <f t="shared" si="384"/>
        <v>0</v>
      </c>
      <c r="KUF23" s="1902">
        <f t="shared" si="384"/>
        <v>0</v>
      </c>
      <c r="KUG23" s="1902">
        <f t="shared" si="384"/>
        <v>0</v>
      </c>
      <c r="KUH23" s="1902">
        <f t="shared" si="384"/>
        <v>0</v>
      </c>
      <c r="KUI23" s="1902">
        <f t="shared" si="384"/>
        <v>0</v>
      </c>
      <c r="KUJ23" s="1902">
        <f t="shared" si="384"/>
        <v>0</v>
      </c>
      <c r="KUK23" s="1902">
        <f t="shared" si="384"/>
        <v>0</v>
      </c>
      <c r="KUL23" s="1902">
        <f t="shared" si="384"/>
        <v>0</v>
      </c>
      <c r="KUM23" s="1902">
        <f t="shared" si="384"/>
        <v>0</v>
      </c>
      <c r="KUN23" s="1902">
        <f t="shared" si="384"/>
        <v>0</v>
      </c>
      <c r="KUO23" s="1902">
        <f t="shared" si="384"/>
        <v>0</v>
      </c>
      <c r="KUP23" s="1902">
        <f t="shared" si="384"/>
        <v>0</v>
      </c>
      <c r="KUQ23" s="1902">
        <f t="shared" si="384"/>
        <v>0</v>
      </c>
      <c r="KUR23" s="1902">
        <f t="shared" si="384"/>
        <v>0</v>
      </c>
      <c r="KUS23" s="1902">
        <f t="shared" si="384"/>
        <v>0</v>
      </c>
      <c r="KUT23" s="1902">
        <f t="shared" si="384"/>
        <v>0</v>
      </c>
      <c r="KUU23" s="1902">
        <f t="shared" si="384"/>
        <v>0</v>
      </c>
      <c r="KUV23" s="1902">
        <f t="shared" si="384"/>
        <v>0</v>
      </c>
      <c r="KUW23" s="1902">
        <f t="shared" si="384"/>
        <v>0</v>
      </c>
      <c r="KUX23" s="1902">
        <f t="shared" si="384"/>
        <v>0</v>
      </c>
      <c r="KUY23" s="1902">
        <f t="shared" si="384"/>
        <v>0</v>
      </c>
      <c r="KUZ23" s="1902">
        <f t="shared" si="384"/>
        <v>0</v>
      </c>
      <c r="KVA23" s="1902">
        <f t="shared" si="384"/>
        <v>0</v>
      </c>
      <c r="KVB23" s="1902">
        <f t="shared" si="384"/>
        <v>0</v>
      </c>
      <c r="KVC23" s="1902">
        <f t="shared" ref="KVC23:KXN23" si="385">IF(AND(KVC$26="End of period",KVC$25="Revenue"),KVC10,0)</f>
        <v>0</v>
      </c>
      <c r="KVD23" s="1902">
        <f t="shared" si="385"/>
        <v>0</v>
      </c>
      <c r="KVE23" s="1902">
        <f t="shared" si="385"/>
        <v>0</v>
      </c>
      <c r="KVF23" s="1902">
        <f t="shared" si="385"/>
        <v>0</v>
      </c>
      <c r="KVG23" s="1902">
        <f t="shared" si="385"/>
        <v>0</v>
      </c>
      <c r="KVH23" s="1902">
        <f t="shared" si="385"/>
        <v>0</v>
      </c>
      <c r="KVI23" s="1902">
        <f t="shared" si="385"/>
        <v>0</v>
      </c>
      <c r="KVJ23" s="1902">
        <f t="shared" si="385"/>
        <v>0</v>
      </c>
      <c r="KVK23" s="1902">
        <f t="shared" si="385"/>
        <v>0</v>
      </c>
      <c r="KVL23" s="1902">
        <f t="shared" si="385"/>
        <v>0</v>
      </c>
      <c r="KVM23" s="1902">
        <f t="shared" si="385"/>
        <v>0</v>
      </c>
      <c r="KVN23" s="1902">
        <f t="shared" si="385"/>
        <v>0</v>
      </c>
      <c r="KVO23" s="1902">
        <f t="shared" si="385"/>
        <v>0</v>
      </c>
      <c r="KVP23" s="1902">
        <f t="shared" si="385"/>
        <v>0</v>
      </c>
      <c r="KVQ23" s="1902">
        <f t="shared" si="385"/>
        <v>0</v>
      </c>
      <c r="KVR23" s="1902">
        <f t="shared" si="385"/>
        <v>0</v>
      </c>
      <c r="KVS23" s="1902">
        <f t="shared" si="385"/>
        <v>0</v>
      </c>
      <c r="KVT23" s="1902">
        <f t="shared" si="385"/>
        <v>0</v>
      </c>
      <c r="KVU23" s="1902">
        <f t="shared" si="385"/>
        <v>0</v>
      </c>
      <c r="KVV23" s="1902">
        <f t="shared" si="385"/>
        <v>0</v>
      </c>
      <c r="KVW23" s="1902">
        <f t="shared" si="385"/>
        <v>0</v>
      </c>
      <c r="KVX23" s="1902">
        <f t="shared" si="385"/>
        <v>0</v>
      </c>
      <c r="KVY23" s="1902">
        <f t="shared" si="385"/>
        <v>0</v>
      </c>
      <c r="KVZ23" s="1902">
        <f t="shared" si="385"/>
        <v>0</v>
      </c>
      <c r="KWA23" s="1902">
        <f t="shared" si="385"/>
        <v>0</v>
      </c>
      <c r="KWB23" s="1902">
        <f t="shared" si="385"/>
        <v>0</v>
      </c>
      <c r="KWC23" s="1902">
        <f t="shared" si="385"/>
        <v>0</v>
      </c>
      <c r="KWD23" s="1902">
        <f t="shared" si="385"/>
        <v>0</v>
      </c>
      <c r="KWE23" s="1902">
        <f t="shared" si="385"/>
        <v>0</v>
      </c>
      <c r="KWF23" s="1902">
        <f t="shared" si="385"/>
        <v>0</v>
      </c>
      <c r="KWG23" s="1902">
        <f t="shared" si="385"/>
        <v>0</v>
      </c>
      <c r="KWH23" s="1902">
        <f t="shared" si="385"/>
        <v>0</v>
      </c>
      <c r="KWI23" s="1902">
        <f t="shared" si="385"/>
        <v>0</v>
      </c>
      <c r="KWJ23" s="1902">
        <f t="shared" si="385"/>
        <v>0</v>
      </c>
      <c r="KWK23" s="1902">
        <f t="shared" si="385"/>
        <v>0</v>
      </c>
      <c r="KWL23" s="1902">
        <f t="shared" si="385"/>
        <v>0</v>
      </c>
      <c r="KWM23" s="1902">
        <f t="shared" si="385"/>
        <v>0</v>
      </c>
      <c r="KWN23" s="1902">
        <f t="shared" si="385"/>
        <v>0</v>
      </c>
      <c r="KWO23" s="1902">
        <f t="shared" si="385"/>
        <v>0</v>
      </c>
      <c r="KWP23" s="1902">
        <f t="shared" si="385"/>
        <v>0</v>
      </c>
      <c r="KWQ23" s="1902">
        <f t="shared" si="385"/>
        <v>0</v>
      </c>
      <c r="KWR23" s="1902">
        <f t="shared" si="385"/>
        <v>0</v>
      </c>
      <c r="KWS23" s="1902">
        <f t="shared" si="385"/>
        <v>0</v>
      </c>
      <c r="KWT23" s="1902">
        <f t="shared" si="385"/>
        <v>0</v>
      </c>
      <c r="KWU23" s="1902">
        <f t="shared" si="385"/>
        <v>0</v>
      </c>
      <c r="KWV23" s="1902">
        <f t="shared" si="385"/>
        <v>0</v>
      </c>
      <c r="KWW23" s="1902">
        <f t="shared" si="385"/>
        <v>0</v>
      </c>
      <c r="KWX23" s="1902">
        <f t="shared" si="385"/>
        <v>0</v>
      </c>
      <c r="KWY23" s="1902">
        <f t="shared" si="385"/>
        <v>0</v>
      </c>
      <c r="KWZ23" s="1902">
        <f t="shared" si="385"/>
        <v>0</v>
      </c>
      <c r="KXA23" s="1902">
        <f t="shared" si="385"/>
        <v>0</v>
      </c>
      <c r="KXB23" s="1902">
        <f t="shared" si="385"/>
        <v>0</v>
      </c>
      <c r="KXC23" s="1902">
        <f t="shared" si="385"/>
        <v>0</v>
      </c>
      <c r="KXD23" s="1902">
        <f t="shared" si="385"/>
        <v>0</v>
      </c>
      <c r="KXE23" s="1902">
        <f t="shared" si="385"/>
        <v>0</v>
      </c>
      <c r="KXF23" s="1902">
        <f t="shared" si="385"/>
        <v>0</v>
      </c>
      <c r="KXG23" s="1902">
        <f t="shared" si="385"/>
        <v>0</v>
      </c>
      <c r="KXH23" s="1902">
        <f t="shared" si="385"/>
        <v>0</v>
      </c>
      <c r="KXI23" s="1902">
        <f t="shared" si="385"/>
        <v>0</v>
      </c>
      <c r="KXJ23" s="1902">
        <f t="shared" si="385"/>
        <v>0</v>
      </c>
      <c r="KXK23" s="1902">
        <f t="shared" si="385"/>
        <v>0</v>
      </c>
      <c r="KXL23" s="1902">
        <f t="shared" si="385"/>
        <v>0</v>
      </c>
      <c r="KXM23" s="1902">
        <f t="shared" si="385"/>
        <v>0</v>
      </c>
      <c r="KXN23" s="1902">
        <f t="shared" si="385"/>
        <v>0</v>
      </c>
      <c r="KXO23" s="1902">
        <f t="shared" ref="KXO23:KZZ23" si="386">IF(AND(KXO$26="End of period",KXO$25="Revenue"),KXO10,0)</f>
        <v>0</v>
      </c>
      <c r="KXP23" s="1902">
        <f t="shared" si="386"/>
        <v>0</v>
      </c>
      <c r="KXQ23" s="1902">
        <f t="shared" si="386"/>
        <v>0</v>
      </c>
      <c r="KXR23" s="1902">
        <f t="shared" si="386"/>
        <v>0</v>
      </c>
      <c r="KXS23" s="1902">
        <f t="shared" si="386"/>
        <v>0</v>
      </c>
      <c r="KXT23" s="1902">
        <f t="shared" si="386"/>
        <v>0</v>
      </c>
      <c r="KXU23" s="1902">
        <f t="shared" si="386"/>
        <v>0</v>
      </c>
      <c r="KXV23" s="1902">
        <f t="shared" si="386"/>
        <v>0</v>
      </c>
      <c r="KXW23" s="1902">
        <f t="shared" si="386"/>
        <v>0</v>
      </c>
      <c r="KXX23" s="1902">
        <f t="shared" si="386"/>
        <v>0</v>
      </c>
      <c r="KXY23" s="1902">
        <f t="shared" si="386"/>
        <v>0</v>
      </c>
      <c r="KXZ23" s="1902">
        <f t="shared" si="386"/>
        <v>0</v>
      </c>
      <c r="KYA23" s="1902">
        <f t="shared" si="386"/>
        <v>0</v>
      </c>
      <c r="KYB23" s="1902">
        <f t="shared" si="386"/>
        <v>0</v>
      </c>
      <c r="KYC23" s="1902">
        <f t="shared" si="386"/>
        <v>0</v>
      </c>
      <c r="KYD23" s="1902">
        <f t="shared" si="386"/>
        <v>0</v>
      </c>
      <c r="KYE23" s="1902">
        <f t="shared" si="386"/>
        <v>0</v>
      </c>
      <c r="KYF23" s="1902">
        <f t="shared" si="386"/>
        <v>0</v>
      </c>
      <c r="KYG23" s="1902">
        <f t="shared" si="386"/>
        <v>0</v>
      </c>
      <c r="KYH23" s="1902">
        <f t="shared" si="386"/>
        <v>0</v>
      </c>
      <c r="KYI23" s="1902">
        <f t="shared" si="386"/>
        <v>0</v>
      </c>
      <c r="KYJ23" s="1902">
        <f t="shared" si="386"/>
        <v>0</v>
      </c>
      <c r="KYK23" s="1902">
        <f t="shared" si="386"/>
        <v>0</v>
      </c>
      <c r="KYL23" s="1902">
        <f t="shared" si="386"/>
        <v>0</v>
      </c>
      <c r="KYM23" s="1902">
        <f t="shared" si="386"/>
        <v>0</v>
      </c>
      <c r="KYN23" s="1902">
        <f t="shared" si="386"/>
        <v>0</v>
      </c>
      <c r="KYO23" s="1902">
        <f t="shared" si="386"/>
        <v>0</v>
      </c>
      <c r="KYP23" s="1902">
        <f t="shared" si="386"/>
        <v>0</v>
      </c>
      <c r="KYQ23" s="1902">
        <f t="shared" si="386"/>
        <v>0</v>
      </c>
      <c r="KYR23" s="1902">
        <f t="shared" si="386"/>
        <v>0</v>
      </c>
      <c r="KYS23" s="1902">
        <f t="shared" si="386"/>
        <v>0</v>
      </c>
      <c r="KYT23" s="1902">
        <f t="shared" si="386"/>
        <v>0</v>
      </c>
      <c r="KYU23" s="1902">
        <f t="shared" si="386"/>
        <v>0</v>
      </c>
      <c r="KYV23" s="1902">
        <f t="shared" si="386"/>
        <v>0</v>
      </c>
      <c r="KYW23" s="1902">
        <f t="shared" si="386"/>
        <v>0</v>
      </c>
      <c r="KYX23" s="1902">
        <f t="shared" si="386"/>
        <v>0</v>
      </c>
      <c r="KYY23" s="1902">
        <f t="shared" si="386"/>
        <v>0</v>
      </c>
      <c r="KYZ23" s="1902">
        <f t="shared" si="386"/>
        <v>0</v>
      </c>
      <c r="KZA23" s="1902">
        <f t="shared" si="386"/>
        <v>0</v>
      </c>
      <c r="KZB23" s="1902">
        <f t="shared" si="386"/>
        <v>0</v>
      </c>
      <c r="KZC23" s="1902">
        <f t="shared" si="386"/>
        <v>0</v>
      </c>
      <c r="KZD23" s="1902">
        <f t="shared" si="386"/>
        <v>0</v>
      </c>
      <c r="KZE23" s="1902">
        <f t="shared" si="386"/>
        <v>0</v>
      </c>
      <c r="KZF23" s="1902">
        <f t="shared" si="386"/>
        <v>0</v>
      </c>
      <c r="KZG23" s="1902">
        <f t="shared" si="386"/>
        <v>0</v>
      </c>
      <c r="KZH23" s="1902">
        <f t="shared" si="386"/>
        <v>0</v>
      </c>
      <c r="KZI23" s="1902">
        <f t="shared" si="386"/>
        <v>0</v>
      </c>
      <c r="KZJ23" s="1902">
        <f t="shared" si="386"/>
        <v>0</v>
      </c>
      <c r="KZK23" s="1902">
        <f t="shared" si="386"/>
        <v>0</v>
      </c>
      <c r="KZL23" s="1902">
        <f t="shared" si="386"/>
        <v>0</v>
      </c>
      <c r="KZM23" s="1902">
        <f t="shared" si="386"/>
        <v>0</v>
      </c>
      <c r="KZN23" s="1902">
        <f t="shared" si="386"/>
        <v>0</v>
      </c>
      <c r="KZO23" s="1902">
        <f t="shared" si="386"/>
        <v>0</v>
      </c>
      <c r="KZP23" s="1902">
        <f t="shared" si="386"/>
        <v>0</v>
      </c>
      <c r="KZQ23" s="1902">
        <f t="shared" si="386"/>
        <v>0</v>
      </c>
      <c r="KZR23" s="1902">
        <f t="shared" si="386"/>
        <v>0</v>
      </c>
      <c r="KZS23" s="1902">
        <f t="shared" si="386"/>
        <v>0</v>
      </c>
      <c r="KZT23" s="1902">
        <f t="shared" si="386"/>
        <v>0</v>
      </c>
      <c r="KZU23" s="1902">
        <f t="shared" si="386"/>
        <v>0</v>
      </c>
      <c r="KZV23" s="1902">
        <f t="shared" si="386"/>
        <v>0</v>
      </c>
      <c r="KZW23" s="1902">
        <f t="shared" si="386"/>
        <v>0</v>
      </c>
      <c r="KZX23" s="1902">
        <f t="shared" si="386"/>
        <v>0</v>
      </c>
      <c r="KZY23" s="1902">
        <f t="shared" si="386"/>
        <v>0</v>
      </c>
      <c r="KZZ23" s="1902">
        <f t="shared" si="386"/>
        <v>0</v>
      </c>
      <c r="LAA23" s="1902">
        <f t="shared" ref="LAA23:LCL23" si="387">IF(AND(LAA$26="End of period",LAA$25="Revenue"),LAA10,0)</f>
        <v>0</v>
      </c>
      <c r="LAB23" s="1902">
        <f t="shared" si="387"/>
        <v>0</v>
      </c>
      <c r="LAC23" s="1902">
        <f t="shared" si="387"/>
        <v>0</v>
      </c>
      <c r="LAD23" s="1902">
        <f t="shared" si="387"/>
        <v>0</v>
      </c>
      <c r="LAE23" s="1902">
        <f t="shared" si="387"/>
        <v>0</v>
      </c>
      <c r="LAF23" s="1902">
        <f t="shared" si="387"/>
        <v>0</v>
      </c>
      <c r="LAG23" s="1902">
        <f t="shared" si="387"/>
        <v>0</v>
      </c>
      <c r="LAH23" s="1902">
        <f t="shared" si="387"/>
        <v>0</v>
      </c>
      <c r="LAI23" s="1902">
        <f t="shared" si="387"/>
        <v>0</v>
      </c>
      <c r="LAJ23" s="1902">
        <f t="shared" si="387"/>
        <v>0</v>
      </c>
      <c r="LAK23" s="1902">
        <f t="shared" si="387"/>
        <v>0</v>
      </c>
      <c r="LAL23" s="1902">
        <f t="shared" si="387"/>
        <v>0</v>
      </c>
      <c r="LAM23" s="1902">
        <f t="shared" si="387"/>
        <v>0</v>
      </c>
      <c r="LAN23" s="1902">
        <f t="shared" si="387"/>
        <v>0</v>
      </c>
      <c r="LAO23" s="1902">
        <f t="shared" si="387"/>
        <v>0</v>
      </c>
      <c r="LAP23" s="1902">
        <f t="shared" si="387"/>
        <v>0</v>
      </c>
      <c r="LAQ23" s="1902">
        <f t="shared" si="387"/>
        <v>0</v>
      </c>
      <c r="LAR23" s="1902">
        <f t="shared" si="387"/>
        <v>0</v>
      </c>
      <c r="LAS23" s="1902">
        <f t="shared" si="387"/>
        <v>0</v>
      </c>
      <c r="LAT23" s="1902">
        <f t="shared" si="387"/>
        <v>0</v>
      </c>
      <c r="LAU23" s="1902">
        <f t="shared" si="387"/>
        <v>0</v>
      </c>
      <c r="LAV23" s="1902">
        <f t="shared" si="387"/>
        <v>0</v>
      </c>
      <c r="LAW23" s="1902">
        <f t="shared" si="387"/>
        <v>0</v>
      </c>
      <c r="LAX23" s="1902">
        <f t="shared" si="387"/>
        <v>0</v>
      </c>
      <c r="LAY23" s="1902">
        <f t="shared" si="387"/>
        <v>0</v>
      </c>
      <c r="LAZ23" s="1902">
        <f t="shared" si="387"/>
        <v>0</v>
      </c>
      <c r="LBA23" s="1902">
        <f t="shared" si="387"/>
        <v>0</v>
      </c>
      <c r="LBB23" s="1902">
        <f t="shared" si="387"/>
        <v>0</v>
      </c>
      <c r="LBC23" s="1902">
        <f t="shared" si="387"/>
        <v>0</v>
      </c>
      <c r="LBD23" s="1902">
        <f t="shared" si="387"/>
        <v>0</v>
      </c>
      <c r="LBE23" s="1902">
        <f t="shared" si="387"/>
        <v>0</v>
      </c>
      <c r="LBF23" s="1902">
        <f t="shared" si="387"/>
        <v>0</v>
      </c>
      <c r="LBG23" s="1902">
        <f t="shared" si="387"/>
        <v>0</v>
      </c>
      <c r="LBH23" s="1902">
        <f t="shared" si="387"/>
        <v>0</v>
      </c>
      <c r="LBI23" s="1902">
        <f t="shared" si="387"/>
        <v>0</v>
      </c>
      <c r="LBJ23" s="1902">
        <f t="shared" si="387"/>
        <v>0</v>
      </c>
      <c r="LBK23" s="1902">
        <f t="shared" si="387"/>
        <v>0</v>
      </c>
      <c r="LBL23" s="1902">
        <f t="shared" si="387"/>
        <v>0</v>
      </c>
      <c r="LBM23" s="1902">
        <f t="shared" si="387"/>
        <v>0</v>
      </c>
      <c r="LBN23" s="1902">
        <f t="shared" si="387"/>
        <v>0</v>
      </c>
      <c r="LBO23" s="1902">
        <f t="shared" si="387"/>
        <v>0</v>
      </c>
      <c r="LBP23" s="1902">
        <f t="shared" si="387"/>
        <v>0</v>
      </c>
      <c r="LBQ23" s="1902">
        <f t="shared" si="387"/>
        <v>0</v>
      </c>
      <c r="LBR23" s="1902">
        <f t="shared" si="387"/>
        <v>0</v>
      </c>
      <c r="LBS23" s="1902">
        <f t="shared" si="387"/>
        <v>0</v>
      </c>
      <c r="LBT23" s="1902">
        <f t="shared" si="387"/>
        <v>0</v>
      </c>
      <c r="LBU23" s="1902">
        <f t="shared" si="387"/>
        <v>0</v>
      </c>
      <c r="LBV23" s="1902">
        <f t="shared" si="387"/>
        <v>0</v>
      </c>
      <c r="LBW23" s="1902">
        <f t="shared" si="387"/>
        <v>0</v>
      </c>
      <c r="LBX23" s="1902">
        <f t="shared" si="387"/>
        <v>0</v>
      </c>
      <c r="LBY23" s="1902">
        <f t="shared" si="387"/>
        <v>0</v>
      </c>
      <c r="LBZ23" s="1902">
        <f t="shared" si="387"/>
        <v>0</v>
      </c>
      <c r="LCA23" s="1902">
        <f t="shared" si="387"/>
        <v>0</v>
      </c>
      <c r="LCB23" s="1902">
        <f t="shared" si="387"/>
        <v>0</v>
      </c>
      <c r="LCC23" s="1902">
        <f t="shared" si="387"/>
        <v>0</v>
      </c>
      <c r="LCD23" s="1902">
        <f t="shared" si="387"/>
        <v>0</v>
      </c>
      <c r="LCE23" s="1902">
        <f t="shared" si="387"/>
        <v>0</v>
      </c>
      <c r="LCF23" s="1902">
        <f t="shared" si="387"/>
        <v>0</v>
      </c>
      <c r="LCG23" s="1902">
        <f t="shared" si="387"/>
        <v>0</v>
      </c>
      <c r="LCH23" s="1902">
        <f t="shared" si="387"/>
        <v>0</v>
      </c>
      <c r="LCI23" s="1902">
        <f t="shared" si="387"/>
        <v>0</v>
      </c>
      <c r="LCJ23" s="1902">
        <f t="shared" si="387"/>
        <v>0</v>
      </c>
      <c r="LCK23" s="1902">
        <f t="shared" si="387"/>
        <v>0</v>
      </c>
      <c r="LCL23" s="1902">
        <f t="shared" si="387"/>
        <v>0</v>
      </c>
      <c r="LCM23" s="1902">
        <f t="shared" ref="LCM23:LEX23" si="388">IF(AND(LCM$26="End of period",LCM$25="Revenue"),LCM10,0)</f>
        <v>0</v>
      </c>
      <c r="LCN23" s="1902">
        <f t="shared" si="388"/>
        <v>0</v>
      </c>
      <c r="LCO23" s="1902">
        <f t="shared" si="388"/>
        <v>0</v>
      </c>
      <c r="LCP23" s="1902">
        <f t="shared" si="388"/>
        <v>0</v>
      </c>
      <c r="LCQ23" s="1902">
        <f t="shared" si="388"/>
        <v>0</v>
      </c>
      <c r="LCR23" s="1902">
        <f t="shared" si="388"/>
        <v>0</v>
      </c>
      <c r="LCS23" s="1902">
        <f t="shared" si="388"/>
        <v>0</v>
      </c>
      <c r="LCT23" s="1902">
        <f t="shared" si="388"/>
        <v>0</v>
      </c>
      <c r="LCU23" s="1902">
        <f t="shared" si="388"/>
        <v>0</v>
      </c>
      <c r="LCV23" s="1902">
        <f t="shared" si="388"/>
        <v>0</v>
      </c>
      <c r="LCW23" s="1902">
        <f t="shared" si="388"/>
        <v>0</v>
      </c>
      <c r="LCX23" s="1902">
        <f t="shared" si="388"/>
        <v>0</v>
      </c>
      <c r="LCY23" s="1902">
        <f t="shared" si="388"/>
        <v>0</v>
      </c>
      <c r="LCZ23" s="1902">
        <f t="shared" si="388"/>
        <v>0</v>
      </c>
      <c r="LDA23" s="1902">
        <f t="shared" si="388"/>
        <v>0</v>
      </c>
      <c r="LDB23" s="1902">
        <f t="shared" si="388"/>
        <v>0</v>
      </c>
      <c r="LDC23" s="1902">
        <f t="shared" si="388"/>
        <v>0</v>
      </c>
      <c r="LDD23" s="1902">
        <f t="shared" si="388"/>
        <v>0</v>
      </c>
      <c r="LDE23" s="1902">
        <f t="shared" si="388"/>
        <v>0</v>
      </c>
      <c r="LDF23" s="1902">
        <f t="shared" si="388"/>
        <v>0</v>
      </c>
      <c r="LDG23" s="1902">
        <f t="shared" si="388"/>
        <v>0</v>
      </c>
      <c r="LDH23" s="1902">
        <f t="shared" si="388"/>
        <v>0</v>
      </c>
      <c r="LDI23" s="1902">
        <f t="shared" si="388"/>
        <v>0</v>
      </c>
      <c r="LDJ23" s="1902">
        <f t="shared" si="388"/>
        <v>0</v>
      </c>
      <c r="LDK23" s="1902">
        <f t="shared" si="388"/>
        <v>0</v>
      </c>
      <c r="LDL23" s="1902">
        <f t="shared" si="388"/>
        <v>0</v>
      </c>
      <c r="LDM23" s="1902">
        <f t="shared" si="388"/>
        <v>0</v>
      </c>
      <c r="LDN23" s="1902">
        <f t="shared" si="388"/>
        <v>0</v>
      </c>
      <c r="LDO23" s="1902">
        <f t="shared" si="388"/>
        <v>0</v>
      </c>
      <c r="LDP23" s="1902">
        <f t="shared" si="388"/>
        <v>0</v>
      </c>
      <c r="LDQ23" s="1902">
        <f t="shared" si="388"/>
        <v>0</v>
      </c>
      <c r="LDR23" s="1902">
        <f t="shared" si="388"/>
        <v>0</v>
      </c>
      <c r="LDS23" s="1902">
        <f t="shared" si="388"/>
        <v>0</v>
      </c>
      <c r="LDT23" s="1902">
        <f t="shared" si="388"/>
        <v>0</v>
      </c>
      <c r="LDU23" s="1902">
        <f t="shared" si="388"/>
        <v>0</v>
      </c>
      <c r="LDV23" s="1902">
        <f t="shared" si="388"/>
        <v>0</v>
      </c>
      <c r="LDW23" s="1902">
        <f t="shared" si="388"/>
        <v>0</v>
      </c>
      <c r="LDX23" s="1902">
        <f t="shared" si="388"/>
        <v>0</v>
      </c>
      <c r="LDY23" s="1902">
        <f t="shared" si="388"/>
        <v>0</v>
      </c>
      <c r="LDZ23" s="1902">
        <f t="shared" si="388"/>
        <v>0</v>
      </c>
      <c r="LEA23" s="1902">
        <f t="shared" si="388"/>
        <v>0</v>
      </c>
      <c r="LEB23" s="1902">
        <f t="shared" si="388"/>
        <v>0</v>
      </c>
      <c r="LEC23" s="1902">
        <f t="shared" si="388"/>
        <v>0</v>
      </c>
      <c r="LED23" s="1902">
        <f t="shared" si="388"/>
        <v>0</v>
      </c>
      <c r="LEE23" s="1902">
        <f t="shared" si="388"/>
        <v>0</v>
      </c>
      <c r="LEF23" s="1902">
        <f t="shared" si="388"/>
        <v>0</v>
      </c>
      <c r="LEG23" s="1902">
        <f t="shared" si="388"/>
        <v>0</v>
      </c>
      <c r="LEH23" s="1902">
        <f t="shared" si="388"/>
        <v>0</v>
      </c>
      <c r="LEI23" s="1902">
        <f t="shared" si="388"/>
        <v>0</v>
      </c>
      <c r="LEJ23" s="1902">
        <f t="shared" si="388"/>
        <v>0</v>
      </c>
      <c r="LEK23" s="1902">
        <f t="shared" si="388"/>
        <v>0</v>
      </c>
      <c r="LEL23" s="1902">
        <f t="shared" si="388"/>
        <v>0</v>
      </c>
      <c r="LEM23" s="1902">
        <f t="shared" si="388"/>
        <v>0</v>
      </c>
      <c r="LEN23" s="1902">
        <f t="shared" si="388"/>
        <v>0</v>
      </c>
      <c r="LEO23" s="1902">
        <f t="shared" si="388"/>
        <v>0</v>
      </c>
      <c r="LEP23" s="1902">
        <f t="shared" si="388"/>
        <v>0</v>
      </c>
      <c r="LEQ23" s="1902">
        <f t="shared" si="388"/>
        <v>0</v>
      </c>
      <c r="LER23" s="1902">
        <f t="shared" si="388"/>
        <v>0</v>
      </c>
      <c r="LES23" s="1902">
        <f t="shared" si="388"/>
        <v>0</v>
      </c>
      <c r="LET23" s="1902">
        <f t="shared" si="388"/>
        <v>0</v>
      </c>
      <c r="LEU23" s="1902">
        <f t="shared" si="388"/>
        <v>0</v>
      </c>
      <c r="LEV23" s="1902">
        <f t="shared" si="388"/>
        <v>0</v>
      </c>
      <c r="LEW23" s="1902">
        <f t="shared" si="388"/>
        <v>0</v>
      </c>
      <c r="LEX23" s="1902">
        <f t="shared" si="388"/>
        <v>0</v>
      </c>
      <c r="LEY23" s="1902">
        <f t="shared" ref="LEY23:LHJ23" si="389">IF(AND(LEY$26="End of period",LEY$25="Revenue"),LEY10,0)</f>
        <v>0</v>
      </c>
      <c r="LEZ23" s="1902">
        <f t="shared" si="389"/>
        <v>0</v>
      </c>
      <c r="LFA23" s="1902">
        <f t="shared" si="389"/>
        <v>0</v>
      </c>
      <c r="LFB23" s="1902">
        <f t="shared" si="389"/>
        <v>0</v>
      </c>
      <c r="LFC23" s="1902">
        <f t="shared" si="389"/>
        <v>0</v>
      </c>
      <c r="LFD23" s="1902">
        <f t="shared" si="389"/>
        <v>0</v>
      </c>
      <c r="LFE23" s="1902">
        <f t="shared" si="389"/>
        <v>0</v>
      </c>
      <c r="LFF23" s="1902">
        <f t="shared" si="389"/>
        <v>0</v>
      </c>
      <c r="LFG23" s="1902">
        <f t="shared" si="389"/>
        <v>0</v>
      </c>
      <c r="LFH23" s="1902">
        <f t="shared" si="389"/>
        <v>0</v>
      </c>
      <c r="LFI23" s="1902">
        <f t="shared" si="389"/>
        <v>0</v>
      </c>
      <c r="LFJ23" s="1902">
        <f t="shared" si="389"/>
        <v>0</v>
      </c>
      <c r="LFK23" s="1902">
        <f t="shared" si="389"/>
        <v>0</v>
      </c>
      <c r="LFL23" s="1902">
        <f t="shared" si="389"/>
        <v>0</v>
      </c>
      <c r="LFM23" s="1902">
        <f t="shared" si="389"/>
        <v>0</v>
      </c>
      <c r="LFN23" s="1902">
        <f t="shared" si="389"/>
        <v>0</v>
      </c>
      <c r="LFO23" s="1902">
        <f t="shared" si="389"/>
        <v>0</v>
      </c>
      <c r="LFP23" s="1902">
        <f t="shared" si="389"/>
        <v>0</v>
      </c>
      <c r="LFQ23" s="1902">
        <f t="shared" si="389"/>
        <v>0</v>
      </c>
      <c r="LFR23" s="1902">
        <f t="shared" si="389"/>
        <v>0</v>
      </c>
      <c r="LFS23" s="1902">
        <f t="shared" si="389"/>
        <v>0</v>
      </c>
      <c r="LFT23" s="1902">
        <f t="shared" si="389"/>
        <v>0</v>
      </c>
      <c r="LFU23" s="1902">
        <f t="shared" si="389"/>
        <v>0</v>
      </c>
      <c r="LFV23" s="1902">
        <f t="shared" si="389"/>
        <v>0</v>
      </c>
      <c r="LFW23" s="1902">
        <f t="shared" si="389"/>
        <v>0</v>
      </c>
      <c r="LFX23" s="1902">
        <f t="shared" si="389"/>
        <v>0</v>
      </c>
      <c r="LFY23" s="1902">
        <f t="shared" si="389"/>
        <v>0</v>
      </c>
      <c r="LFZ23" s="1902">
        <f t="shared" si="389"/>
        <v>0</v>
      </c>
      <c r="LGA23" s="1902">
        <f t="shared" si="389"/>
        <v>0</v>
      </c>
      <c r="LGB23" s="1902">
        <f t="shared" si="389"/>
        <v>0</v>
      </c>
      <c r="LGC23" s="1902">
        <f t="shared" si="389"/>
        <v>0</v>
      </c>
      <c r="LGD23" s="1902">
        <f t="shared" si="389"/>
        <v>0</v>
      </c>
      <c r="LGE23" s="1902">
        <f t="shared" si="389"/>
        <v>0</v>
      </c>
      <c r="LGF23" s="1902">
        <f t="shared" si="389"/>
        <v>0</v>
      </c>
      <c r="LGG23" s="1902">
        <f t="shared" si="389"/>
        <v>0</v>
      </c>
      <c r="LGH23" s="1902">
        <f t="shared" si="389"/>
        <v>0</v>
      </c>
      <c r="LGI23" s="1902">
        <f t="shared" si="389"/>
        <v>0</v>
      </c>
      <c r="LGJ23" s="1902">
        <f t="shared" si="389"/>
        <v>0</v>
      </c>
      <c r="LGK23" s="1902">
        <f t="shared" si="389"/>
        <v>0</v>
      </c>
      <c r="LGL23" s="1902">
        <f t="shared" si="389"/>
        <v>0</v>
      </c>
      <c r="LGM23" s="1902">
        <f t="shared" si="389"/>
        <v>0</v>
      </c>
      <c r="LGN23" s="1902">
        <f t="shared" si="389"/>
        <v>0</v>
      </c>
      <c r="LGO23" s="1902">
        <f t="shared" si="389"/>
        <v>0</v>
      </c>
      <c r="LGP23" s="1902">
        <f t="shared" si="389"/>
        <v>0</v>
      </c>
      <c r="LGQ23" s="1902">
        <f t="shared" si="389"/>
        <v>0</v>
      </c>
      <c r="LGR23" s="1902">
        <f t="shared" si="389"/>
        <v>0</v>
      </c>
      <c r="LGS23" s="1902">
        <f t="shared" si="389"/>
        <v>0</v>
      </c>
      <c r="LGT23" s="1902">
        <f t="shared" si="389"/>
        <v>0</v>
      </c>
      <c r="LGU23" s="1902">
        <f t="shared" si="389"/>
        <v>0</v>
      </c>
      <c r="LGV23" s="1902">
        <f t="shared" si="389"/>
        <v>0</v>
      </c>
      <c r="LGW23" s="1902">
        <f t="shared" si="389"/>
        <v>0</v>
      </c>
      <c r="LGX23" s="1902">
        <f t="shared" si="389"/>
        <v>0</v>
      </c>
      <c r="LGY23" s="1902">
        <f t="shared" si="389"/>
        <v>0</v>
      </c>
      <c r="LGZ23" s="1902">
        <f t="shared" si="389"/>
        <v>0</v>
      </c>
      <c r="LHA23" s="1902">
        <f t="shared" si="389"/>
        <v>0</v>
      </c>
      <c r="LHB23" s="1902">
        <f t="shared" si="389"/>
        <v>0</v>
      </c>
      <c r="LHC23" s="1902">
        <f t="shared" si="389"/>
        <v>0</v>
      </c>
      <c r="LHD23" s="1902">
        <f t="shared" si="389"/>
        <v>0</v>
      </c>
      <c r="LHE23" s="1902">
        <f t="shared" si="389"/>
        <v>0</v>
      </c>
      <c r="LHF23" s="1902">
        <f t="shared" si="389"/>
        <v>0</v>
      </c>
      <c r="LHG23" s="1902">
        <f t="shared" si="389"/>
        <v>0</v>
      </c>
      <c r="LHH23" s="1902">
        <f t="shared" si="389"/>
        <v>0</v>
      </c>
      <c r="LHI23" s="1902">
        <f t="shared" si="389"/>
        <v>0</v>
      </c>
      <c r="LHJ23" s="1902">
        <f t="shared" si="389"/>
        <v>0</v>
      </c>
      <c r="LHK23" s="1902">
        <f t="shared" ref="LHK23:LJV23" si="390">IF(AND(LHK$26="End of period",LHK$25="Revenue"),LHK10,0)</f>
        <v>0</v>
      </c>
      <c r="LHL23" s="1902">
        <f t="shared" si="390"/>
        <v>0</v>
      </c>
      <c r="LHM23" s="1902">
        <f t="shared" si="390"/>
        <v>0</v>
      </c>
      <c r="LHN23" s="1902">
        <f t="shared" si="390"/>
        <v>0</v>
      </c>
      <c r="LHO23" s="1902">
        <f t="shared" si="390"/>
        <v>0</v>
      </c>
      <c r="LHP23" s="1902">
        <f t="shared" si="390"/>
        <v>0</v>
      </c>
      <c r="LHQ23" s="1902">
        <f t="shared" si="390"/>
        <v>0</v>
      </c>
      <c r="LHR23" s="1902">
        <f t="shared" si="390"/>
        <v>0</v>
      </c>
      <c r="LHS23" s="1902">
        <f t="shared" si="390"/>
        <v>0</v>
      </c>
      <c r="LHT23" s="1902">
        <f t="shared" si="390"/>
        <v>0</v>
      </c>
      <c r="LHU23" s="1902">
        <f t="shared" si="390"/>
        <v>0</v>
      </c>
      <c r="LHV23" s="1902">
        <f t="shared" si="390"/>
        <v>0</v>
      </c>
      <c r="LHW23" s="1902">
        <f t="shared" si="390"/>
        <v>0</v>
      </c>
      <c r="LHX23" s="1902">
        <f t="shared" si="390"/>
        <v>0</v>
      </c>
      <c r="LHY23" s="1902">
        <f t="shared" si="390"/>
        <v>0</v>
      </c>
      <c r="LHZ23" s="1902">
        <f t="shared" si="390"/>
        <v>0</v>
      </c>
      <c r="LIA23" s="1902">
        <f t="shared" si="390"/>
        <v>0</v>
      </c>
      <c r="LIB23" s="1902">
        <f t="shared" si="390"/>
        <v>0</v>
      </c>
      <c r="LIC23" s="1902">
        <f t="shared" si="390"/>
        <v>0</v>
      </c>
      <c r="LID23" s="1902">
        <f t="shared" si="390"/>
        <v>0</v>
      </c>
      <c r="LIE23" s="1902">
        <f t="shared" si="390"/>
        <v>0</v>
      </c>
      <c r="LIF23" s="1902">
        <f t="shared" si="390"/>
        <v>0</v>
      </c>
      <c r="LIG23" s="1902">
        <f t="shared" si="390"/>
        <v>0</v>
      </c>
      <c r="LIH23" s="1902">
        <f t="shared" si="390"/>
        <v>0</v>
      </c>
      <c r="LII23" s="1902">
        <f t="shared" si="390"/>
        <v>0</v>
      </c>
      <c r="LIJ23" s="1902">
        <f t="shared" si="390"/>
        <v>0</v>
      </c>
      <c r="LIK23" s="1902">
        <f t="shared" si="390"/>
        <v>0</v>
      </c>
      <c r="LIL23" s="1902">
        <f t="shared" si="390"/>
        <v>0</v>
      </c>
      <c r="LIM23" s="1902">
        <f t="shared" si="390"/>
        <v>0</v>
      </c>
      <c r="LIN23" s="1902">
        <f t="shared" si="390"/>
        <v>0</v>
      </c>
      <c r="LIO23" s="1902">
        <f t="shared" si="390"/>
        <v>0</v>
      </c>
      <c r="LIP23" s="1902">
        <f t="shared" si="390"/>
        <v>0</v>
      </c>
      <c r="LIQ23" s="1902">
        <f t="shared" si="390"/>
        <v>0</v>
      </c>
      <c r="LIR23" s="1902">
        <f t="shared" si="390"/>
        <v>0</v>
      </c>
      <c r="LIS23" s="1902">
        <f t="shared" si="390"/>
        <v>0</v>
      </c>
      <c r="LIT23" s="1902">
        <f t="shared" si="390"/>
        <v>0</v>
      </c>
      <c r="LIU23" s="1902">
        <f t="shared" si="390"/>
        <v>0</v>
      </c>
      <c r="LIV23" s="1902">
        <f t="shared" si="390"/>
        <v>0</v>
      </c>
      <c r="LIW23" s="1902">
        <f t="shared" si="390"/>
        <v>0</v>
      </c>
      <c r="LIX23" s="1902">
        <f t="shared" si="390"/>
        <v>0</v>
      </c>
      <c r="LIY23" s="1902">
        <f t="shared" si="390"/>
        <v>0</v>
      </c>
      <c r="LIZ23" s="1902">
        <f t="shared" si="390"/>
        <v>0</v>
      </c>
      <c r="LJA23" s="1902">
        <f t="shared" si="390"/>
        <v>0</v>
      </c>
      <c r="LJB23" s="1902">
        <f t="shared" si="390"/>
        <v>0</v>
      </c>
      <c r="LJC23" s="1902">
        <f t="shared" si="390"/>
        <v>0</v>
      </c>
      <c r="LJD23" s="1902">
        <f t="shared" si="390"/>
        <v>0</v>
      </c>
      <c r="LJE23" s="1902">
        <f t="shared" si="390"/>
        <v>0</v>
      </c>
      <c r="LJF23" s="1902">
        <f t="shared" si="390"/>
        <v>0</v>
      </c>
      <c r="LJG23" s="1902">
        <f t="shared" si="390"/>
        <v>0</v>
      </c>
      <c r="LJH23" s="1902">
        <f t="shared" si="390"/>
        <v>0</v>
      </c>
      <c r="LJI23" s="1902">
        <f t="shared" si="390"/>
        <v>0</v>
      </c>
      <c r="LJJ23" s="1902">
        <f t="shared" si="390"/>
        <v>0</v>
      </c>
      <c r="LJK23" s="1902">
        <f t="shared" si="390"/>
        <v>0</v>
      </c>
      <c r="LJL23" s="1902">
        <f t="shared" si="390"/>
        <v>0</v>
      </c>
      <c r="LJM23" s="1902">
        <f t="shared" si="390"/>
        <v>0</v>
      </c>
      <c r="LJN23" s="1902">
        <f t="shared" si="390"/>
        <v>0</v>
      </c>
      <c r="LJO23" s="1902">
        <f t="shared" si="390"/>
        <v>0</v>
      </c>
      <c r="LJP23" s="1902">
        <f t="shared" si="390"/>
        <v>0</v>
      </c>
      <c r="LJQ23" s="1902">
        <f t="shared" si="390"/>
        <v>0</v>
      </c>
      <c r="LJR23" s="1902">
        <f t="shared" si="390"/>
        <v>0</v>
      </c>
      <c r="LJS23" s="1902">
        <f t="shared" si="390"/>
        <v>0</v>
      </c>
      <c r="LJT23" s="1902">
        <f t="shared" si="390"/>
        <v>0</v>
      </c>
      <c r="LJU23" s="1902">
        <f t="shared" si="390"/>
        <v>0</v>
      </c>
      <c r="LJV23" s="1902">
        <f t="shared" si="390"/>
        <v>0</v>
      </c>
      <c r="LJW23" s="1902">
        <f t="shared" ref="LJW23:LMH23" si="391">IF(AND(LJW$26="End of period",LJW$25="Revenue"),LJW10,0)</f>
        <v>0</v>
      </c>
      <c r="LJX23" s="1902">
        <f t="shared" si="391"/>
        <v>0</v>
      </c>
      <c r="LJY23" s="1902">
        <f t="shared" si="391"/>
        <v>0</v>
      </c>
      <c r="LJZ23" s="1902">
        <f t="shared" si="391"/>
        <v>0</v>
      </c>
      <c r="LKA23" s="1902">
        <f t="shared" si="391"/>
        <v>0</v>
      </c>
      <c r="LKB23" s="1902">
        <f t="shared" si="391"/>
        <v>0</v>
      </c>
      <c r="LKC23" s="1902">
        <f t="shared" si="391"/>
        <v>0</v>
      </c>
      <c r="LKD23" s="1902">
        <f t="shared" si="391"/>
        <v>0</v>
      </c>
      <c r="LKE23" s="1902">
        <f t="shared" si="391"/>
        <v>0</v>
      </c>
      <c r="LKF23" s="1902">
        <f t="shared" si="391"/>
        <v>0</v>
      </c>
      <c r="LKG23" s="1902">
        <f t="shared" si="391"/>
        <v>0</v>
      </c>
      <c r="LKH23" s="1902">
        <f t="shared" si="391"/>
        <v>0</v>
      </c>
      <c r="LKI23" s="1902">
        <f t="shared" si="391"/>
        <v>0</v>
      </c>
      <c r="LKJ23" s="1902">
        <f t="shared" si="391"/>
        <v>0</v>
      </c>
      <c r="LKK23" s="1902">
        <f t="shared" si="391"/>
        <v>0</v>
      </c>
      <c r="LKL23" s="1902">
        <f t="shared" si="391"/>
        <v>0</v>
      </c>
      <c r="LKM23" s="1902">
        <f t="shared" si="391"/>
        <v>0</v>
      </c>
      <c r="LKN23" s="1902">
        <f t="shared" si="391"/>
        <v>0</v>
      </c>
      <c r="LKO23" s="1902">
        <f t="shared" si="391"/>
        <v>0</v>
      </c>
      <c r="LKP23" s="1902">
        <f t="shared" si="391"/>
        <v>0</v>
      </c>
      <c r="LKQ23" s="1902">
        <f t="shared" si="391"/>
        <v>0</v>
      </c>
      <c r="LKR23" s="1902">
        <f t="shared" si="391"/>
        <v>0</v>
      </c>
      <c r="LKS23" s="1902">
        <f t="shared" si="391"/>
        <v>0</v>
      </c>
      <c r="LKT23" s="1902">
        <f t="shared" si="391"/>
        <v>0</v>
      </c>
      <c r="LKU23" s="1902">
        <f t="shared" si="391"/>
        <v>0</v>
      </c>
      <c r="LKV23" s="1902">
        <f t="shared" si="391"/>
        <v>0</v>
      </c>
      <c r="LKW23" s="1902">
        <f t="shared" si="391"/>
        <v>0</v>
      </c>
      <c r="LKX23" s="1902">
        <f t="shared" si="391"/>
        <v>0</v>
      </c>
      <c r="LKY23" s="1902">
        <f t="shared" si="391"/>
        <v>0</v>
      </c>
      <c r="LKZ23" s="1902">
        <f t="shared" si="391"/>
        <v>0</v>
      </c>
      <c r="LLA23" s="1902">
        <f t="shared" si="391"/>
        <v>0</v>
      </c>
      <c r="LLB23" s="1902">
        <f t="shared" si="391"/>
        <v>0</v>
      </c>
      <c r="LLC23" s="1902">
        <f t="shared" si="391"/>
        <v>0</v>
      </c>
      <c r="LLD23" s="1902">
        <f t="shared" si="391"/>
        <v>0</v>
      </c>
      <c r="LLE23" s="1902">
        <f t="shared" si="391"/>
        <v>0</v>
      </c>
      <c r="LLF23" s="1902">
        <f t="shared" si="391"/>
        <v>0</v>
      </c>
      <c r="LLG23" s="1902">
        <f t="shared" si="391"/>
        <v>0</v>
      </c>
      <c r="LLH23" s="1902">
        <f t="shared" si="391"/>
        <v>0</v>
      </c>
      <c r="LLI23" s="1902">
        <f t="shared" si="391"/>
        <v>0</v>
      </c>
      <c r="LLJ23" s="1902">
        <f t="shared" si="391"/>
        <v>0</v>
      </c>
      <c r="LLK23" s="1902">
        <f t="shared" si="391"/>
        <v>0</v>
      </c>
      <c r="LLL23" s="1902">
        <f t="shared" si="391"/>
        <v>0</v>
      </c>
      <c r="LLM23" s="1902">
        <f t="shared" si="391"/>
        <v>0</v>
      </c>
      <c r="LLN23" s="1902">
        <f t="shared" si="391"/>
        <v>0</v>
      </c>
      <c r="LLO23" s="1902">
        <f t="shared" si="391"/>
        <v>0</v>
      </c>
      <c r="LLP23" s="1902">
        <f t="shared" si="391"/>
        <v>0</v>
      </c>
      <c r="LLQ23" s="1902">
        <f t="shared" si="391"/>
        <v>0</v>
      </c>
      <c r="LLR23" s="1902">
        <f t="shared" si="391"/>
        <v>0</v>
      </c>
      <c r="LLS23" s="1902">
        <f t="shared" si="391"/>
        <v>0</v>
      </c>
      <c r="LLT23" s="1902">
        <f t="shared" si="391"/>
        <v>0</v>
      </c>
      <c r="LLU23" s="1902">
        <f t="shared" si="391"/>
        <v>0</v>
      </c>
      <c r="LLV23" s="1902">
        <f t="shared" si="391"/>
        <v>0</v>
      </c>
      <c r="LLW23" s="1902">
        <f t="shared" si="391"/>
        <v>0</v>
      </c>
      <c r="LLX23" s="1902">
        <f t="shared" si="391"/>
        <v>0</v>
      </c>
      <c r="LLY23" s="1902">
        <f t="shared" si="391"/>
        <v>0</v>
      </c>
      <c r="LLZ23" s="1902">
        <f t="shared" si="391"/>
        <v>0</v>
      </c>
      <c r="LMA23" s="1902">
        <f t="shared" si="391"/>
        <v>0</v>
      </c>
      <c r="LMB23" s="1902">
        <f t="shared" si="391"/>
        <v>0</v>
      </c>
      <c r="LMC23" s="1902">
        <f t="shared" si="391"/>
        <v>0</v>
      </c>
      <c r="LMD23" s="1902">
        <f t="shared" si="391"/>
        <v>0</v>
      </c>
      <c r="LME23" s="1902">
        <f t="shared" si="391"/>
        <v>0</v>
      </c>
      <c r="LMF23" s="1902">
        <f t="shared" si="391"/>
        <v>0</v>
      </c>
      <c r="LMG23" s="1902">
        <f t="shared" si="391"/>
        <v>0</v>
      </c>
      <c r="LMH23" s="1902">
        <f t="shared" si="391"/>
        <v>0</v>
      </c>
      <c r="LMI23" s="1902">
        <f t="shared" ref="LMI23:LOT23" si="392">IF(AND(LMI$26="End of period",LMI$25="Revenue"),LMI10,0)</f>
        <v>0</v>
      </c>
      <c r="LMJ23" s="1902">
        <f t="shared" si="392"/>
        <v>0</v>
      </c>
      <c r="LMK23" s="1902">
        <f t="shared" si="392"/>
        <v>0</v>
      </c>
      <c r="LML23" s="1902">
        <f t="shared" si="392"/>
        <v>0</v>
      </c>
      <c r="LMM23" s="1902">
        <f t="shared" si="392"/>
        <v>0</v>
      </c>
      <c r="LMN23" s="1902">
        <f t="shared" si="392"/>
        <v>0</v>
      </c>
      <c r="LMO23" s="1902">
        <f t="shared" si="392"/>
        <v>0</v>
      </c>
      <c r="LMP23" s="1902">
        <f t="shared" si="392"/>
        <v>0</v>
      </c>
      <c r="LMQ23" s="1902">
        <f t="shared" si="392"/>
        <v>0</v>
      </c>
      <c r="LMR23" s="1902">
        <f t="shared" si="392"/>
        <v>0</v>
      </c>
      <c r="LMS23" s="1902">
        <f t="shared" si="392"/>
        <v>0</v>
      </c>
      <c r="LMT23" s="1902">
        <f t="shared" si="392"/>
        <v>0</v>
      </c>
      <c r="LMU23" s="1902">
        <f t="shared" si="392"/>
        <v>0</v>
      </c>
      <c r="LMV23" s="1902">
        <f t="shared" si="392"/>
        <v>0</v>
      </c>
      <c r="LMW23" s="1902">
        <f t="shared" si="392"/>
        <v>0</v>
      </c>
      <c r="LMX23" s="1902">
        <f t="shared" si="392"/>
        <v>0</v>
      </c>
      <c r="LMY23" s="1902">
        <f t="shared" si="392"/>
        <v>0</v>
      </c>
      <c r="LMZ23" s="1902">
        <f t="shared" si="392"/>
        <v>0</v>
      </c>
      <c r="LNA23" s="1902">
        <f t="shared" si="392"/>
        <v>0</v>
      </c>
      <c r="LNB23" s="1902">
        <f t="shared" si="392"/>
        <v>0</v>
      </c>
      <c r="LNC23" s="1902">
        <f t="shared" si="392"/>
        <v>0</v>
      </c>
      <c r="LND23" s="1902">
        <f t="shared" si="392"/>
        <v>0</v>
      </c>
      <c r="LNE23" s="1902">
        <f t="shared" si="392"/>
        <v>0</v>
      </c>
      <c r="LNF23" s="1902">
        <f t="shared" si="392"/>
        <v>0</v>
      </c>
      <c r="LNG23" s="1902">
        <f t="shared" si="392"/>
        <v>0</v>
      </c>
      <c r="LNH23" s="1902">
        <f t="shared" si="392"/>
        <v>0</v>
      </c>
      <c r="LNI23" s="1902">
        <f t="shared" si="392"/>
        <v>0</v>
      </c>
      <c r="LNJ23" s="1902">
        <f t="shared" si="392"/>
        <v>0</v>
      </c>
      <c r="LNK23" s="1902">
        <f t="shared" si="392"/>
        <v>0</v>
      </c>
      <c r="LNL23" s="1902">
        <f t="shared" si="392"/>
        <v>0</v>
      </c>
      <c r="LNM23" s="1902">
        <f t="shared" si="392"/>
        <v>0</v>
      </c>
      <c r="LNN23" s="1902">
        <f t="shared" si="392"/>
        <v>0</v>
      </c>
      <c r="LNO23" s="1902">
        <f t="shared" si="392"/>
        <v>0</v>
      </c>
      <c r="LNP23" s="1902">
        <f t="shared" si="392"/>
        <v>0</v>
      </c>
      <c r="LNQ23" s="1902">
        <f t="shared" si="392"/>
        <v>0</v>
      </c>
      <c r="LNR23" s="1902">
        <f t="shared" si="392"/>
        <v>0</v>
      </c>
      <c r="LNS23" s="1902">
        <f t="shared" si="392"/>
        <v>0</v>
      </c>
      <c r="LNT23" s="1902">
        <f t="shared" si="392"/>
        <v>0</v>
      </c>
      <c r="LNU23" s="1902">
        <f t="shared" si="392"/>
        <v>0</v>
      </c>
      <c r="LNV23" s="1902">
        <f t="shared" si="392"/>
        <v>0</v>
      </c>
      <c r="LNW23" s="1902">
        <f t="shared" si="392"/>
        <v>0</v>
      </c>
      <c r="LNX23" s="1902">
        <f t="shared" si="392"/>
        <v>0</v>
      </c>
      <c r="LNY23" s="1902">
        <f t="shared" si="392"/>
        <v>0</v>
      </c>
      <c r="LNZ23" s="1902">
        <f t="shared" si="392"/>
        <v>0</v>
      </c>
      <c r="LOA23" s="1902">
        <f t="shared" si="392"/>
        <v>0</v>
      </c>
      <c r="LOB23" s="1902">
        <f t="shared" si="392"/>
        <v>0</v>
      </c>
      <c r="LOC23" s="1902">
        <f t="shared" si="392"/>
        <v>0</v>
      </c>
      <c r="LOD23" s="1902">
        <f t="shared" si="392"/>
        <v>0</v>
      </c>
      <c r="LOE23" s="1902">
        <f t="shared" si="392"/>
        <v>0</v>
      </c>
      <c r="LOF23" s="1902">
        <f t="shared" si="392"/>
        <v>0</v>
      </c>
      <c r="LOG23" s="1902">
        <f t="shared" si="392"/>
        <v>0</v>
      </c>
      <c r="LOH23" s="1902">
        <f t="shared" si="392"/>
        <v>0</v>
      </c>
      <c r="LOI23" s="1902">
        <f t="shared" si="392"/>
        <v>0</v>
      </c>
      <c r="LOJ23" s="1902">
        <f t="shared" si="392"/>
        <v>0</v>
      </c>
      <c r="LOK23" s="1902">
        <f t="shared" si="392"/>
        <v>0</v>
      </c>
      <c r="LOL23" s="1902">
        <f t="shared" si="392"/>
        <v>0</v>
      </c>
      <c r="LOM23" s="1902">
        <f t="shared" si="392"/>
        <v>0</v>
      </c>
      <c r="LON23" s="1902">
        <f t="shared" si="392"/>
        <v>0</v>
      </c>
      <c r="LOO23" s="1902">
        <f t="shared" si="392"/>
        <v>0</v>
      </c>
      <c r="LOP23" s="1902">
        <f t="shared" si="392"/>
        <v>0</v>
      </c>
      <c r="LOQ23" s="1902">
        <f t="shared" si="392"/>
        <v>0</v>
      </c>
      <c r="LOR23" s="1902">
        <f t="shared" si="392"/>
        <v>0</v>
      </c>
      <c r="LOS23" s="1902">
        <f t="shared" si="392"/>
        <v>0</v>
      </c>
      <c r="LOT23" s="1902">
        <f t="shared" si="392"/>
        <v>0</v>
      </c>
      <c r="LOU23" s="1902">
        <f t="shared" ref="LOU23:LRF23" si="393">IF(AND(LOU$26="End of period",LOU$25="Revenue"),LOU10,0)</f>
        <v>0</v>
      </c>
      <c r="LOV23" s="1902">
        <f t="shared" si="393"/>
        <v>0</v>
      </c>
      <c r="LOW23" s="1902">
        <f t="shared" si="393"/>
        <v>0</v>
      </c>
      <c r="LOX23" s="1902">
        <f t="shared" si="393"/>
        <v>0</v>
      </c>
      <c r="LOY23" s="1902">
        <f t="shared" si="393"/>
        <v>0</v>
      </c>
      <c r="LOZ23" s="1902">
        <f t="shared" si="393"/>
        <v>0</v>
      </c>
      <c r="LPA23" s="1902">
        <f t="shared" si="393"/>
        <v>0</v>
      </c>
      <c r="LPB23" s="1902">
        <f t="shared" si="393"/>
        <v>0</v>
      </c>
      <c r="LPC23" s="1902">
        <f t="shared" si="393"/>
        <v>0</v>
      </c>
      <c r="LPD23" s="1902">
        <f t="shared" si="393"/>
        <v>0</v>
      </c>
      <c r="LPE23" s="1902">
        <f t="shared" si="393"/>
        <v>0</v>
      </c>
      <c r="LPF23" s="1902">
        <f t="shared" si="393"/>
        <v>0</v>
      </c>
      <c r="LPG23" s="1902">
        <f t="shared" si="393"/>
        <v>0</v>
      </c>
      <c r="LPH23" s="1902">
        <f t="shared" si="393"/>
        <v>0</v>
      </c>
      <c r="LPI23" s="1902">
        <f t="shared" si="393"/>
        <v>0</v>
      </c>
      <c r="LPJ23" s="1902">
        <f t="shared" si="393"/>
        <v>0</v>
      </c>
      <c r="LPK23" s="1902">
        <f t="shared" si="393"/>
        <v>0</v>
      </c>
      <c r="LPL23" s="1902">
        <f t="shared" si="393"/>
        <v>0</v>
      </c>
      <c r="LPM23" s="1902">
        <f t="shared" si="393"/>
        <v>0</v>
      </c>
      <c r="LPN23" s="1902">
        <f t="shared" si="393"/>
        <v>0</v>
      </c>
      <c r="LPO23" s="1902">
        <f t="shared" si="393"/>
        <v>0</v>
      </c>
      <c r="LPP23" s="1902">
        <f t="shared" si="393"/>
        <v>0</v>
      </c>
      <c r="LPQ23" s="1902">
        <f t="shared" si="393"/>
        <v>0</v>
      </c>
      <c r="LPR23" s="1902">
        <f t="shared" si="393"/>
        <v>0</v>
      </c>
      <c r="LPS23" s="1902">
        <f t="shared" si="393"/>
        <v>0</v>
      </c>
      <c r="LPT23" s="1902">
        <f t="shared" si="393"/>
        <v>0</v>
      </c>
      <c r="LPU23" s="1902">
        <f t="shared" si="393"/>
        <v>0</v>
      </c>
      <c r="LPV23" s="1902">
        <f t="shared" si="393"/>
        <v>0</v>
      </c>
      <c r="LPW23" s="1902">
        <f t="shared" si="393"/>
        <v>0</v>
      </c>
      <c r="LPX23" s="1902">
        <f t="shared" si="393"/>
        <v>0</v>
      </c>
      <c r="LPY23" s="1902">
        <f t="shared" si="393"/>
        <v>0</v>
      </c>
      <c r="LPZ23" s="1902">
        <f t="shared" si="393"/>
        <v>0</v>
      </c>
      <c r="LQA23" s="1902">
        <f t="shared" si="393"/>
        <v>0</v>
      </c>
      <c r="LQB23" s="1902">
        <f t="shared" si="393"/>
        <v>0</v>
      </c>
      <c r="LQC23" s="1902">
        <f t="shared" si="393"/>
        <v>0</v>
      </c>
      <c r="LQD23" s="1902">
        <f t="shared" si="393"/>
        <v>0</v>
      </c>
      <c r="LQE23" s="1902">
        <f t="shared" si="393"/>
        <v>0</v>
      </c>
      <c r="LQF23" s="1902">
        <f t="shared" si="393"/>
        <v>0</v>
      </c>
      <c r="LQG23" s="1902">
        <f t="shared" si="393"/>
        <v>0</v>
      </c>
      <c r="LQH23" s="1902">
        <f t="shared" si="393"/>
        <v>0</v>
      </c>
      <c r="LQI23" s="1902">
        <f t="shared" si="393"/>
        <v>0</v>
      </c>
      <c r="LQJ23" s="1902">
        <f t="shared" si="393"/>
        <v>0</v>
      </c>
      <c r="LQK23" s="1902">
        <f t="shared" si="393"/>
        <v>0</v>
      </c>
      <c r="LQL23" s="1902">
        <f t="shared" si="393"/>
        <v>0</v>
      </c>
      <c r="LQM23" s="1902">
        <f t="shared" si="393"/>
        <v>0</v>
      </c>
      <c r="LQN23" s="1902">
        <f t="shared" si="393"/>
        <v>0</v>
      </c>
      <c r="LQO23" s="1902">
        <f t="shared" si="393"/>
        <v>0</v>
      </c>
      <c r="LQP23" s="1902">
        <f t="shared" si="393"/>
        <v>0</v>
      </c>
      <c r="LQQ23" s="1902">
        <f t="shared" si="393"/>
        <v>0</v>
      </c>
      <c r="LQR23" s="1902">
        <f t="shared" si="393"/>
        <v>0</v>
      </c>
      <c r="LQS23" s="1902">
        <f t="shared" si="393"/>
        <v>0</v>
      </c>
      <c r="LQT23" s="1902">
        <f t="shared" si="393"/>
        <v>0</v>
      </c>
      <c r="LQU23" s="1902">
        <f t="shared" si="393"/>
        <v>0</v>
      </c>
      <c r="LQV23" s="1902">
        <f t="shared" si="393"/>
        <v>0</v>
      </c>
      <c r="LQW23" s="1902">
        <f t="shared" si="393"/>
        <v>0</v>
      </c>
      <c r="LQX23" s="1902">
        <f t="shared" si="393"/>
        <v>0</v>
      </c>
      <c r="LQY23" s="1902">
        <f t="shared" si="393"/>
        <v>0</v>
      </c>
      <c r="LQZ23" s="1902">
        <f t="shared" si="393"/>
        <v>0</v>
      </c>
      <c r="LRA23" s="1902">
        <f t="shared" si="393"/>
        <v>0</v>
      </c>
      <c r="LRB23" s="1902">
        <f t="shared" si="393"/>
        <v>0</v>
      </c>
      <c r="LRC23" s="1902">
        <f t="shared" si="393"/>
        <v>0</v>
      </c>
      <c r="LRD23" s="1902">
        <f t="shared" si="393"/>
        <v>0</v>
      </c>
      <c r="LRE23" s="1902">
        <f t="shared" si="393"/>
        <v>0</v>
      </c>
      <c r="LRF23" s="1902">
        <f t="shared" si="393"/>
        <v>0</v>
      </c>
      <c r="LRG23" s="1902">
        <f t="shared" ref="LRG23:LTR23" si="394">IF(AND(LRG$26="End of period",LRG$25="Revenue"),LRG10,0)</f>
        <v>0</v>
      </c>
      <c r="LRH23" s="1902">
        <f t="shared" si="394"/>
        <v>0</v>
      </c>
      <c r="LRI23" s="1902">
        <f t="shared" si="394"/>
        <v>0</v>
      </c>
      <c r="LRJ23" s="1902">
        <f t="shared" si="394"/>
        <v>0</v>
      </c>
      <c r="LRK23" s="1902">
        <f t="shared" si="394"/>
        <v>0</v>
      </c>
      <c r="LRL23" s="1902">
        <f t="shared" si="394"/>
        <v>0</v>
      </c>
      <c r="LRM23" s="1902">
        <f t="shared" si="394"/>
        <v>0</v>
      </c>
      <c r="LRN23" s="1902">
        <f t="shared" si="394"/>
        <v>0</v>
      </c>
      <c r="LRO23" s="1902">
        <f t="shared" si="394"/>
        <v>0</v>
      </c>
      <c r="LRP23" s="1902">
        <f t="shared" si="394"/>
        <v>0</v>
      </c>
      <c r="LRQ23" s="1902">
        <f t="shared" si="394"/>
        <v>0</v>
      </c>
      <c r="LRR23" s="1902">
        <f t="shared" si="394"/>
        <v>0</v>
      </c>
      <c r="LRS23" s="1902">
        <f t="shared" si="394"/>
        <v>0</v>
      </c>
      <c r="LRT23" s="1902">
        <f t="shared" si="394"/>
        <v>0</v>
      </c>
      <c r="LRU23" s="1902">
        <f t="shared" si="394"/>
        <v>0</v>
      </c>
      <c r="LRV23" s="1902">
        <f t="shared" si="394"/>
        <v>0</v>
      </c>
      <c r="LRW23" s="1902">
        <f t="shared" si="394"/>
        <v>0</v>
      </c>
      <c r="LRX23" s="1902">
        <f t="shared" si="394"/>
        <v>0</v>
      </c>
      <c r="LRY23" s="1902">
        <f t="shared" si="394"/>
        <v>0</v>
      </c>
      <c r="LRZ23" s="1902">
        <f t="shared" si="394"/>
        <v>0</v>
      </c>
      <c r="LSA23" s="1902">
        <f t="shared" si="394"/>
        <v>0</v>
      </c>
      <c r="LSB23" s="1902">
        <f t="shared" si="394"/>
        <v>0</v>
      </c>
      <c r="LSC23" s="1902">
        <f t="shared" si="394"/>
        <v>0</v>
      </c>
      <c r="LSD23" s="1902">
        <f t="shared" si="394"/>
        <v>0</v>
      </c>
      <c r="LSE23" s="1902">
        <f t="shared" si="394"/>
        <v>0</v>
      </c>
      <c r="LSF23" s="1902">
        <f t="shared" si="394"/>
        <v>0</v>
      </c>
      <c r="LSG23" s="1902">
        <f t="shared" si="394"/>
        <v>0</v>
      </c>
      <c r="LSH23" s="1902">
        <f t="shared" si="394"/>
        <v>0</v>
      </c>
      <c r="LSI23" s="1902">
        <f t="shared" si="394"/>
        <v>0</v>
      </c>
      <c r="LSJ23" s="1902">
        <f t="shared" si="394"/>
        <v>0</v>
      </c>
      <c r="LSK23" s="1902">
        <f t="shared" si="394"/>
        <v>0</v>
      </c>
      <c r="LSL23" s="1902">
        <f t="shared" si="394"/>
        <v>0</v>
      </c>
      <c r="LSM23" s="1902">
        <f t="shared" si="394"/>
        <v>0</v>
      </c>
      <c r="LSN23" s="1902">
        <f t="shared" si="394"/>
        <v>0</v>
      </c>
      <c r="LSO23" s="1902">
        <f t="shared" si="394"/>
        <v>0</v>
      </c>
      <c r="LSP23" s="1902">
        <f t="shared" si="394"/>
        <v>0</v>
      </c>
      <c r="LSQ23" s="1902">
        <f t="shared" si="394"/>
        <v>0</v>
      </c>
      <c r="LSR23" s="1902">
        <f t="shared" si="394"/>
        <v>0</v>
      </c>
      <c r="LSS23" s="1902">
        <f t="shared" si="394"/>
        <v>0</v>
      </c>
      <c r="LST23" s="1902">
        <f t="shared" si="394"/>
        <v>0</v>
      </c>
      <c r="LSU23" s="1902">
        <f t="shared" si="394"/>
        <v>0</v>
      </c>
      <c r="LSV23" s="1902">
        <f t="shared" si="394"/>
        <v>0</v>
      </c>
      <c r="LSW23" s="1902">
        <f t="shared" si="394"/>
        <v>0</v>
      </c>
      <c r="LSX23" s="1902">
        <f t="shared" si="394"/>
        <v>0</v>
      </c>
      <c r="LSY23" s="1902">
        <f t="shared" si="394"/>
        <v>0</v>
      </c>
      <c r="LSZ23" s="1902">
        <f t="shared" si="394"/>
        <v>0</v>
      </c>
      <c r="LTA23" s="1902">
        <f t="shared" si="394"/>
        <v>0</v>
      </c>
      <c r="LTB23" s="1902">
        <f t="shared" si="394"/>
        <v>0</v>
      </c>
      <c r="LTC23" s="1902">
        <f t="shared" si="394"/>
        <v>0</v>
      </c>
      <c r="LTD23" s="1902">
        <f t="shared" si="394"/>
        <v>0</v>
      </c>
      <c r="LTE23" s="1902">
        <f t="shared" si="394"/>
        <v>0</v>
      </c>
      <c r="LTF23" s="1902">
        <f t="shared" si="394"/>
        <v>0</v>
      </c>
      <c r="LTG23" s="1902">
        <f t="shared" si="394"/>
        <v>0</v>
      </c>
      <c r="LTH23" s="1902">
        <f t="shared" si="394"/>
        <v>0</v>
      </c>
      <c r="LTI23" s="1902">
        <f t="shared" si="394"/>
        <v>0</v>
      </c>
      <c r="LTJ23" s="1902">
        <f t="shared" si="394"/>
        <v>0</v>
      </c>
      <c r="LTK23" s="1902">
        <f t="shared" si="394"/>
        <v>0</v>
      </c>
      <c r="LTL23" s="1902">
        <f t="shared" si="394"/>
        <v>0</v>
      </c>
      <c r="LTM23" s="1902">
        <f t="shared" si="394"/>
        <v>0</v>
      </c>
      <c r="LTN23" s="1902">
        <f t="shared" si="394"/>
        <v>0</v>
      </c>
      <c r="LTO23" s="1902">
        <f t="shared" si="394"/>
        <v>0</v>
      </c>
      <c r="LTP23" s="1902">
        <f t="shared" si="394"/>
        <v>0</v>
      </c>
      <c r="LTQ23" s="1902">
        <f t="shared" si="394"/>
        <v>0</v>
      </c>
      <c r="LTR23" s="1902">
        <f t="shared" si="394"/>
        <v>0</v>
      </c>
      <c r="LTS23" s="1902">
        <f t="shared" ref="LTS23:LWD23" si="395">IF(AND(LTS$26="End of period",LTS$25="Revenue"),LTS10,0)</f>
        <v>0</v>
      </c>
      <c r="LTT23" s="1902">
        <f t="shared" si="395"/>
        <v>0</v>
      </c>
      <c r="LTU23" s="1902">
        <f t="shared" si="395"/>
        <v>0</v>
      </c>
      <c r="LTV23" s="1902">
        <f t="shared" si="395"/>
        <v>0</v>
      </c>
      <c r="LTW23" s="1902">
        <f t="shared" si="395"/>
        <v>0</v>
      </c>
      <c r="LTX23" s="1902">
        <f t="shared" si="395"/>
        <v>0</v>
      </c>
      <c r="LTY23" s="1902">
        <f t="shared" si="395"/>
        <v>0</v>
      </c>
      <c r="LTZ23" s="1902">
        <f t="shared" si="395"/>
        <v>0</v>
      </c>
      <c r="LUA23" s="1902">
        <f t="shared" si="395"/>
        <v>0</v>
      </c>
      <c r="LUB23" s="1902">
        <f t="shared" si="395"/>
        <v>0</v>
      </c>
      <c r="LUC23" s="1902">
        <f t="shared" si="395"/>
        <v>0</v>
      </c>
      <c r="LUD23" s="1902">
        <f t="shared" si="395"/>
        <v>0</v>
      </c>
      <c r="LUE23" s="1902">
        <f t="shared" si="395"/>
        <v>0</v>
      </c>
      <c r="LUF23" s="1902">
        <f t="shared" si="395"/>
        <v>0</v>
      </c>
      <c r="LUG23" s="1902">
        <f t="shared" si="395"/>
        <v>0</v>
      </c>
      <c r="LUH23" s="1902">
        <f t="shared" si="395"/>
        <v>0</v>
      </c>
      <c r="LUI23" s="1902">
        <f t="shared" si="395"/>
        <v>0</v>
      </c>
      <c r="LUJ23" s="1902">
        <f t="shared" si="395"/>
        <v>0</v>
      </c>
      <c r="LUK23" s="1902">
        <f t="shared" si="395"/>
        <v>0</v>
      </c>
      <c r="LUL23" s="1902">
        <f t="shared" si="395"/>
        <v>0</v>
      </c>
      <c r="LUM23" s="1902">
        <f t="shared" si="395"/>
        <v>0</v>
      </c>
      <c r="LUN23" s="1902">
        <f t="shared" si="395"/>
        <v>0</v>
      </c>
      <c r="LUO23" s="1902">
        <f t="shared" si="395"/>
        <v>0</v>
      </c>
      <c r="LUP23" s="1902">
        <f t="shared" si="395"/>
        <v>0</v>
      </c>
      <c r="LUQ23" s="1902">
        <f t="shared" si="395"/>
        <v>0</v>
      </c>
      <c r="LUR23" s="1902">
        <f t="shared" si="395"/>
        <v>0</v>
      </c>
      <c r="LUS23" s="1902">
        <f t="shared" si="395"/>
        <v>0</v>
      </c>
      <c r="LUT23" s="1902">
        <f t="shared" si="395"/>
        <v>0</v>
      </c>
      <c r="LUU23" s="1902">
        <f t="shared" si="395"/>
        <v>0</v>
      </c>
      <c r="LUV23" s="1902">
        <f t="shared" si="395"/>
        <v>0</v>
      </c>
      <c r="LUW23" s="1902">
        <f t="shared" si="395"/>
        <v>0</v>
      </c>
      <c r="LUX23" s="1902">
        <f t="shared" si="395"/>
        <v>0</v>
      </c>
      <c r="LUY23" s="1902">
        <f t="shared" si="395"/>
        <v>0</v>
      </c>
      <c r="LUZ23" s="1902">
        <f t="shared" si="395"/>
        <v>0</v>
      </c>
      <c r="LVA23" s="1902">
        <f t="shared" si="395"/>
        <v>0</v>
      </c>
      <c r="LVB23" s="1902">
        <f t="shared" si="395"/>
        <v>0</v>
      </c>
      <c r="LVC23" s="1902">
        <f t="shared" si="395"/>
        <v>0</v>
      </c>
      <c r="LVD23" s="1902">
        <f t="shared" si="395"/>
        <v>0</v>
      </c>
      <c r="LVE23" s="1902">
        <f t="shared" si="395"/>
        <v>0</v>
      </c>
      <c r="LVF23" s="1902">
        <f t="shared" si="395"/>
        <v>0</v>
      </c>
      <c r="LVG23" s="1902">
        <f t="shared" si="395"/>
        <v>0</v>
      </c>
      <c r="LVH23" s="1902">
        <f t="shared" si="395"/>
        <v>0</v>
      </c>
      <c r="LVI23" s="1902">
        <f t="shared" si="395"/>
        <v>0</v>
      </c>
      <c r="LVJ23" s="1902">
        <f t="shared" si="395"/>
        <v>0</v>
      </c>
      <c r="LVK23" s="1902">
        <f t="shared" si="395"/>
        <v>0</v>
      </c>
      <c r="LVL23" s="1902">
        <f t="shared" si="395"/>
        <v>0</v>
      </c>
      <c r="LVM23" s="1902">
        <f t="shared" si="395"/>
        <v>0</v>
      </c>
      <c r="LVN23" s="1902">
        <f t="shared" si="395"/>
        <v>0</v>
      </c>
      <c r="LVO23" s="1902">
        <f t="shared" si="395"/>
        <v>0</v>
      </c>
      <c r="LVP23" s="1902">
        <f t="shared" si="395"/>
        <v>0</v>
      </c>
      <c r="LVQ23" s="1902">
        <f t="shared" si="395"/>
        <v>0</v>
      </c>
      <c r="LVR23" s="1902">
        <f t="shared" si="395"/>
        <v>0</v>
      </c>
      <c r="LVS23" s="1902">
        <f t="shared" si="395"/>
        <v>0</v>
      </c>
      <c r="LVT23" s="1902">
        <f t="shared" si="395"/>
        <v>0</v>
      </c>
      <c r="LVU23" s="1902">
        <f t="shared" si="395"/>
        <v>0</v>
      </c>
      <c r="LVV23" s="1902">
        <f t="shared" si="395"/>
        <v>0</v>
      </c>
      <c r="LVW23" s="1902">
        <f t="shared" si="395"/>
        <v>0</v>
      </c>
      <c r="LVX23" s="1902">
        <f t="shared" si="395"/>
        <v>0</v>
      </c>
      <c r="LVY23" s="1902">
        <f t="shared" si="395"/>
        <v>0</v>
      </c>
      <c r="LVZ23" s="1902">
        <f t="shared" si="395"/>
        <v>0</v>
      </c>
      <c r="LWA23" s="1902">
        <f t="shared" si="395"/>
        <v>0</v>
      </c>
      <c r="LWB23" s="1902">
        <f t="shared" si="395"/>
        <v>0</v>
      </c>
      <c r="LWC23" s="1902">
        <f t="shared" si="395"/>
        <v>0</v>
      </c>
      <c r="LWD23" s="1902">
        <f t="shared" si="395"/>
        <v>0</v>
      </c>
      <c r="LWE23" s="1902">
        <f t="shared" ref="LWE23:LYP23" si="396">IF(AND(LWE$26="End of period",LWE$25="Revenue"),LWE10,0)</f>
        <v>0</v>
      </c>
      <c r="LWF23" s="1902">
        <f t="shared" si="396"/>
        <v>0</v>
      </c>
      <c r="LWG23" s="1902">
        <f t="shared" si="396"/>
        <v>0</v>
      </c>
      <c r="LWH23" s="1902">
        <f t="shared" si="396"/>
        <v>0</v>
      </c>
      <c r="LWI23" s="1902">
        <f t="shared" si="396"/>
        <v>0</v>
      </c>
      <c r="LWJ23" s="1902">
        <f t="shared" si="396"/>
        <v>0</v>
      </c>
      <c r="LWK23" s="1902">
        <f t="shared" si="396"/>
        <v>0</v>
      </c>
      <c r="LWL23" s="1902">
        <f t="shared" si="396"/>
        <v>0</v>
      </c>
      <c r="LWM23" s="1902">
        <f t="shared" si="396"/>
        <v>0</v>
      </c>
      <c r="LWN23" s="1902">
        <f t="shared" si="396"/>
        <v>0</v>
      </c>
      <c r="LWO23" s="1902">
        <f t="shared" si="396"/>
        <v>0</v>
      </c>
      <c r="LWP23" s="1902">
        <f t="shared" si="396"/>
        <v>0</v>
      </c>
      <c r="LWQ23" s="1902">
        <f t="shared" si="396"/>
        <v>0</v>
      </c>
      <c r="LWR23" s="1902">
        <f t="shared" si="396"/>
        <v>0</v>
      </c>
      <c r="LWS23" s="1902">
        <f t="shared" si="396"/>
        <v>0</v>
      </c>
      <c r="LWT23" s="1902">
        <f t="shared" si="396"/>
        <v>0</v>
      </c>
      <c r="LWU23" s="1902">
        <f t="shared" si="396"/>
        <v>0</v>
      </c>
      <c r="LWV23" s="1902">
        <f t="shared" si="396"/>
        <v>0</v>
      </c>
      <c r="LWW23" s="1902">
        <f t="shared" si="396"/>
        <v>0</v>
      </c>
      <c r="LWX23" s="1902">
        <f t="shared" si="396"/>
        <v>0</v>
      </c>
      <c r="LWY23" s="1902">
        <f t="shared" si="396"/>
        <v>0</v>
      </c>
      <c r="LWZ23" s="1902">
        <f t="shared" si="396"/>
        <v>0</v>
      </c>
      <c r="LXA23" s="1902">
        <f t="shared" si="396"/>
        <v>0</v>
      </c>
      <c r="LXB23" s="1902">
        <f t="shared" si="396"/>
        <v>0</v>
      </c>
      <c r="LXC23" s="1902">
        <f t="shared" si="396"/>
        <v>0</v>
      </c>
      <c r="LXD23" s="1902">
        <f t="shared" si="396"/>
        <v>0</v>
      </c>
      <c r="LXE23" s="1902">
        <f t="shared" si="396"/>
        <v>0</v>
      </c>
      <c r="LXF23" s="1902">
        <f t="shared" si="396"/>
        <v>0</v>
      </c>
      <c r="LXG23" s="1902">
        <f t="shared" si="396"/>
        <v>0</v>
      </c>
      <c r="LXH23" s="1902">
        <f t="shared" si="396"/>
        <v>0</v>
      </c>
      <c r="LXI23" s="1902">
        <f t="shared" si="396"/>
        <v>0</v>
      </c>
      <c r="LXJ23" s="1902">
        <f t="shared" si="396"/>
        <v>0</v>
      </c>
      <c r="LXK23" s="1902">
        <f t="shared" si="396"/>
        <v>0</v>
      </c>
      <c r="LXL23" s="1902">
        <f t="shared" si="396"/>
        <v>0</v>
      </c>
      <c r="LXM23" s="1902">
        <f t="shared" si="396"/>
        <v>0</v>
      </c>
      <c r="LXN23" s="1902">
        <f t="shared" si="396"/>
        <v>0</v>
      </c>
      <c r="LXO23" s="1902">
        <f t="shared" si="396"/>
        <v>0</v>
      </c>
      <c r="LXP23" s="1902">
        <f t="shared" si="396"/>
        <v>0</v>
      </c>
      <c r="LXQ23" s="1902">
        <f t="shared" si="396"/>
        <v>0</v>
      </c>
      <c r="LXR23" s="1902">
        <f t="shared" si="396"/>
        <v>0</v>
      </c>
      <c r="LXS23" s="1902">
        <f t="shared" si="396"/>
        <v>0</v>
      </c>
      <c r="LXT23" s="1902">
        <f t="shared" si="396"/>
        <v>0</v>
      </c>
      <c r="LXU23" s="1902">
        <f t="shared" si="396"/>
        <v>0</v>
      </c>
      <c r="LXV23" s="1902">
        <f t="shared" si="396"/>
        <v>0</v>
      </c>
      <c r="LXW23" s="1902">
        <f t="shared" si="396"/>
        <v>0</v>
      </c>
      <c r="LXX23" s="1902">
        <f t="shared" si="396"/>
        <v>0</v>
      </c>
      <c r="LXY23" s="1902">
        <f t="shared" si="396"/>
        <v>0</v>
      </c>
      <c r="LXZ23" s="1902">
        <f t="shared" si="396"/>
        <v>0</v>
      </c>
      <c r="LYA23" s="1902">
        <f t="shared" si="396"/>
        <v>0</v>
      </c>
      <c r="LYB23" s="1902">
        <f t="shared" si="396"/>
        <v>0</v>
      </c>
      <c r="LYC23" s="1902">
        <f t="shared" si="396"/>
        <v>0</v>
      </c>
      <c r="LYD23" s="1902">
        <f t="shared" si="396"/>
        <v>0</v>
      </c>
      <c r="LYE23" s="1902">
        <f t="shared" si="396"/>
        <v>0</v>
      </c>
      <c r="LYF23" s="1902">
        <f t="shared" si="396"/>
        <v>0</v>
      </c>
      <c r="LYG23" s="1902">
        <f t="shared" si="396"/>
        <v>0</v>
      </c>
      <c r="LYH23" s="1902">
        <f t="shared" si="396"/>
        <v>0</v>
      </c>
      <c r="LYI23" s="1902">
        <f t="shared" si="396"/>
        <v>0</v>
      </c>
      <c r="LYJ23" s="1902">
        <f t="shared" si="396"/>
        <v>0</v>
      </c>
      <c r="LYK23" s="1902">
        <f t="shared" si="396"/>
        <v>0</v>
      </c>
      <c r="LYL23" s="1902">
        <f t="shared" si="396"/>
        <v>0</v>
      </c>
      <c r="LYM23" s="1902">
        <f t="shared" si="396"/>
        <v>0</v>
      </c>
      <c r="LYN23" s="1902">
        <f t="shared" si="396"/>
        <v>0</v>
      </c>
      <c r="LYO23" s="1902">
        <f t="shared" si="396"/>
        <v>0</v>
      </c>
      <c r="LYP23" s="1902">
        <f t="shared" si="396"/>
        <v>0</v>
      </c>
      <c r="LYQ23" s="1902">
        <f t="shared" ref="LYQ23:MBB23" si="397">IF(AND(LYQ$26="End of period",LYQ$25="Revenue"),LYQ10,0)</f>
        <v>0</v>
      </c>
      <c r="LYR23" s="1902">
        <f t="shared" si="397"/>
        <v>0</v>
      </c>
      <c r="LYS23" s="1902">
        <f t="shared" si="397"/>
        <v>0</v>
      </c>
      <c r="LYT23" s="1902">
        <f t="shared" si="397"/>
        <v>0</v>
      </c>
      <c r="LYU23" s="1902">
        <f t="shared" si="397"/>
        <v>0</v>
      </c>
      <c r="LYV23" s="1902">
        <f t="shared" si="397"/>
        <v>0</v>
      </c>
      <c r="LYW23" s="1902">
        <f t="shared" si="397"/>
        <v>0</v>
      </c>
      <c r="LYX23" s="1902">
        <f t="shared" si="397"/>
        <v>0</v>
      </c>
      <c r="LYY23" s="1902">
        <f t="shared" si="397"/>
        <v>0</v>
      </c>
      <c r="LYZ23" s="1902">
        <f t="shared" si="397"/>
        <v>0</v>
      </c>
      <c r="LZA23" s="1902">
        <f t="shared" si="397"/>
        <v>0</v>
      </c>
      <c r="LZB23" s="1902">
        <f t="shared" si="397"/>
        <v>0</v>
      </c>
      <c r="LZC23" s="1902">
        <f t="shared" si="397"/>
        <v>0</v>
      </c>
      <c r="LZD23" s="1902">
        <f t="shared" si="397"/>
        <v>0</v>
      </c>
      <c r="LZE23" s="1902">
        <f t="shared" si="397"/>
        <v>0</v>
      </c>
      <c r="LZF23" s="1902">
        <f t="shared" si="397"/>
        <v>0</v>
      </c>
      <c r="LZG23" s="1902">
        <f t="shared" si="397"/>
        <v>0</v>
      </c>
      <c r="LZH23" s="1902">
        <f t="shared" si="397"/>
        <v>0</v>
      </c>
      <c r="LZI23" s="1902">
        <f t="shared" si="397"/>
        <v>0</v>
      </c>
      <c r="LZJ23" s="1902">
        <f t="shared" si="397"/>
        <v>0</v>
      </c>
      <c r="LZK23" s="1902">
        <f t="shared" si="397"/>
        <v>0</v>
      </c>
      <c r="LZL23" s="1902">
        <f t="shared" si="397"/>
        <v>0</v>
      </c>
      <c r="LZM23" s="1902">
        <f t="shared" si="397"/>
        <v>0</v>
      </c>
      <c r="LZN23" s="1902">
        <f t="shared" si="397"/>
        <v>0</v>
      </c>
      <c r="LZO23" s="1902">
        <f t="shared" si="397"/>
        <v>0</v>
      </c>
      <c r="LZP23" s="1902">
        <f t="shared" si="397"/>
        <v>0</v>
      </c>
      <c r="LZQ23" s="1902">
        <f t="shared" si="397"/>
        <v>0</v>
      </c>
      <c r="LZR23" s="1902">
        <f t="shared" si="397"/>
        <v>0</v>
      </c>
      <c r="LZS23" s="1902">
        <f t="shared" si="397"/>
        <v>0</v>
      </c>
      <c r="LZT23" s="1902">
        <f t="shared" si="397"/>
        <v>0</v>
      </c>
      <c r="LZU23" s="1902">
        <f t="shared" si="397"/>
        <v>0</v>
      </c>
      <c r="LZV23" s="1902">
        <f t="shared" si="397"/>
        <v>0</v>
      </c>
      <c r="LZW23" s="1902">
        <f t="shared" si="397"/>
        <v>0</v>
      </c>
      <c r="LZX23" s="1902">
        <f t="shared" si="397"/>
        <v>0</v>
      </c>
      <c r="LZY23" s="1902">
        <f t="shared" si="397"/>
        <v>0</v>
      </c>
      <c r="LZZ23" s="1902">
        <f t="shared" si="397"/>
        <v>0</v>
      </c>
      <c r="MAA23" s="1902">
        <f t="shared" si="397"/>
        <v>0</v>
      </c>
      <c r="MAB23" s="1902">
        <f t="shared" si="397"/>
        <v>0</v>
      </c>
      <c r="MAC23" s="1902">
        <f t="shared" si="397"/>
        <v>0</v>
      </c>
      <c r="MAD23" s="1902">
        <f t="shared" si="397"/>
        <v>0</v>
      </c>
      <c r="MAE23" s="1902">
        <f t="shared" si="397"/>
        <v>0</v>
      </c>
      <c r="MAF23" s="1902">
        <f t="shared" si="397"/>
        <v>0</v>
      </c>
      <c r="MAG23" s="1902">
        <f t="shared" si="397"/>
        <v>0</v>
      </c>
      <c r="MAH23" s="1902">
        <f t="shared" si="397"/>
        <v>0</v>
      </c>
      <c r="MAI23" s="1902">
        <f t="shared" si="397"/>
        <v>0</v>
      </c>
      <c r="MAJ23" s="1902">
        <f t="shared" si="397"/>
        <v>0</v>
      </c>
      <c r="MAK23" s="1902">
        <f t="shared" si="397"/>
        <v>0</v>
      </c>
      <c r="MAL23" s="1902">
        <f t="shared" si="397"/>
        <v>0</v>
      </c>
      <c r="MAM23" s="1902">
        <f t="shared" si="397"/>
        <v>0</v>
      </c>
      <c r="MAN23" s="1902">
        <f t="shared" si="397"/>
        <v>0</v>
      </c>
      <c r="MAO23" s="1902">
        <f t="shared" si="397"/>
        <v>0</v>
      </c>
      <c r="MAP23" s="1902">
        <f t="shared" si="397"/>
        <v>0</v>
      </c>
      <c r="MAQ23" s="1902">
        <f t="shared" si="397"/>
        <v>0</v>
      </c>
      <c r="MAR23" s="1902">
        <f t="shared" si="397"/>
        <v>0</v>
      </c>
      <c r="MAS23" s="1902">
        <f t="shared" si="397"/>
        <v>0</v>
      </c>
      <c r="MAT23" s="1902">
        <f t="shared" si="397"/>
        <v>0</v>
      </c>
      <c r="MAU23" s="1902">
        <f t="shared" si="397"/>
        <v>0</v>
      </c>
      <c r="MAV23" s="1902">
        <f t="shared" si="397"/>
        <v>0</v>
      </c>
      <c r="MAW23" s="1902">
        <f t="shared" si="397"/>
        <v>0</v>
      </c>
      <c r="MAX23" s="1902">
        <f t="shared" si="397"/>
        <v>0</v>
      </c>
      <c r="MAY23" s="1902">
        <f t="shared" si="397"/>
        <v>0</v>
      </c>
      <c r="MAZ23" s="1902">
        <f t="shared" si="397"/>
        <v>0</v>
      </c>
      <c r="MBA23" s="1902">
        <f t="shared" si="397"/>
        <v>0</v>
      </c>
      <c r="MBB23" s="1902">
        <f t="shared" si="397"/>
        <v>0</v>
      </c>
      <c r="MBC23" s="1902">
        <f t="shared" ref="MBC23:MDN23" si="398">IF(AND(MBC$26="End of period",MBC$25="Revenue"),MBC10,0)</f>
        <v>0</v>
      </c>
      <c r="MBD23" s="1902">
        <f t="shared" si="398"/>
        <v>0</v>
      </c>
      <c r="MBE23" s="1902">
        <f t="shared" si="398"/>
        <v>0</v>
      </c>
      <c r="MBF23" s="1902">
        <f t="shared" si="398"/>
        <v>0</v>
      </c>
      <c r="MBG23" s="1902">
        <f t="shared" si="398"/>
        <v>0</v>
      </c>
      <c r="MBH23" s="1902">
        <f t="shared" si="398"/>
        <v>0</v>
      </c>
      <c r="MBI23" s="1902">
        <f t="shared" si="398"/>
        <v>0</v>
      </c>
      <c r="MBJ23" s="1902">
        <f t="shared" si="398"/>
        <v>0</v>
      </c>
      <c r="MBK23" s="1902">
        <f t="shared" si="398"/>
        <v>0</v>
      </c>
      <c r="MBL23" s="1902">
        <f t="shared" si="398"/>
        <v>0</v>
      </c>
      <c r="MBM23" s="1902">
        <f t="shared" si="398"/>
        <v>0</v>
      </c>
      <c r="MBN23" s="1902">
        <f t="shared" si="398"/>
        <v>0</v>
      </c>
      <c r="MBO23" s="1902">
        <f t="shared" si="398"/>
        <v>0</v>
      </c>
      <c r="MBP23" s="1902">
        <f t="shared" si="398"/>
        <v>0</v>
      </c>
      <c r="MBQ23" s="1902">
        <f t="shared" si="398"/>
        <v>0</v>
      </c>
      <c r="MBR23" s="1902">
        <f t="shared" si="398"/>
        <v>0</v>
      </c>
      <c r="MBS23" s="1902">
        <f t="shared" si="398"/>
        <v>0</v>
      </c>
      <c r="MBT23" s="1902">
        <f t="shared" si="398"/>
        <v>0</v>
      </c>
      <c r="MBU23" s="1902">
        <f t="shared" si="398"/>
        <v>0</v>
      </c>
      <c r="MBV23" s="1902">
        <f t="shared" si="398"/>
        <v>0</v>
      </c>
      <c r="MBW23" s="1902">
        <f t="shared" si="398"/>
        <v>0</v>
      </c>
      <c r="MBX23" s="1902">
        <f t="shared" si="398"/>
        <v>0</v>
      </c>
      <c r="MBY23" s="1902">
        <f t="shared" si="398"/>
        <v>0</v>
      </c>
      <c r="MBZ23" s="1902">
        <f t="shared" si="398"/>
        <v>0</v>
      </c>
      <c r="MCA23" s="1902">
        <f t="shared" si="398"/>
        <v>0</v>
      </c>
      <c r="MCB23" s="1902">
        <f t="shared" si="398"/>
        <v>0</v>
      </c>
      <c r="MCC23" s="1902">
        <f t="shared" si="398"/>
        <v>0</v>
      </c>
      <c r="MCD23" s="1902">
        <f t="shared" si="398"/>
        <v>0</v>
      </c>
      <c r="MCE23" s="1902">
        <f t="shared" si="398"/>
        <v>0</v>
      </c>
      <c r="MCF23" s="1902">
        <f t="shared" si="398"/>
        <v>0</v>
      </c>
      <c r="MCG23" s="1902">
        <f t="shared" si="398"/>
        <v>0</v>
      </c>
      <c r="MCH23" s="1902">
        <f t="shared" si="398"/>
        <v>0</v>
      </c>
      <c r="MCI23" s="1902">
        <f t="shared" si="398"/>
        <v>0</v>
      </c>
      <c r="MCJ23" s="1902">
        <f t="shared" si="398"/>
        <v>0</v>
      </c>
      <c r="MCK23" s="1902">
        <f t="shared" si="398"/>
        <v>0</v>
      </c>
      <c r="MCL23" s="1902">
        <f t="shared" si="398"/>
        <v>0</v>
      </c>
      <c r="MCM23" s="1902">
        <f t="shared" si="398"/>
        <v>0</v>
      </c>
      <c r="MCN23" s="1902">
        <f t="shared" si="398"/>
        <v>0</v>
      </c>
      <c r="MCO23" s="1902">
        <f t="shared" si="398"/>
        <v>0</v>
      </c>
      <c r="MCP23" s="1902">
        <f t="shared" si="398"/>
        <v>0</v>
      </c>
      <c r="MCQ23" s="1902">
        <f t="shared" si="398"/>
        <v>0</v>
      </c>
      <c r="MCR23" s="1902">
        <f t="shared" si="398"/>
        <v>0</v>
      </c>
      <c r="MCS23" s="1902">
        <f t="shared" si="398"/>
        <v>0</v>
      </c>
      <c r="MCT23" s="1902">
        <f t="shared" si="398"/>
        <v>0</v>
      </c>
      <c r="MCU23" s="1902">
        <f t="shared" si="398"/>
        <v>0</v>
      </c>
      <c r="MCV23" s="1902">
        <f t="shared" si="398"/>
        <v>0</v>
      </c>
      <c r="MCW23" s="1902">
        <f t="shared" si="398"/>
        <v>0</v>
      </c>
      <c r="MCX23" s="1902">
        <f t="shared" si="398"/>
        <v>0</v>
      </c>
      <c r="MCY23" s="1902">
        <f t="shared" si="398"/>
        <v>0</v>
      </c>
      <c r="MCZ23" s="1902">
        <f t="shared" si="398"/>
        <v>0</v>
      </c>
      <c r="MDA23" s="1902">
        <f t="shared" si="398"/>
        <v>0</v>
      </c>
      <c r="MDB23" s="1902">
        <f t="shared" si="398"/>
        <v>0</v>
      </c>
      <c r="MDC23" s="1902">
        <f t="shared" si="398"/>
        <v>0</v>
      </c>
      <c r="MDD23" s="1902">
        <f t="shared" si="398"/>
        <v>0</v>
      </c>
      <c r="MDE23" s="1902">
        <f t="shared" si="398"/>
        <v>0</v>
      </c>
      <c r="MDF23" s="1902">
        <f t="shared" si="398"/>
        <v>0</v>
      </c>
      <c r="MDG23" s="1902">
        <f t="shared" si="398"/>
        <v>0</v>
      </c>
      <c r="MDH23" s="1902">
        <f t="shared" si="398"/>
        <v>0</v>
      </c>
      <c r="MDI23" s="1902">
        <f t="shared" si="398"/>
        <v>0</v>
      </c>
      <c r="MDJ23" s="1902">
        <f t="shared" si="398"/>
        <v>0</v>
      </c>
      <c r="MDK23" s="1902">
        <f t="shared" si="398"/>
        <v>0</v>
      </c>
      <c r="MDL23" s="1902">
        <f t="shared" si="398"/>
        <v>0</v>
      </c>
      <c r="MDM23" s="1902">
        <f t="shared" si="398"/>
        <v>0</v>
      </c>
      <c r="MDN23" s="1902">
        <f t="shared" si="398"/>
        <v>0</v>
      </c>
      <c r="MDO23" s="1902">
        <f t="shared" ref="MDO23:MFZ23" si="399">IF(AND(MDO$26="End of period",MDO$25="Revenue"),MDO10,0)</f>
        <v>0</v>
      </c>
      <c r="MDP23" s="1902">
        <f t="shared" si="399"/>
        <v>0</v>
      </c>
      <c r="MDQ23" s="1902">
        <f t="shared" si="399"/>
        <v>0</v>
      </c>
      <c r="MDR23" s="1902">
        <f t="shared" si="399"/>
        <v>0</v>
      </c>
      <c r="MDS23" s="1902">
        <f t="shared" si="399"/>
        <v>0</v>
      </c>
      <c r="MDT23" s="1902">
        <f t="shared" si="399"/>
        <v>0</v>
      </c>
      <c r="MDU23" s="1902">
        <f t="shared" si="399"/>
        <v>0</v>
      </c>
      <c r="MDV23" s="1902">
        <f t="shared" si="399"/>
        <v>0</v>
      </c>
      <c r="MDW23" s="1902">
        <f t="shared" si="399"/>
        <v>0</v>
      </c>
      <c r="MDX23" s="1902">
        <f t="shared" si="399"/>
        <v>0</v>
      </c>
      <c r="MDY23" s="1902">
        <f t="shared" si="399"/>
        <v>0</v>
      </c>
      <c r="MDZ23" s="1902">
        <f t="shared" si="399"/>
        <v>0</v>
      </c>
      <c r="MEA23" s="1902">
        <f t="shared" si="399"/>
        <v>0</v>
      </c>
      <c r="MEB23" s="1902">
        <f t="shared" si="399"/>
        <v>0</v>
      </c>
      <c r="MEC23" s="1902">
        <f t="shared" si="399"/>
        <v>0</v>
      </c>
      <c r="MED23" s="1902">
        <f t="shared" si="399"/>
        <v>0</v>
      </c>
      <c r="MEE23" s="1902">
        <f t="shared" si="399"/>
        <v>0</v>
      </c>
      <c r="MEF23" s="1902">
        <f t="shared" si="399"/>
        <v>0</v>
      </c>
      <c r="MEG23" s="1902">
        <f t="shared" si="399"/>
        <v>0</v>
      </c>
      <c r="MEH23" s="1902">
        <f t="shared" si="399"/>
        <v>0</v>
      </c>
      <c r="MEI23" s="1902">
        <f t="shared" si="399"/>
        <v>0</v>
      </c>
      <c r="MEJ23" s="1902">
        <f t="shared" si="399"/>
        <v>0</v>
      </c>
      <c r="MEK23" s="1902">
        <f t="shared" si="399"/>
        <v>0</v>
      </c>
      <c r="MEL23" s="1902">
        <f t="shared" si="399"/>
        <v>0</v>
      </c>
      <c r="MEM23" s="1902">
        <f t="shared" si="399"/>
        <v>0</v>
      </c>
      <c r="MEN23" s="1902">
        <f t="shared" si="399"/>
        <v>0</v>
      </c>
      <c r="MEO23" s="1902">
        <f t="shared" si="399"/>
        <v>0</v>
      </c>
      <c r="MEP23" s="1902">
        <f t="shared" si="399"/>
        <v>0</v>
      </c>
      <c r="MEQ23" s="1902">
        <f t="shared" si="399"/>
        <v>0</v>
      </c>
      <c r="MER23" s="1902">
        <f t="shared" si="399"/>
        <v>0</v>
      </c>
      <c r="MES23" s="1902">
        <f t="shared" si="399"/>
        <v>0</v>
      </c>
      <c r="MET23" s="1902">
        <f t="shared" si="399"/>
        <v>0</v>
      </c>
      <c r="MEU23" s="1902">
        <f t="shared" si="399"/>
        <v>0</v>
      </c>
      <c r="MEV23" s="1902">
        <f t="shared" si="399"/>
        <v>0</v>
      </c>
      <c r="MEW23" s="1902">
        <f t="shared" si="399"/>
        <v>0</v>
      </c>
      <c r="MEX23" s="1902">
        <f t="shared" si="399"/>
        <v>0</v>
      </c>
      <c r="MEY23" s="1902">
        <f t="shared" si="399"/>
        <v>0</v>
      </c>
      <c r="MEZ23" s="1902">
        <f t="shared" si="399"/>
        <v>0</v>
      </c>
      <c r="MFA23" s="1902">
        <f t="shared" si="399"/>
        <v>0</v>
      </c>
      <c r="MFB23" s="1902">
        <f t="shared" si="399"/>
        <v>0</v>
      </c>
      <c r="MFC23" s="1902">
        <f t="shared" si="399"/>
        <v>0</v>
      </c>
      <c r="MFD23" s="1902">
        <f t="shared" si="399"/>
        <v>0</v>
      </c>
      <c r="MFE23" s="1902">
        <f t="shared" si="399"/>
        <v>0</v>
      </c>
      <c r="MFF23" s="1902">
        <f t="shared" si="399"/>
        <v>0</v>
      </c>
      <c r="MFG23" s="1902">
        <f t="shared" si="399"/>
        <v>0</v>
      </c>
      <c r="MFH23" s="1902">
        <f t="shared" si="399"/>
        <v>0</v>
      </c>
      <c r="MFI23" s="1902">
        <f t="shared" si="399"/>
        <v>0</v>
      </c>
      <c r="MFJ23" s="1902">
        <f t="shared" si="399"/>
        <v>0</v>
      </c>
      <c r="MFK23" s="1902">
        <f t="shared" si="399"/>
        <v>0</v>
      </c>
      <c r="MFL23" s="1902">
        <f t="shared" si="399"/>
        <v>0</v>
      </c>
      <c r="MFM23" s="1902">
        <f t="shared" si="399"/>
        <v>0</v>
      </c>
      <c r="MFN23" s="1902">
        <f t="shared" si="399"/>
        <v>0</v>
      </c>
      <c r="MFO23" s="1902">
        <f t="shared" si="399"/>
        <v>0</v>
      </c>
      <c r="MFP23" s="1902">
        <f t="shared" si="399"/>
        <v>0</v>
      </c>
      <c r="MFQ23" s="1902">
        <f t="shared" si="399"/>
        <v>0</v>
      </c>
      <c r="MFR23" s="1902">
        <f t="shared" si="399"/>
        <v>0</v>
      </c>
      <c r="MFS23" s="1902">
        <f t="shared" si="399"/>
        <v>0</v>
      </c>
      <c r="MFT23" s="1902">
        <f t="shared" si="399"/>
        <v>0</v>
      </c>
      <c r="MFU23" s="1902">
        <f t="shared" si="399"/>
        <v>0</v>
      </c>
      <c r="MFV23" s="1902">
        <f t="shared" si="399"/>
        <v>0</v>
      </c>
      <c r="MFW23" s="1902">
        <f t="shared" si="399"/>
        <v>0</v>
      </c>
      <c r="MFX23" s="1902">
        <f t="shared" si="399"/>
        <v>0</v>
      </c>
      <c r="MFY23" s="1902">
        <f t="shared" si="399"/>
        <v>0</v>
      </c>
      <c r="MFZ23" s="1902">
        <f t="shared" si="399"/>
        <v>0</v>
      </c>
      <c r="MGA23" s="1902">
        <f t="shared" ref="MGA23:MIL23" si="400">IF(AND(MGA$26="End of period",MGA$25="Revenue"),MGA10,0)</f>
        <v>0</v>
      </c>
      <c r="MGB23" s="1902">
        <f t="shared" si="400"/>
        <v>0</v>
      </c>
      <c r="MGC23" s="1902">
        <f t="shared" si="400"/>
        <v>0</v>
      </c>
      <c r="MGD23" s="1902">
        <f t="shared" si="400"/>
        <v>0</v>
      </c>
      <c r="MGE23" s="1902">
        <f t="shared" si="400"/>
        <v>0</v>
      </c>
      <c r="MGF23" s="1902">
        <f t="shared" si="400"/>
        <v>0</v>
      </c>
      <c r="MGG23" s="1902">
        <f t="shared" si="400"/>
        <v>0</v>
      </c>
      <c r="MGH23" s="1902">
        <f t="shared" si="400"/>
        <v>0</v>
      </c>
      <c r="MGI23" s="1902">
        <f t="shared" si="400"/>
        <v>0</v>
      </c>
      <c r="MGJ23" s="1902">
        <f t="shared" si="400"/>
        <v>0</v>
      </c>
      <c r="MGK23" s="1902">
        <f t="shared" si="400"/>
        <v>0</v>
      </c>
      <c r="MGL23" s="1902">
        <f t="shared" si="400"/>
        <v>0</v>
      </c>
      <c r="MGM23" s="1902">
        <f t="shared" si="400"/>
        <v>0</v>
      </c>
      <c r="MGN23" s="1902">
        <f t="shared" si="400"/>
        <v>0</v>
      </c>
      <c r="MGO23" s="1902">
        <f t="shared" si="400"/>
        <v>0</v>
      </c>
      <c r="MGP23" s="1902">
        <f t="shared" si="400"/>
        <v>0</v>
      </c>
      <c r="MGQ23" s="1902">
        <f t="shared" si="400"/>
        <v>0</v>
      </c>
      <c r="MGR23" s="1902">
        <f t="shared" si="400"/>
        <v>0</v>
      </c>
      <c r="MGS23" s="1902">
        <f t="shared" si="400"/>
        <v>0</v>
      </c>
      <c r="MGT23" s="1902">
        <f t="shared" si="400"/>
        <v>0</v>
      </c>
      <c r="MGU23" s="1902">
        <f t="shared" si="400"/>
        <v>0</v>
      </c>
      <c r="MGV23" s="1902">
        <f t="shared" si="400"/>
        <v>0</v>
      </c>
      <c r="MGW23" s="1902">
        <f t="shared" si="400"/>
        <v>0</v>
      </c>
      <c r="MGX23" s="1902">
        <f t="shared" si="400"/>
        <v>0</v>
      </c>
      <c r="MGY23" s="1902">
        <f t="shared" si="400"/>
        <v>0</v>
      </c>
      <c r="MGZ23" s="1902">
        <f t="shared" si="400"/>
        <v>0</v>
      </c>
      <c r="MHA23" s="1902">
        <f t="shared" si="400"/>
        <v>0</v>
      </c>
      <c r="MHB23" s="1902">
        <f t="shared" si="400"/>
        <v>0</v>
      </c>
      <c r="MHC23" s="1902">
        <f t="shared" si="400"/>
        <v>0</v>
      </c>
      <c r="MHD23" s="1902">
        <f t="shared" si="400"/>
        <v>0</v>
      </c>
      <c r="MHE23" s="1902">
        <f t="shared" si="400"/>
        <v>0</v>
      </c>
      <c r="MHF23" s="1902">
        <f t="shared" si="400"/>
        <v>0</v>
      </c>
      <c r="MHG23" s="1902">
        <f t="shared" si="400"/>
        <v>0</v>
      </c>
      <c r="MHH23" s="1902">
        <f t="shared" si="400"/>
        <v>0</v>
      </c>
      <c r="MHI23" s="1902">
        <f t="shared" si="400"/>
        <v>0</v>
      </c>
      <c r="MHJ23" s="1902">
        <f t="shared" si="400"/>
        <v>0</v>
      </c>
      <c r="MHK23" s="1902">
        <f t="shared" si="400"/>
        <v>0</v>
      </c>
      <c r="MHL23" s="1902">
        <f t="shared" si="400"/>
        <v>0</v>
      </c>
      <c r="MHM23" s="1902">
        <f t="shared" si="400"/>
        <v>0</v>
      </c>
      <c r="MHN23" s="1902">
        <f t="shared" si="400"/>
        <v>0</v>
      </c>
      <c r="MHO23" s="1902">
        <f t="shared" si="400"/>
        <v>0</v>
      </c>
      <c r="MHP23" s="1902">
        <f t="shared" si="400"/>
        <v>0</v>
      </c>
      <c r="MHQ23" s="1902">
        <f t="shared" si="400"/>
        <v>0</v>
      </c>
      <c r="MHR23" s="1902">
        <f t="shared" si="400"/>
        <v>0</v>
      </c>
      <c r="MHS23" s="1902">
        <f t="shared" si="400"/>
        <v>0</v>
      </c>
      <c r="MHT23" s="1902">
        <f t="shared" si="400"/>
        <v>0</v>
      </c>
      <c r="MHU23" s="1902">
        <f t="shared" si="400"/>
        <v>0</v>
      </c>
      <c r="MHV23" s="1902">
        <f t="shared" si="400"/>
        <v>0</v>
      </c>
      <c r="MHW23" s="1902">
        <f t="shared" si="400"/>
        <v>0</v>
      </c>
      <c r="MHX23" s="1902">
        <f t="shared" si="400"/>
        <v>0</v>
      </c>
      <c r="MHY23" s="1902">
        <f t="shared" si="400"/>
        <v>0</v>
      </c>
      <c r="MHZ23" s="1902">
        <f t="shared" si="400"/>
        <v>0</v>
      </c>
      <c r="MIA23" s="1902">
        <f t="shared" si="400"/>
        <v>0</v>
      </c>
      <c r="MIB23" s="1902">
        <f t="shared" si="400"/>
        <v>0</v>
      </c>
      <c r="MIC23" s="1902">
        <f t="shared" si="400"/>
        <v>0</v>
      </c>
      <c r="MID23" s="1902">
        <f t="shared" si="400"/>
        <v>0</v>
      </c>
      <c r="MIE23" s="1902">
        <f t="shared" si="400"/>
        <v>0</v>
      </c>
      <c r="MIF23" s="1902">
        <f t="shared" si="400"/>
        <v>0</v>
      </c>
      <c r="MIG23" s="1902">
        <f t="shared" si="400"/>
        <v>0</v>
      </c>
      <c r="MIH23" s="1902">
        <f t="shared" si="400"/>
        <v>0</v>
      </c>
      <c r="MII23" s="1902">
        <f t="shared" si="400"/>
        <v>0</v>
      </c>
      <c r="MIJ23" s="1902">
        <f t="shared" si="400"/>
        <v>0</v>
      </c>
      <c r="MIK23" s="1902">
        <f t="shared" si="400"/>
        <v>0</v>
      </c>
      <c r="MIL23" s="1902">
        <f t="shared" si="400"/>
        <v>0</v>
      </c>
      <c r="MIM23" s="1902">
        <f t="shared" ref="MIM23:MKX23" si="401">IF(AND(MIM$26="End of period",MIM$25="Revenue"),MIM10,0)</f>
        <v>0</v>
      </c>
      <c r="MIN23" s="1902">
        <f t="shared" si="401"/>
        <v>0</v>
      </c>
      <c r="MIO23" s="1902">
        <f t="shared" si="401"/>
        <v>0</v>
      </c>
      <c r="MIP23" s="1902">
        <f t="shared" si="401"/>
        <v>0</v>
      </c>
      <c r="MIQ23" s="1902">
        <f t="shared" si="401"/>
        <v>0</v>
      </c>
      <c r="MIR23" s="1902">
        <f t="shared" si="401"/>
        <v>0</v>
      </c>
      <c r="MIS23" s="1902">
        <f t="shared" si="401"/>
        <v>0</v>
      </c>
      <c r="MIT23" s="1902">
        <f t="shared" si="401"/>
        <v>0</v>
      </c>
      <c r="MIU23" s="1902">
        <f t="shared" si="401"/>
        <v>0</v>
      </c>
      <c r="MIV23" s="1902">
        <f t="shared" si="401"/>
        <v>0</v>
      </c>
      <c r="MIW23" s="1902">
        <f t="shared" si="401"/>
        <v>0</v>
      </c>
      <c r="MIX23" s="1902">
        <f t="shared" si="401"/>
        <v>0</v>
      </c>
      <c r="MIY23" s="1902">
        <f t="shared" si="401"/>
        <v>0</v>
      </c>
      <c r="MIZ23" s="1902">
        <f t="shared" si="401"/>
        <v>0</v>
      </c>
      <c r="MJA23" s="1902">
        <f t="shared" si="401"/>
        <v>0</v>
      </c>
      <c r="MJB23" s="1902">
        <f t="shared" si="401"/>
        <v>0</v>
      </c>
      <c r="MJC23" s="1902">
        <f t="shared" si="401"/>
        <v>0</v>
      </c>
      <c r="MJD23" s="1902">
        <f t="shared" si="401"/>
        <v>0</v>
      </c>
      <c r="MJE23" s="1902">
        <f t="shared" si="401"/>
        <v>0</v>
      </c>
      <c r="MJF23" s="1902">
        <f t="shared" si="401"/>
        <v>0</v>
      </c>
      <c r="MJG23" s="1902">
        <f t="shared" si="401"/>
        <v>0</v>
      </c>
      <c r="MJH23" s="1902">
        <f t="shared" si="401"/>
        <v>0</v>
      </c>
      <c r="MJI23" s="1902">
        <f t="shared" si="401"/>
        <v>0</v>
      </c>
      <c r="MJJ23" s="1902">
        <f t="shared" si="401"/>
        <v>0</v>
      </c>
      <c r="MJK23" s="1902">
        <f t="shared" si="401"/>
        <v>0</v>
      </c>
      <c r="MJL23" s="1902">
        <f t="shared" si="401"/>
        <v>0</v>
      </c>
      <c r="MJM23" s="1902">
        <f t="shared" si="401"/>
        <v>0</v>
      </c>
      <c r="MJN23" s="1902">
        <f t="shared" si="401"/>
        <v>0</v>
      </c>
      <c r="MJO23" s="1902">
        <f t="shared" si="401"/>
        <v>0</v>
      </c>
      <c r="MJP23" s="1902">
        <f t="shared" si="401"/>
        <v>0</v>
      </c>
      <c r="MJQ23" s="1902">
        <f t="shared" si="401"/>
        <v>0</v>
      </c>
      <c r="MJR23" s="1902">
        <f t="shared" si="401"/>
        <v>0</v>
      </c>
      <c r="MJS23" s="1902">
        <f t="shared" si="401"/>
        <v>0</v>
      </c>
      <c r="MJT23" s="1902">
        <f t="shared" si="401"/>
        <v>0</v>
      </c>
      <c r="MJU23" s="1902">
        <f t="shared" si="401"/>
        <v>0</v>
      </c>
      <c r="MJV23" s="1902">
        <f t="shared" si="401"/>
        <v>0</v>
      </c>
      <c r="MJW23" s="1902">
        <f t="shared" si="401"/>
        <v>0</v>
      </c>
      <c r="MJX23" s="1902">
        <f t="shared" si="401"/>
        <v>0</v>
      </c>
      <c r="MJY23" s="1902">
        <f t="shared" si="401"/>
        <v>0</v>
      </c>
      <c r="MJZ23" s="1902">
        <f t="shared" si="401"/>
        <v>0</v>
      </c>
      <c r="MKA23" s="1902">
        <f t="shared" si="401"/>
        <v>0</v>
      </c>
      <c r="MKB23" s="1902">
        <f t="shared" si="401"/>
        <v>0</v>
      </c>
      <c r="MKC23" s="1902">
        <f t="shared" si="401"/>
        <v>0</v>
      </c>
      <c r="MKD23" s="1902">
        <f t="shared" si="401"/>
        <v>0</v>
      </c>
      <c r="MKE23" s="1902">
        <f t="shared" si="401"/>
        <v>0</v>
      </c>
      <c r="MKF23" s="1902">
        <f t="shared" si="401"/>
        <v>0</v>
      </c>
      <c r="MKG23" s="1902">
        <f t="shared" si="401"/>
        <v>0</v>
      </c>
      <c r="MKH23" s="1902">
        <f t="shared" si="401"/>
        <v>0</v>
      </c>
      <c r="MKI23" s="1902">
        <f t="shared" si="401"/>
        <v>0</v>
      </c>
      <c r="MKJ23" s="1902">
        <f t="shared" si="401"/>
        <v>0</v>
      </c>
      <c r="MKK23" s="1902">
        <f t="shared" si="401"/>
        <v>0</v>
      </c>
      <c r="MKL23" s="1902">
        <f t="shared" si="401"/>
        <v>0</v>
      </c>
      <c r="MKM23" s="1902">
        <f t="shared" si="401"/>
        <v>0</v>
      </c>
      <c r="MKN23" s="1902">
        <f t="shared" si="401"/>
        <v>0</v>
      </c>
      <c r="MKO23" s="1902">
        <f t="shared" si="401"/>
        <v>0</v>
      </c>
      <c r="MKP23" s="1902">
        <f t="shared" si="401"/>
        <v>0</v>
      </c>
      <c r="MKQ23" s="1902">
        <f t="shared" si="401"/>
        <v>0</v>
      </c>
      <c r="MKR23" s="1902">
        <f t="shared" si="401"/>
        <v>0</v>
      </c>
      <c r="MKS23" s="1902">
        <f t="shared" si="401"/>
        <v>0</v>
      </c>
      <c r="MKT23" s="1902">
        <f t="shared" si="401"/>
        <v>0</v>
      </c>
      <c r="MKU23" s="1902">
        <f t="shared" si="401"/>
        <v>0</v>
      </c>
      <c r="MKV23" s="1902">
        <f t="shared" si="401"/>
        <v>0</v>
      </c>
      <c r="MKW23" s="1902">
        <f t="shared" si="401"/>
        <v>0</v>
      </c>
      <c r="MKX23" s="1902">
        <f t="shared" si="401"/>
        <v>0</v>
      </c>
      <c r="MKY23" s="1902">
        <f t="shared" ref="MKY23:MNJ23" si="402">IF(AND(MKY$26="End of period",MKY$25="Revenue"),MKY10,0)</f>
        <v>0</v>
      </c>
      <c r="MKZ23" s="1902">
        <f t="shared" si="402"/>
        <v>0</v>
      </c>
      <c r="MLA23" s="1902">
        <f t="shared" si="402"/>
        <v>0</v>
      </c>
      <c r="MLB23" s="1902">
        <f t="shared" si="402"/>
        <v>0</v>
      </c>
      <c r="MLC23" s="1902">
        <f t="shared" si="402"/>
        <v>0</v>
      </c>
      <c r="MLD23" s="1902">
        <f t="shared" si="402"/>
        <v>0</v>
      </c>
      <c r="MLE23" s="1902">
        <f t="shared" si="402"/>
        <v>0</v>
      </c>
      <c r="MLF23" s="1902">
        <f t="shared" si="402"/>
        <v>0</v>
      </c>
      <c r="MLG23" s="1902">
        <f t="shared" si="402"/>
        <v>0</v>
      </c>
      <c r="MLH23" s="1902">
        <f t="shared" si="402"/>
        <v>0</v>
      </c>
      <c r="MLI23" s="1902">
        <f t="shared" si="402"/>
        <v>0</v>
      </c>
      <c r="MLJ23" s="1902">
        <f t="shared" si="402"/>
        <v>0</v>
      </c>
      <c r="MLK23" s="1902">
        <f t="shared" si="402"/>
        <v>0</v>
      </c>
      <c r="MLL23" s="1902">
        <f t="shared" si="402"/>
        <v>0</v>
      </c>
      <c r="MLM23" s="1902">
        <f t="shared" si="402"/>
        <v>0</v>
      </c>
      <c r="MLN23" s="1902">
        <f t="shared" si="402"/>
        <v>0</v>
      </c>
      <c r="MLO23" s="1902">
        <f t="shared" si="402"/>
        <v>0</v>
      </c>
      <c r="MLP23" s="1902">
        <f t="shared" si="402"/>
        <v>0</v>
      </c>
      <c r="MLQ23" s="1902">
        <f t="shared" si="402"/>
        <v>0</v>
      </c>
      <c r="MLR23" s="1902">
        <f t="shared" si="402"/>
        <v>0</v>
      </c>
      <c r="MLS23" s="1902">
        <f t="shared" si="402"/>
        <v>0</v>
      </c>
      <c r="MLT23" s="1902">
        <f t="shared" si="402"/>
        <v>0</v>
      </c>
      <c r="MLU23" s="1902">
        <f t="shared" si="402"/>
        <v>0</v>
      </c>
      <c r="MLV23" s="1902">
        <f t="shared" si="402"/>
        <v>0</v>
      </c>
      <c r="MLW23" s="1902">
        <f t="shared" si="402"/>
        <v>0</v>
      </c>
      <c r="MLX23" s="1902">
        <f t="shared" si="402"/>
        <v>0</v>
      </c>
      <c r="MLY23" s="1902">
        <f t="shared" si="402"/>
        <v>0</v>
      </c>
      <c r="MLZ23" s="1902">
        <f t="shared" si="402"/>
        <v>0</v>
      </c>
      <c r="MMA23" s="1902">
        <f t="shared" si="402"/>
        <v>0</v>
      </c>
      <c r="MMB23" s="1902">
        <f t="shared" si="402"/>
        <v>0</v>
      </c>
      <c r="MMC23" s="1902">
        <f t="shared" si="402"/>
        <v>0</v>
      </c>
      <c r="MMD23" s="1902">
        <f t="shared" si="402"/>
        <v>0</v>
      </c>
      <c r="MME23" s="1902">
        <f t="shared" si="402"/>
        <v>0</v>
      </c>
      <c r="MMF23" s="1902">
        <f t="shared" si="402"/>
        <v>0</v>
      </c>
      <c r="MMG23" s="1902">
        <f t="shared" si="402"/>
        <v>0</v>
      </c>
      <c r="MMH23" s="1902">
        <f t="shared" si="402"/>
        <v>0</v>
      </c>
      <c r="MMI23" s="1902">
        <f t="shared" si="402"/>
        <v>0</v>
      </c>
      <c r="MMJ23" s="1902">
        <f t="shared" si="402"/>
        <v>0</v>
      </c>
      <c r="MMK23" s="1902">
        <f t="shared" si="402"/>
        <v>0</v>
      </c>
      <c r="MML23" s="1902">
        <f t="shared" si="402"/>
        <v>0</v>
      </c>
      <c r="MMM23" s="1902">
        <f t="shared" si="402"/>
        <v>0</v>
      </c>
      <c r="MMN23" s="1902">
        <f t="shared" si="402"/>
        <v>0</v>
      </c>
      <c r="MMO23" s="1902">
        <f t="shared" si="402"/>
        <v>0</v>
      </c>
      <c r="MMP23" s="1902">
        <f t="shared" si="402"/>
        <v>0</v>
      </c>
      <c r="MMQ23" s="1902">
        <f t="shared" si="402"/>
        <v>0</v>
      </c>
      <c r="MMR23" s="1902">
        <f t="shared" si="402"/>
        <v>0</v>
      </c>
      <c r="MMS23" s="1902">
        <f t="shared" si="402"/>
        <v>0</v>
      </c>
      <c r="MMT23" s="1902">
        <f t="shared" si="402"/>
        <v>0</v>
      </c>
      <c r="MMU23" s="1902">
        <f t="shared" si="402"/>
        <v>0</v>
      </c>
      <c r="MMV23" s="1902">
        <f t="shared" si="402"/>
        <v>0</v>
      </c>
      <c r="MMW23" s="1902">
        <f t="shared" si="402"/>
        <v>0</v>
      </c>
      <c r="MMX23" s="1902">
        <f t="shared" si="402"/>
        <v>0</v>
      </c>
      <c r="MMY23" s="1902">
        <f t="shared" si="402"/>
        <v>0</v>
      </c>
      <c r="MMZ23" s="1902">
        <f t="shared" si="402"/>
        <v>0</v>
      </c>
      <c r="MNA23" s="1902">
        <f t="shared" si="402"/>
        <v>0</v>
      </c>
      <c r="MNB23" s="1902">
        <f t="shared" si="402"/>
        <v>0</v>
      </c>
      <c r="MNC23" s="1902">
        <f t="shared" si="402"/>
        <v>0</v>
      </c>
      <c r="MND23" s="1902">
        <f t="shared" si="402"/>
        <v>0</v>
      </c>
      <c r="MNE23" s="1902">
        <f t="shared" si="402"/>
        <v>0</v>
      </c>
      <c r="MNF23" s="1902">
        <f t="shared" si="402"/>
        <v>0</v>
      </c>
      <c r="MNG23" s="1902">
        <f t="shared" si="402"/>
        <v>0</v>
      </c>
      <c r="MNH23" s="1902">
        <f t="shared" si="402"/>
        <v>0</v>
      </c>
      <c r="MNI23" s="1902">
        <f t="shared" si="402"/>
        <v>0</v>
      </c>
      <c r="MNJ23" s="1902">
        <f t="shared" si="402"/>
        <v>0</v>
      </c>
      <c r="MNK23" s="1902">
        <f t="shared" ref="MNK23:MPV23" si="403">IF(AND(MNK$26="End of period",MNK$25="Revenue"),MNK10,0)</f>
        <v>0</v>
      </c>
      <c r="MNL23" s="1902">
        <f t="shared" si="403"/>
        <v>0</v>
      </c>
      <c r="MNM23" s="1902">
        <f t="shared" si="403"/>
        <v>0</v>
      </c>
      <c r="MNN23" s="1902">
        <f t="shared" si="403"/>
        <v>0</v>
      </c>
      <c r="MNO23" s="1902">
        <f t="shared" si="403"/>
        <v>0</v>
      </c>
      <c r="MNP23" s="1902">
        <f t="shared" si="403"/>
        <v>0</v>
      </c>
      <c r="MNQ23" s="1902">
        <f t="shared" si="403"/>
        <v>0</v>
      </c>
      <c r="MNR23" s="1902">
        <f t="shared" si="403"/>
        <v>0</v>
      </c>
      <c r="MNS23" s="1902">
        <f t="shared" si="403"/>
        <v>0</v>
      </c>
      <c r="MNT23" s="1902">
        <f t="shared" si="403"/>
        <v>0</v>
      </c>
      <c r="MNU23" s="1902">
        <f t="shared" si="403"/>
        <v>0</v>
      </c>
      <c r="MNV23" s="1902">
        <f t="shared" si="403"/>
        <v>0</v>
      </c>
      <c r="MNW23" s="1902">
        <f t="shared" si="403"/>
        <v>0</v>
      </c>
      <c r="MNX23" s="1902">
        <f t="shared" si="403"/>
        <v>0</v>
      </c>
      <c r="MNY23" s="1902">
        <f t="shared" si="403"/>
        <v>0</v>
      </c>
      <c r="MNZ23" s="1902">
        <f t="shared" si="403"/>
        <v>0</v>
      </c>
      <c r="MOA23" s="1902">
        <f t="shared" si="403"/>
        <v>0</v>
      </c>
      <c r="MOB23" s="1902">
        <f t="shared" si="403"/>
        <v>0</v>
      </c>
      <c r="MOC23" s="1902">
        <f t="shared" si="403"/>
        <v>0</v>
      </c>
      <c r="MOD23" s="1902">
        <f t="shared" si="403"/>
        <v>0</v>
      </c>
      <c r="MOE23" s="1902">
        <f t="shared" si="403"/>
        <v>0</v>
      </c>
      <c r="MOF23" s="1902">
        <f t="shared" si="403"/>
        <v>0</v>
      </c>
      <c r="MOG23" s="1902">
        <f t="shared" si="403"/>
        <v>0</v>
      </c>
      <c r="MOH23" s="1902">
        <f t="shared" si="403"/>
        <v>0</v>
      </c>
      <c r="MOI23" s="1902">
        <f t="shared" si="403"/>
        <v>0</v>
      </c>
      <c r="MOJ23" s="1902">
        <f t="shared" si="403"/>
        <v>0</v>
      </c>
      <c r="MOK23" s="1902">
        <f t="shared" si="403"/>
        <v>0</v>
      </c>
      <c r="MOL23" s="1902">
        <f t="shared" si="403"/>
        <v>0</v>
      </c>
      <c r="MOM23" s="1902">
        <f t="shared" si="403"/>
        <v>0</v>
      </c>
      <c r="MON23" s="1902">
        <f t="shared" si="403"/>
        <v>0</v>
      </c>
      <c r="MOO23" s="1902">
        <f t="shared" si="403"/>
        <v>0</v>
      </c>
      <c r="MOP23" s="1902">
        <f t="shared" si="403"/>
        <v>0</v>
      </c>
      <c r="MOQ23" s="1902">
        <f t="shared" si="403"/>
        <v>0</v>
      </c>
      <c r="MOR23" s="1902">
        <f t="shared" si="403"/>
        <v>0</v>
      </c>
      <c r="MOS23" s="1902">
        <f t="shared" si="403"/>
        <v>0</v>
      </c>
      <c r="MOT23" s="1902">
        <f t="shared" si="403"/>
        <v>0</v>
      </c>
      <c r="MOU23" s="1902">
        <f t="shared" si="403"/>
        <v>0</v>
      </c>
      <c r="MOV23" s="1902">
        <f t="shared" si="403"/>
        <v>0</v>
      </c>
      <c r="MOW23" s="1902">
        <f t="shared" si="403"/>
        <v>0</v>
      </c>
      <c r="MOX23" s="1902">
        <f t="shared" si="403"/>
        <v>0</v>
      </c>
      <c r="MOY23" s="1902">
        <f t="shared" si="403"/>
        <v>0</v>
      </c>
      <c r="MOZ23" s="1902">
        <f t="shared" si="403"/>
        <v>0</v>
      </c>
      <c r="MPA23" s="1902">
        <f t="shared" si="403"/>
        <v>0</v>
      </c>
      <c r="MPB23" s="1902">
        <f t="shared" si="403"/>
        <v>0</v>
      </c>
      <c r="MPC23" s="1902">
        <f t="shared" si="403"/>
        <v>0</v>
      </c>
      <c r="MPD23" s="1902">
        <f t="shared" si="403"/>
        <v>0</v>
      </c>
      <c r="MPE23" s="1902">
        <f t="shared" si="403"/>
        <v>0</v>
      </c>
      <c r="MPF23" s="1902">
        <f t="shared" si="403"/>
        <v>0</v>
      </c>
      <c r="MPG23" s="1902">
        <f t="shared" si="403"/>
        <v>0</v>
      </c>
      <c r="MPH23" s="1902">
        <f t="shared" si="403"/>
        <v>0</v>
      </c>
      <c r="MPI23" s="1902">
        <f t="shared" si="403"/>
        <v>0</v>
      </c>
      <c r="MPJ23" s="1902">
        <f t="shared" si="403"/>
        <v>0</v>
      </c>
      <c r="MPK23" s="1902">
        <f t="shared" si="403"/>
        <v>0</v>
      </c>
      <c r="MPL23" s="1902">
        <f t="shared" si="403"/>
        <v>0</v>
      </c>
      <c r="MPM23" s="1902">
        <f t="shared" si="403"/>
        <v>0</v>
      </c>
      <c r="MPN23" s="1902">
        <f t="shared" si="403"/>
        <v>0</v>
      </c>
      <c r="MPO23" s="1902">
        <f t="shared" si="403"/>
        <v>0</v>
      </c>
      <c r="MPP23" s="1902">
        <f t="shared" si="403"/>
        <v>0</v>
      </c>
      <c r="MPQ23" s="1902">
        <f t="shared" si="403"/>
        <v>0</v>
      </c>
      <c r="MPR23" s="1902">
        <f t="shared" si="403"/>
        <v>0</v>
      </c>
      <c r="MPS23" s="1902">
        <f t="shared" si="403"/>
        <v>0</v>
      </c>
      <c r="MPT23" s="1902">
        <f t="shared" si="403"/>
        <v>0</v>
      </c>
      <c r="MPU23" s="1902">
        <f t="shared" si="403"/>
        <v>0</v>
      </c>
      <c r="MPV23" s="1902">
        <f t="shared" si="403"/>
        <v>0</v>
      </c>
      <c r="MPW23" s="1902">
        <f t="shared" ref="MPW23:MSH23" si="404">IF(AND(MPW$26="End of period",MPW$25="Revenue"),MPW10,0)</f>
        <v>0</v>
      </c>
      <c r="MPX23" s="1902">
        <f t="shared" si="404"/>
        <v>0</v>
      </c>
      <c r="MPY23" s="1902">
        <f t="shared" si="404"/>
        <v>0</v>
      </c>
      <c r="MPZ23" s="1902">
        <f t="shared" si="404"/>
        <v>0</v>
      </c>
      <c r="MQA23" s="1902">
        <f t="shared" si="404"/>
        <v>0</v>
      </c>
      <c r="MQB23" s="1902">
        <f t="shared" si="404"/>
        <v>0</v>
      </c>
      <c r="MQC23" s="1902">
        <f t="shared" si="404"/>
        <v>0</v>
      </c>
      <c r="MQD23" s="1902">
        <f t="shared" si="404"/>
        <v>0</v>
      </c>
      <c r="MQE23" s="1902">
        <f t="shared" si="404"/>
        <v>0</v>
      </c>
      <c r="MQF23" s="1902">
        <f t="shared" si="404"/>
        <v>0</v>
      </c>
      <c r="MQG23" s="1902">
        <f t="shared" si="404"/>
        <v>0</v>
      </c>
      <c r="MQH23" s="1902">
        <f t="shared" si="404"/>
        <v>0</v>
      </c>
      <c r="MQI23" s="1902">
        <f t="shared" si="404"/>
        <v>0</v>
      </c>
      <c r="MQJ23" s="1902">
        <f t="shared" si="404"/>
        <v>0</v>
      </c>
      <c r="MQK23" s="1902">
        <f t="shared" si="404"/>
        <v>0</v>
      </c>
      <c r="MQL23" s="1902">
        <f t="shared" si="404"/>
        <v>0</v>
      </c>
      <c r="MQM23" s="1902">
        <f t="shared" si="404"/>
        <v>0</v>
      </c>
      <c r="MQN23" s="1902">
        <f t="shared" si="404"/>
        <v>0</v>
      </c>
      <c r="MQO23" s="1902">
        <f t="shared" si="404"/>
        <v>0</v>
      </c>
      <c r="MQP23" s="1902">
        <f t="shared" si="404"/>
        <v>0</v>
      </c>
      <c r="MQQ23" s="1902">
        <f t="shared" si="404"/>
        <v>0</v>
      </c>
      <c r="MQR23" s="1902">
        <f t="shared" si="404"/>
        <v>0</v>
      </c>
      <c r="MQS23" s="1902">
        <f t="shared" si="404"/>
        <v>0</v>
      </c>
      <c r="MQT23" s="1902">
        <f t="shared" si="404"/>
        <v>0</v>
      </c>
      <c r="MQU23" s="1902">
        <f t="shared" si="404"/>
        <v>0</v>
      </c>
      <c r="MQV23" s="1902">
        <f t="shared" si="404"/>
        <v>0</v>
      </c>
      <c r="MQW23" s="1902">
        <f t="shared" si="404"/>
        <v>0</v>
      </c>
      <c r="MQX23" s="1902">
        <f t="shared" si="404"/>
        <v>0</v>
      </c>
      <c r="MQY23" s="1902">
        <f t="shared" si="404"/>
        <v>0</v>
      </c>
      <c r="MQZ23" s="1902">
        <f t="shared" si="404"/>
        <v>0</v>
      </c>
      <c r="MRA23" s="1902">
        <f t="shared" si="404"/>
        <v>0</v>
      </c>
      <c r="MRB23" s="1902">
        <f t="shared" si="404"/>
        <v>0</v>
      </c>
      <c r="MRC23" s="1902">
        <f t="shared" si="404"/>
        <v>0</v>
      </c>
      <c r="MRD23" s="1902">
        <f t="shared" si="404"/>
        <v>0</v>
      </c>
      <c r="MRE23" s="1902">
        <f t="shared" si="404"/>
        <v>0</v>
      </c>
      <c r="MRF23" s="1902">
        <f t="shared" si="404"/>
        <v>0</v>
      </c>
      <c r="MRG23" s="1902">
        <f t="shared" si="404"/>
        <v>0</v>
      </c>
      <c r="MRH23" s="1902">
        <f t="shared" si="404"/>
        <v>0</v>
      </c>
      <c r="MRI23" s="1902">
        <f t="shared" si="404"/>
        <v>0</v>
      </c>
      <c r="MRJ23" s="1902">
        <f t="shared" si="404"/>
        <v>0</v>
      </c>
      <c r="MRK23" s="1902">
        <f t="shared" si="404"/>
        <v>0</v>
      </c>
      <c r="MRL23" s="1902">
        <f t="shared" si="404"/>
        <v>0</v>
      </c>
      <c r="MRM23" s="1902">
        <f t="shared" si="404"/>
        <v>0</v>
      </c>
      <c r="MRN23" s="1902">
        <f t="shared" si="404"/>
        <v>0</v>
      </c>
      <c r="MRO23" s="1902">
        <f t="shared" si="404"/>
        <v>0</v>
      </c>
      <c r="MRP23" s="1902">
        <f t="shared" si="404"/>
        <v>0</v>
      </c>
      <c r="MRQ23" s="1902">
        <f t="shared" si="404"/>
        <v>0</v>
      </c>
      <c r="MRR23" s="1902">
        <f t="shared" si="404"/>
        <v>0</v>
      </c>
      <c r="MRS23" s="1902">
        <f t="shared" si="404"/>
        <v>0</v>
      </c>
      <c r="MRT23" s="1902">
        <f t="shared" si="404"/>
        <v>0</v>
      </c>
      <c r="MRU23" s="1902">
        <f t="shared" si="404"/>
        <v>0</v>
      </c>
      <c r="MRV23" s="1902">
        <f t="shared" si="404"/>
        <v>0</v>
      </c>
      <c r="MRW23" s="1902">
        <f t="shared" si="404"/>
        <v>0</v>
      </c>
      <c r="MRX23" s="1902">
        <f t="shared" si="404"/>
        <v>0</v>
      </c>
      <c r="MRY23" s="1902">
        <f t="shared" si="404"/>
        <v>0</v>
      </c>
      <c r="MRZ23" s="1902">
        <f t="shared" si="404"/>
        <v>0</v>
      </c>
      <c r="MSA23" s="1902">
        <f t="shared" si="404"/>
        <v>0</v>
      </c>
      <c r="MSB23" s="1902">
        <f t="shared" si="404"/>
        <v>0</v>
      </c>
      <c r="MSC23" s="1902">
        <f t="shared" si="404"/>
        <v>0</v>
      </c>
      <c r="MSD23" s="1902">
        <f t="shared" si="404"/>
        <v>0</v>
      </c>
      <c r="MSE23" s="1902">
        <f t="shared" si="404"/>
        <v>0</v>
      </c>
      <c r="MSF23" s="1902">
        <f t="shared" si="404"/>
        <v>0</v>
      </c>
      <c r="MSG23" s="1902">
        <f t="shared" si="404"/>
        <v>0</v>
      </c>
      <c r="MSH23" s="1902">
        <f t="shared" si="404"/>
        <v>0</v>
      </c>
      <c r="MSI23" s="1902">
        <f t="shared" ref="MSI23:MUT23" si="405">IF(AND(MSI$26="End of period",MSI$25="Revenue"),MSI10,0)</f>
        <v>0</v>
      </c>
      <c r="MSJ23" s="1902">
        <f t="shared" si="405"/>
        <v>0</v>
      </c>
      <c r="MSK23" s="1902">
        <f t="shared" si="405"/>
        <v>0</v>
      </c>
      <c r="MSL23" s="1902">
        <f t="shared" si="405"/>
        <v>0</v>
      </c>
      <c r="MSM23" s="1902">
        <f t="shared" si="405"/>
        <v>0</v>
      </c>
      <c r="MSN23" s="1902">
        <f t="shared" si="405"/>
        <v>0</v>
      </c>
      <c r="MSO23" s="1902">
        <f t="shared" si="405"/>
        <v>0</v>
      </c>
      <c r="MSP23" s="1902">
        <f t="shared" si="405"/>
        <v>0</v>
      </c>
      <c r="MSQ23" s="1902">
        <f t="shared" si="405"/>
        <v>0</v>
      </c>
      <c r="MSR23" s="1902">
        <f t="shared" si="405"/>
        <v>0</v>
      </c>
      <c r="MSS23" s="1902">
        <f t="shared" si="405"/>
        <v>0</v>
      </c>
      <c r="MST23" s="1902">
        <f t="shared" si="405"/>
        <v>0</v>
      </c>
      <c r="MSU23" s="1902">
        <f t="shared" si="405"/>
        <v>0</v>
      </c>
      <c r="MSV23" s="1902">
        <f t="shared" si="405"/>
        <v>0</v>
      </c>
      <c r="MSW23" s="1902">
        <f t="shared" si="405"/>
        <v>0</v>
      </c>
      <c r="MSX23" s="1902">
        <f t="shared" si="405"/>
        <v>0</v>
      </c>
      <c r="MSY23" s="1902">
        <f t="shared" si="405"/>
        <v>0</v>
      </c>
      <c r="MSZ23" s="1902">
        <f t="shared" si="405"/>
        <v>0</v>
      </c>
      <c r="MTA23" s="1902">
        <f t="shared" si="405"/>
        <v>0</v>
      </c>
      <c r="MTB23" s="1902">
        <f t="shared" si="405"/>
        <v>0</v>
      </c>
      <c r="MTC23" s="1902">
        <f t="shared" si="405"/>
        <v>0</v>
      </c>
      <c r="MTD23" s="1902">
        <f t="shared" si="405"/>
        <v>0</v>
      </c>
      <c r="MTE23" s="1902">
        <f t="shared" si="405"/>
        <v>0</v>
      </c>
      <c r="MTF23" s="1902">
        <f t="shared" si="405"/>
        <v>0</v>
      </c>
      <c r="MTG23" s="1902">
        <f t="shared" si="405"/>
        <v>0</v>
      </c>
      <c r="MTH23" s="1902">
        <f t="shared" si="405"/>
        <v>0</v>
      </c>
      <c r="MTI23" s="1902">
        <f t="shared" si="405"/>
        <v>0</v>
      </c>
      <c r="MTJ23" s="1902">
        <f t="shared" si="405"/>
        <v>0</v>
      </c>
      <c r="MTK23" s="1902">
        <f t="shared" si="405"/>
        <v>0</v>
      </c>
      <c r="MTL23" s="1902">
        <f t="shared" si="405"/>
        <v>0</v>
      </c>
      <c r="MTM23" s="1902">
        <f t="shared" si="405"/>
        <v>0</v>
      </c>
      <c r="MTN23" s="1902">
        <f t="shared" si="405"/>
        <v>0</v>
      </c>
      <c r="MTO23" s="1902">
        <f t="shared" si="405"/>
        <v>0</v>
      </c>
      <c r="MTP23" s="1902">
        <f t="shared" si="405"/>
        <v>0</v>
      </c>
      <c r="MTQ23" s="1902">
        <f t="shared" si="405"/>
        <v>0</v>
      </c>
      <c r="MTR23" s="1902">
        <f t="shared" si="405"/>
        <v>0</v>
      </c>
      <c r="MTS23" s="1902">
        <f t="shared" si="405"/>
        <v>0</v>
      </c>
      <c r="MTT23" s="1902">
        <f t="shared" si="405"/>
        <v>0</v>
      </c>
      <c r="MTU23" s="1902">
        <f t="shared" si="405"/>
        <v>0</v>
      </c>
      <c r="MTV23" s="1902">
        <f t="shared" si="405"/>
        <v>0</v>
      </c>
      <c r="MTW23" s="1902">
        <f t="shared" si="405"/>
        <v>0</v>
      </c>
      <c r="MTX23" s="1902">
        <f t="shared" si="405"/>
        <v>0</v>
      </c>
      <c r="MTY23" s="1902">
        <f t="shared" si="405"/>
        <v>0</v>
      </c>
      <c r="MTZ23" s="1902">
        <f t="shared" si="405"/>
        <v>0</v>
      </c>
      <c r="MUA23" s="1902">
        <f t="shared" si="405"/>
        <v>0</v>
      </c>
      <c r="MUB23" s="1902">
        <f t="shared" si="405"/>
        <v>0</v>
      </c>
      <c r="MUC23" s="1902">
        <f t="shared" si="405"/>
        <v>0</v>
      </c>
      <c r="MUD23" s="1902">
        <f t="shared" si="405"/>
        <v>0</v>
      </c>
      <c r="MUE23" s="1902">
        <f t="shared" si="405"/>
        <v>0</v>
      </c>
      <c r="MUF23" s="1902">
        <f t="shared" si="405"/>
        <v>0</v>
      </c>
      <c r="MUG23" s="1902">
        <f t="shared" si="405"/>
        <v>0</v>
      </c>
      <c r="MUH23" s="1902">
        <f t="shared" si="405"/>
        <v>0</v>
      </c>
      <c r="MUI23" s="1902">
        <f t="shared" si="405"/>
        <v>0</v>
      </c>
      <c r="MUJ23" s="1902">
        <f t="shared" si="405"/>
        <v>0</v>
      </c>
      <c r="MUK23" s="1902">
        <f t="shared" si="405"/>
        <v>0</v>
      </c>
      <c r="MUL23" s="1902">
        <f t="shared" si="405"/>
        <v>0</v>
      </c>
      <c r="MUM23" s="1902">
        <f t="shared" si="405"/>
        <v>0</v>
      </c>
      <c r="MUN23" s="1902">
        <f t="shared" si="405"/>
        <v>0</v>
      </c>
      <c r="MUO23" s="1902">
        <f t="shared" si="405"/>
        <v>0</v>
      </c>
      <c r="MUP23" s="1902">
        <f t="shared" si="405"/>
        <v>0</v>
      </c>
      <c r="MUQ23" s="1902">
        <f t="shared" si="405"/>
        <v>0</v>
      </c>
      <c r="MUR23" s="1902">
        <f t="shared" si="405"/>
        <v>0</v>
      </c>
      <c r="MUS23" s="1902">
        <f t="shared" si="405"/>
        <v>0</v>
      </c>
      <c r="MUT23" s="1902">
        <f t="shared" si="405"/>
        <v>0</v>
      </c>
      <c r="MUU23" s="1902">
        <f t="shared" ref="MUU23:MXF23" si="406">IF(AND(MUU$26="End of period",MUU$25="Revenue"),MUU10,0)</f>
        <v>0</v>
      </c>
      <c r="MUV23" s="1902">
        <f t="shared" si="406"/>
        <v>0</v>
      </c>
      <c r="MUW23" s="1902">
        <f t="shared" si="406"/>
        <v>0</v>
      </c>
      <c r="MUX23" s="1902">
        <f t="shared" si="406"/>
        <v>0</v>
      </c>
      <c r="MUY23" s="1902">
        <f t="shared" si="406"/>
        <v>0</v>
      </c>
      <c r="MUZ23" s="1902">
        <f t="shared" si="406"/>
        <v>0</v>
      </c>
      <c r="MVA23" s="1902">
        <f t="shared" si="406"/>
        <v>0</v>
      </c>
      <c r="MVB23" s="1902">
        <f t="shared" si="406"/>
        <v>0</v>
      </c>
      <c r="MVC23" s="1902">
        <f t="shared" si="406"/>
        <v>0</v>
      </c>
      <c r="MVD23" s="1902">
        <f t="shared" si="406"/>
        <v>0</v>
      </c>
      <c r="MVE23" s="1902">
        <f t="shared" si="406"/>
        <v>0</v>
      </c>
      <c r="MVF23" s="1902">
        <f t="shared" si="406"/>
        <v>0</v>
      </c>
      <c r="MVG23" s="1902">
        <f t="shared" si="406"/>
        <v>0</v>
      </c>
      <c r="MVH23" s="1902">
        <f t="shared" si="406"/>
        <v>0</v>
      </c>
      <c r="MVI23" s="1902">
        <f t="shared" si="406"/>
        <v>0</v>
      </c>
      <c r="MVJ23" s="1902">
        <f t="shared" si="406"/>
        <v>0</v>
      </c>
      <c r="MVK23" s="1902">
        <f t="shared" si="406"/>
        <v>0</v>
      </c>
      <c r="MVL23" s="1902">
        <f t="shared" si="406"/>
        <v>0</v>
      </c>
      <c r="MVM23" s="1902">
        <f t="shared" si="406"/>
        <v>0</v>
      </c>
      <c r="MVN23" s="1902">
        <f t="shared" si="406"/>
        <v>0</v>
      </c>
      <c r="MVO23" s="1902">
        <f t="shared" si="406"/>
        <v>0</v>
      </c>
      <c r="MVP23" s="1902">
        <f t="shared" si="406"/>
        <v>0</v>
      </c>
      <c r="MVQ23" s="1902">
        <f t="shared" si="406"/>
        <v>0</v>
      </c>
      <c r="MVR23" s="1902">
        <f t="shared" si="406"/>
        <v>0</v>
      </c>
      <c r="MVS23" s="1902">
        <f t="shared" si="406"/>
        <v>0</v>
      </c>
      <c r="MVT23" s="1902">
        <f t="shared" si="406"/>
        <v>0</v>
      </c>
      <c r="MVU23" s="1902">
        <f t="shared" si="406"/>
        <v>0</v>
      </c>
      <c r="MVV23" s="1902">
        <f t="shared" si="406"/>
        <v>0</v>
      </c>
      <c r="MVW23" s="1902">
        <f t="shared" si="406"/>
        <v>0</v>
      </c>
      <c r="MVX23" s="1902">
        <f t="shared" si="406"/>
        <v>0</v>
      </c>
      <c r="MVY23" s="1902">
        <f t="shared" si="406"/>
        <v>0</v>
      </c>
      <c r="MVZ23" s="1902">
        <f t="shared" si="406"/>
        <v>0</v>
      </c>
      <c r="MWA23" s="1902">
        <f t="shared" si="406"/>
        <v>0</v>
      </c>
      <c r="MWB23" s="1902">
        <f t="shared" si="406"/>
        <v>0</v>
      </c>
      <c r="MWC23" s="1902">
        <f t="shared" si="406"/>
        <v>0</v>
      </c>
      <c r="MWD23" s="1902">
        <f t="shared" si="406"/>
        <v>0</v>
      </c>
      <c r="MWE23" s="1902">
        <f t="shared" si="406"/>
        <v>0</v>
      </c>
      <c r="MWF23" s="1902">
        <f t="shared" si="406"/>
        <v>0</v>
      </c>
      <c r="MWG23" s="1902">
        <f t="shared" si="406"/>
        <v>0</v>
      </c>
      <c r="MWH23" s="1902">
        <f t="shared" si="406"/>
        <v>0</v>
      </c>
      <c r="MWI23" s="1902">
        <f t="shared" si="406"/>
        <v>0</v>
      </c>
      <c r="MWJ23" s="1902">
        <f t="shared" si="406"/>
        <v>0</v>
      </c>
      <c r="MWK23" s="1902">
        <f t="shared" si="406"/>
        <v>0</v>
      </c>
      <c r="MWL23" s="1902">
        <f t="shared" si="406"/>
        <v>0</v>
      </c>
      <c r="MWM23" s="1902">
        <f t="shared" si="406"/>
        <v>0</v>
      </c>
      <c r="MWN23" s="1902">
        <f t="shared" si="406"/>
        <v>0</v>
      </c>
      <c r="MWO23" s="1902">
        <f t="shared" si="406"/>
        <v>0</v>
      </c>
      <c r="MWP23" s="1902">
        <f t="shared" si="406"/>
        <v>0</v>
      </c>
      <c r="MWQ23" s="1902">
        <f t="shared" si="406"/>
        <v>0</v>
      </c>
      <c r="MWR23" s="1902">
        <f t="shared" si="406"/>
        <v>0</v>
      </c>
      <c r="MWS23" s="1902">
        <f t="shared" si="406"/>
        <v>0</v>
      </c>
      <c r="MWT23" s="1902">
        <f t="shared" si="406"/>
        <v>0</v>
      </c>
      <c r="MWU23" s="1902">
        <f t="shared" si="406"/>
        <v>0</v>
      </c>
      <c r="MWV23" s="1902">
        <f t="shared" si="406"/>
        <v>0</v>
      </c>
      <c r="MWW23" s="1902">
        <f t="shared" si="406"/>
        <v>0</v>
      </c>
      <c r="MWX23" s="1902">
        <f t="shared" si="406"/>
        <v>0</v>
      </c>
      <c r="MWY23" s="1902">
        <f t="shared" si="406"/>
        <v>0</v>
      </c>
      <c r="MWZ23" s="1902">
        <f t="shared" si="406"/>
        <v>0</v>
      </c>
      <c r="MXA23" s="1902">
        <f t="shared" si="406"/>
        <v>0</v>
      </c>
      <c r="MXB23" s="1902">
        <f t="shared" si="406"/>
        <v>0</v>
      </c>
      <c r="MXC23" s="1902">
        <f t="shared" si="406"/>
        <v>0</v>
      </c>
      <c r="MXD23" s="1902">
        <f t="shared" si="406"/>
        <v>0</v>
      </c>
      <c r="MXE23" s="1902">
        <f t="shared" si="406"/>
        <v>0</v>
      </c>
      <c r="MXF23" s="1902">
        <f t="shared" si="406"/>
        <v>0</v>
      </c>
      <c r="MXG23" s="1902">
        <f t="shared" ref="MXG23:MZR23" si="407">IF(AND(MXG$26="End of period",MXG$25="Revenue"),MXG10,0)</f>
        <v>0</v>
      </c>
      <c r="MXH23" s="1902">
        <f t="shared" si="407"/>
        <v>0</v>
      </c>
      <c r="MXI23" s="1902">
        <f t="shared" si="407"/>
        <v>0</v>
      </c>
      <c r="MXJ23" s="1902">
        <f t="shared" si="407"/>
        <v>0</v>
      </c>
      <c r="MXK23" s="1902">
        <f t="shared" si="407"/>
        <v>0</v>
      </c>
      <c r="MXL23" s="1902">
        <f t="shared" si="407"/>
        <v>0</v>
      </c>
      <c r="MXM23" s="1902">
        <f t="shared" si="407"/>
        <v>0</v>
      </c>
      <c r="MXN23" s="1902">
        <f t="shared" si="407"/>
        <v>0</v>
      </c>
      <c r="MXO23" s="1902">
        <f t="shared" si="407"/>
        <v>0</v>
      </c>
      <c r="MXP23" s="1902">
        <f t="shared" si="407"/>
        <v>0</v>
      </c>
      <c r="MXQ23" s="1902">
        <f t="shared" si="407"/>
        <v>0</v>
      </c>
      <c r="MXR23" s="1902">
        <f t="shared" si="407"/>
        <v>0</v>
      </c>
      <c r="MXS23" s="1902">
        <f t="shared" si="407"/>
        <v>0</v>
      </c>
      <c r="MXT23" s="1902">
        <f t="shared" si="407"/>
        <v>0</v>
      </c>
      <c r="MXU23" s="1902">
        <f t="shared" si="407"/>
        <v>0</v>
      </c>
      <c r="MXV23" s="1902">
        <f t="shared" si="407"/>
        <v>0</v>
      </c>
      <c r="MXW23" s="1902">
        <f t="shared" si="407"/>
        <v>0</v>
      </c>
      <c r="MXX23" s="1902">
        <f t="shared" si="407"/>
        <v>0</v>
      </c>
      <c r="MXY23" s="1902">
        <f t="shared" si="407"/>
        <v>0</v>
      </c>
      <c r="MXZ23" s="1902">
        <f t="shared" si="407"/>
        <v>0</v>
      </c>
      <c r="MYA23" s="1902">
        <f t="shared" si="407"/>
        <v>0</v>
      </c>
      <c r="MYB23" s="1902">
        <f t="shared" si="407"/>
        <v>0</v>
      </c>
      <c r="MYC23" s="1902">
        <f t="shared" si="407"/>
        <v>0</v>
      </c>
      <c r="MYD23" s="1902">
        <f t="shared" si="407"/>
        <v>0</v>
      </c>
      <c r="MYE23" s="1902">
        <f t="shared" si="407"/>
        <v>0</v>
      </c>
      <c r="MYF23" s="1902">
        <f t="shared" si="407"/>
        <v>0</v>
      </c>
      <c r="MYG23" s="1902">
        <f t="shared" si="407"/>
        <v>0</v>
      </c>
      <c r="MYH23" s="1902">
        <f t="shared" si="407"/>
        <v>0</v>
      </c>
      <c r="MYI23" s="1902">
        <f t="shared" si="407"/>
        <v>0</v>
      </c>
      <c r="MYJ23" s="1902">
        <f t="shared" si="407"/>
        <v>0</v>
      </c>
      <c r="MYK23" s="1902">
        <f t="shared" si="407"/>
        <v>0</v>
      </c>
      <c r="MYL23" s="1902">
        <f t="shared" si="407"/>
        <v>0</v>
      </c>
      <c r="MYM23" s="1902">
        <f t="shared" si="407"/>
        <v>0</v>
      </c>
      <c r="MYN23" s="1902">
        <f t="shared" si="407"/>
        <v>0</v>
      </c>
      <c r="MYO23" s="1902">
        <f t="shared" si="407"/>
        <v>0</v>
      </c>
      <c r="MYP23" s="1902">
        <f t="shared" si="407"/>
        <v>0</v>
      </c>
      <c r="MYQ23" s="1902">
        <f t="shared" si="407"/>
        <v>0</v>
      </c>
      <c r="MYR23" s="1902">
        <f t="shared" si="407"/>
        <v>0</v>
      </c>
      <c r="MYS23" s="1902">
        <f t="shared" si="407"/>
        <v>0</v>
      </c>
      <c r="MYT23" s="1902">
        <f t="shared" si="407"/>
        <v>0</v>
      </c>
      <c r="MYU23" s="1902">
        <f t="shared" si="407"/>
        <v>0</v>
      </c>
      <c r="MYV23" s="1902">
        <f t="shared" si="407"/>
        <v>0</v>
      </c>
      <c r="MYW23" s="1902">
        <f t="shared" si="407"/>
        <v>0</v>
      </c>
      <c r="MYX23" s="1902">
        <f t="shared" si="407"/>
        <v>0</v>
      </c>
      <c r="MYY23" s="1902">
        <f t="shared" si="407"/>
        <v>0</v>
      </c>
      <c r="MYZ23" s="1902">
        <f t="shared" si="407"/>
        <v>0</v>
      </c>
      <c r="MZA23" s="1902">
        <f t="shared" si="407"/>
        <v>0</v>
      </c>
      <c r="MZB23" s="1902">
        <f t="shared" si="407"/>
        <v>0</v>
      </c>
      <c r="MZC23" s="1902">
        <f t="shared" si="407"/>
        <v>0</v>
      </c>
      <c r="MZD23" s="1902">
        <f t="shared" si="407"/>
        <v>0</v>
      </c>
      <c r="MZE23" s="1902">
        <f t="shared" si="407"/>
        <v>0</v>
      </c>
      <c r="MZF23" s="1902">
        <f t="shared" si="407"/>
        <v>0</v>
      </c>
      <c r="MZG23" s="1902">
        <f t="shared" si="407"/>
        <v>0</v>
      </c>
      <c r="MZH23" s="1902">
        <f t="shared" si="407"/>
        <v>0</v>
      </c>
      <c r="MZI23" s="1902">
        <f t="shared" si="407"/>
        <v>0</v>
      </c>
      <c r="MZJ23" s="1902">
        <f t="shared" si="407"/>
        <v>0</v>
      </c>
      <c r="MZK23" s="1902">
        <f t="shared" si="407"/>
        <v>0</v>
      </c>
      <c r="MZL23" s="1902">
        <f t="shared" si="407"/>
        <v>0</v>
      </c>
      <c r="MZM23" s="1902">
        <f t="shared" si="407"/>
        <v>0</v>
      </c>
      <c r="MZN23" s="1902">
        <f t="shared" si="407"/>
        <v>0</v>
      </c>
      <c r="MZO23" s="1902">
        <f t="shared" si="407"/>
        <v>0</v>
      </c>
      <c r="MZP23" s="1902">
        <f t="shared" si="407"/>
        <v>0</v>
      </c>
      <c r="MZQ23" s="1902">
        <f t="shared" si="407"/>
        <v>0</v>
      </c>
      <c r="MZR23" s="1902">
        <f t="shared" si="407"/>
        <v>0</v>
      </c>
      <c r="MZS23" s="1902">
        <f t="shared" ref="MZS23:NCD23" si="408">IF(AND(MZS$26="End of period",MZS$25="Revenue"),MZS10,0)</f>
        <v>0</v>
      </c>
      <c r="MZT23" s="1902">
        <f t="shared" si="408"/>
        <v>0</v>
      </c>
      <c r="MZU23" s="1902">
        <f t="shared" si="408"/>
        <v>0</v>
      </c>
      <c r="MZV23" s="1902">
        <f t="shared" si="408"/>
        <v>0</v>
      </c>
      <c r="MZW23" s="1902">
        <f t="shared" si="408"/>
        <v>0</v>
      </c>
      <c r="MZX23" s="1902">
        <f t="shared" si="408"/>
        <v>0</v>
      </c>
      <c r="MZY23" s="1902">
        <f t="shared" si="408"/>
        <v>0</v>
      </c>
      <c r="MZZ23" s="1902">
        <f t="shared" si="408"/>
        <v>0</v>
      </c>
      <c r="NAA23" s="1902">
        <f t="shared" si="408"/>
        <v>0</v>
      </c>
      <c r="NAB23" s="1902">
        <f t="shared" si="408"/>
        <v>0</v>
      </c>
      <c r="NAC23" s="1902">
        <f t="shared" si="408"/>
        <v>0</v>
      </c>
      <c r="NAD23" s="1902">
        <f t="shared" si="408"/>
        <v>0</v>
      </c>
      <c r="NAE23" s="1902">
        <f t="shared" si="408"/>
        <v>0</v>
      </c>
      <c r="NAF23" s="1902">
        <f t="shared" si="408"/>
        <v>0</v>
      </c>
      <c r="NAG23" s="1902">
        <f t="shared" si="408"/>
        <v>0</v>
      </c>
      <c r="NAH23" s="1902">
        <f t="shared" si="408"/>
        <v>0</v>
      </c>
      <c r="NAI23" s="1902">
        <f t="shared" si="408"/>
        <v>0</v>
      </c>
      <c r="NAJ23" s="1902">
        <f t="shared" si="408"/>
        <v>0</v>
      </c>
      <c r="NAK23" s="1902">
        <f t="shared" si="408"/>
        <v>0</v>
      </c>
      <c r="NAL23" s="1902">
        <f t="shared" si="408"/>
        <v>0</v>
      </c>
      <c r="NAM23" s="1902">
        <f t="shared" si="408"/>
        <v>0</v>
      </c>
      <c r="NAN23" s="1902">
        <f t="shared" si="408"/>
        <v>0</v>
      </c>
      <c r="NAO23" s="1902">
        <f t="shared" si="408"/>
        <v>0</v>
      </c>
      <c r="NAP23" s="1902">
        <f t="shared" si="408"/>
        <v>0</v>
      </c>
      <c r="NAQ23" s="1902">
        <f t="shared" si="408"/>
        <v>0</v>
      </c>
      <c r="NAR23" s="1902">
        <f t="shared" si="408"/>
        <v>0</v>
      </c>
      <c r="NAS23" s="1902">
        <f t="shared" si="408"/>
        <v>0</v>
      </c>
      <c r="NAT23" s="1902">
        <f t="shared" si="408"/>
        <v>0</v>
      </c>
      <c r="NAU23" s="1902">
        <f t="shared" si="408"/>
        <v>0</v>
      </c>
      <c r="NAV23" s="1902">
        <f t="shared" si="408"/>
        <v>0</v>
      </c>
      <c r="NAW23" s="1902">
        <f t="shared" si="408"/>
        <v>0</v>
      </c>
      <c r="NAX23" s="1902">
        <f t="shared" si="408"/>
        <v>0</v>
      </c>
      <c r="NAY23" s="1902">
        <f t="shared" si="408"/>
        <v>0</v>
      </c>
      <c r="NAZ23" s="1902">
        <f t="shared" si="408"/>
        <v>0</v>
      </c>
      <c r="NBA23" s="1902">
        <f t="shared" si="408"/>
        <v>0</v>
      </c>
      <c r="NBB23" s="1902">
        <f t="shared" si="408"/>
        <v>0</v>
      </c>
      <c r="NBC23" s="1902">
        <f t="shared" si="408"/>
        <v>0</v>
      </c>
      <c r="NBD23" s="1902">
        <f t="shared" si="408"/>
        <v>0</v>
      </c>
      <c r="NBE23" s="1902">
        <f t="shared" si="408"/>
        <v>0</v>
      </c>
      <c r="NBF23" s="1902">
        <f t="shared" si="408"/>
        <v>0</v>
      </c>
      <c r="NBG23" s="1902">
        <f t="shared" si="408"/>
        <v>0</v>
      </c>
      <c r="NBH23" s="1902">
        <f t="shared" si="408"/>
        <v>0</v>
      </c>
      <c r="NBI23" s="1902">
        <f t="shared" si="408"/>
        <v>0</v>
      </c>
      <c r="NBJ23" s="1902">
        <f t="shared" si="408"/>
        <v>0</v>
      </c>
      <c r="NBK23" s="1902">
        <f t="shared" si="408"/>
        <v>0</v>
      </c>
      <c r="NBL23" s="1902">
        <f t="shared" si="408"/>
        <v>0</v>
      </c>
      <c r="NBM23" s="1902">
        <f t="shared" si="408"/>
        <v>0</v>
      </c>
      <c r="NBN23" s="1902">
        <f t="shared" si="408"/>
        <v>0</v>
      </c>
      <c r="NBO23" s="1902">
        <f t="shared" si="408"/>
        <v>0</v>
      </c>
      <c r="NBP23" s="1902">
        <f t="shared" si="408"/>
        <v>0</v>
      </c>
      <c r="NBQ23" s="1902">
        <f t="shared" si="408"/>
        <v>0</v>
      </c>
      <c r="NBR23" s="1902">
        <f t="shared" si="408"/>
        <v>0</v>
      </c>
      <c r="NBS23" s="1902">
        <f t="shared" si="408"/>
        <v>0</v>
      </c>
      <c r="NBT23" s="1902">
        <f t="shared" si="408"/>
        <v>0</v>
      </c>
      <c r="NBU23" s="1902">
        <f t="shared" si="408"/>
        <v>0</v>
      </c>
      <c r="NBV23" s="1902">
        <f t="shared" si="408"/>
        <v>0</v>
      </c>
      <c r="NBW23" s="1902">
        <f t="shared" si="408"/>
        <v>0</v>
      </c>
      <c r="NBX23" s="1902">
        <f t="shared" si="408"/>
        <v>0</v>
      </c>
      <c r="NBY23" s="1902">
        <f t="shared" si="408"/>
        <v>0</v>
      </c>
      <c r="NBZ23" s="1902">
        <f t="shared" si="408"/>
        <v>0</v>
      </c>
      <c r="NCA23" s="1902">
        <f t="shared" si="408"/>
        <v>0</v>
      </c>
      <c r="NCB23" s="1902">
        <f t="shared" si="408"/>
        <v>0</v>
      </c>
      <c r="NCC23" s="1902">
        <f t="shared" si="408"/>
        <v>0</v>
      </c>
      <c r="NCD23" s="1902">
        <f t="shared" si="408"/>
        <v>0</v>
      </c>
      <c r="NCE23" s="1902">
        <f t="shared" ref="NCE23:NEP23" si="409">IF(AND(NCE$26="End of period",NCE$25="Revenue"),NCE10,0)</f>
        <v>0</v>
      </c>
      <c r="NCF23" s="1902">
        <f t="shared" si="409"/>
        <v>0</v>
      </c>
      <c r="NCG23" s="1902">
        <f t="shared" si="409"/>
        <v>0</v>
      </c>
      <c r="NCH23" s="1902">
        <f t="shared" si="409"/>
        <v>0</v>
      </c>
      <c r="NCI23" s="1902">
        <f t="shared" si="409"/>
        <v>0</v>
      </c>
      <c r="NCJ23" s="1902">
        <f t="shared" si="409"/>
        <v>0</v>
      </c>
      <c r="NCK23" s="1902">
        <f t="shared" si="409"/>
        <v>0</v>
      </c>
      <c r="NCL23" s="1902">
        <f t="shared" si="409"/>
        <v>0</v>
      </c>
      <c r="NCM23" s="1902">
        <f t="shared" si="409"/>
        <v>0</v>
      </c>
      <c r="NCN23" s="1902">
        <f t="shared" si="409"/>
        <v>0</v>
      </c>
      <c r="NCO23" s="1902">
        <f t="shared" si="409"/>
        <v>0</v>
      </c>
      <c r="NCP23" s="1902">
        <f t="shared" si="409"/>
        <v>0</v>
      </c>
      <c r="NCQ23" s="1902">
        <f t="shared" si="409"/>
        <v>0</v>
      </c>
      <c r="NCR23" s="1902">
        <f t="shared" si="409"/>
        <v>0</v>
      </c>
      <c r="NCS23" s="1902">
        <f t="shared" si="409"/>
        <v>0</v>
      </c>
      <c r="NCT23" s="1902">
        <f t="shared" si="409"/>
        <v>0</v>
      </c>
      <c r="NCU23" s="1902">
        <f t="shared" si="409"/>
        <v>0</v>
      </c>
      <c r="NCV23" s="1902">
        <f t="shared" si="409"/>
        <v>0</v>
      </c>
      <c r="NCW23" s="1902">
        <f t="shared" si="409"/>
        <v>0</v>
      </c>
      <c r="NCX23" s="1902">
        <f t="shared" si="409"/>
        <v>0</v>
      </c>
      <c r="NCY23" s="1902">
        <f t="shared" si="409"/>
        <v>0</v>
      </c>
      <c r="NCZ23" s="1902">
        <f t="shared" si="409"/>
        <v>0</v>
      </c>
      <c r="NDA23" s="1902">
        <f t="shared" si="409"/>
        <v>0</v>
      </c>
      <c r="NDB23" s="1902">
        <f t="shared" si="409"/>
        <v>0</v>
      </c>
      <c r="NDC23" s="1902">
        <f t="shared" si="409"/>
        <v>0</v>
      </c>
      <c r="NDD23" s="1902">
        <f t="shared" si="409"/>
        <v>0</v>
      </c>
      <c r="NDE23" s="1902">
        <f t="shared" si="409"/>
        <v>0</v>
      </c>
      <c r="NDF23" s="1902">
        <f t="shared" si="409"/>
        <v>0</v>
      </c>
      <c r="NDG23" s="1902">
        <f t="shared" si="409"/>
        <v>0</v>
      </c>
      <c r="NDH23" s="1902">
        <f t="shared" si="409"/>
        <v>0</v>
      </c>
      <c r="NDI23" s="1902">
        <f t="shared" si="409"/>
        <v>0</v>
      </c>
      <c r="NDJ23" s="1902">
        <f t="shared" si="409"/>
        <v>0</v>
      </c>
      <c r="NDK23" s="1902">
        <f t="shared" si="409"/>
        <v>0</v>
      </c>
      <c r="NDL23" s="1902">
        <f t="shared" si="409"/>
        <v>0</v>
      </c>
      <c r="NDM23" s="1902">
        <f t="shared" si="409"/>
        <v>0</v>
      </c>
      <c r="NDN23" s="1902">
        <f t="shared" si="409"/>
        <v>0</v>
      </c>
      <c r="NDO23" s="1902">
        <f t="shared" si="409"/>
        <v>0</v>
      </c>
      <c r="NDP23" s="1902">
        <f t="shared" si="409"/>
        <v>0</v>
      </c>
      <c r="NDQ23" s="1902">
        <f t="shared" si="409"/>
        <v>0</v>
      </c>
      <c r="NDR23" s="1902">
        <f t="shared" si="409"/>
        <v>0</v>
      </c>
      <c r="NDS23" s="1902">
        <f t="shared" si="409"/>
        <v>0</v>
      </c>
      <c r="NDT23" s="1902">
        <f t="shared" si="409"/>
        <v>0</v>
      </c>
      <c r="NDU23" s="1902">
        <f t="shared" si="409"/>
        <v>0</v>
      </c>
      <c r="NDV23" s="1902">
        <f t="shared" si="409"/>
        <v>0</v>
      </c>
      <c r="NDW23" s="1902">
        <f t="shared" si="409"/>
        <v>0</v>
      </c>
      <c r="NDX23" s="1902">
        <f t="shared" si="409"/>
        <v>0</v>
      </c>
      <c r="NDY23" s="1902">
        <f t="shared" si="409"/>
        <v>0</v>
      </c>
      <c r="NDZ23" s="1902">
        <f t="shared" si="409"/>
        <v>0</v>
      </c>
      <c r="NEA23" s="1902">
        <f t="shared" si="409"/>
        <v>0</v>
      </c>
      <c r="NEB23" s="1902">
        <f t="shared" si="409"/>
        <v>0</v>
      </c>
      <c r="NEC23" s="1902">
        <f t="shared" si="409"/>
        <v>0</v>
      </c>
      <c r="NED23" s="1902">
        <f t="shared" si="409"/>
        <v>0</v>
      </c>
      <c r="NEE23" s="1902">
        <f t="shared" si="409"/>
        <v>0</v>
      </c>
      <c r="NEF23" s="1902">
        <f t="shared" si="409"/>
        <v>0</v>
      </c>
      <c r="NEG23" s="1902">
        <f t="shared" si="409"/>
        <v>0</v>
      </c>
      <c r="NEH23" s="1902">
        <f t="shared" si="409"/>
        <v>0</v>
      </c>
      <c r="NEI23" s="1902">
        <f t="shared" si="409"/>
        <v>0</v>
      </c>
      <c r="NEJ23" s="1902">
        <f t="shared" si="409"/>
        <v>0</v>
      </c>
      <c r="NEK23" s="1902">
        <f t="shared" si="409"/>
        <v>0</v>
      </c>
      <c r="NEL23" s="1902">
        <f t="shared" si="409"/>
        <v>0</v>
      </c>
      <c r="NEM23" s="1902">
        <f t="shared" si="409"/>
        <v>0</v>
      </c>
      <c r="NEN23" s="1902">
        <f t="shared" si="409"/>
        <v>0</v>
      </c>
      <c r="NEO23" s="1902">
        <f t="shared" si="409"/>
        <v>0</v>
      </c>
      <c r="NEP23" s="1902">
        <f t="shared" si="409"/>
        <v>0</v>
      </c>
      <c r="NEQ23" s="1902">
        <f t="shared" ref="NEQ23:NHB23" si="410">IF(AND(NEQ$26="End of period",NEQ$25="Revenue"),NEQ10,0)</f>
        <v>0</v>
      </c>
      <c r="NER23" s="1902">
        <f t="shared" si="410"/>
        <v>0</v>
      </c>
      <c r="NES23" s="1902">
        <f t="shared" si="410"/>
        <v>0</v>
      </c>
      <c r="NET23" s="1902">
        <f t="shared" si="410"/>
        <v>0</v>
      </c>
      <c r="NEU23" s="1902">
        <f t="shared" si="410"/>
        <v>0</v>
      </c>
      <c r="NEV23" s="1902">
        <f t="shared" si="410"/>
        <v>0</v>
      </c>
      <c r="NEW23" s="1902">
        <f t="shared" si="410"/>
        <v>0</v>
      </c>
      <c r="NEX23" s="1902">
        <f t="shared" si="410"/>
        <v>0</v>
      </c>
      <c r="NEY23" s="1902">
        <f t="shared" si="410"/>
        <v>0</v>
      </c>
      <c r="NEZ23" s="1902">
        <f t="shared" si="410"/>
        <v>0</v>
      </c>
      <c r="NFA23" s="1902">
        <f t="shared" si="410"/>
        <v>0</v>
      </c>
      <c r="NFB23" s="1902">
        <f t="shared" si="410"/>
        <v>0</v>
      </c>
      <c r="NFC23" s="1902">
        <f t="shared" si="410"/>
        <v>0</v>
      </c>
      <c r="NFD23" s="1902">
        <f t="shared" si="410"/>
        <v>0</v>
      </c>
      <c r="NFE23" s="1902">
        <f t="shared" si="410"/>
        <v>0</v>
      </c>
      <c r="NFF23" s="1902">
        <f t="shared" si="410"/>
        <v>0</v>
      </c>
      <c r="NFG23" s="1902">
        <f t="shared" si="410"/>
        <v>0</v>
      </c>
      <c r="NFH23" s="1902">
        <f t="shared" si="410"/>
        <v>0</v>
      </c>
      <c r="NFI23" s="1902">
        <f t="shared" si="410"/>
        <v>0</v>
      </c>
      <c r="NFJ23" s="1902">
        <f t="shared" si="410"/>
        <v>0</v>
      </c>
      <c r="NFK23" s="1902">
        <f t="shared" si="410"/>
        <v>0</v>
      </c>
      <c r="NFL23" s="1902">
        <f t="shared" si="410"/>
        <v>0</v>
      </c>
      <c r="NFM23" s="1902">
        <f t="shared" si="410"/>
        <v>0</v>
      </c>
      <c r="NFN23" s="1902">
        <f t="shared" si="410"/>
        <v>0</v>
      </c>
      <c r="NFO23" s="1902">
        <f t="shared" si="410"/>
        <v>0</v>
      </c>
      <c r="NFP23" s="1902">
        <f t="shared" si="410"/>
        <v>0</v>
      </c>
      <c r="NFQ23" s="1902">
        <f t="shared" si="410"/>
        <v>0</v>
      </c>
      <c r="NFR23" s="1902">
        <f t="shared" si="410"/>
        <v>0</v>
      </c>
      <c r="NFS23" s="1902">
        <f t="shared" si="410"/>
        <v>0</v>
      </c>
      <c r="NFT23" s="1902">
        <f t="shared" si="410"/>
        <v>0</v>
      </c>
      <c r="NFU23" s="1902">
        <f t="shared" si="410"/>
        <v>0</v>
      </c>
      <c r="NFV23" s="1902">
        <f t="shared" si="410"/>
        <v>0</v>
      </c>
      <c r="NFW23" s="1902">
        <f t="shared" si="410"/>
        <v>0</v>
      </c>
      <c r="NFX23" s="1902">
        <f t="shared" si="410"/>
        <v>0</v>
      </c>
      <c r="NFY23" s="1902">
        <f t="shared" si="410"/>
        <v>0</v>
      </c>
      <c r="NFZ23" s="1902">
        <f t="shared" si="410"/>
        <v>0</v>
      </c>
      <c r="NGA23" s="1902">
        <f t="shared" si="410"/>
        <v>0</v>
      </c>
      <c r="NGB23" s="1902">
        <f t="shared" si="410"/>
        <v>0</v>
      </c>
      <c r="NGC23" s="1902">
        <f t="shared" si="410"/>
        <v>0</v>
      </c>
      <c r="NGD23" s="1902">
        <f t="shared" si="410"/>
        <v>0</v>
      </c>
      <c r="NGE23" s="1902">
        <f t="shared" si="410"/>
        <v>0</v>
      </c>
      <c r="NGF23" s="1902">
        <f t="shared" si="410"/>
        <v>0</v>
      </c>
      <c r="NGG23" s="1902">
        <f t="shared" si="410"/>
        <v>0</v>
      </c>
      <c r="NGH23" s="1902">
        <f t="shared" si="410"/>
        <v>0</v>
      </c>
      <c r="NGI23" s="1902">
        <f t="shared" si="410"/>
        <v>0</v>
      </c>
      <c r="NGJ23" s="1902">
        <f t="shared" si="410"/>
        <v>0</v>
      </c>
      <c r="NGK23" s="1902">
        <f t="shared" si="410"/>
        <v>0</v>
      </c>
      <c r="NGL23" s="1902">
        <f t="shared" si="410"/>
        <v>0</v>
      </c>
      <c r="NGM23" s="1902">
        <f t="shared" si="410"/>
        <v>0</v>
      </c>
      <c r="NGN23" s="1902">
        <f t="shared" si="410"/>
        <v>0</v>
      </c>
      <c r="NGO23" s="1902">
        <f t="shared" si="410"/>
        <v>0</v>
      </c>
      <c r="NGP23" s="1902">
        <f t="shared" si="410"/>
        <v>0</v>
      </c>
      <c r="NGQ23" s="1902">
        <f t="shared" si="410"/>
        <v>0</v>
      </c>
      <c r="NGR23" s="1902">
        <f t="shared" si="410"/>
        <v>0</v>
      </c>
      <c r="NGS23" s="1902">
        <f t="shared" si="410"/>
        <v>0</v>
      </c>
      <c r="NGT23" s="1902">
        <f t="shared" si="410"/>
        <v>0</v>
      </c>
      <c r="NGU23" s="1902">
        <f t="shared" si="410"/>
        <v>0</v>
      </c>
      <c r="NGV23" s="1902">
        <f t="shared" si="410"/>
        <v>0</v>
      </c>
      <c r="NGW23" s="1902">
        <f t="shared" si="410"/>
        <v>0</v>
      </c>
      <c r="NGX23" s="1902">
        <f t="shared" si="410"/>
        <v>0</v>
      </c>
      <c r="NGY23" s="1902">
        <f t="shared" si="410"/>
        <v>0</v>
      </c>
      <c r="NGZ23" s="1902">
        <f t="shared" si="410"/>
        <v>0</v>
      </c>
      <c r="NHA23" s="1902">
        <f t="shared" si="410"/>
        <v>0</v>
      </c>
      <c r="NHB23" s="1902">
        <f t="shared" si="410"/>
        <v>0</v>
      </c>
      <c r="NHC23" s="1902">
        <f t="shared" ref="NHC23:NJN23" si="411">IF(AND(NHC$26="End of period",NHC$25="Revenue"),NHC10,0)</f>
        <v>0</v>
      </c>
      <c r="NHD23" s="1902">
        <f t="shared" si="411"/>
        <v>0</v>
      </c>
      <c r="NHE23" s="1902">
        <f t="shared" si="411"/>
        <v>0</v>
      </c>
      <c r="NHF23" s="1902">
        <f t="shared" si="411"/>
        <v>0</v>
      </c>
      <c r="NHG23" s="1902">
        <f t="shared" si="411"/>
        <v>0</v>
      </c>
      <c r="NHH23" s="1902">
        <f t="shared" si="411"/>
        <v>0</v>
      </c>
      <c r="NHI23" s="1902">
        <f t="shared" si="411"/>
        <v>0</v>
      </c>
      <c r="NHJ23" s="1902">
        <f t="shared" si="411"/>
        <v>0</v>
      </c>
      <c r="NHK23" s="1902">
        <f t="shared" si="411"/>
        <v>0</v>
      </c>
      <c r="NHL23" s="1902">
        <f t="shared" si="411"/>
        <v>0</v>
      </c>
      <c r="NHM23" s="1902">
        <f t="shared" si="411"/>
        <v>0</v>
      </c>
      <c r="NHN23" s="1902">
        <f t="shared" si="411"/>
        <v>0</v>
      </c>
      <c r="NHO23" s="1902">
        <f t="shared" si="411"/>
        <v>0</v>
      </c>
      <c r="NHP23" s="1902">
        <f t="shared" si="411"/>
        <v>0</v>
      </c>
      <c r="NHQ23" s="1902">
        <f t="shared" si="411"/>
        <v>0</v>
      </c>
      <c r="NHR23" s="1902">
        <f t="shared" si="411"/>
        <v>0</v>
      </c>
      <c r="NHS23" s="1902">
        <f t="shared" si="411"/>
        <v>0</v>
      </c>
      <c r="NHT23" s="1902">
        <f t="shared" si="411"/>
        <v>0</v>
      </c>
      <c r="NHU23" s="1902">
        <f t="shared" si="411"/>
        <v>0</v>
      </c>
      <c r="NHV23" s="1902">
        <f t="shared" si="411"/>
        <v>0</v>
      </c>
      <c r="NHW23" s="1902">
        <f t="shared" si="411"/>
        <v>0</v>
      </c>
      <c r="NHX23" s="1902">
        <f t="shared" si="411"/>
        <v>0</v>
      </c>
      <c r="NHY23" s="1902">
        <f t="shared" si="411"/>
        <v>0</v>
      </c>
      <c r="NHZ23" s="1902">
        <f t="shared" si="411"/>
        <v>0</v>
      </c>
      <c r="NIA23" s="1902">
        <f t="shared" si="411"/>
        <v>0</v>
      </c>
      <c r="NIB23" s="1902">
        <f t="shared" si="411"/>
        <v>0</v>
      </c>
      <c r="NIC23" s="1902">
        <f t="shared" si="411"/>
        <v>0</v>
      </c>
      <c r="NID23" s="1902">
        <f t="shared" si="411"/>
        <v>0</v>
      </c>
      <c r="NIE23" s="1902">
        <f t="shared" si="411"/>
        <v>0</v>
      </c>
      <c r="NIF23" s="1902">
        <f t="shared" si="411"/>
        <v>0</v>
      </c>
      <c r="NIG23" s="1902">
        <f t="shared" si="411"/>
        <v>0</v>
      </c>
      <c r="NIH23" s="1902">
        <f t="shared" si="411"/>
        <v>0</v>
      </c>
      <c r="NII23" s="1902">
        <f t="shared" si="411"/>
        <v>0</v>
      </c>
      <c r="NIJ23" s="1902">
        <f t="shared" si="411"/>
        <v>0</v>
      </c>
      <c r="NIK23" s="1902">
        <f t="shared" si="411"/>
        <v>0</v>
      </c>
      <c r="NIL23" s="1902">
        <f t="shared" si="411"/>
        <v>0</v>
      </c>
      <c r="NIM23" s="1902">
        <f t="shared" si="411"/>
        <v>0</v>
      </c>
      <c r="NIN23" s="1902">
        <f t="shared" si="411"/>
        <v>0</v>
      </c>
      <c r="NIO23" s="1902">
        <f t="shared" si="411"/>
        <v>0</v>
      </c>
      <c r="NIP23" s="1902">
        <f t="shared" si="411"/>
        <v>0</v>
      </c>
      <c r="NIQ23" s="1902">
        <f t="shared" si="411"/>
        <v>0</v>
      </c>
      <c r="NIR23" s="1902">
        <f t="shared" si="411"/>
        <v>0</v>
      </c>
      <c r="NIS23" s="1902">
        <f t="shared" si="411"/>
        <v>0</v>
      </c>
      <c r="NIT23" s="1902">
        <f t="shared" si="411"/>
        <v>0</v>
      </c>
      <c r="NIU23" s="1902">
        <f t="shared" si="411"/>
        <v>0</v>
      </c>
      <c r="NIV23" s="1902">
        <f t="shared" si="411"/>
        <v>0</v>
      </c>
      <c r="NIW23" s="1902">
        <f t="shared" si="411"/>
        <v>0</v>
      </c>
      <c r="NIX23" s="1902">
        <f t="shared" si="411"/>
        <v>0</v>
      </c>
      <c r="NIY23" s="1902">
        <f t="shared" si="411"/>
        <v>0</v>
      </c>
      <c r="NIZ23" s="1902">
        <f t="shared" si="411"/>
        <v>0</v>
      </c>
      <c r="NJA23" s="1902">
        <f t="shared" si="411"/>
        <v>0</v>
      </c>
      <c r="NJB23" s="1902">
        <f t="shared" si="411"/>
        <v>0</v>
      </c>
      <c r="NJC23" s="1902">
        <f t="shared" si="411"/>
        <v>0</v>
      </c>
      <c r="NJD23" s="1902">
        <f t="shared" si="411"/>
        <v>0</v>
      </c>
      <c r="NJE23" s="1902">
        <f t="shared" si="411"/>
        <v>0</v>
      </c>
      <c r="NJF23" s="1902">
        <f t="shared" si="411"/>
        <v>0</v>
      </c>
      <c r="NJG23" s="1902">
        <f t="shared" si="411"/>
        <v>0</v>
      </c>
      <c r="NJH23" s="1902">
        <f t="shared" si="411"/>
        <v>0</v>
      </c>
      <c r="NJI23" s="1902">
        <f t="shared" si="411"/>
        <v>0</v>
      </c>
      <c r="NJJ23" s="1902">
        <f t="shared" si="411"/>
        <v>0</v>
      </c>
      <c r="NJK23" s="1902">
        <f t="shared" si="411"/>
        <v>0</v>
      </c>
      <c r="NJL23" s="1902">
        <f t="shared" si="411"/>
        <v>0</v>
      </c>
      <c r="NJM23" s="1902">
        <f t="shared" si="411"/>
        <v>0</v>
      </c>
      <c r="NJN23" s="1902">
        <f t="shared" si="411"/>
        <v>0</v>
      </c>
      <c r="NJO23" s="1902">
        <f t="shared" ref="NJO23:NLZ23" si="412">IF(AND(NJO$26="End of period",NJO$25="Revenue"),NJO10,0)</f>
        <v>0</v>
      </c>
      <c r="NJP23" s="1902">
        <f t="shared" si="412"/>
        <v>0</v>
      </c>
      <c r="NJQ23" s="1902">
        <f t="shared" si="412"/>
        <v>0</v>
      </c>
      <c r="NJR23" s="1902">
        <f t="shared" si="412"/>
        <v>0</v>
      </c>
      <c r="NJS23" s="1902">
        <f t="shared" si="412"/>
        <v>0</v>
      </c>
      <c r="NJT23" s="1902">
        <f t="shared" si="412"/>
        <v>0</v>
      </c>
      <c r="NJU23" s="1902">
        <f t="shared" si="412"/>
        <v>0</v>
      </c>
      <c r="NJV23" s="1902">
        <f t="shared" si="412"/>
        <v>0</v>
      </c>
      <c r="NJW23" s="1902">
        <f t="shared" si="412"/>
        <v>0</v>
      </c>
      <c r="NJX23" s="1902">
        <f t="shared" si="412"/>
        <v>0</v>
      </c>
      <c r="NJY23" s="1902">
        <f t="shared" si="412"/>
        <v>0</v>
      </c>
      <c r="NJZ23" s="1902">
        <f t="shared" si="412"/>
        <v>0</v>
      </c>
      <c r="NKA23" s="1902">
        <f t="shared" si="412"/>
        <v>0</v>
      </c>
      <c r="NKB23" s="1902">
        <f t="shared" si="412"/>
        <v>0</v>
      </c>
      <c r="NKC23" s="1902">
        <f t="shared" si="412"/>
        <v>0</v>
      </c>
      <c r="NKD23" s="1902">
        <f t="shared" si="412"/>
        <v>0</v>
      </c>
      <c r="NKE23" s="1902">
        <f t="shared" si="412"/>
        <v>0</v>
      </c>
      <c r="NKF23" s="1902">
        <f t="shared" si="412"/>
        <v>0</v>
      </c>
      <c r="NKG23" s="1902">
        <f t="shared" si="412"/>
        <v>0</v>
      </c>
      <c r="NKH23" s="1902">
        <f t="shared" si="412"/>
        <v>0</v>
      </c>
      <c r="NKI23" s="1902">
        <f t="shared" si="412"/>
        <v>0</v>
      </c>
      <c r="NKJ23" s="1902">
        <f t="shared" si="412"/>
        <v>0</v>
      </c>
      <c r="NKK23" s="1902">
        <f t="shared" si="412"/>
        <v>0</v>
      </c>
      <c r="NKL23" s="1902">
        <f t="shared" si="412"/>
        <v>0</v>
      </c>
      <c r="NKM23" s="1902">
        <f t="shared" si="412"/>
        <v>0</v>
      </c>
      <c r="NKN23" s="1902">
        <f t="shared" si="412"/>
        <v>0</v>
      </c>
      <c r="NKO23" s="1902">
        <f t="shared" si="412"/>
        <v>0</v>
      </c>
      <c r="NKP23" s="1902">
        <f t="shared" si="412"/>
        <v>0</v>
      </c>
      <c r="NKQ23" s="1902">
        <f t="shared" si="412"/>
        <v>0</v>
      </c>
      <c r="NKR23" s="1902">
        <f t="shared" si="412"/>
        <v>0</v>
      </c>
      <c r="NKS23" s="1902">
        <f t="shared" si="412"/>
        <v>0</v>
      </c>
      <c r="NKT23" s="1902">
        <f t="shared" si="412"/>
        <v>0</v>
      </c>
      <c r="NKU23" s="1902">
        <f t="shared" si="412"/>
        <v>0</v>
      </c>
      <c r="NKV23" s="1902">
        <f t="shared" si="412"/>
        <v>0</v>
      </c>
      <c r="NKW23" s="1902">
        <f t="shared" si="412"/>
        <v>0</v>
      </c>
      <c r="NKX23" s="1902">
        <f t="shared" si="412"/>
        <v>0</v>
      </c>
      <c r="NKY23" s="1902">
        <f t="shared" si="412"/>
        <v>0</v>
      </c>
      <c r="NKZ23" s="1902">
        <f t="shared" si="412"/>
        <v>0</v>
      </c>
      <c r="NLA23" s="1902">
        <f t="shared" si="412"/>
        <v>0</v>
      </c>
      <c r="NLB23" s="1902">
        <f t="shared" si="412"/>
        <v>0</v>
      </c>
      <c r="NLC23" s="1902">
        <f t="shared" si="412"/>
        <v>0</v>
      </c>
      <c r="NLD23" s="1902">
        <f t="shared" si="412"/>
        <v>0</v>
      </c>
      <c r="NLE23" s="1902">
        <f t="shared" si="412"/>
        <v>0</v>
      </c>
      <c r="NLF23" s="1902">
        <f t="shared" si="412"/>
        <v>0</v>
      </c>
      <c r="NLG23" s="1902">
        <f t="shared" si="412"/>
        <v>0</v>
      </c>
      <c r="NLH23" s="1902">
        <f t="shared" si="412"/>
        <v>0</v>
      </c>
      <c r="NLI23" s="1902">
        <f t="shared" si="412"/>
        <v>0</v>
      </c>
      <c r="NLJ23" s="1902">
        <f t="shared" si="412"/>
        <v>0</v>
      </c>
      <c r="NLK23" s="1902">
        <f t="shared" si="412"/>
        <v>0</v>
      </c>
      <c r="NLL23" s="1902">
        <f t="shared" si="412"/>
        <v>0</v>
      </c>
      <c r="NLM23" s="1902">
        <f t="shared" si="412"/>
        <v>0</v>
      </c>
      <c r="NLN23" s="1902">
        <f t="shared" si="412"/>
        <v>0</v>
      </c>
      <c r="NLO23" s="1902">
        <f t="shared" si="412"/>
        <v>0</v>
      </c>
      <c r="NLP23" s="1902">
        <f t="shared" si="412"/>
        <v>0</v>
      </c>
      <c r="NLQ23" s="1902">
        <f t="shared" si="412"/>
        <v>0</v>
      </c>
      <c r="NLR23" s="1902">
        <f t="shared" si="412"/>
        <v>0</v>
      </c>
      <c r="NLS23" s="1902">
        <f t="shared" si="412"/>
        <v>0</v>
      </c>
      <c r="NLT23" s="1902">
        <f t="shared" si="412"/>
        <v>0</v>
      </c>
      <c r="NLU23" s="1902">
        <f t="shared" si="412"/>
        <v>0</v>
      </c>
      <c r="NLV23" s="1902">
        <f t="shared" si="412"/>
        <v>0</v>
      </c>
      <c r="NLW23" s="1902">
        <f t="shared" si="412"/>
        <v>0</v>
      </c>
      <c r="NLX23" s="1902">
        <f t="shared" si="412"/>
        <v>0</v>
      </c>
      <c r="NLY23" s="1902">
        <f t="shared" si="412"/>
        <v>0</v>
      </c>
      <c r="NLZ23" s="1902">
        <f t="shared" si="412"/>
        <v>0</v>
      </c>
      <c r="NMA23" s="1902">
        <f t="shared" ref="NMA23:NOL23" si="413">IF(AND(NMA$26="End of period",NMA$25="Revenue"),NMA10,0)</f>
        <v>0</v>
      </c>
      <c r="NMB23" s="1902">
        <f t="shared" si="413"/>
        <v>0</v>
      </c>
      <c r="NMC23" s="1902">
        <f t="shared" si="413"/>
        <v>0</v>
      </c>
      <c r="NMD23" s="1902">
        <f t="shared" si="413"/>
        <v>0</v>
      </c>
      <c r="NME23" s="1902">
        <f t="shared" si="413"/>
        <v>0</v>
      </c>
      <c r="NMF23" s="1902">
        <f t="shared" si="413"/>
        <v>0</v>
      </c>
      <c r="NMG23" s="1902">
        <f t="shared" si="413"/>
        <v>0</v>
      </c>
      <c r="NMH23" s="1902">
        <f t="shared" si="413"/>
        <v>0</v>
      </c>
      <c r="NMI23" s="1902">
        <f t="shared" si="413"/>
        <v>0</v>
      </c>
      <c r="NMJ23" s="1902">
        <f t="shared" si="413"/>
        <v>0</v>
      </c>
      <c r="NMK23" s="1902">
        <f t="shared" si="413"/>
        <v>0</v>
      </c>
      <c r="NML23" s="1902">
        <f t="shared" si="413"/>
        <v>0</v>
      </c>
      <c r="NMM23" s="1902">
        <f t="shared" si="413"/>
        <v>0</v>
      </c>
      <c r="NMN23" s="1902">
        <f t="shared" si="413"/>
        <v>0</v>
      </c>
      <c r="NMO23" s="1902">
        <f t="shared" si="413"/>
        <v>0</v>
      </c>
      <c r="NMP23" s="1902">
        <f t="shared" si="413"/>
        <v>0</v>
      </c>
      <c r="NMQ23" s="1902">
        <f t="shared" si="413"/>
        <v>0</v>
      </c>
      <c r="NMR23" s="1902">
        <f t="shared" si="413"/>
        <v>0</v>
      </c>
      <c r="NMS23" s="1902">
        <f t="shared" si="413"/>
        <v>0</v>
      </c>
      <c r="NMT23" s="1902">
        <f t="shared" si="413"/>
        <v>0</v>
      </c>
      <c r="NMU23" s="1902">
        <f t="shared" si="413"/>
        <v>0</v>
      </c>
      <c r="NMV23" s="1902">
        <f t="shared" si="413"/>
        <v>0</v>
      </c>
      <c r="NMW23" s="1902">
        <f t="shared" si="413"/>
        <v>0</v>
      </c>
      <c r="NMX23" s="1902">
        <f t="shared" si="413"/>
        <v>0</v>
      </c>
      <c r="NMY23" s="1902">
        <f t="shared" si="413"/>
        <v>0</v>
      </c>
      <c r="NMZ23" s="1902">
        <f t="shared" si="413"/>
        <v>0</v>
      </c>
      <c r="NNA23" s="1902">
        <f t="shared" si="413"/>
        <v>0</v>
      </c>
      <c r="NNB23" s="1902">
        <f t="shared" si="413"/>
        <v>0</v>
      </c>
      <c r="NNC23" s="1902">
        <f t="shared" si="413"/>
        <v>0</v>
      </c>
      <c r="NND23" s="1902">
        <f t="shared" si="413"/>
        <v>0</v>
      </c>
      <c r="NNE23" s="1902">
        <f t="shared" si="413"/>
        <v>0</v>
      </c>
      <c r="NNF23" s="1902">
        <f t="shared" si="413"/>
        <v>0</v>
      </c>
      <c r="NNG23" s="1902">
        <f t="shared" si="413"/>
        <v>0</v>
      </c>
      <c r="NNH23" s="1902">
        <f t="shared" si="413"/>
        <v>0</v>
      </c>
      <c r="NNI23" s="1902">
        <f t="shared" si="413"/>
        <v>0</v>
      </c>
      <c r="NNJ23" s="1902">
        <f t="shared" si="413"/>
        <v>0</v>
      </c>
      <c r="NNK23" s="1902">
        <f t="shared" si="413"/>
        <v>0</v>
      </c>
      <c r="NNL23" s="1902">
        <f t="shared" si="413"/>
        <v>0</v>
      </c>
      <c r="NNM23" s="1902">
        <f t="shared" si="413"/>
        <v>0</v>
      </c>
      <c r="NNN23" s="1902">
        <f t="shared" si="413"/>
        <v>0</v>
      </c>
      <c r="NNO23" s="1902">
        <f t="shared" si="413"/>
        <v>0</v>
      </c>
      <c r="NNP23" s="1902">
        <f t="shared" si="413"/>
        <v>0</v>
      </c>
      <c r="NNQ23" s="1902">
        <f t="shared" si="413"/>
        <v>0</v>
      </c>
      <c r="NNR23" s="1902">
        <f t="shared" si="413"/>
        <v>0</v>
      </c>
      <c r="NNS23" s="1902">
        <f t="shared" si="413"/>
        <v>0</v>
      </c>
      <c r="NNT23" s="1902">
        <f t="shared" si="413"/>
        <v>0</v>
      </c>
      <c r="NNU23" s="1902">
        <f t="shared" si="413"/>
        <v>0</v>
      </c>
      <c r="NNV23" s="1902">
        <f t="shared" si="413"/>
        <v>0</v>
      </c>
      <c r="NNW23" s="1902">
        <f t="shared" si="413"/>
        <v>0</v>
      </c>
      <c r="NNX23" s="1902">
        <f t="shared" si="413"/>
        <v>0</v>
      </c>
      <c r="NNY23" s="1902">
        <f t="shared" si="413"/>
        <v>0</v>
      </c>
      <c r="NNZ23" s="1902">
        <f t="shared" si="413"/>
        <v>0</v>
      </c>
      <c r="NOA23" s="1902">
        <f t="shared" si="413"/>
        <v>0</v>
      </c>
      <c r="NOB23" s="1902">
        <f t="shared" si="413"/>
        <v>0</v>
      </c>
      <c r="NOC23" s="1902">
        <f t="shared" si="413"/>
        <v>0</v>
      </c>
      <c r="NOD23" s="1902">
        <f t="shared" si="413"/>
        <v>0</v>
      </c>
      <c r="NOE23" s="1902">
        <f t="shared" si="413"/>
        <v>0</v>
      </c>
      <c r="NOF23" s="1902">
        <f t="shared" si="413"/>
        <v>0</v>
      </c>
      <c r="NOG23" s="1902">
        <f t="shared" si="413"/>
        <v>0</v>
      </c>
      <c r="NOH23" s="1902">
        <f t="shared" si="413"/>
        <v>0</v>
      </c>
      <c r="NOI23" s="1902">
        <f t="shared" si="413"/>
        <v>0</v>
      </c>
      <c r="NOJ23" s="1902">
        <f t="shared" si="413"/>
        <v>0</v>
      </c>
      <c r="NOK23" s="1902">
        <f t="shared" si="413"/>
        <v>0</v>
      </c>
      <c r="NOL23" s="1902">
        <f t="shared" si="413"/>
        <v>0</v>
      </c>
      <c r="NOM23" s="1902">
        <f t="shared" ref="NOM23:NQX23" si="414">IF(AND(NOM$26="End of period",NOM$25="Revenue"),NOM10,0)</f>
        <v>0</v>
      </c>
      <c r="NON23" s="1902">
        <f t="shared" si="414"/>
        <v>0</v>
      </c>
      <c r="NOO23" s="1902">
        <f t="shared" si="414"/>
        <v>0</v>
      </c>
      <c r="NOP23" s="1902">
        <f t="shared" si="414"/>
        <v>0</v>
      </c>
      <c r="NOQ23" s="1902">
        <f t="shared" si="414"/>
        <v>0</v>
      </c>
      <c r="NOR23" s="1902">
        <f t="shared" si="414"/>
        <v>0</v>
      </c>
      <c r="NOS23" s="1902">
        <f t="shared" si="414"/>
        <v>0</v>
      </c>
      <c r="NOT23" s="1902">
        <f t="shared" si="414"/>
        <v>0</v>
      </c>
      <c r="NOU23" s="1902">
        <f t="shared" si="414"/>
        <v>0</v>
      </c>
      <c r="NOV23" s="1902">
        <f t="shared" si="414"/>
        <v>0</v>
      </c>
      <c r="NOW23" s="1902">
        <f t="shared" si="414"/>
        <v>0</v>
      </c>
      <c r="NOX23" s="1902">
        <f t="shared" si="414"/>
        <v>0</v>
      </c>
      <c r="NOY23" s="1902">
        <f t="shared" si="414"/>
        <v>0</v>
      </c>
      <c r="NOZ23" s="1902">
        <f t="shared" si="414"/>
        <v>0</v>
      </c>
      <c r="NPA23" s="1902">
        <f t="shared" si="414"/>
        <v>0</v>
      </c>
      <c r="NPB23" s="1902">
        <f t="shared" si="414"/>
        <v>0</v>
      </c>
      <c r="NPC23" s="1902">
        <f t="shared" si="414"/>
        <v>0</v>
      </c>
      <c r="NPD23" s="1902">
        <f t="shared" si="414"/>
        <v>0</v>
      </c>
      <c r="NPE23" s="1902">
        <f t="shared" si="414"/>
        <v>0</v>
      </c>
      <c r="NPF23" s="1902">
        <f t="shared" si="414"/>
        <v>0</v>
      </c>
      <c r="NPG23" s="1902">
        <f t="shared" si="414"/>
        <v>0</v>
      </c>
      <c r="NPH23" s="1902">
        <f t="shared" si="414"/>
        <v>0</v>
      </c>
      <c r="NPI23" s="1902">
        <f t="shared" si="414"/>
        <v>0</v>
      </c>
      <c r="NPJ23" s="1902">
        <f t="shared" si="414"/>
        <v>0</v>
      </c>
      <c r="NPK23" s="1902">
        <f t="shared" si="414"/>
        <v>0</v>
      </c>
      <c r="NPL23" s="1902">
        <f t="shared" si="414"/>
        <v>0</v>
      </c>
      <c r="NPM23" s="1902">
        <f t="shared" si="414"/>
        <v>0</v>
      </c>
      <c r="NPN23" s="1902">
        <f t="shared" si="414"/>
        <v>0</v>
      </c>
      <c r="NPO23" s="1902">
        <f t="shared" si="414"/>
        <v>0</v>
      </c>
      <c r="NPP23" s="1902">
        <f t="shared" si="414"/>
        <v>0</v>
      </c>
      <c r="NPQ23" s="1902">
        <f t="shared" si="414"/>
        <v>0</v>
      </c>
      <c r="NPR23" s="1902">
        <f t="shared" si="414"/>
        <v>0</v>
      </c>
      <c r="NPS23" s="1902">
        <f t="shared" si="414"/>
        <v>0</v>
      </c>
      <c r="NPT23" s="1902">
        <f t="shared" si="414"/>
        <v>0</v>
      </c>
      <c r="NPU23" s="1902">
        <f t="shared" si="414"/>
        <v>0</v>
      </c>
      <c r="NPV23" s="1902">
        <f t="shared" si="414"/>
        <v>0</v>
      </c>
      <c r="NPW23" s="1902">
        <f t="shared" si="414"/>
        <v>0</v>
      </c>
      <c r="NPX23" s="1902">
        <f t="shared" si="414"/>
        <v>0</v>
      </c>
      <c r="NPY23" s="1902">
        <f t="shared" si="414"/>
        <v>0</v>
      </c>
      <c r="NPZ23" s="1902">
        <f t="shared" si="414"/>
        <v>0</v>
      </c>
      <c r="NQA23" s="1902">
        <f t="shared" si="414"/>
        <v>0</v>
      </c>
      <c r="NQB23" s="1902">
        <f t="shared" si="414"/>
        <v>0</v>
      </c>
      <c r="NQC23" s="1902">
        <f t="shared" si="414"/>
        <v>0</v>
      </c>
      <c r="NQD23" s="1902">
        <f t="shared" si="414"/>
        <v>0</v>
      </c>
      <c r="NQE23" s="1902">
        <f t="shared" si="414"/>
        <v>0</v>
      </c>
      <c r="NQF23" s="1902">
        <f t="shared" si="414"/>
        <v>0</v>
      </c>
      <c r="NQG23" s="1902">
        <f t="shared" si="414"/>
        <v>0</v>
      </c>
      <c r="NQH23" s="1902">
        <f t="shared" si="414"/>
        <v>0</v>
      </c>
      <c r="NQI23" s="1902">
        <f t="shared" si="414"/>
        <v>0</v>
      </c>
      <c r="NQJ23" s="1902">
        <f t="shared" si="414"/>
        <v>0</v>
      </c>
      <c r="NQK23" s="1902">
        <f t="shared" si="414"/>
        <v>0</v>
      </c>
      <c r="NQL23" s="1902">
        <f t="shared" si="414"/>
        <v>0</v>
      </c>
      <c r="NQM23" s="1902">
        <f t="shared" si="414"/>
        <v>0</v>
      </c>
      <c r="NQN23" s="1902">
        <f t="shared" si="414"/>
        <v>0</v>
      </c>
      <c r="NQO23" s="1902">
        <f t="shared" si="414"/>
        <v>0</v>
      </c>
      <c r="NQP23" s="1902">
        <f t="shared" si="414"/>
        <v>0</v>
      </c>
      <c r="NQQ23" s="1902">
        <f t="shared" si="414"/>
        <v>0</v>
      </c>
      <c r="NQR23" s="1902">
        <f t="shared" si="414"/>
        <v>0</v>
      </c>
      <c r="NQS23" s="1902">
        <f t="shared" si="414"/>
        <v>0</v>
      </c>
      <c r="NQT23" s="1902">
        <f t="shared" si="414"/>
        <v>0</v>
      </c>
      <c r="NQU23" s="1902">
        <f t="shared" si="414"/>
        <v>0</v>
      </c>
      <c r="NQV23" s="1902">
        <f t="shared" si="414"/>
        <v>0</v>
      </c>
      <c r="NQW23" s="1902">
        <f t="shared" si="414"/>
        <v>0</v>
      </c>
      <c r="NQX23" s="1902">
        <f t="shared" si="414"/>
        <v>0</v>
      </c>
      <c r="NQY23" s="1902">
        <f t="shared" ref="NQY23:NTJ23" si="415">IF(AND(NQY$26="End of period",NQY$25="Revenue"),NQY10,0)</f>
        <v>0</v>
      </c>
      <c r="NQZ23" s="1902">
        <f t="shared" si="415"/>
        <v>0</v>
      </c>
      <c r="NRA23" s="1902">
        <f t="shared" si="415"/>
        <v>0</v>
      </c>
      <c r="NRB23" s="1902">
        <f t="shared" si="415"/>
        <v>0</v>
      </c>
      <c r="NRC23" s="1902">
        <f t="shared" si="415"/>
        <v>0</v>
      </c>
      <c r="NRD23" s="1902">
        <f t="shared" si="415"/>
        <v>0</v>
      </c>
      <c r="NRE23" s="1902">
        <f t="shared" si="415"/>
        <v>0</v>
      </c>
      <c r="NRF23" s="1902">
        <f t="shared" si="415"/>
        <v>0</v>
      </c>
      <c r="NRG23" s="1902">
        <f t="shared" si="415"/>
        <v>0</v>
      </c>
      <c r="NRH23" s="1902">
        <f t="shared" si="415"/>
        <v>0</v>
      </c>
      <c r="NRI23" s="1902">
        <f t="shared" si="415"/>
        <v>0</v>
      </c>
      <c r="NRJ23" s="1902">
        <f t="shared" si="415"/>
        <v>0</v>
      </c>
      <c r="NRK23" s="1902">
        <f t="shared" si="415"/>
        <v>0</v>
      </c>
      <c r="NRL23" s="1902">
        <f t="shared" si="415"/>
        <v>0</v>
      </c>
      <c r="NRM23" s="1902">
        <f t="shared" si="415"/>
        <v>0</v>
      </c>
      <c r="NRN23" s="1902">
        <f t="shared" si="415"/>
        <v>0</v>
      </c>
      <c r="NRO23" s="1902">
        <f t="shared" si="415"/>
        <v>0</v>
      </c>
      <c r="NRP23" s="1902">
        <f t="shared" si="415"/>
        <v>0</v>
      </c>
      <c r="NRQ23" s="1902">
        <f t="shared" si="415"/>
        <v>0</v>
      </c>
      <c r="NRR23" s="1902">
        <f t="shared" si="415"/>
        <v>0</v>
      </c>
      <c r="NRS23" s="1902">
        <f t="shared" si="415"/>
        <v>0</v>
      </c>
      <c r="NRT23" s="1902">
        <f t="shared" si="415"/>
        <v>0</v>
      </c>
      <c r="NRU23" s="1902">
        <f t="shared" si="415"/>
        <v>0</v>
      </c>
      <c r="NRV23" s="1902">
        <f t="shared" si="415"/>
        <v>0</v>
      </c>
      <c r="NRW23" s="1902">
        <f t="shared" si="415"/>
        <v>0</v>
      </c>
      <c r="NRX23" s="1902">
        <f t="shared" si="415"/>
        <v>0</v>
      </c>
      <c r="NRY23" s="1902">
        <f t="shared" si="415"/>
        <v>0</v>
      </c>
      <c r="NRZ23" s="1902">
        <f t="shared" si="415"/>
        <v>0</v>
      </c>
      <c r="NSA23" s="1902">
        <f t="shared" si="415"/>
        <v>0</v>
      </c>
      <c r="NSB23" s="1902">
        <f t="shared" si="415"/>
        <v>0</v>
      </c>
      <c r="NSC23" s="1902">
        <f t="shared" si="415"/>
        <v>0</v>
      </c>
      <c r="NSD23" s="1902">
        <f t="shared" si="415"/>
        <v>0</v>
      </c>
      <c r="NSE23" s="1902">
        <f t="shared" si="415"/>
        <v>0</v>
      </c>
      <c r="NSF23" s="1902">
        <f t="shared" si="415"/>
        <v>0</v>
      </c>
      <c r="NSG23" s="1902">
        <f t="shared" si="415"/>
        <v>0</v>
      </c>
      <c r="NSH23" s="1902">
        <f t="shared" si="415"/>
        <v>0</v>
      </c>
      <c r="NSI23" s="1902">
        <f t="shared" si="415"/>
        <v>0</v>
      </c>
      <c r="NSJ23" s="1902">
        <f t="shared" si="415"/>
        <v>0</v>
      </c>
      <c r="NSK23" s="1902">
        <f t="shared" si="415"/>
        <v>0</v>
      </c>
      <c r="NSL23" s="1902">
        <f t="shared" si="415"/>
        <v>0</v>
      </c>
      <c r="NSM23" s="1902">
        <f t="shared" si="415"/>
        <v>0</v>
      </c>
      <c r="NSN23" s="1902">
        <f t="shared" si="415"/>
        <v>0</v>
      </c>
      <c r="NSO23" s="1902">
        <f t="shared" si="415"/>
        <v>0</v>
      </c>
      <c r="NSP23" s="1902">
        <f t="shared" si="415"/>
        <v>0</v>
      </c>
      <c r="NSQ23" s="1902">
        <f t="shared" si="415"/>
        <v>0</v>
      </c>
      <c r="NSR23" s="1902">
        <f t="shared" si="415"/>
        <v>0</v>
      </c>
      <c r="NSS23" s="1902">
        <f t="shared" si="415"/>
        <v>0</v>
      </c>
      <c r="NST23" s="1902">
        <f t="shared" si="415"/>
        <v>0</v>
      </c>
      <c r="NSU23" s="1902">
        <f t="shared" si="415"/>
        <v>0</v>
      </c>
      <c r="NSV23" s="1902">
        <f t="shared" si="415"/>
        <v>0</v>
      </c>
      <c r="NSW23" s="1902">
        <f t="shared" si="415"/>
        <v>0</v>
      </c>
      <c r="NSX23" s="1902">
        <f t="shared" si="415"/>
        <v>0</v>
      </c>
      <c r="NSY23" s="1902">
        <f t="shared" si="415"/>
        <v>0</v>
      </c>
      <c r="NSZ23" s="1902">
        <f t="shared" si="415"/>
        <v>0</v>
      </c>
      <c r="NTA23" s="1902">
        <f t="shared" si="415"/>
        <v>0</v>
      </c>
      <c r="NTB23" s="1902">
        <f t="shared" si="415"/>
        <v>0</v>
      </c>
      <c r="NTC23" s="1902">
        <f t="shared" si="415"/>
        <v>0</v>
      </c>
      <c r="NTD23" s="1902">
        <f t="shared" si="415"/>
        <v>0</v>
      </c>
      <c r="NTE23" s="1902">
        <f t="shared" si="415"/>
        <v>0</v>
      </c>
      <c r="NTF23" s="1902">
        <f t="shared" si="415"/>
        <v>0</v>
      </c>
      <c r="NTG23" s="1902">
        <f t="shared" si="415"/>
        <v>0</v>
      </c>
      <c r="NTH23" s="1902">
        <f t="shared" si="415"/>
        <v>0</v>
      </c>
      <c r="NTI23" s="1902">
        <f t="shared" si="415"/>
        <v>0</v>
      </c>
      <c r="NTJ23" s="1902">
        <f t="shared" si="415"/>
        <v>0</v>
      </c>
      <c r="NTK23" s="1902">
        <f t="shared" ref="NTK23:NVV23" si="416">IF(AND(NTK$26="End of period",NTK$25="Revenue"),NTK10,0)</f>
        <v>0</v>
      </c>
      <c r="NTL23" s="1902">
        <f t="shared" si="416"/>
        <v>0</v>
      </c>
      <c r="NTM23" s="1902">
        <f t="shared" si="416"/>
        <v>0</v>
      </c>
      <c r="NTN23" s="1902">
        <f t="shared" si="416"/>
        <v>0</v>
      </c>
      <c r="NTO23" s="1902">
        <f t="shared" si="416"/>
        <v>0</v>
      </c>
      <c r="NTP23" s="1902">
        <f t="shared" si="416"/>
        <v>0</v>
      </c>
      <c r="NTQ23" s="1902">
        <f t="shared" si="416"/>
        <v>0</v>
      </c>
      <c r="NTR23" s="1902">
        <f t="shared" si="416"/>
        <v>0</v>
      </c>
      <c r="NTS23" s="1902">
        <f t="shared" si="416"/>
        <v>0</v>
      </c>
      <c r="NTT23" s="1902">
        <f t="shared" si="416"/>
        <v>0</v>
      </c>
      <c r="NTU23" s="1902">
        <f t="shared" si="416"/>
        <v>0</v>
      </c>
      <c r="NTV23" s="1902">
        <f t="shared" si="416"/>
        <v>0</v>
      </c>
      <c r="NTW23" s="1902">
        <f t="shared" si="416"/>
        <v>0</v>
      </c>
      <c r="NTX23" s="1902">
        <f t="shared" si="416"/>
        <v>0</v>
      </c>
      <c r="NTY23" s="1902">
        <f t="shared" si="416"/>
        <v>0</v>
      </c>
      <c r="NTZ23" s="1902">
        <f t="shared" si="416"/>
        <v>0</v>
      </c>
      <c r="NUA23" s="1902">
        <f t="shared" si="416"/>
        <v>0</v>
      </c>
      <c r="NUB23" s="1902">
        <f t="shared" si="416"/>
        <v>0</v>
      </c>
      <c r="NUC23" s="1902">
        <f t="shared" si="416"/>
        <v>0</v>
      </c>
      <c r="NUD23" s="1902">
        <f t="shared" si="416"/>
        <v>0</v>
      </c>
      <c r="NUE23" s="1902">
        <f t="shared" si="416"/>
        <v>0</v>
      </c>
      <c r="NUF23" s="1902">
        <f t="shared" si="416"/>
        <v>0</v>
      </c>
      <c r="NUG23" s="1902">
        <f t="shared" si="416"/>
        <v>0</v>
      </c>
      <c r="NUH23" s="1902">
        <f t="shared" si="416"/>
        <v>0</v>
      </c>
      <c r="NUI23" s="1902">
        <f t="shared" si="416"/>
        <v>0</v>
      </c>
      <c r="NUJ23" s="1902">
        <f t="shared" si="416"/>
        <v>0</v>
      </c>
      <c r="NUK23" s="1902">
        <f t="shared" si="416"/>
        <v>0</v>
      </c>
      <c r="NUL23" s="1902">
        <f t="shared" si="416"/>
        <v>0</v>
      </c>
      <c r="NUM23" s="1902">
        <f t="shared" si="416"/>
        <v>0</v>
      </c>
      <c r="NUN23" s="1902">
        <f t="shared" si="416"/>
        <v>0</v>
      </c>
      <c r="NUO23" s="1902">
        <f t="shared" si="416"/>
        <v>0</v>
      </c>
      <c r="NUP23" s="1902">
        <f t="shared" si="416"/>
        <v>0</v>
      </c>
      <c r="NUQ23" s="1902">
        <f t="shared" si="416"/>
        <v>0</v>
      </c>
      <c r="NUR23" s="1902">
        <f t="shared" si="416"/>
        <v>0</v>
      </c>
      <c r="NUS23" s="1902">
        <f t="shared" si="416"/>
        <v>0</v>
      </c>
      <c r="NUT23" s="1902">
        <f t="shared" si="416"/>
        <v>0</v>
      </c>
      <c r="NUU23" s="1902">
        <f t="shared" si="416"/>
        <v>0</v>
      </c>
      <c r="NUV23" s="1902">
        <f t="shared" si="416"/>
        <v>0</v>
      </c>
      <c r="NUW23" s="1902">
        <f t="shared" si="416"/>
        <v>0</v>
      </c>
      <c r="NUX23" s="1902">
        <f t="shared" si="416"/>
        <v>0</v>
      </c>
      <c r="NUY23" s="1902">
        <f t="shared" si="416"/>
        <v>0</v>
      </c>
      <c r="NUZ23" s="1902">
        <f t="shared" si="416"/>
        <v>0</v>
      </c>
      <c r="NVA23" s="1902">
        <f t="shared" si="416"/>
        <v>0</v>
      </c>
      <c r="NVB23" s="1902">
        <f t="shared" si="416"/>
        <v>0</v>
      </c>
      <c r="NVC23" s="1902">
        <f t="shared" si="416"/>
        <v>0</v>
      </c>
      <c r="NVD23" s="1902">
        <f t="shared" si="416"/>
        <v>0</v>
      </c>
      <c r="NVE23" s="1902">
        <f t="shared" si="416"/>
        <v>0</v>
      </c>
      <c r="NVF23" s="1902">
        <f t="shared" si="416"/>
        <v>0</v>
      </c>
      <c r="NVG23" s="1902">
        <f t="shared" si="416"/>
        <v>0</v>
      </c>
      <c r="NVH23" s="1902">
        <f t="shared" si="416"/>
        <v>0</v>
      </c>
      <c r="NVI23" s="1902">
        <f t="shared" si="416"/>
        <v>0</v>
      </c>
      <c r="NVJ23" s="1902">
        <f t="shared" si="416"/>
        <v>0</v>
      </c>
      <c r="NVK23" s="1902">
        <f t="shared" si="416"/>
        <v>0</v>
      </c>
      <c r="NVL23" s="1902">
        <f t="shared" si="416"/>
        <v>0</v>
      </c>
      <c r="NVM23" s="1902">
        <f t="shared" si="416"/>
        <v>0</v>
      </c>
      <c r="NVN23" s="1902">
        <f t="shared" si="416"/>
        <v>0</v>
      </c>
      <c r="NVO23" s="1902">
        <f t="shared" si="416"/>
        <v>0</v>
      </c>
      <c r="NVP23" s="1902">
        <f t="shared" si="416"/>
        <v>0</v>
      </c>
      <c r="NVQ23" s="1902">
        <f t="shared" si="416"/>
        <v>0</v>
      </c>
      <c r="NVR23" s="1902">
        <f t="shared" si="416"/>
        <v>0</v>
      </c>
      <c r="NVS23" s="1902">
        <f t="shared" si="416"/>
        <v>0</v>
      </c>
      <c r="NVT23" s="1902">
        <f t="shared" si="416"/>
        <v>0</v>
      </c>
      <c r="NVU23" s="1902">
        <f t="shared" si="416"/>
        <v>0</v>
      </c>
      <c r="NVV23" s="1902">
        <f t="shared" si="416"/>
        <v>0</v>
      </c>
      <c r="NVW23" s="1902">
        <f t="shared" ref="NVW23:NYH23" si="417">IF(AND(NVW$26="End of period",NVW$25="Revenue"),NVW10,0)</f>
        <v>0</v>
      </c>
      <c r="NVX23" s="1902">
        <f t="shared" si="417"/>
        <v>0</v>
      </c>
      <c r="NVY23" s="1902">
        <f t="shared" si="417"/>
        <v>0</v>
      </c>
      <c r="NVZ23" s="1902">
        <f t="shared" si="417"/>
        <v>0</v>
      </c>
      <c r="NWA23" s="1902">
        <f t="shared" si="417"/>
        <v>0</v>
      </c>
      <c r="NWB23" s="1902">
        <f t="shared" si="417"/>
        <v>0</v>
      </c>
      <c r="NWC23" s="1902">
        <f t="shared" si="417"/>
        <v>0</v>
      </c>
      <c r="NWD23" s="1902">
        <f t="shared" si="417"/>
        <v>0</v>
      </c>
      <c r="NWE23" s="1902">
        <f t="shared" si="417"/>
        <v>0</v>
      </c>
      <c r="NWF23" s="1902">
        <f t="shared" si="417"/>
        <v>0</v>
      </c>
      <c r="NWG23" s="1902">
        <f t="shared" si="417"/>
        <v>0</v>
      </c>
      <c r="NWH23" s="1902">
        <f t="shared" si="417"/>
        <v>0</v>
      </c>
      <c r="NWI23" s="1902">
        <f t="shared" si="417"/>
        <v>0</v>
      </c>
      <c r="NWJ23" s="1902">
        <f t="shared" si="417"/>
        <v>0</v>
      </c>
      <c r="NWK23" s="1902">
        <f t="shared" si="417"/>
        <v>0</v>
      </c>
      <c r="NWL23" s="1902">
        <f t="shared" si="417"/>
        <v>0</v>
      </c>
      <c r="NWM23" s="1902">
        <f t="shared" si="417"/>
        <v>0</v>
      </c>
      <c r="NWN23" s="1902">
        <f t="shared" si="417"/>
        <v>0</v>
      </c>
      <c r="NWO23" s="1902">
        <f t="shared" si="417"/>
        <v>0</v>
      </c>
      <c r="NWP23" s="1902">
        <f t="shared" si="417"/>
        <v>0</v>
      </c>
      <c r="NWQ23" s="1902">
        <f t="shared" si="417"/>
        <v>0</v>
      </c>
      <c r="NWR23" s="1902">
        <f t="shared" si="417"/>
        <v>0</v>
      </c>
      <c r="NWS23" s="1902">
        <f t="shared" si="417"/>
        <v>0</v>
      </c>
      <c r="NWT23" s="1902">
        <f t="shared" si="417"/>
        <v>0</v>
      </c>
      <c r="NWU23" s="1902">
        <f t="shared" si="417"/>
        <v>0</v>
      </c>
      <c r="NWV23" s="1902">
        <f t="shared" si="417"/>
        <v>0</v>
      </c>
      <c r="NWW23" s="1902">
        <f t="shared" si="417"/>
        <v>0</v>
      </c>
      <c r="NWX23" s="1902">
        <f t="shared" si="417"/>
        <v>0</v>
      </c>
      <c r="NWY23" s="1902">
        <f t="shared" si="417"/>
        <v>0</v>
      </c>
      <c r="NWZ23" s="1902">
        <f t="shared" si="417"/>
        <v>0</v>
      </c>
      <c r="NXA23" s="1902">
        <f t="shared" si="417"/>
        <v>0</v>
      </c>
      <c r="NXB23" s="1902">
        <f t="shared" si="417"/>
        <v>0</v>
      </c>
      <c r="NXC23" s="1902">
        <f t="shared" si="417"/>
        <v>0</v>
      </c>
      <c r="NXD23" s="1902">
        <f t="shared" si="417"/>
        <v>0</v>
      </c>
      <c r="NXE23" s="1902">
        <f t="shared" si="417"/>
        <v>0</v>
      </c>
      <c r="NXF23" s="1902">
        <f t="shared" si="417"/>
        <v>0</v>
      </c>
      <c r="NXG23" s="1902">
        <f t="shared" si="417"/>
        <v>0</v>
      </c>
      <c r="NXH23" s="1902">
        <f t="shared" si="417"/>
        <v>0</v>
      </c>
      <c r="NXI23" s="1902">
        <f t="shared" si="417"/>
        <v>0</v>
      </c>
      <c r="NXJ23" s="1902">
        <f t="shared" si="417"/>
        <v>0</v>
      </c>
      <c r="NXK23" s="1902">
        <f t="shared" si="417"/>
        <v>0</v>
      </c>
      <c r="NXL23" s="1902">
        <f t="shared" si="417"/>
        <v>0</v>
      </c>
      <c r="NXM23" s="1902">
        <f t="shared" si="417"/>
        <v>0</v>
      </c>
      <c r="NXN23" s="1902">
        <f t="shared" si="417"/>
        <v>0</v>
      </c>
      <c r="NXO23" s="1902">
        <f t="shared" si="417"/>
        <v>0</v>
      </c>
      <c r="NXP23" s="1902">
        <f t="shared" si="417"/>
        <v>0</v>
      </c>
      <c r="NXQ23" s="1902">
        <f t="shared" si="417"/>
        <v>0</v>
      </c>
      <c r="NXR23" s="1902">
        <f t="shared" si="417"/>
        <v>0</v>
      </c>
      <c r="NXS23" s="1902">
        <f t="shared" si="417"/>
        <v>0</v>
      </c>
      <c r="NXT23" s="1902">
        <f t="shared" si="417"/>
        <v>0</v>
      </c>
      <c r="NXU23" s="1902">
        <f t="shared" si="417"/>
        <v>0</v>
      </c>
      <c r="NXV23" s="1902">
        <f t="shared" si="417"/>
        <v>0</v>
      </c>
      <c r="NXW23" s="1902">
        <f t="shared" si="417"/>
        <v>0</v>
      </c>
      <c r="NXX23" s="1902">
        <f t="shared" si="417"/>
        <v>0</v>
      </c>
      <c r="NXY23" s="1902">
        <f t="shared" si="417"/>
        <v>0</v>
      </c>
      <c r="NXZ23" s="1902">
        <f t="shared" si="417"/>
        <v>0</v>
      </c>
      <c r="NYA23" s="1902">
        <f t="shared" si="417"/>
        <v>0</v>
      </c>
      <c r="NYB23" s="1902">
        <f t="shared" si="417"/>
        <v>0</v>
      </c>
      <c r="NYC23" s="1902">
        <f t="shared" si="417"/>
        <v>0</v>
      </c>
      <c r="NYD23" s="1902">
        <f t="shared" si="417"/>
        <v>0</v>
      </c>
      <c r="NYE23" s="1902">
        <f t="shared" si="417"/>
        <v>0</v>
      </c>
      <c r="NYF23" s="1902">
        <f t="shared" si="417"/>
        <v>0</v>
      </c>
      <c r="NYG23" s="1902">
        <f t="shared" si="417"/>
        <v>0</v>
      </c>
      <c r="NYH23" s="1902">
        <f t="shared" si="417"/>
        <v>0</v>
      </c>
      <c r="NYI23" s="1902">
        <f t="shared" ref="NYI23:OAT23" si="418">IF(AND(NYI$26="End of period",NYI$25="Revenue"),NYI10,0)</f>
        <v>0</v>
      </c>
      <c r="NYJ23" s="1902">
        <f t="shared" si="418"/>
        <v>0</v>
      </c>
      <c r="NYK23" s="1902">
        <f t="shared" si="418"/>
        <v>0</v>
      </c>
      <c r="NYL23" s="1902">
        <f t="shared" si="418"/>
        <v>0</v>
      </c>
      <c r="NYM23" s="1902">
        <f t="shared" si="418"/>
        <v>0</v>
      </c>
      <c r="NYN23" s="1902">
        <f t="shared" si="418"/>
        <v>0</v>
      </c>
      <c r="NYO23" s="1902">
        <f t="shared" si="418"/>
        <v>0</v>
      </c>
      <c r="NYP23" s="1902">
        <f t="shared" si="418"/>
        <v>0</v>
      </c>
      <c r="NYQ23" s="1902">
        <f t="shared" si="418"/>
        <v>0</v>
      </c>
      <c r="NYR23" s="1902">
        <f t="shared" si="418"/>
        <v>0</v>
      </c>
      <c r="NYS23" s="1902">
        <f t="shared" si="418"/>
        <v>0</v>
      </c>
      <c r="NYT23" s="1902">
        <f t="shared" si="418"/>
        <v>0</v>
      </c>
      <c r="NYU23" s="1902">
        <f t="shared" si="418"/>
        <v>0</v>
      </c>
      <c r="NYV23" s="1902">
        <f t="shared" si="418"/>
        <v>0</v>
      </c>
      <c r="NYW23" s="1902">
        <f t="shared" si="418"/>
        <v>0</v>
      </c>
      <c r="NYX23" s="1902">
        <f t="shared" si="418"/>
        <v>0</v>
      </c>
      <c r="NYY23" s="1902">
        <f t="shared" si="418"/>
        <v>0</v>
      </c>
      <c r="NYZ23" s="1902">
        <f t="shared" si="418"/>
        <v>0</v>
      </c>
      <c r="NZA23" s="1902">
        <f t="shared" si="418"/>
        <v>0</v>
      </c>
      <c r="NZB23" s="1902">
        <f t="shared" si="418"/>
        <v>0</v>
      </c>
      <c r="NZC23" s="1902">
        <f t="shared" si="418"/>
        <v>0</v>
      </c>
      <c r="NZD23" s="1902">
        <f t="shared" si="418"/>
        <v>0</v>
      </c>
      <c r="NZE23" s="1902">
        <f t="shared" si="418"/>
        <v>0</v>
      </c>
      <c r="NZF23" s="1902">
        <f t="shared" si="418"/>
        <v>0</v>
      </c>
      <c r="NZG23" s="1902">
        <f t="shared" si="418"/>
        <v>0</v>
      </c>
      <c r="NZH23" s="1902">
        <f t="shared" si="418"/>
        <v>0</v>
      </c>
      <c r="NZI23" s="1902">
        <f t="shared" si="418"/>
        <v>0</v>
      </c>
      <c r="NZJ23" s="1902">
        <f t="shared" si="418"/>
        <v>0</v>
      </c>
      <c r="NZK23" s="1902">
        <f t="shared" si="418"/>
        <v>0</v>
      </c>
      <c r="NZL23" s="1902">
        <f t="shared" si="418"/>
        <v>0</v>
      </c>
      <c r="NZM23" s="1902">
        <f t="shared" si="418"/>
        <v>0</v>
      </c>
      <c r="NZN23" s="1902">
        <f t="shared" si="418"/>
        <v>0</v>
      </c>
      <c r="NZO23" s="1902">
        <f t="shared" si="418"/>
        <v>0</v>
      </c>
      <c r="NZP23" s="1902">
        <f t="shared" si="418"/>
        <v>0</v>
      </c>
      <c r="NZQ23" s="1902">
        <f t="shared" si="418"/>
        <v>0</v>
      </c>
      <c r="NZR23" s="1902">
        <f t="shared" si="418"/>
        <v>0</v>
      </c>
      <c r="NZS23" s="1902">
        <f t="shared" si="418"/>
        <v>0</v>
      </c>
      <c r="NZT23" s="1902">
        <f t="shared" si="418"/>
        <v>0</v>
      </c>
      <c r="NZU23" s="1902">
        <f t="shared" si="418"/>
        <v>0</v>
      </c>
      <c r="NZV23" s="1902">
        <f t="shared" si="418"/>
        <v>0</v>
      </c>
      <c r="NZW23" s="1902">
        <f t="shared" si="418"/>
        <v>0</v>
      </c>
      <c r="NZX23" s="1902">
        <f t="shared" si="418"/>
        <v>0</v>
      </c>
      <c r="NZY23" s="1902">
        <f t="shared" si="418"/>
        <v>0</v>
      </c>
      <c r="NZZ23" s="1902">
        <f t="shared" si="418"/>
        <v>0</v>
      </c>
      <c r="OAA23" s="1902">
        <f t="shared" si="418"/>
        <v>0</v>
      </c>
      <c r="OAB23" s="1902">
        <f t="shared" si="418"/>
        <v>0</v>
      </c>
      <c r="OAC23" s="1902">
        <f t="shared" si="418"/>
        <v>0</v>
      </c>
      <c r="OAD23" s="1902">
        <f t="shared" si="418"/>
        <v>0</v>
      </c>
      <c r="OAE23" s="1902">
        <f t="shared" si="418"/>
        <v>0</v>
      </c>
      <c r="OAF23" s="1902">
        <f t="shared" si="418"/>
        <v>0</v>
      </c>
      <c r="OAG23" s="1902">
        <f t="shared" si="418"/>
        <v>0</v>
      </c>
      <c r="OAH23" s="1902">
        <f t="shared" si="418"/>
        <v>0</v>
      </c>
      <c r="OAI23" s="1902">
        <f t="shared" si="418"/>
        <v>0</v>
      </c>
      <c r="OAJ23" s="1902">
        <f t="shared" si="418"/>
        <v>0</v>
      </c>
      <c r="OAK23" s="1902">
        <f t="shared" si="418"/>
        <v>0</v>
      </c>
      <c r="OAL23" s="1902">
        <f t="shared" si="418"/>
        <v>0</v>
      </c>
      <c r="OAM23" s="1902">
        <f t="shared" si="418"/>
        <v>0</v>
      </c>
      <c r="OAN23" s="1902">
        <f t="shared" si="418"/>
        <v>0</v>
      </c>
      <c r="OAO23" s="1902">
        <f t="shared" si="418"/>
        <v>0</v>
      </c>
      <c r="OAP23" s="1902">
        <f t="shared" si="418"/>
        <v>0</v>
      </c>
      <c r="OAQ23" s="1902">
        <f t="shared" si="418"/>
        <v>0</v>
      </c>
      <c r="OAR23" s="1902">
        <f t="shared" si="418"/>
        <v>0</v>
      </c>
      <c r="OAS23" s="1902">
        <f t="shared" si="418"/>
        <v>0</v>
      </c>
      <c r="OAT23" s="1902">
        <f t="shared" si="418"/>
        <v>0</v>
      </c>
      <c r="OAU23" s="1902">
        <f t="shared" ref="OAU23:ODF23" si="419">IF(AND(OAU$26="End of period",OAU$25="Revenue"),OAU10,0)</f>
        <v>0</v>
      </c>
      <c r="OAV23" s="1902">
        <f t="shared" si="419"/>
        <v>0</v>
      </c>
      <c r="OAW23" s="1902">
        <f t="shared" si="419"/>
        <v>0</v>
      </c>
      <c r="OAX23" s="1902">
        <f t="shared" si="419"/>
        <v>0</v>
      </c>
      <c r="OAY23" s="1902">
        <f t="shared" si="419"/>
        <v>0</v>
      </c>
      <c r="OAZ23" s="1902">
        <f t="shared" si="419"/>
        <v>0</v>
      </c>
      <c r="OBA23" s="1902">
        <f t="shared" si="419"/>
        <v>0</v>
      </c>
      <c r="OBB23" s="1902">
        <f t="shared" si="419"/>
        <v>0</v>
      </c>
      <c r="OBC23" s="1902">
        <f t="shared" si="419"/>
        <v>0</v>
      </c>
      <c r="OBD23" s="1902">
        <f t="shared" si="419"/>
        <v>0</v>
      </c>
      <c r="OBE23" s="1902">
        <f t="shared" si="419"/>
        <v>0</v>
      </c>
      <c r="OBF23" s="1902">
        <f t="shared" si="419"/>
        <v>0</v>
      </c>
      <c r="OBG23" s="1902">
        <f t="shared" si="419"/>
        <v>0</v>
      </c>
      <c r="OBH23" s="1902">
        <f t="shared" si="419"/>
        <v>0</v>
      </c>
      <c r="OBI23" s="1902">
        <f t="shared" si="419"/>
        <v>0</v>
      </c>
      <c r="OBJ23" s="1902">
        <f t="shared" si="419"/>
        <v>0</v>
      </c>
      <c r="OBK23" s="1902">
        <f t="shared" si="419"/>
        <v>0</v>
      </c>
      <c r="OBL23" s="1902">
        <f t="shared" si="419"/>
        <v>0</v>
      </c>
      <c r="OBM23" s="1902">
        <f t="shared" si="419"/>
        <v>0</v>
      </c>
      <c r="OBN23" s="1902">
        <f t="shared" si="419"/>
        <v>0</v>
      </c>
      <c r="OBO23" s="1902">
        <f t="shared" si="419"/>
        <v>0</v>
      </c>
      <c r="OBP23" s="1902">
        <f t="shared" si="419"/>
        <v>0</v>
      </c>
      <c r="OBQ23" s="1902">
        <f t="shared" si="419"/>
        <v>0</v>
      </c>
      <c r="OBR23" s="1902">
        <f t="shared" si="419"/>
        <v>0</v>
      </c>
      <c r="OBS23" s="1902">
        <f t="shared" si="419"/>
        <v>0</v>
      </c>
      <c r="OBT23" s="1902">
        <f t="shared" si="419"/>
        <v>0</v>
      </c>
      <c r="OBU23" s="1902">
        <f t="shared" si="419"/>
        <v>0</v>
      </c>
      <c r="OBV23" s="1902">
        <f t="shared" si="419"/>
        <v>0</v>
      </c>
      <c r="OBW23" s="1902">
        <f t="shared" si="419"/>
        <v>0</v>
      </c>
      <c r="OBX23" s="1902">
        <f t="shared" si="419"/>
        <v>0</v>
      </c>
      <c r="OBY23" s="1902">
        <f t="shared" si="419"/>
        <v>0</v>
      </c>
      <c r="OBZ23" s="1902">
        <f t="shared" si="419"/>
        <v>0</v>
      </c>
      <c r="OCA23" s="1902">
        <f t="shared" si="419"/>
        <v>0</v>
      </c>
      <c r="OCB23" s="1902">
        <f t="shared" si="419"/>
        <v>0</v>
      </c>
      <c r="OCC23" s="1902">
        <f t="shared" si="419"/>
        <v>0</v>
      </c>
      <c r="OCD23" s="1902">
        <f t="shared" si="419"/>
        <v>0</v>
      </c>
      <c r="OCE23" s="1902">
        <f t="shared" si="419"/>
        <v>0</v>
      </c>
      <c r="OCF23" s="1902">
        <f t="shared" si="419"/>
        <v>0</v>
      </c>
      <c r="OCG23" s="1902">
        <f t="shared" si="419"/>
        <v>0</v>
      </c>
      <c r="OCH23" s="1902">
        <f t="shared" si="419"/>
        <v>0</v>
      </c>
      <c r="OCI23" s="1902">
        <f t="shared" si="419"/>
        <v>0</v>
      </c>
      <c r="OCJ23" s="1902">
        <f t="shared" si="419"/>
        <v>0</v>
      </c>
      <c r="OCK23" s="1902">
        <f t="shared" si="419"/>
        <v>0</v>
      </c>
      <c r="OCL23" s="1902">
        <f t="shared" si="419"/>
        <v>0</v>
      </c>
      <c r="OCM23" s="1902">
        <f t="shared" si="419"/>
        <v>0</v>
      </c>
      <c r="OCN23" s="1902">
        <f t="shared" si="419"/>
        <v>0</v>
      </c>
      <c r="OCO23" s="1902">
        <f t="shared" si="419"/>
        <v>0</v>
      </c>
      <c r="OCP23" s="1902">
        <f t="shared" si="419"/>
        <v>0</v>
      </c>
      <c r="OCQ23" s="1902">
        <f t="shared" si="419"/>
        <v>0</v>
      </c>
      <c r="OCR23" s="1902">
        <f t="shared" si="419"/>
        <v>0</v>
      </c>
      <c r="OCS23" s="1902">
        <f t="shared" si="419"/>
        <v>0</v>
      </c>
      <c r="OCT23" s="1902">
        <f t="shared" si="419"/>
        <v>0</v>
      </c>
      <c r="OCU23" s="1902">
        <f t="shared" si="419"/>
        <v>0</v>
      </c>
      <c r="OCV23" s="1902">
        <f t="shared" si="419"/>
        <v>0</v>
      </c>
      <c r="OCW23" s="1902">
        <f t="shared" si="419"/>
        <v>0</v>
      </c>
      <c r="OCX23" s="1902">
        <f t="shared" si="419"/>
        <v>0</v>
      </c>
      <c r="OCY23" s="1902">
        <f t="shared" si="419"/>
        <v>0</v>
      </c>
      <c r="OCZ23" s="1902">
        <f t="shared" si="419"/>
        <v>0</v>
      </c>
      <c r="ODA23" s="1902">
        <f t="shared" si="419"/>
        <v>0</v>
      </c>
      <c r="ODB23" s="1902">
        <f t="shared" si="419"/>
        <v>0</v>
      </c>
      <c r="ODC23" s="1902">
        <f t="shared" si="419"/>
        <v>0</v>
      </c>
      <c r="ODD23" s="1902">
        <f t="shared" si="419"/>
        <v>0</v>
      </c>
      <c r="ODE23" s="1902">
        <f t="shared" si="419"/>
        <v>0</v>
      </c>
      <c r="ODF23" s="1902">
        <f t="shared" si="419"/>
        <v>0</v>
      </c>
      <c r="ODG23" s="1902">
        <f t="shared" ref="ODG23:OFR23" si="420">IF(AND(ODG$26="End of period",ODG$25="Revenue"),ODG10,0)</f>
        <v>0</v>
      </c>
      <c r="ODH23" s="1902">
        <f t="shared" si="420"/>
        <v>0</v>
      </c>
      <c r="ODI23" s="1902">
        <f t="shared" si="420"/>
        <v>0</v>
      </c>
      <c r="ODJ23" s="1902">
        <f t="shared" si="420"/>
        <v>0</v>
      </c>
      <c r="ODK23" s="1902">
        <f t="shared" si="420"/>
        <v>0</v>
      </c>
      <c r="ODL23" s="1902">
        <f t="shared" si="420"/>
        <v>0</v>
      </c>
      <c r="ODM23" s="1902">
        <f t="shared" si="420"/>
        <v>0</v>
      </c>
      <c r="ODN23" s="1902">
        <f t="shared" si="420"/>
        <v>0</v>
      </c>
      <c r="ODO23" s="1902">
        <f t="shared" si="420"/>
        <v>0</v>
      </c>
      <c r="ODP23" s="1902">
        <f t="shared" si="420"/>
        <v>0</v>
      </c>
      <c r="ODQ23" s="1902">
        <f t="shared" si="420"/>
        <v>0</v>
      </c>
      <c r="ODR23" s="1902">
        <f t="shared" si="420"/>
        <v>0</v>
      </c>
      <c r="ODS23" s="1902">
        <f t="shared" si="420"/>
        <v>0</v>
      </c>
      <c r="ODT23" s="1902">
        <f t="shared" si="420"/>
        <v>0</v>
      </c>
      <c r="ODU23" s="1902">
        <f t="shared" si="420"/>
        <v>0</v>
      </c>
      <c r="ODV23" s="1902">
        <f t="shared" si="420"/>
        <v>0</v>
      </c>
      <c r="ODW23" s="1902">
        <f t="shared" si="420"/>
        <v>0</v>
      </c>
      <c r="ODX23" s="1902">
        <f t="shared" si="420"/>
        <v>0</v>
      </c>
      <c r="ODY23" s="1902">
        <f t="shared" si="420"/>
        <v>0</v>
      </c>
      <c r="ODZ23" s="1902">
        <f t="shared" si="420"/>
        <v>0</v>
      </c>
      <c r="OEA23" s="1902">
        <f t="shared" si="420"/>
        <v>0</v>
      </c>
      <c r="OEB23" s="1902">
        <f t="shared" si="420"/>
        <v>0</v>
      </c>
      <c r="OEC23" s="1902">
        <f t="shared" si="420"/>
        <v>0</v>
      </c>
      <c r="OED23" s="1902">
        <f t="shared" si="420"/>
        <v>0</v>
      </c>
      <c r="OEE23" s="1902">
        <f t="shared" si="420"/>
        <v>0</v>
      </c>
      <c r="OEF23" s="1902">
        <f t="shared" si="420"/>
        <v>0</v>
      </c>
      <c r="OEG23" s="1902">
        <f t="shared" si="420"/>
        <v>0</v>
      </c>
      <c r="OEH23" s="1902">
        <f t="shared" si="420"/>
        <v>0</v>
      </c>
      <c r="OEI23" s="1902">
        <f t="shared" si="420"/>
        <v>0</v>
      </c>
      <c r="OEJ23" s="1902">
        <f t="shared" si="420"/>
        <v>0</v>
      </c>
      <c r="OEK23" s="1902">
        <f t="shared" si="420"/>
        <v>0</v>
      </c>
      <c r="OEL23" s="1902">
        <f t="shared" si="420"/>
        <v>0</v>
      </c>
      <c r="OEM23" s="1902">
        <f t="shared" si="420"/>
        <v>0</v>
      </c>
      <c r="OEN23" s="1902">
        <f t="shared" si="420"/>
        <v>0</v>
      </c>
      <c r="OEO23" s="1902">
        <f t="shared" si="420"/>
        <v>0</v>
      </c>
      <c r="OEP23" s="1902">
        <f t="shared" si="420"/>
        <v>0</v>
      </c>
      <c r="OEQ23" s="1902">
        <f t="shared" si="420"/>
        <v>0</v>
      </c>
      <c r="OER23" s="1902">
        <f t="shared" si="420"/>
        <v>0</v>
      </c>
      <c r="OES23" s="1902">
        <f t="shared" si="420"/>
        <v>0</v>
      </c>
      <c r="OET23" s="1902">
        <f t="shared" si="420"/>
        <v>0</v>
      </c>
      <c r="OEU23" s="1902">
        <f t="shared" si="420"/>
        <v>0</v>
      </c>
      <c r="OEV23" s="1902">
        <f t="shared" si="420"/>
        <v>0</v>
      </c>
      <c r="OEW23" s="1902">
        <f t="shared" si="420"/>
        <v>0</v>
      </c>
      <c r="OEX23" s="1902">
        <f t="shared" si="420"/>
        <v>0</v>
      </c>
      <c r="OEY23" s="1902">
        <f t="shared" si="420"/>
        <v>0</v>
      </c>
      <c r="OEZ23" s="1902">
        <f t="shared" si="420"/>
        <v>0</v>
      </c>
      <c r="OFA23" s="1902">
        <f t="shared" si="420"/>
        <v>0</v>
      </c>
      <c r="OFB23" s="1902">
        <f t="shared" si="420"/>
        <v>0</v>
      </c>
      <c r="OFC23" s="1902">
        <f t="shared" si="420"/>
        <v>0</v>
      </c>
      <c r="OFD23" s="1902">
        <f t="shared" si="420"/>
        <v>0</v>
      </c>
      <c r="OFE23" s="1902">
        <f t="shared" si="420"/>
        <v>0</v>
      </c>
      <c r="OFF23" s="1902">
        <f t="shared" si="420"/>
        <v>0</v>
      </c>
      <c r="OFG23" s="1902">
        <f t="shared" si="420"/>
        <v>0</v>
      </c>
      <c r="OFH23" s="1902">
        <f t="shared" si="420"/>
        <v>0</v>
      </c>
      <c r="OFI23" s="1902">
        <f t="shared" si="420"/>
        <v>0</v>
      </c>
      <c r="OFJ23" s="1902">
        <f t="shared" si="420"/>
        <v>0</v>
      </c>
      <c r="OFK23" s="1902">
        <f t="shared" si="420"/>
        <v>0</v>
      </c>
      <c r="OFL23" s="1902">
        <f t="shared" si="420"/>
        <v>0</v>
      </c>
      <c r="OFM23" s="1902">
        <f t="shared" si="420"/>
        <v>0</v>
      </c>
      <c r="OFN23" s="1902">
        <f t="shared" si="420"/>
        <v>0</v>
      </c>
      <c r="OFO23" s="1902">
        <f t="shared" si="420"/>
        <v>0</v>
      </c>
      <c r="OFP23" s="1902">
        <f t="shared" si="420"/>
        <v>0</v>
      </c>
      <c r="OFQ23" s="1902">
        <f t="shared" si="420"/>
        <v>0</v>
      </c>
      <c r="OFR23" s="1902">
        <f t="shared" si="420"/>
        <v>0</v>
      </c>
      <c r="OFS23" s="1902">
        <f t="shared" ref="OFS23:OID23" si="421">IF(AND(OFS$26="End of period",OFS$25="Revenue"),OFS10,0)</f>
        <v>0</v>
      </c>
      <c r="OFT23" s="1902">
        <f t="shared" si="421"/>
        <v>0</v>
      </c>
      <c r="OFU23" s="1902">
        <f t="shared" si="421"/>
        <v>0</v>
      </c>
      <c r="OFV23" s="1902">
        <f t="shared" si="421"/>
        <v>0</v>
      </c>
      <c r="OFW23" s="1902">
        <f t="shared" si="421"/>
        <v>0</v>
      </c>
      <c r="OFX23" s="1902">
        <f t="shared" si="421"/>
        <v>0</v>
      </c>
      <c r="OFY23" s="1902">
        <f t="shared" si="421"/>
        <v>0</v>
      </c>
      <c r="OFZ23" s="1902">
        <f t="shared" si="421"/>
        <v>0</v>
      </c>
      <c r="OGA23" s="1902">
        <f t="shared" si="421"/>
        <v>0</v>
      </c>
      <c r="OGB23" s="1902">
        <f t="shared" si="421"/>
        <v>0</v>
      </c>
      <c r="OGC23" s="1902">
        <f t="shared" si="421"/>
        <v>0</v>
      </c>
      <c r="OGD23" s="1902">
        <f t="shared" si="421"/>
        <v>0</v>
      </c>
      <c r="OGE23" s="1902">
        <f t="shared" si="421"/>
        <v>0</v>
      </c>
      <c r="OGF23" s="1902">
        <f t="shared" si="421"/>
        <v>0</v>
      </c>
      <c r="OGG23" s="1902">
        <f t="shared" si="421"/>
        <v>0</v>
      </c>
      <c r="OGH23" s="1902">
        <f t="shared" si="421"/>
        <v>0</v>
      </c>
      <c r="OGI23" s="1902">
        <f t="shared" si="421"/>
        <v>0</v>
      </c>
      <c r="OGJ23" s="1902">
        <f t="shared" si="421"/>
        <v>0</v>
      </c>
      <c r="OGK23" s="1902">
        <f t="shared" si="421"/>
        <v>0</v>
      </c>
      <c r="OGL23" s="1902">
        <f t="shared" si="421"/>
        <v>0</v>
      </c>
      <c r="OGM23" s="1902">
        <f t="shared" si="421"/>
        <v>0</v>
      </c>
      <c r="OGN23" s="1902">
        <f t="shared" si="421"/>
        <v>0</v>
      </c>
      <c r="OGO23" s="1902">
        <f t="shared" si="421"/>
        <v>0</v>
      </c>
      <c r="OGP23" s="1902">
        <f t="shared" si="421"/>
        <v>0</v>
      </c>
      <c r="OGQ23" s="1902">
        <f t="shared" si="421"/>
        <v>0</v>
      </c>
      <c r="OGR23" s="1902">
        <f t="shared" si="421"/>
        <v>0</v>
      </c>
      <c r="OGS23" s="1902">
        <f t="shared" si="421"/>
        <v>0</v>
      </c>
      <c r="OGT23" s="1902">
        <f t="shared" si="421"/>
        <v>0</v>
      </c>
      <c r="OGU23" s="1902">
        <f t="shared" si="421"/>
        <v>0</v>
      </c>
      <c r="OGV23" s="1902">
        <f t="shared" si="421"/>
        <v>0</v>
      </c>
      <c r="OGW23" s="1902">
        <f t="shared" si="421"/>
        <v>0</v>
      </c>
      <c r="OGX23" s="1902">
        <f t="shared" si="421"/>
        <v>0</v>
      </c>
      <c r="OGY23" s="1902">
        <f t="shared" si="421"/>
        <v>0</v>
      </c>
      <c r="OGZ23" s="1902">
        <f t="shared" si="421"/>
        <v>0</v>
      </c>
      <c r="OHA23" s="1902">
        <f t="shared" si="421"/>
        <v>0</v>
      </c>
      <c r="OHB23" s="1902">
        <f t="shared" si="421"/>
        <v>0</v>
      </c>
      <c r="OHC23" s="1902">
        <f t="shared" si="421"/>
        <v>0</v>
      </c>
      <c r="OHD23" s="1902">
        <f t="shared" si="421"/>
        <v>0</v>
      </c>
      <c r="OHE23" s="1902">
        <f t="shared" si="421"/>
        <v>0</v>
      </c>
      <c r="OHF23" s="1902">
        <f t="shared" si="421"/>
        <v>0</v>
      </c>
      <c r="OHG23" s="1902">
        <f t="shared" si="421"/>
        <v>0</v>
      </c>
      <c r="OHH23" s="1902">
        <f t="shared" si="421"/>
        <v>0</v>
      </c>
      <c r="OHI23" s="1902">
        <f t="shared" si="421"/>
        <v>0</v>
      </c>
      <c r="OHJ23" s="1902">
        <f t="shared" si="421"/>
        <v>0</v>
      </c>
      <c r="OHK23" s="1902">
        <f t="shared" si="421"/>
        <v>0</v>
      </c>
      <c r="OHL23" s="1902">
        <f t="shared" si="421"/>
        <v>0</v>
      </c>
      <c r="OHM23" s="1902">
        <f t="shared" si="421"/>
        <v>0</v>
      </c>
      <c r="OHN23" s="1902">
        <f t="shared" si="421"/>
        <v>0</v>
      </c>
      <c r="OHO23" s="1902">
        <f t="shared" si="421"/>
        <v>0</v>
      </c>
      <c r="OHP23" s="1902">
        <f t="shared" si="421"/>
        <v>0</v>
      </c>
      <c r="OHQ23" s="1902">
        <f t="shared" si="421"/>
        <v>0</v>
      </c>
      <c r="OHR23" s="1902">
        <f t="shared" si="421"/>
        <v>0</v>
      </c>
      <c r="OHS23" s="1902">
        <f t="shared" si="421"/>
        <v>0</v>
      </c>
      <c r="OHT23" s="1902">
        <f t="shared" si="421"/>
        <v>0</v>
      </c>
      <c r="OHU23" s="1902">
        <f t="shared" si="421"/>
        <v>0</v>
      </c>
      <c r="OHV23" s="1902">
        <f t="shared" si="421"/>
        <v>0</v>
      </c>
      <c r="OHW23" s="1902">
        <f t="shared" si="421"/>
        <v>0</v>
      </c>
      <c r="OHX23" s="1902">
        <f t="shared" si="421"/>
        <v>0</v>
      </c>
      <c r="OHY23" s="1902">
        <f t="shared" si="421"/>
        <v>0</v>
      </c>
      <c r="OHZ23" s="1902">
        <f t="shared" si="421"/>
        <v>0</v>
      </c>
      <c r="OIA23" s="1902">
        <f t="shared" si="421"/>
        <v>0</v>
      </c>
      <c r="OIB23" s="1902">
        <f t="shared" si="421"/>
        <v>0</v>
      </c>
      <c r="OIC23" s="1902">
        <f t="shared" si="421"/>
        <v>0</v>
      </c>
      <c r="OID23" s="1902">
        <f t="shared" si="421"/>
        <v>0</v>
      </c>
      <c r="OIE23" s="1902">
        <f t="shared" ref="OIE23:OKP23" si="422">IF(AND(OIE$26="End of period",OIE$25="Revenue"),OIE10,0)</f>
        <v>0</v>
      </c>
      <c r="OIF23" s="1902">
        <f t="shared" si="422"/>
        <v>0</v>
      </c>
      <c r="OIG23" s="1902">
        <f t="shared" si="422"/>
        <v>0</v>
      </c>
      <c r="OIH23" s="1902">
        <f t="shared" si="422"/>
        <v>0</v>
      </c>
      <c r="OII23" s="1902">
        <f t="shared" si="422"/>
        <v>0</v>
      </c>
      <c r="OIJ23" s="1902">
        <f t="shared" si="422"/>
        <v>0</v>
      </c>
      <c r="OIK23" s="1902">
        <f t="shared" si="422"/>
        <v>0</v>
      </c>
      <c r="OIL23" s="1902">
        <f t="shared" si="422"/>
        <v>0</v>
      </c>
      <c r="OIM23" s="1902">
        <f t="shared" si="422"/>
        <v>0</v>
      </c>
      <c r="OIN23" s="1902">
        <f t="shared" si="422"/>
        <v>0</v>
      </c>
      <c r="OIO23" s="1902">
        <f t="shared" si="422"/>
        <v>0</v>
      </c>
      <c r="OIP23" s="1902">
        <f t="shared" si="422"/>
        <v>0</v>
      </c>
      <c r="OIQ23" s="1902">
        <f t="shared" si="422"/>
        <v>0</v>
      </c>
      <c r="OIR23" s="1902">
        <f t="shared" si="422"/>
        <v>0</v>
      </c>
      <c r="OIS23" s="1902">
        <f t="shared" si="422"/>
        <v>0</v>
      </c>
      <c r="OIT23" s="1902">
        <f t="shared" si="422"/>
        <v>0</v>
      </c>
      <c r="OIU23" s="1902">
        <f t="shared" si="422"/>
        <v>0</v>
      </c>
      <c r="OIV23" s="1902">
        <f t="shared" si="422"/>
        <v>0</v>
      </c>
      <c r="OIW23" s="1902">
        <f t="shared" si="422"/>
        <v>0</v>
      </c>
      <c r="OIX23" s="1902">
        <f t="shared" si="422"/>
        <v>0</v>
      </c>
      <c r="OIY23" s="1902">
        <f t="shared" si="422"/>
        <v>0</v>
      </c>
      <c r="OIZ23" s="1902">
        <f t="shared" si="422"/>
        <v>0</v>
      </c>
      <c r="OJA23" s="1902">
        <f t="shared" si="422"/>
        <v>0</v>
      </c>
      <c r="OJB23" s="1902">
        <f t="shared" si="422"/>
        <v>0</v>
      </c>
      <c r="OJC23" s="1902">
        <f t="shared" si="422"/>
        <v>0</v>
      </c>
      <c r="OJD23" s="1902">
        <f t="shared" si="422"/>
        <v>0</v>
      </c>
      <c r="OJE23" s="1902">
        <f t="shared" si="422"/>
        <v>0</v>
      </c>
      <c r="OJF23" s="1902">
        <f t="shared" si="422"/>
        <v>0</v>
      </c>
      <c r="OJG23" s="1902">
        <f t="shared" si="422"/>
        <v>0</v>
      </c>
      <c r="OJH23" s="1902">
        <f t="shared" si="422"/>
        <v>0</v>
      </c>
      <c r="OJI23" s="1902">
        <f t="shared" si="422"/>
        <v>0</v>
      </c>
      <c r="OJJ23" s="1902">
        <f t="shared" si="422"/>
        <v>0</v>
      </c>
      <c r="OJK23" s="1902">
        <f t="shared" si="422"/>
        <v>0</v>
      </c>
      <c r="OJL23" s="1902">
        <f t="shared" si="422"/>
        <v>0</v>
      </c>
      <c r="OJM23" s="1902">
        <f t="shared" si="422"/>
        <v>0</v>
      </c>
      <c r="OJN23" s="1902">
        <f t="shared" si="422"/>
        <v>0</v>
      </c>
      <c r="OJO23" s="1902">
        <f t="shared" si="422"/>
        <v>0</v>
      </c>
      <c r="OJP23" s="1902">
        <f t="shared" si="422"/>
        <v>0</v>
      </c>
      <c r="OJQ23" s="1902">
        <f t="shared" si="422"/>
        <v>0</v>
      </c>
      <c r="OJR23" s="1902">
        <f t="shared" si="422"/>
        <v>0</v>
      </c>
      <c r="OJS23" s="1902">
        <f t="shared" si="422"/>
        <v>0</v>
      </c>
      <c r="OJT23" s="1902">
        <f t="shared" si="422"/>
        <v>0</v>
      </c>
      <c r="OJU23" s="1902">
        <f t="shared" si="422"/>
        <v>0</v>
      </c>
      <c r="OJV23" s="1902">
        <f t="shared" si="422"/>
        <v>0</v>
      </c>
      <c r="OJW23" s="1902">
        <f t="shared" si="422"/>
        <v>0</v>
      </c>
      <c r="OJX23" s="1902">
        <f t="shared" si="422"/>
        <v>0</v>
      </c>
      <c r="OJY23" s="1902">
        <f t="shared" si="422"/>
        <v>0</v>
      </c>
      <c r="OJZ23" s="1902">
        <f t="shared" si="422"/>
        <v>0</v>
      </c>
      <c r="OKA23" s="1902">
        <f t="shared" si="422"/>
        <v>0</v>
      </c>
      <c r="OKB23" s="1902">
        <f t="shared" si="422"/>
        <v>0</v>
      </c>
      <c r="OKC23" s="1902">
        <f t="shared" si="422"/>
        <v>0</v>
      </c>
      <c r="OKD23" s="1902">
        <f t="shared" si="422"/>
        <v>0</v>
      </c>
      <c r="OKE23" s="1902">
        <f t="shared" si="422"/>
        <v>0</v>
      </c>
      <c r="OKF23" s="1902">
        <f t="shared" si="422"/>
        <v>0</v>
      </c>
      <c r="OKG23" s="1902">
        <f t="shared" si="422"/>
        <v>0</v>
      </c>
      <c r="OKH23" s="1902">
        <f t="shared" si="422"/>
        <v>0</v>
      </c>
      <c r="OKI23" s="1902">
        <f t="shared" si="422"/>
        <v>0</v>
      </c>
      <c r="OKJ23" s="1902">
        <f t="shared" si="422"/>
        <v>0</v>
      </c>
      <c r="OKK23" s="1902">
        <f t="shared" si="422"/>
        <v>0</v>
      </c>
      <c r="OKL23" s="1902">
        <f t="shared" si="422"/>
        <v>0</v>
      </c>
      <c r="OKM23" s="1902">
        <f t="shared" si="422"/>
        <v>0</v>
      </c>
      <c r="OKN23" s="1902">
        <f t="shared" si="422"/>
        <v>0</v>
      </c>
      <c r="OKO23" s="1902">
        <f t="shared" si="422"/>
        <v>0</v>
      </c>
      <c r="OKP23" s="1902">
        <f t="shared" si="422"/>
        <v>0</v>
      </c>
      <c r="OKQ23" s="1902">
        <f t="shared" ref="OKQ23:ONB23" si="423">IF(AND(OKQ$26="End of period",OKQ$25="Revenue"),OKQ10,0)</f>
        <v>0</v>
      </c>
      <c r="OKR23" s="1902">
        <f t="shared" si="423"/>
        <v>0</v>
      </c>
      <c r="OKS23" s="1902">
        <f t="shared" si="423"/>
        <v>0</v>
      </c>
      <c r="OKT23" s="1902">
        <f t="shared" si="423"/>
        <v>0</v>
      </c>
      <c r="OKU23" s="1902">
        <f t="shared" si="423"/>
        <v>0</v>
      </c>
      <c r="OKV23" s="1902">
        <f t="shared" si="423"/>
        <v>0</v>
      </c>
      <c r="OKW23" s="1902">
        <f t="shared" si="423"/>
        <v>0</v>
      </c>
      <c r="OKX23" s="1902">
        <f t="shared" si="423"/>
        <v>0</v>
      </c>
      <c r="OKY23" s="1902">
        <f t="shared" si="423"/>
        <v>0</v>
      </c>
      <c r="OKZ23" s="1902">
        <f t="shared" si="423"/>
        <v>0</v>
      </c>
      <c r="OLA23" s="1902">
        <f t="shared" si="423"/>
        <v>0</v>
      </c>
      <c r="OLB23" s="1902">
        <f t="shared" si="423"/>
        <v>0</v>
      </c>
      <c r="OLC23" s="1902">
        <f t="shared" si="423"/>
        <v>0</v>
      </c>
      <c r="OLD23" s="1902">
        <f t="shared" si="423"/>
        <v>0</v>
      </c>
      <c r="OLE23" s="1902">
        <f t="shared" si="423"/>
        <v>0</v>
      </c>
      <c r="OLF23" s="1902">
        <f t="shared" si="423"/>
        <v>0</v>
      </c>
      <c r="OLG23" s="1902">
        <f t="shared" si="423"/>
        <v>0</v>
      </c>
      <c r="OLH23" s="1902">
        <f t="shared" si="423"/>
        <v>0</v>
      </c>
      <c r="OLI23" s="1902">
        <f t="shared" si="423"/>
        <v>0</v>
      </c>
      <c r="OLJ23" s="1902">
        <f t="shared" si="423"/>
        <v>0</v>
      </c>
      <c r="OLK23" s="1902">
        <f t="shared" si="423"/>
        <v>0</v>
      </c>
      <c r="OLL23" s="1902">
        <f t="shared" si="423"/>
        <v>0</v>
      </c>
      <c r="OLM23" s="1902">
        <f t="shared" si="423"/>
        <v>0</v>
      </c>
      <c r="OLN23" s="1902">
        <f t="shared" si="423"/>
        <v>0</v>
      </c>
      <c r="OLO23" s="1902">
        <f t="shared" si="423"/>
        <v>0</v>
      </c>
      <c r="OLP23" s="1902">
        <f t="shared" si="423"/>
        <v>0</v>
      </c>
      <c r="OLQ23" s="1902">
        <f t="shared" si="423"/>
        <v>0</v>
      </c>
      <c r="OLR23" s="1902">
        <f t="shared" si="423"/>
        <v>0</v>
      </c>
      <c r="OLS23" s="1902">
        <f t="shared" si="423"/>
        <v>0</v>
      </c>
      <c r="OLT23" s="1902">
        <f t="shared" si="423"/>
        <v>0</v>
      </c>
      <c r="OLU23" s="1902">
        <f t="shared" si="423"/>
        <v>0</v>
      </c>
      <c r="OLV23" s="1902">
        <f t="shared" si="423"/>
        <v>0</v>
      </c>
      <c r="OLW23" s="1902">
        <f t="shared" si="423"/>
        <v>0</v>
      </c>
      <c r="OLX23" s="1902">
        <f t="shared" si="423"/>
        <v>0</v>
      </c>
      <c r="OLY23" s="1902">
        <f t="shared" si="423"/>
        <v>0</v>
      </c>
      <c r="OLZ23" s="1902">
        <f t="shared" si="423"/>
        <v>0</v>
      </c>
      <c r="OMA23" s="1902">
        <f t="shared" si="423"/>
        <v>0</v>
      </c>
      <c r="OMB23" s="1902">
        <f t="shared" si="423"/>
        <v>0</v>
      </c>
      <c r="OMC23" s="1902">
        <f t="shared" si="423"/>
        <v>0</v>
      </c>
      <c r="OMD23" s="1902">
        <f t="shared" si="423"/>
        <v>0</v>
      </c>
      <c r="OME23" s="1902">
        <f t="shared" si="423"/>
        <v>0</v>
      </c>
      <c r="OMF23" s="1902">
        <f t="shared" si="423"/>
        <v>0</v>
      </c>
      <c r="OMG23" s="1902">
        <f t="shared" si="423"/>
        <v>0</v>
      </c>
      <c r="OMH23" s="1902">
        <f t="shared" si="423"/>
        <v>0</v>
      </c>
      <c r="OMI23" s="1902">
        <f t="shared" si="423"/>
        <v>0</v>
      </c>
      <c r="OMJ23" s="1902">
        <f t="shared" si="423"/>
        <v>0</v>
      </c>
      <c r="OMK23" s="1902">
        <f t="shared" si="423"/>
        <v>0</v>
      </c>
      <c r="OML23" s="1902">
        <f t="shared" si="423"/>
        <v>0</v>
      </c>
      <c r="OMM23" s="1902">
        <f t="shared" si="423"/>
        <v>0</v>
      </c>
      <c r="OMN23" s="1902">
        <f t="shared" si="423"/>
        <v>0</v>
      </c>
      <c r="OMO23" s="1902">
        <f t="shared" si="423"/>
        <v>0</v>
      </c>
      <c r="OMP23" s="1902">
        <f t="shared" si="423"/>
        <v>0</v>
      </c>
      <c r="OMQ23" s="1902">
        <f t="shared" si="423"/>
        <v>0</v>
      </c>
      <c r="OMR23" s="1902">
        <f t="shared" si="423"/>
        <v>0</v>
      </c>
      <c r="OMS23" s="1902">
        <f t="shared" si="423"/>
        <v>0</v>
      </c>
      <c r="OMT23" s="1902">
        <f t="shared" si="423"/>
        <v>0</v>
      </c>
      <c r="OMU23" s="1902">
        <f t="shared" si="423"/>
        <v>0</v>
      </c>
      <c r="OMV23" s="1902">
        <f t="shared" si="423"/>
        <v>0</v>
      </c>
      <c r="OMW23" s="1902">
        <f t="shared" si="423"/>
        <v>0</v>
      </c>
      <c r="OMX23" s="1902">
        <f t="shared" si="423"/>
        <v>0</v>
      </c>
      <c r="OMY23" s="1902">
        <f t="shared" si="423"/>
        <v>0</v>
      </c>
      <c r="OMZ23" s="1902">
        <f t="shared" si="423"/>
        <v>0</v>
      </c>
      <c r="ONA23" s="1902">
        <f t="shared" si="423"/>
        <v>0</v>
      </c>
      <c r="ONB23" s="1902">
        <f t="shared" si="423"/>
        <v>0</v>
      </c>
      <c r="ONC23" s="1902">
        <f t="shared" ref="ONC23:OPN23" si="424">IF(AND(ONC$26="End of period",ONC$25="Revenue"),ONC10,0)</f>
        <v>0</v>
      </c>
      <c r="OND23" s="1902">
        <f t="shared" si="424"/>
        <v>0</v>
      </c>
      <c r="ONE23" s="1902">
        <f t="shared" si="424"/>
        <v>0</v>
      </c>
      <c r="ONF23" s="1902">
        <f t="shared" si="424"/>
        <v>0</v>
      </c>
      <c r="ONG23" s="1902">
        <f t="shared" si="424"/>
        <v>0</v>
      </c>
      <c r="ONH23" s="1902">
        <f t="shared" si="424"/>
        <v>0</v>
      </c>
      <c r="ONI23" s="1902">
        <f t="shared" si="424"/>
        <v>0</v>
      </c>
      <c r="ONJ23" s="1902">
        <f t="shared" si="424"/>
        <v>0</v>
      </c>
      <c r="ONK23" s="1902">
        <f t="shared" si="424"/>
        <v>0</v>
      </c>
      <c r="ONL23" s="1902">
        <f t="shared" si="424"/>
        <v>0</v>
      </c>
      <c r="ONM23" s="1902">
        <f t="shared" si="424"/>
        <v>0</v>
      </c>
      <c r="ONN23" s="1902">
        <f t="shared" si="424"/>
        <v>0</v>
      </c>
      <c r="ONO23" s="1902">
        <f t="shared" si="424"/>
        <v>0</v>
      </c>
      <c r="ONP23" s="1902">
        <f t="shared" si="424"/>
        <v>0</v>
      </c>
      <c r="ONQ23" s="1902">
        <f t="shared" si="424"/>
        <v>0</v>
      </c>
      <c r="ONR23" s="1902">
        <f t="shared" si="424"/>
        <v>0</v>
      </c>
      <c r="ONS23" s="1902">
        <f t="shared" si="424"/>
        <v>0</v>
      </c>
      <c r="ONT23" s="1902">
        <f t="shared" si="424"/>
        <v>0</v>
      </c>
      <c r="ONU23" s="1902">
        <f t="shared" si="424"/>
        <v>0</v>
      </c>
      <c r="ONV23" s="1902">
        <f t="shared" si="424"/>
        <v>0</v>
      </c>
      <c r="ONW23" s="1902">
        <f t="shared" si="424"/>
        <v>0</v>
      </c>
      <c r="ONX23" s="1902">
        <f t="shared" si="424"/>
        <v>0</v>
      </c>
      <c r="ONY23" s="1902">
        <f t="shared" si="424"/>
        <v>0</v>
      </c>
      <c r="ONZ23" s="1902">
        <f t="shared" si="424"/>
        <v>0</v>
      </c>
      <c r="OOA23" s="1902">
        <f t="shared" si="424"/>
        <v>0</v>
      </c>
      <c r="OOB23" s="1902">
        <f t="shared" si="424"/>
        <v>0</v>
      </c>
      <c r="OOC23" s="1902">
        <f t="shared" si="424"/>
        <v>0</v>
      </c>
      <c r="OOD23" s="1902">
        <f t="shared" si="424"/>
        <v>0</v>
      </c>
      <c r="OOE23" s="1902">
        <f t="shared" si="424"/>
        <v>0</v>
      </c>
      <c r="OOF23" s="1902">
        <f t="shared" si="424"/>
        <v>0</v>
      </c>
      <c r="OOG23" s="1902">
        <f t="shared" si="424"/>
        <v>0</v>
      </c>
      <c r="OOH23" s="1902">
        <f t="shared" si="424"/>
        <v>0</v>
      </c>
      <c r="OOI23" s="1902">
        <f t="shared" si="424"/>
        <v>0</v>
      </c>
      <c r="OOJ23" s="1902">
        <f t="shared" si="424"/>
        <v>0</v>
      </c>
      <c r="OOK23" s="1902">
        <f t="shared" si="424"/>
        <v>0</v>
      </c>
      <c r="OOL23" s="1902">
        <f t="shared" si="424"/>
        <v>0</v>
      </c>
      <c r="OOM23" s="1902">
        <f t="shared" si="424"/>
        <v>0</v>
      </c>
      <c r="OON23" s="1902">
        <f t="shared" si="424"/>
        <v>0</v>
      </c>
      <c r="OOO23" s="1902">
        <f t="shared" si="424"/>
        <v>0</v>
      </c>
      <c r="OOP23" s="1902">
        <f t="shared" si="424"/>
        <v>0</v>
      </c>
      <c r="OOQ23" s="1902">
        <f t="shared" si="424"/>
        <v>0</v>
      </c>
      <c r="OOR23" s="1902">
        <f t="shared" si="424"/>
        <v>0</v>
      </c>
      <c r="OOS23" s="1902">
        <f t="shared" si="424"/>
        <v>0</v>
      </c>
      <c r="OOT23" s="1902">
        <f t="shared" si="424"/>
        <v>0</v>
      </c>
      <c r="OOU23" s="1902">
        <f t="shared" si="424"/>
        <v>0</v>
      </c>
      <c r="OOV23" s="1902">
        <f t="shared" si="424"/>
        <v>0</v>
      </c>
      <c r="OOW23" s="1902">
        <f t="shared" si="424"/>
        <v>0</v>
      </c>
      <c r="OOX23" s="1902">
        <f t="shared" si="424"/>
        <v>0</v>
      </c>
      <c r="OOY23" s="1902">
        <f t="shared" si="424"/>
        <v>0</v>
      </c>
      <c r="OOZ23" s="1902">
        <f t="shared" si="424"/>
        <v>0</v>
      </c>
      <c r="OPA23" s="1902">
        <f t="shared" si="424"/>
        <v>0</v>
      </c>
      <c r="OPB23" s="1902">
        <f t="shared" si="424"/>
        <v>0</v>
      </c>
      <c r="OPC23" s="1902">
        <f t="shared" si="424"/>
        <v>0</v>
      </c>
      <c r="OPD23" s="1902">
        <f t="shared" si="424"/>
        <v>0</v>
      </c>
      <c r="OPE23" s="1902">
        <f t="shared" si="424"/>
        <v>0</v>
      </c>
      <c r="OPF23" s="1902">
        <f t="shared" si="424"/>
        <v>0</v>
      </c>
      <c r="OPG23" s="1902">
        <f t="shared" si="424"/>
        <v>0</v>
      </c>
      <c r="OPH23" s="1902">
        <f t="shared" si="424"/>
        <v>0</v>
      </c>
      <c r="OPI23" s="1902">
        <f t="shared" si="424"/>
        <v>0</v>
      </c>
      <c r="OPJ23" s="1902">
        <f t="shared" si="424"/>
        <v>0</v>
      </c>
      <c r="OPK23" s="1902">
        <f t="shared" si="424"/>
        <v>0</v>
      </c>
      <c r="OPL23" s="1902">
        <f t="shared" si="424"/>
        <v>0</v>
      </c>
      <c r="OPM23" s="1902">
        <f t="shared" si="424"/>
        <v>0</v>
      </c>
      <c r="OPN23" s="1902">
        <f t="shared" si="424"/>
        <v>0</v>
      </c>
      <c r="OPO23" s="1902">
        <f t="shared" ref="OPO23:ORZ23" si="425">IF(AND(OPO$26="End of period",OPO$25="Revenue"),OPO10,0)</f>
        <v>0</v>
      </c>
      <c r="OPP23" s="1902">
        <f t="shared" si="425"/>
        <v>0</v>
      </c>
      <c r="OPQ23" s="1902">
        <f t="shared" si="425"/>
        <v>0</v>
      </c>
      <c r="OPR23" s="1902">
        <f t="shared" si="425"/>
        <v>0</v>
      </c>
      <c r="OPS23" s="1902">
        <f t="shared" si="425"/>
        <v>0</v>
      </c>
      <c r="OPT23" s="1902">
        <f t="shared" si="425"/>
        <v>0</v>
      </c>
      <c r="OPU23" s="1902">
        <f t="shared" si="425"/>
        <v>0</v>
      </c>
      <c r="OPV23" s="1902">
        <f t="shared" si="425"/>
        <v>0</v>
      </c>
      <c r="OPW23" s="1902">
        <f t="shared" si="425"/>
        <v>0</v>
      </c>
      <c r="OPX23" s="1902">
        <f t="shared" si="425"/>
        <v>0</v>
      </c>
      <c r="OPY23" s="1902">
        <f t="shared" si="425"/>
        <v>0</v>
      </c>
      <c r="OPZ23" s="1902">
        <f t="shared" si="425"/>
        <v>0</v>
      </c>
      <c r="OQA23" s="1902">
        <f t="shared" si="425"/>
        <v>0</v>
      </c>
      <c r="OQB23" s="1902">
        <f t="shared" si="425"/>
        <v>0</v>
      </c>
      <c r="OQC23" s="1902">
        <f t="shared" si="425"/>
        <v>0</v>
      </c>
      <c r="OQD23" s="1902">
        <f t="shared" si="425"/>
        <v>0</v>
      </c>
      <c r="OQE23" s="1902">
        <f t="shared" si="425"/>
        <v>0</v>
      </c>
      <c r="OQF23" s="1902">
        <f t="shared" si="425"/>
        <v>0</v>
      </c>
      <c r="OQG23" s="1902">
        <f t="shared" si="425"/>
        <v>0</v>
      </c>
      <c r="OQH23" s="1902">
        <f t="shared" si="425"/>
        <v>0</v>
      </c>
      <c r="OQI23" s="1902">
        <f t="shared" si="425"/>
        <v>0</v>
      </c>
      <c r="OQJ23" s="1902">
        <f t="shared" si="425"/>
        <v>0</v>
      </c>
      <c r="OQK23" s="1902">
        <f t="shared" si="425"/>
        <v>0</v>
      </c>
      <c r="OQL23" s="1902">
        <f t="shared" si="425"/>
        <v>0</v>
      </c>
      <c r="OQM23" s="1902">
        <f t="shared" si="425"/>
        <v>0</v>
      </c>
      <c r="OQN23" s="1902">
        <f t="shared" si="425"/>
        <v>0</v>
      </c>
      <c r="OQO23" s="1902">
        <f t="shared" si="425"/>
        <v>0</v>
      </c>
      <c r="OQP23" s="1902">
        <f t="shared" si="425"/>
        <v>0</v>
      </c>
      <c r="OQQ23" s="1902">
        <f t="shared" si="425"/>
        <v>0</v>
      </c>
      <c r="OQR23" s="1902">
        <f t="shared" si="425"/>
        <v>0</v>
      </c>
      <c r="OQS23" s="1902">
        <f t="shared" si="425"/>
        <v>0</v>
      </c>
      <c r="OQT23" s="1902">
        <f t="shared" si="425"/>
        <v>0</v>
      </c>
      <c r="OQU23" s="1902">
        <f t="shared" si="425"/>
        <v>0</v>
      </c>
      <c r="OQV23" s="1902">
        <f t="shared" si="425"/>
        <v>0</v>
      </c>
      <c r="OQW23" s="1902">
        <f t="shared" si="425"/>
        <v>0</v>
      </c>
      <c r="OQX23" s="1902">
        <f t="shared" si="425"/>
        <v>0</v>
      </c>
      <c r="OQY23" s="1902">
        <f t="shared" si="425"/>
        <v>0</v>
      </c>
      <c r="OQZ23" s="1902">
        <f t="shared" si="425"/>
        <v>0</v>
      </c>
      <c r="ORA23" s="1902">
        <f t="shared" si="425"/>
        <v>0</v>
      </c>
      <c r="ORB23" s="1902">
        <f t="shared" si="425"/>
        <v>0</v>
      </c>
      <c r="ORC23" s="1902">
        <f t="shared" si="425"/>
        <v>0</v>
      </c>
      <c r="ORD23" s="1902">
        <f t="shared" si="425"/>
        <v>0</v>
      </c>
      <c r="ORE23" s="1902">
        <f t="shared" si="425"/>
        <v>0</v>
      </c>
      <c r="ORF23" s="1902">
        <f t="shared" si="425"/>
        <v>0</v>
      </c>
      <c r="ORG23" s="1902">
        <f t="shared" si="425"/>
        <v>0</v>
      </c>
      <c r="ORH23" s="1902">
        <f t="shared" si="425"/>
        <v>0</v>
      </c>
      <c r="ORI23" s="1902">
        <f t="shared" si="425"/>
        <v>0</v>
      </c>
      <c r="ORJ23" s="1902">
        <f t="shared" si="425"/>
        <v>0</v>
      </c>
      <c r="ORK23" s="1902">
        <f t="shared" si="425"/>
        <v>0</v>
      </c>
      <c r="ORL23" s="1902">
        <f t="shared" si="425"/>
        <v>0</v>
      </c>
      <c r="ORM23" s="1902">
        <f t="shared" si="425"/>
        <v>0</v>
      </c>
      <c r="ORN23" s="1902">
        <f t="shared" si="425"/>
        <v>0</v>
      </c>
      <c r="ORO23" s="1902">
        <f t="shared" si="425"/>
        <v>0</v>
      </c>
      <c r="ORP23" s="1902">
        <f t="shared" si="425"/>
        <v>0</v>
      </c>
      <c r="ORQ23" s="1902">
        <f t="shared" si="425"/>
        <v>0</v>
      </c>
      <c r="ORR23" s="1902">
        <f t="shared" si="425"/>
        <v>0</v>
      </c>
      <c r="ORS23" s="1902">
        <f t="shared" si="425"/>
        <v>0</v>
      </c>
      <c r="ORT23" s="1902">
        <f t="shared" si="425"/>
        <v>0</v>
      </c>
      <c r="ORU23" s="1902">
        <f t="shared" si="425"/>
        <v>0</v>
      </c>
      <c r="ORV23" s="1902">
        <f t="shared" si="425"/>
        <v>0</v>
      </c>
      <c r="ORW23" s="1902">
        <f t="shared" si="425"/>
        <v>0</v>
      </c>
      <c r="ORX23" s="1902">
        <f t="shared" si="425"/>
        <v>0</v>
      </c>
      <c r="ORY23" s="1902">
        <f t="shared" si="425"/>
        <v>0</v>
      </c>
      <c r="ORZ23" s="1902">
        <f t="shared" si="425"/>
        <v>0</v>
      </c>
      <c r="OSA23" s="1902">
        <f t="shared" ref="OSA23:OUL23" si="426">IF(AND(OSA$26="End of period",OSA$25="Revenue"),OSA10,0)</f>
        <v>0</v>
      </c>
      <c r="OSB23" s="1902">
        <f t="shared" si="426"/>
        <v>0</v>
      </c>
      <c r="OSC23" s="1902">
        <f t="shared" si="426"/>
        <v>0</v>
      </c>
      <c r="OSD23" s="1902">
        <f t="shared" si="426"/>
        <v>0</v>
      </c>
      <c r="OSE23" s="1902">
        <f t="shared" si="426"/>
        <v>0</v>
      </c>
      <c r="OSF23" s="1902">
        <f t="shared" si="426"/>
        <v>0</v>
      </c>
      <c r="OSG23" s="1902">
        <f t="shared" si="426"/>
        <v>0</v>
      </c>
      <c r="OSH23" s="1902">
        <f t="shared" si="426"/>
        <v>0</v>
      </c>
      <c r="OSI23" s="1902">
        <f t="shared" si="426"/>
        <v>0</v>
      </c>
      <c r="OSJ23" s="1902">
        <f t="shared" si="426"/>
        <v>0</v>
      </c>
      <c r="OSK23" s="1902">
        <f t="shared" si="426"/>
        <v>0</v>
      </c>
      <c r="OSL23" s="1902">
        <f t="shared" si="426"/>
        <v>0</v>
      </c>
      <c r="OSM23" s="1902">
        <f t="shared" si="426"/>
        <v>0</v>
      </c>
      <c r="OSN23" s="1902">
        <f t="shared" si="426"/>
        <v>0</v>
      </c>
      <c r="OSO23" s="1902">
        <f t="shared" si="426"/>
        <v>0</v>
      </c>
      <c r="OSP23" s="1902">
        <f t="shared" si="426"/>
        <v>0</v>
      </c>
      <c r="OSQ23" s="1902">
        <f t="shared" si="426"/>
        <v>0</v>
      </c>
      <c r="OSR23" s="1902">
        <f t="shared" si="426"/>
        <v>0</v>
      </c>
      <c r="OSS23" s="1902">
        <f t="shared" si="426"/>
        <v>0</v>
      </c>
      <c r="OST23" s="1902">
        <f t="shared" si="426"/>
        <v>0</v>
      </c>
      <c r="OSU23" s="1902">
        <f t="shared" si="426"/>
        <v>0</v>
      </c>
      <c r="OSV23" s="1902">
        <f t="shared" si="426"/>
        <v>0</v>
      </c>
      <c r="OSW23" s="1902">
        <f t="shared" si="426"/>
        <v>0</v>
      </c>
      <c r="OSX23" s="1902">
        <f t="shared" si="426"/>
        <v>0</v>
      </c>
      <c r="OSY23" s="1902">
        <f t="shared" si="426"/>
        <v>0</v>
      </c>
      <c r="OSZ23" s="1902">
        <f t="shared" si="426"/>
        <v>0</v>
      </c>
      <c r="OTA23" s="1902">
        <f t="shared" si="426"/>
        <v>0</v>
      </c>
      <c r="OTB23" s="1902">
        <f t="shared" si="426"/>
        <v>0</v>
      </c>
      <c r="OTC23" s="1902">
        <f t="shared" si="426"/>
        <v>0</v>
      </c>
      <c r="OTD23" s="1902">
        <f t="shared" si="426"/>
        <v>0</v>
      </c>
      <c r="OTE23" s="1902">
        <f t="shared" si="426"/>
        <v>0</v>
      </c>
      <c r="OTF23" s="1902">
        <f t="shared" si="426"/>
        <v>0</v>
      </c>
      <c r="OTG23" s="1902">
        <f t="shared" si="426"/>
        <v>0</v>
      </c>
      <c r="OTH23" s="1902">
        <f t="shared" si="426"/>
        <v>0</v>
      </c>
      <c r="OTI23" s="1902">
        <f t="shared" si="426"/>
        <v>0</v>
      </c>
      <c r="OTJ23" s="1902">
        <f t="shared" si="426"/>
        <v>0</v>
      </c>
      <c r="OTK23" s="1902">
        <f t="shared" si="426"/>
        <v>0</v>
      </c>
      <c r="OTL23" s="1902">
        <f t="shared" si="426"/>
        <v>0</v>
      </c>
      <c r="OTM23" s="1902">
        <f t="shared" si="426"/>
        <v>0</v>
      </c>
      <c r="OTN23" s="1902">
        <f t="shared" si="426"/>
        <v>0</v>
      </c>
      <c r="OTO23" s="1902">
        <f t="shared" si="426"/>
        <v>0</v>
      </c>
      <c r="OTP23" s="1902">
        <f t="shared" si="426"/>
        <v>0</v>
      </c>
      <c r="OTQ23" s="1902">
        <f t="shared" si="426"/>
        <v>0</v>
      </c>
      <c r="OTR23" s="1902">
        <f t="shared" si="426"/>
        <v>0</v>
      </c>
      <c r="OTS23" s="1902">
        <f t="shared" si="426"/>
        <v>0</v>
      </c>
      <c r="OTT23" s="1902">
        <f t="shared" si="426"/>
        <v>0</v>
      </c>
      <c r="OTU23" s="1902">
        <f t="shared" si="426"/>
        <v>0</v>
      </c>
      <c r="OTV23" s="1902">
        <f t="shared" si="426"/>
        <v>0</v>
      </c>
      <c r="OTW23" s="1902">
        <f t="shared" si="426"/>
        <v>0</v>
      </c>
      <c r="OTX23" s="1902">
        <f t="shared" si="426"/>
        <v>0</v>
      </c>
      <c r="OTY23" s="1902">
        <f t="shared" si="426"/>
        <v>0</v>
      </c>
      <c r="OTZ23" s="1902">
        <f t="shared" si="426"/>
        <v>0</v>
      </c>
      <c r="OUA23" s="1902">
        <f t="shared" si="426"/>
        <v>0</v>
      </c>
      <c r="OUB23" s="1902">
        <f t="shared" si="426"/>
        <v>0</v>
      </c>
      <c r="OUC23" s="1902">
        <f t="shared" si="426"/>
        <v>0</v>
      </c>
      <c r="OUD23" s="1902">
        <f t="shared" si="426"/>
        <v>0</v>
      </c>
      <c r="OUE23" s="1902">
        <f t="shared" si="426"/>
        <v>0</v>
      </c>
      <c r="OUF23" s="1902">
        <f t="shared" si="426"/>
        <v>0</v>
      </c>
      <c r="OUG23" s="1902">
        <f t="shared" si="426"/>
        <v>0</v>
      </c>
      <c r="OUH23" s="1902">
        <f t="shared" si="426"/>
        <v>0</v>
      </c>
      <c r="OUI23" s="1902">
        <f t="shared" si="426"/>
        <v>0</v>
      </c>
      <c r="OUJ23" s="1902">
        <f t="shared" si="426"/>
        <v>0</v>
      </c>
      <c r="OUK23" s="1902">
        <f t="shared" si="426"/>
        <v>0</v>
      </c>
      <c r="OUL23" s="1902">
        <f t="shared" si="426"/>
        <v>0</v>
      </c>
      <c r="OUM23" s="1902">
        <f t="shared" ref="OUM23:OWX23" si="427">IF(AND(OUM$26="End of period",OUM$25="Revenue"),OUM10,0)</f>
        <v>0</v>
      </c>
      <c r="OUN23" s="1902">
        <f t="shared" si="427"/>
        <v>0</v>
      </c>
      <c r="OUO23" s="1902">
        <f t="shared" si="427"/>
        <v>0</v>
      </c>
      <c r="OUP23" s="1902">
        <f t="shared" si="427"/>
        <v>0</v>
      </c>
      <c r="OUQ23" s="1902">
        <f t="shared" si="427"/>
        <v>0</v>
      </c>
      <c r="OUR23" s="1902">
        <f t="shared" si="427"/>
        <v>0</v>
      </c>
      <c r="OUS23" s="1902">
        <f t="shared" si="427"/>
        <v>0</v>
      </c>
      <c r="OUT23" s="1902">
        <f t="shared" si="427"/>
        <v>0</v>
      </c>
      <c r="OUU23" s="1902">
        <f t="shared" si="427"/>
        <v>0</v>
      </c>
      <c r="OUV23" s="1902">
        <f t="shared" si="427"/>
        <v>0</v>
      </c>
      <c r="OUW23" s="1902">
        <f t="shared" si="427"/>
        <v>0</v>
      </c>
      <c r="OUX23" s="1902">
        <f t="shared" si="427"/>
        <v>0</v>
      </c>
      <c r="OUY23" s="1902">
        <f t="shared" si="427"/>
        <v>0</v>
      </c>
      <c r="OUZ23" s="1902">
        <f t="shared" si="427"/>
        <v>0</v>
      </c>
      <c r="OVA23" s="1902">
        <f t="shared" si="427"/>
        <v>0</v>
      </c>
      <c r="OVB23" s="1902">
        <f t="shared" si="427"/>
        <v>0</v>
      </c>
      <c r="OVC23" s="1902">
        <f t="shared" si="427"/>
        <v>0</v>
      </c>
      <c r="OVD23" s="1902">
        <f t="shared" si="427"/>
        <v>0</v>
      </c>
      <c r="OVE23" s="1902">
        <f t="shared" si="427"/>
        <v>0</v>
      </c>
      <c r="OVF23" s="1902">
        <f t="shared" si="427"/>
        <v>0</v>
      </c>
      <c r="OVG23" s="1902">
        <f t="shared" si="427"/>
        <v>0</v>
      </c>
      <c r="OVH23" s="1902">
        <f t="shared" si="427"/>
        <v>0</v>
      </c>
      <c r="OVI23" s="1902">
        <f t="shared" si="427"/>
        <v>0</v>
      </c>
      <c r="OVJ23" s="1902">
        <f t="shared" si="427"/>
        <v>0</v>
      </c>
      <c r="OVK23" s="1902">
        <f t="shared" si="427"/>
        <v>0</v>
      </c>
      <c r="OVL23" s="1902">
        <f t="shared" si="427"/>
        <v>0</v>
      </c>
      <c r="OVM23" s="1902">
        <f t="shared" si="427"/>
        <v>0</v>
      </c>
      <c r="OVN23" s="1902">
        <f t="shared" si="427"/>
        <v>0</v>
      </c>
      <c r="OVO23" s="1902">
        <f t="shared" si="427"/>
        <v>0</v>
      </c>
      <c r="OVP23" s="1902">
        <f t="shared" si="427"/>
        <v>0</v>
      </c>
      <c r="OVQ23" s="1902">
        <f t="shared" si="427"/>
        <v>0</v>
      </c>
      <c r="OVR23" s="1902">
        <f t="shared" si="427"/>
        <v>0</v>
      </c>
      <c r="OVS23" s="1902">
        <f t="shared" si="427"/>
        <v>0</v>
      </c>
      <c r="OVT23" s="1902">
        <f t="shared" si="427"/>
        <v>0</v>
      </c>
      <c r="OVU23" s="1902">
        <f t="shared" si="427"/>
        <v>0</v>
      </c>
      <c r="OVV23" s="1902">
        <f t="shared" si="427"/>
        <v>0</v>
      </c>
      <c r="OVW23" s="1902">
        <f t="shared" si="427"/>
        <v>0</v>
      </c>
      <c r="OVX23" s="1902">
        <f t="shared" si="427"/>
        <v>0</v>
      </c>
      <c r="OVY23" s="1902">
        <f t="shared" si="427"/>
        <v>0</v>
      </c>
      <c r="OVZ23" s="1902">
        <f t="shared" si="427"/>
        <v>0</v>
      </c>
      <c r="OWA23" s="1902">
        <f t="shared" si="427"/>
        <v>0</v>
      </c>
      <c r="OWB23" s="1902">
        <f t="shared" si="427"/>
        <v>0</v>
      </c>
      <c r="OWC23" s="1902">
        <f t="shared" si="427"/>
        <v>0</v>
      </c>
      <c r="OWD23" s="1902">
        <f t="shared" si="427"/>
        <v>0</v>
      </c>
      <c r="OWE23" s="1902">
        <f t="shared" si="427"/>
        <v>0</v>
      </c>
      <c r="OWF23" s="1902">
        <f t="shared" si="427"/>
        <v>0</v>
      </c>
      <c r="OWG23" s="1902">
        <f t="shared" si="427"/>
        <v>0</v>
      </c>
      <c r="OWH23" s="1902">
        <f t="shared" si="427"/>
        <v>0</v>
      </c>
      <c r="OWI23" s="1902">
        <f t="shared" si="427"/>
        <v>0</v>
      </c>
      <c r="OWJ23" s="1902">
        <f t="shared" si="427"/>
        <v>0</v>
      </c>
      <c r="OWK23" s="1902">
        <f t="shared" si="427"/>
        <v>0</v>
      </c>
      <c r="OWL23" s="1902">
        <f t="shared" si="427"/>
        <v>0</v>
      </c>
      <c r="OWM23" s="1902">
        <f t="shared" si="427"/>
        <v>0</v>
      </c>
      <c r="OWN23" s="1902">
        <f t="shared" si="427"/>
        <v>0</v>
      </c>
      <c r="OWO23" s="1902">
        <f t="shared" si="427"/>
        <v>0</v>
      </c>
      <c r="OWP23" s="1902">
        <f t="shared" si="427"/>
        <v>0</v>
      </c>
      <c r="OWQ23" s="1902">
        <f t="shared" si="427"/>
        <v>0</v>
      </c>
      <c r="OWR23" s="1902">
        <f t="shared" si="427"/>
        <v>0</v>
      </c>
      <c r="OWS23" s="1902">
        <f t="shared" si="427"/>
        <v>0</v>
      </c>
      <c r="OWT23" s="1902">
        <f t="shared" si="427"/>
        <v>0</v>
      </c>
      <c r="OWU23" s="1902">
        <f t="shared" si="427"/>
        <v>0</v>
      </c>
      <c r="OWV23" s="1902">
        <f t="shared" si="427"/>
        <v>0</v>
      </c>
      <c r="OWW23" s="1902">
        <f t="shared" si="427"/>
        <v>0</v>
      </c>
      <c r="OWX23" s="1902">
        <f t="shared" si="427"/>
        <v>0</v>
      </c>
      <c r="OWY23" s="1902">
        <f t="shared" ref="OWY23:OZJ23" si="428">IF(AND(OWY$26="End of period",OWY$25="Revenue"),OWY10,0)</f>
        <v>0</v>
      </c>
      <c r="OWZ23" s="1902">
        <f t="shared" si="428"/>
        <v>0</v>
      </c>
      <c r="OXA23" s="1902">
        <f t="shared" si="428"/>
        <v>0</v>
      </c>
      <c r="OXB23" s="1902">
        <f t="shared" si="428"/>
        <v>0</v>
      </c>
      <c r="OXC23" s="1902">
        <f t="shared" si="428"/>
        <v>0</v>
      </c>
      <c r="OXD23" s="1902">
        <f t="shared" si="428"/>
        <v>0</v>
      </c>
      <c r="OXE23" s="1902">
        <f t="shared" si="428"/>
        <v>0</v>
      </c>
      <c r="OXF23" s="1902">
        <f t="shared" si="428"/>
        <v>0</v>
      </c>
      <c r="OXG23" s="1902">
        <f t="shared" si="428"/>
        <v>0</v>
      </c>
      <c r="OXH23" s="1902">
        <f t="shared" si="428"/>
        <v>0</v>
      </c>
      <c r="OXI23" s="1902">
        <f t="shared" si="428"/>
        <v>0</v>
      </c>
      <c r="OXJ23" s="1902">
        <f t="shared" si="428"/>
        <v>0</v>
      </c>
      <c r="OXK23" s="1902">
        <f t="shared" si="428"/>
        <v>0</v>
      </c>
      <c r="OXL23" s="1902">
        <f t="shared" si="428"/>
        <v>0</v>
      </c>
      <c r="OXM23" s="1902">
        <f t="shared" si="428"/>
        <v>0</v>
      </c>
      <c r="OXN23" s="1902">
        <f t="shared" si="428"/>
        <v>0</v>
      </c>
      <c r="OXO23" s="1902">
        <f t="shared" si="428"/>
        <v>0</v>
      </c>
      <c r="OXP23" s="1902">
        <f t="shared" si="428"/>
        <v>0</v>
      </c>
      <c r="OXQ23" s="1902">
        <f t="shared" si="428"/>
        <v>0</v>
      </c>
      <c r="OXR23" s="1902">
        <f t="shared" si="428"/>
        <v>0</v>
      </c>
      <c r="OXS23" s="1902">
        <f t="shared" si="428"/>
        <v>0</v>
      </c>
      <c r="OXT23" s="1902">
        <f t="shared" si="428"/>
        <v>0</v>
      </c>
      <c r="OXU23" s="1902">
        <f t="shared" si="428"/>
        <v>0</v>
      </c>
      <c r="OXV23" s="1902">
        <f t="shared" si="428"/>
        <v>0</v>
      </c>
      <c r="OXW23" s="1902">
        <f t="shared" si="428"/>
        <v>0</v>
      </c>
      <c r="OXX23" s="1902">
        <f t="shared" si="428"/>
        <v>0</v>
      </c>
      <c r="OXY23" s="1902">
        <f t="shared" si="428"/>
        <v>0</v>
      </c>
      <c r="OXZ23" s="1902">
        <f t="shared" si="428"/>
        <v>0</v>
      </c>
      <c r="OYA23" s="1902">
        <f t="shared" si="428"/>
        <v>0</v>
      </c>
      <c r="OYB23" s="1902">
        <f t="shared" si="428"/>
        <v>0</v>
      </c>
      <c r="OYC23" s="1902">
        <f t="shared" si="428"/>
        <v>0</v>
      </c>
      <c r="OYD23" s="1902">
        <f t="shared" si="428"/>
        <v>0</v>
      </c>
      <c r="OYE23" s="1902">
        <f t="shared" si="428"/>
        <v>0</v>
      </c>
      <c r="OYF23" s="1902">
        <f t="shared" si="428"/>
        <v>0</v>
      </c>
      <c r="OYG23" s="1902">
        <f t="shared" si="428"/>
        <v>0</v>
      </c>
      <c r="OYH23" s="1902">
        <f t="shared" si="428"/>
        <v>0</v>
      </c>
      <c r="OYI23" s="1902">
        <f t="shared" si="428"/>
        <v>0</v>
      </c>
      <c r="OYJ23" s="1902">
        <f t="shared" si="428"/>
        <v>0</v>
      </c>
      <c r="OYK23" s="1902">
        <f t="shared" si="428"/>
        <v>0</v>
      </c>
      <c r="OYL23" s="1902">
        <f t="shared" si="428"/>
        <v>0</v>
      </c>
      <c r="OYM23" s="1902">
        <f t="shared" si="428"/>
        <v>0</v>
      </c>
      <c r="OYN23" s="1902">
        <f t="shared" si="428"/>
        <v>0</v>
      </c>
      <c r="OYO23" s="1902">
        <f t="shared" si="428"/>
        <v>0</v>
      </c>
      <c r="OYP23" s="1902">
        <f t="shared" si="428"/>
        <v>0</v>
      </c>
      <c r="OYQ23" s="1902">
        <f t="shared" si="428"/>
        <v>0</v>
      </c>
      <c r="OYR23" s="1902">
        <f t="shared" si="428"/>
        <v>0</v>
      </c>
      <c r="OYS23" s="1902">
        <f t="shared" si="428"/>
        <v>0</v>
      </c>
      <c r="OYT23" s="1902">
        <f t="shared" si="428"/>
        <v>0</v>
      </c>
      <c r="OYU23" s="1902">
        <f t="shared" si="428"/>
        <v>0</v>
      </c>
      <c r="OYV23" s="1902">
        <f t="shared" si="428"/>
        <v>0</v>
      </c>
      <c r="OYW23" s="1902">
        <f t="shared" si="428"/>
        <v>0</v>
      </c>
      <c r="OYX23" s="1902">
        <f t="shared" si="428"/>
        <v>0</v>
      </c>
      <c r="OYY23" s="1902">
        <f t="shared" si="428"/>
        <v>0</v>
      </c>
      <c r="OYZ23" s="1902">
        <f t="shared" si="428"/>
        <v>0</v>
      </c>
      <c r="OZA23" s="1902">
        <f t="shared" si="428"/>
        <v>0</v>
      </c>
      <c r="OZB23" s="1902">
        <f t="shared" si="428"/>
        <v>0</v>
      </c>
      <c r="OZC23" s="1902">
        <f t="shared" si="428"/>
        <v>0</v>
      </c>
      <c r="OZD23" s="1902">
        <f t="shared" si="428"/>
        <v>0</v>
      </c>
      <c r="OZE23" s="1902">
        <f t="shared" si="428"/>
        <v>0</v>
      </c>
      <c r="OZF23" s="1902">
        <f t="shared" si="428"/>
        <v>0</v>
      </c>
      <c r="OZG23" s="1902">
        <f t="shared" si="428"/>
        <v>0</v>
      </c>
      <c r="OZH23" s="1902">
        <f t="shared" si="428"/>
        <v>0</v>
      </c>
      <c r="OZI23" s="1902">
        <f t="shared" si="428"/>
        <v>0</v>
      </c>
      <c r="OZJ23" s="1902">
        <f t="shared" si="428"/>
        <v>0</v>
      </c>
      <c r="OZK23" s="1902">
        <f t="shared" ref="OZK23:PBV23" si="429">IF(AND(OZK$26="End of period",OZK$25="Revenue"),OZK10,0)</f>
        <v>0</v>
      </c>
      <c r="OZL23" s="1902">
        <f t="shared" si="429"/>
        <v>0</v>
      </c>
      <c r="OZM23" s="1902">
        <f t="shared" si="429"/>
        <v>0</v>
      </c>
      <c r="OZN23" s="1902">
        <f t="shared" si="429"/>
        <v>0</v>
      </c>
      <c r="OZO23" s="1902">
        <f t="shared" si="429"/>
        <v>0</v>
      </c>
      <c r="OZP23" s="1902">
        <f t="shared" si="429"/>
        <v>0</v>
      </c>
      <c r="OZQ23" s="1902">
        <f t="shared" si="429"/>
        <v>0</v>
      </c>
      <c r="OZR23" s="1902">
        <f t="shared" si="429"/>
        <v>0</v>
      </c>
      <c r="OZS23" s="1902">
        <f t="shared" si="429"/>
        <v>0</v>
      </c>
      <c r="OZT23" s="1902">
        <f t="shared" si="429"/>
        <v>0</v>
      </c>
      <c r="OZU23" s="1902">
        <f t="shared" si="429"/>
        <v>0</v>
      </c>
      <c r="OZV23" s="1902">
        <f t="shared" si="429"/>
        <v>0</v>
      </c>
      <c r="OZW23" s="1902">
        <f t="shared" si="429"/>
        <v>0</v>
      </c>
      <c r="OZX23" s="1902">
        <f t="shared" si="429"/>
        <v>0</v>
      </c>
      <c r="OZY23" s="1902">
        <f t="shared" si="429"/>
        <v>0</v>
      </c>
      <c r="OZZ23" s="1902">
        <f t="shared" si="429"/>
        <v>0</v>
      </c>
      <c r="PAA23" s="1902">
        <f t="shared" si="429"/>
        <v>0</v>
      </c>
      <c r="PAB23" s="1902">
        <f t="shared" si="429"/>
        <v>0</v>
      </c>
      <c r="PAC23" s="1902">
        <f t="shared" si="429"/>
        <v>0</v>
      </c>
      <c r="PAD23" s="1902">
        <f t="shared" si="429"/>
        <v>0</v>
      </c>
      <c r="PAE23" s="1902">
        <f t="shared" si="429"/>
        <v>0</v>
      </c>
      <c r="PAF23" s="1902">
        <f t="shared" si="429"/>
        <v>0</v>
      </c>
      <c r="PAG23" s="1902">
        <f t="shared" si="429"/>
        <v>0</v>
      </c>
      <c r="PAH23" s="1902">
        <f t="shared" si="429"/>
        <v>0</v>
      </c>
      <c r="PAI23" s="1902">
        <f t="shared" si="429"/>
        <v>0</v>
      </c>
      <c r="PAJ23" s="1902">
        <f t="shared" si="429"/>
        <v>0</v>
      </c>
      <c r="PAK23" s="1902">
        <f t="shared" si="429"/>
        <v>0</v>
      </c>
      <c r="PAL23" s="1902">
        <f t="shared" si="429"/>
        <v>0</v>
      </c>
      <c r="PAM23" s="1902">
        <f t="shared" si="429"/>
        <v>0</v>
      </c>
      <c r="PAN23" s="1902">
        <f t="shared" si="429"/>
        <v>0</v>
      </c>
      <c r="PAO23" s="1902">
        <f t="shared" si="429"/>
        <v>0</v>
      </c>
      <c r="PAP23" s="1902">
        <f t="shared" si="429"/>
        <v>0</v>
      </c>
      <c r="PAQ23" s="1902">
        <f t="shared" si="429"/>
        <v>0</v>
      </c>
      <c r="PAR23" s="1902">
        <f t="shared" si="429"/>
        <v>0</v>
      </c>
      <c r="PAS23" s="1902">
        <f t="shared" si="429"/>
        <v>0</v>
      </c>
      <c r="PAT23" s="1902">
        <f t="shared" si="429"/>
        <v>0</v>
      </c>
      <c r="PAU23" s="1902">
        <f t="shared" si="429"/>
        <v>0</v>
      </c>
      <c r="PAV23" s="1902">
        <f t="shared" si="429"/>
        <v>0</v>
      </c>
      <c r="PAW23" s="1902">
        <f t="shared" si="429"/>
        <v>0</v>
      </c>
      <c r="PAX23" s="1902">
        <f t="shared" si="429"/>
        <v>0</v>
      </c>
      <c r="PAY23" s="1902">
        <f t="shared" si="429"/>
        <v>0</v>
      </c>
      <c r="PAZ23" s="1902">
        <f t="shared" si="429"/>
        <v>0</v>
      </c>
      <c r="PBA23" s="1902">
        <f t="shared" si="429"/>
        <v>0</v>
      </c>
      <c r="PBB23" s="1902">
        <f t="shared" si="429"/>
        <v>0</v>
      </c>
      <c r="PBC23" s="1902">
        <f t="shared" si="429"/>
        <v>0</v>
      </c>
      <c r="PBD23" s="1902">
        <f t="shared" si="429"/>
        <v>0</v>
      </c>
      <c r="PBE23" s="1902">
        <f t="shared" si="429"/>
        <v>0</v>
      </c>
      <c r="PBF23" s="1902">
        <f t="shared" si="429"/>
        <v>0</v>
      </c>
      <c r="PBG23" s="1902">
        <f t="shared" si="429"/>
        <v>0</v>
      </c>
      <c r="PBH23" s="1902">
        <f t="shared" si="429"/>
        <v>0</v>
      </c>
      <c r="PBI23" s="1902">
        <f t="shared" si="429"/>
        <v>0</v>
      </c>
      <c r="PBJ23" s="1902">
        <f t="shared" si="429"/>
        <v>0</v>
      </c>
      <c r="PBK23" s="1902">
        <f t="shared" si="429"/>
        <v>0</v>
      </c>
      <c r="PBL23" s="1902">
        <f t="shared" si="429"/>
        <v>0</v>
      </c>
      <c r="PBM23" s="1902">
        <f t="shared" si="429"/>
        <v>0</v>
      </c>
      <c r="PBN23" s="1902">
        <f t="shared" si="429"/>
        <v>0</v>
      </c>
      <c r="PBO23" s="1902">
        <f t="shared" si="429"/>
        <v>0</v>
      </c>
      <c r="PBP23" s="1902">
        <f t="shared" si="429"/>
        <v>0</v>
      </c>
      <c r="PBQ23" s="1902">
        <f t="shared" si="429"/>
        <v>0</v>
      </c>
      <c r="PBR23" s="1902">
        <f t="shared" si="429"/>
        <v>0</v>
      </c>
      <c r="PBS23" s="1902">
        <f t="shared" si="429"/>
        <v>0</v>
      </c>
      <c r="PBT23" s="1902">
        <f t="shared" si="429"/>
        <v>0</v>
      </c>
      <c r="PBU23" s="1902">
        <f t="shared" si="429"/>
        <v>0</v>
      </c>
      <c r="PBV23" s="1902">
        <f t="shared" si="429"/>
        <v>0</v>
      </c>
      <c r="PBW23" s="1902">
        <f t="shared" ref="PBW23:PEH23" si="430">IF(AND(PBW$26="End of period",PBW$25="Revenue"),PBW10,0)</f>
        <v>0</v>
      </c>
      <c r="PBX23" s="1902">
        <f t="shared" si="430"/>
        <v>0</v>
      </c>
      <c r="PBY23" s="1902">
        <f t="shared" si="430"/>
        <v>0</v>
      </c>
      <c r="PBZ23" s="1902">
        <f t="shared" si="430"/>
        <v>0</v>
      </c>
      <c r="PCA23" s="1902">
        <f t="shared" si="430"/>
        <v>0</v>
      </c>
      <c r="PCB23" s="1902">
        <f t="shared" si="430"/>
        <v>0</v>
      </c>
      <c r="PCC23" s="1902">
        <f t="shared" si="430"/>
        <v>0</v>
      </c>
      <c r="PCD23" s="1902">
        <f t="shared" si="430"/>
        <v>0</v>
      </c>
      <c r="PCE23" s="1902">
        <f t="shared" si="430"/>
        <v>0</v>
      </c>
      <c r="PCF23" s="1902">
        <f t="shared" si="430"/>
        <v>0</v>
      </c>
      <c r="PCG23" s="1902">
        <f t="shared" si="430"/>
        <v>0</v>
      </c>
      <c r="PCH23" s="1902">
        <f t="shared" si="430"/>
        <v>0</v>
      </c>
      <c r="PCI23" s="1902">
        <f t="shared" si="430"/>
        <v>0</v>
      </c>
      <c r="PCJ23" s="1902">
        <f t="shared" si="430"/>
        <v>0</v>
      </c>
      <c r="PCK23" s="1902">
        <f t="shared" si="430"/>
        <v>0</v>
      </c>
      <c r="PCL23" s="1902">
        <f t="shared" si="430"/>
        <v>0</v>
      </c>
      <c r="PCM23" s="1902">
        <f t="shared" si="430"/>
        <v>0</v>
      </c>
      <c r="PCN23" s="1902">
        <f t="shared" si="430"/>
        <v>0</v>
      </c>
      <c r="PCO23" s="1902">
        <f t="shared" si="430"/>
        <v>0</v>
      </c>
      <c r="PCP23" s="1902">
        <f t="shared" si="430"/>
        <v>0</v>
      </c>
      <c r="PCQ23" s="1902">
        <f t="shared" si="430"/>
        <v>0</v>
      </c>
      <c r="PCR23" s="1902">
        <f t="shared" si="430"/>
        <v>0</v>
      </c>
      <c r="PCS23" s="1902">
        <f t="shared" si="430"/>
        <v>0</v>
      </c>
      <c r="PCT23" s="1902">
        <f t="shared" si="430"/>
        <v>0</v>
      </c>
      <c r="PCU23" s="1902">
        <f t="shared" si="430"/>
        <v>0</v>
      </c>
      <c r="PCV23" s="1902">
        <f t="shared" si="430"/>
        <v>0</v>
      </c>
      <c r="PCW23" s="1902">
        <f t="shared" si="430"/>
        <v>0</v>
      </c>
      <c r="PCX23" s="1902">
        <f t="shared" si="430"/>
        <v>0</v>
      </c>
      <c r="PCY23" s="1902">
        <f t="shared" si="430"/>
        <v>0</v>
      </c>
      <c r="PCZ23" s="1902">
        <f t="shared" si="430"/>
        <v>0</v>
      </c>
      <c r="PDA23" s="1902">
        <f t="shared" si="430"/>
        <v>0</v>
      </c>
      <c r="PDB23" s="1902">
        <f t="shared" si="430"/>
        <v>0</v>
      </c>
      <c r="PDC23" s="1902">
        <f t="shared" si="430"/>
        <v>0</v>
      </c>
      <c r="PDD23" s="1902">
        <f t="shared" si="430"/>
        <v>0</v>
      </c>
      <c r="PDE23" s="1902">
        <f t="shared" si="430"/>
        <v>0</v>
      </c>
      <c r="PDF23" s="1902">
        <f t="shared" si="430"/>
        <v>0</v>
      </c>
      <c r="PDG23" s="1902">
        <f t="shared" si="430"/>
        <v>0</v>
      </c>
      <c r="PDH23" s="1902">
        <f t="shared" si="430"/>
        <v>0</v>
      </c>
      <c r="PDI23" s="1902">
        <f t="shared" si="430"/>
        <v>0</v>
      </c>
      <c r="PDJ23" s="1902">
        <f t="shared" si="430"/>
        <v>0</v>
      </c>
      <c r="PDK23" s="1902">
        <f t="shared" si="430"/>
        <v>0</v>
      </c>
      <c r="PDL23" s="1902">
        <f t="shared" si="430"/>
        <v>0</v>
      </c>
      <c r="PDM23" s="1902">
        <f t="shared" si="430"/>
        <v>0</v>
      </c>
      <c r="PDN23" s="1902">
        <f t="shared" si="430"/>
        <v>0</v>
      </c>
      <c r="PDO23" s="1902">
        <f t="shared" si="430"/>
        <v>0</v>
      </c>
      <c r="PDP23" s="1902">
        <f t="shared" si="430"/>
        <v>0</v>
      </c>
      <c r="PDQ23" s="1902">
        <f t="shared" si="430"/>
        <v>0</v>
      </c>
      <c r="PDR23" s="1902">
        <f t="shared" si="430"/>
        <v>0</v>
      </c>
      <c r="PDS23" s="1902">
        <f t="shared" si="430"/>
        <v>0</v>
      </c>
      <c r="PDT23" s="1902">
        <f t="shared" si="430"/>
        <v>0</v>
      </c>
      <c r="PDU23" s="1902">
        <f t="shared" si="430"/>
        <v>0</v>
      </c>
      <c r="PDV23" s="1902">
        <f t="shared" si="430"/>
        <v>0</v>
      </c>
      <c r="PDW23" s="1902">
        <f t="shared" si="430"/>
        <v>0</v>
      </c>
      <c r="PDX23" s="1902">
        <f t="shared" si="430"/>
        <v>0</v>
      </c>
      <c r="PDY23" s="1902">
        <f t="shared" si="430"/>
        <v>0</v>
      </c>
      <c r="PDZ23" s="1902">
        <f t="shared" si="430"/>
        <v>0</v>
      </c>
      <c r="PEA23" s="1902">
        <f t="shared" si="430"/>
        <v>0</v>
      </c>
      <c r="PEB23" s="1902">
        <f t="shared" si="430"/>
        <v>0</v>
      </c>
      <c r="PEC23" s="1902">
        <f t="shared" si="430"/>
        <v>0</v>
      </c>
      <c r="PED23" s="1902">
        <f t="shared" si="430"/>
        <v>0</v>
      </c>
      <c r="PEE23" s="1902">
        <f t="shared" si="430"/>
        <v>0</v>
      </c>
      <c r="PEF23" s="1902">
        <f t="shared" si="430"/>
        <v>0</v>
      </c>
      <c r="PEG23" s="1902">
        <f t="shared" si="430"/>
        <v>0</v>
      </c>
      <c r="PEH23" s="1902">
        <f t="shared" si="430"/>
        <v>0</v>
      </c>
      <c r="PEI23" s="1902">
        <f t="shared" ref="PEI23:PGT23" si="431">IF(AND(PEI$26="End of period",PEI$25="Revenue"),PEI10,0)</f>
        <v>0</v>
      </c>
      <c r="PEJ23" s="1902">
        <f t="shared" si="431"/>
        <v>0</v>
      </c>
      <c r="PEK23" s="1902">
        <f t="shared" si="431"/>
        <v>0</v>
      </c>
      <c r="PEL23" s="1902">
        <f t="shared" si="431"/>
        <v>0</v>
      </c>
      <c r="PEM23" s="1902">
        <f t="shared" si="431"/>
        <v>0</v>
      </c>
      <c r="PEN23" s="1902">
        <f t="shared" si="431"/>
        <v>0</v>
      </c>
      <c r="PEO23" s="1902">
        <f t="shared" si="431"/>
        <v>0</v>
      </c>
      <c r="PEP23" s="1902">
        <f t="shared" si="431"/>
        <v>0</v>
      </c>
      <c r="PEQ23" s="1902">
        <f t="shared" si="431"/>
        <v>0</v>
      </c>
      <c r="PER23" s="1902">
        <f t="shared" si="431"/>
        <v>0</v>
      </c>
      <c r="PES23" s="1902">
        <f t="shared" si="431"/>
        <v>0</v>
      </c>
      <c r="PET23" s="1902">
        <f t="shared" si="431"/>
        <v>0</v>
      </c>
      <c r="PEU23" s="1902">
        <f t="shared" si="431"/>
        <v>0</v>
      </c>
      <c r="PEV23" s="1902">
        <f t="shared" si="431"/>
        <v>0</v>
      </c>
      <c r="PEW23" s="1902">
        <f t="shared" si="431"/>
        <v>0</v>
      </c>
      <c r="PEX23" s="1902">
        <f t="shared" si="431"/>
        <v>0</v>
      </c>
      <c r="PEY23" s="1902">
        <f t="shared" si="431"/>
        <v>0</v>
      </c>
      <c r="PEZ23" s="1902">
        <f t="shared" si="431"/>
        <v>0</v>
      </c>
      <c r="PFA23" s="1902">
        <f t="shared" si="431"/>
        <v>0</v>
      </c>
      <c r="PFB23" s="1902">
        <f t="shared" si="431"/>
        <v>0</v>
      </c>
      <c r="PFC23" s="1902">
        <f t="shared" si="431"/>
        <v>0</v>
      </c>
      <c r="PFD23" s="1902">
        <f t="shared" si="431"/>
        <v>0</v>
      </c>
      <c r="PFE23" s="1902">
        <f t="shared" si="431"/>
        <v>0</v>
      </c>
      <c r="PFF23" s="1902">
        <f t="shared" si="431"/>
        <v>0</v>
      </c>
      <c r="PFG23" s="1902">
        <f t="shared" si="431"/>
        <v>0</v>
      </c>
      <c r="PFH23" s="1902">
        <f t="shared" si="431"/>
        <v>0</v>
      </c>
      <c r="PFI23" s="1902">
        <f t="shared" si="431"/>
        <v>0</v>
      </c>
      <c r="PFJ23" s="1902">
        <f t="shared" si="431"/>
        <v>0</v>
      </c>
      <c r="PFK23" s="1902">
        <f t="shared" si="431"/>
        <v>0</v>
      </c>
      <c r="PFL23" s="1902">
        <f t="shared" si="431"/>
        <v>0</v>
      </c>
      <c r="PFM23" s="1902">
        <f t="shared" si="431"/>
        <v>0</v>
      </c>
      <c r="PFN23" s="1902">
        <f t="shared" si="431"/>
        <v>0</v>
      </c>
      <c r="PFO23" s="1902">
        <f t="shared" si="431"/>
        <v>0</v>
      </c>
      <c r="PFP23" s="1902">
        <f t="shared" si="431"/>
        <v>0</v>
      </c>
      <c r="PFQ23" s="1902">
        <f t="shared" si="431"/>
        <v>0</v>
      </c>
      <c r="PFR23" s="1902">
        <f t="shared" si="431"/>
        <v>0</v>
      </c>
      <c r="PFS23" s="1902">
        <f t="shared" si="431"/>
        <v>0</v>
      </c>
      <c r="PFT23" s="1902">
        <f t="shared" si="431"/>
        <v>0</v>
      </c>
      <c r="PFU23" s="1902">
        <f t="shared" si="431"/>
        <v>0</v>
      </c>
      <c r="PFV23" s="1902">
        <f t="shared" si="431"/>
        <v>0</v>
      </c>
      <c r="PFW23" s="1902">
        <f t="shared" si="431"/>
        <v>0</v>
      </c>
      <c r="PFX23" s="1902">
        <f t="shared" si="431"/>
        <v>0</v>
      </c>
      <c r="PFY23" s="1902">
        <f t="shared" si="431"/>
        <v>0</v>
      </c>
      <c r="PFZ23" s="1902">
        <f t="shared" si="431"/>
        <v>0</v>
      </c>
      <c r="PGA23" s="1902">
        <f t="shared" si="431"/>
        <v>0</v>
      </c>
      <c r="PGB23" s="1902">
        <f t="shared" si="431"/>
        <v>0</v>
      </c>
      <c r="PGC23" s="1902">
        <f t="shared" si="431"/>
        <v>0</v>
      </c>
      <c r="PGD23" s="1902">
        <f t="shared" si="431"/>
        <v>0</v>
      </c>
      <c r="PGE23" s="1902">
        <f t="shared" si="431"/>
        <v>0</v>
      </c>
      <c r="PGF23" s="1902">
        <f t="shared" si="431"/>
        <v>0</v>
      </c>
      <c r="PGG23" s="1902">
        <f t="shared" si="431"/>
        <v>0</v>
      </c>
      <c r="PGH23" s="1902">
        <f t="shared" si="431"/>
        <v>0</v>
      </c>
      <c r="PGI23" s="1902">
        <f t="shared" si="431"/>
        <v>0</v>
      </c>
      <c r="PGJ23" s="1902">
        <f t="shared" si="431"/>
        <v>0</v>
      </c>
      <c r="PGK23" s="1902">
        <f t="shared" si="431"/>
        <v>0</v>
      </c>
      <c r="PGL23" s="1902">
        <f t="shared" si="431"/>
        <v>0</v>
      </c>
      <c r="PGM23" s="1902">
        <f t="shared" si="431"/>
        <v>0</v>
      </c>
      <c r="PGN23" s="1902">
        <f t="shared" si="431"/>
        <v>0</v>
      </c>
      <c r="PGO23" s="1902">
        <f t="shared" si="431"/>
        <v>0</v>
      </c>
      <c r="PGP23" s="1902">
        <f t="shared" si="431"/>
        <v>0</v>
      </c>
      <c r="PGQ23" s="1902">
        <f t="shared" si="431"/>
        <v>0</v>
      </c>
      <c r="PGR23" s="1902">
        <f t="shared" si="431"/>
        <v>0</v>
      </c>
      <c r="PGS23" s="1902">
        <f t="shared" si="431"/>
        <v>0</v>
      </c>
      <c r="PGT23" s="1902">
        <f t="shared" si="431"/>
        <v>0</v>
      </c>
      <c r="PGU23" s="1902">
        <f t="shared" ref="PGU23:PJF23" si="432">IF(AND(PGU$26="End of period",PGU$25="Revenue"),PGU10,0)</f>
        <v>0</v>
      </c>
      <c r="PGV23" s="1902">
        <f t="shared" si="432"/>
        <v>0</v>
      </c>
      <c r="PGW23" s="1902">
        <f t="shared" si="432"/>
        <v>0</v>
      </c>
      <c r="PGX23" s="1902">
        <f t="shared" si="432"/>
        <v>0</v>
      </c>
      <c r="PGY23" s="1902">
        <f t="shared" si="432"/>
        <v>0</v>
      </c>
      <c r="PGZ23" s="1902">
        <f t="shared" si="432"/>
        <v>0</v>
      </c>
      <c r="PHA23" s="1902">
        <f t="shared" si="432"/>
        <v>0</v>
      </c>
      <c r="PHB23" s="1902">
        <f t="shared" si="432"/>
        <v>0</v>
      </c>
      <c r="PHC23" s="1902">
        <f t="shared" si="432"/>
        <v>0</v>
      </c>
      <c r="PHD23" s="1902">
        <f t="shared" si="432"/>
        <v>0</v>
      </c>
      <c r="PHE23" s="1902">
        <f t="shared" si="432"/>
        <v>0</v>
      </c>
      <c r="PHF23" s="1902">
        <f t="shared" si="432"/>
        <v>0</v>
      </c>
      <c r="PHG23" s="1902">
        <f t="shared" si="432"/>
        <v>0</v>
      </c>
      <c r="PHH23" s="1902">
        <f t="shared" si="432"/>
        <v>0</v>
      </c>
      <c r="PHI23" s="1902">
        <f t="shared" si="432"/>
        <v>0</v>
      </c>
      <c r="PHJ23" s="1902">
        <f t="shared" si="432"/>
        <v>0</v>
      </c>
      <c r="PHK23" s="1902">
        <f t="shared" si="432"/>
        <v>0</v>
      </c>
      <c r="PHL23" s="1902">
        <f t="shared" si="432"/>
        <v>0</v>
      </c>
      <c r="PHM23" s="1902">
        <f t="shared" si="432"/>
        <v>0</v>
      </c>
      <c r="PHN23" s="1902">
        <f t="shared" si="432"/>
        <v>0</v>
      </c>
      <c r="PHO23" s="1902">
        <f t="shared" si="432"/>
        <v>0</v>
      </c>
      <c r="PHP23" s="1902">
        <f t="shared" si="432"/>
        <v>0</v>
      </c>
      <c r="PHQ23" s="1902">
        <f t="shared" si="432"/>
        <v>0</v>
      </c>
      <c r="PHR23" s="1902">
        <f t="shared" si="432"/>
        <v>0</v>
      </c>
      <c r="PHS23" s="1902">
        <f t="shared" si="432"/>
        <v>0</v>
      </c>
      <c r="PHT23" s="1902">
        <f t="shared" si="432"/>
        <v>0</v>
      </c>
      <c r="PHU23" s="1902">
        <f t="shared" si="432"/>
        <v>0</v>
      </c>
      <c r="PHV23" s="1902">
        <f t="shared" si="432"/>
        <v>0</v>
      </c>
      <c r="PHW23" s="1902">
        <f t="shared" si="432"/>
        <v>0</v>
      </c>
      <c r="PHX23" s="1902">
        <f t="shared" si="432"/>
        <v>0</v>
      </c>
      <c r="PHY23" s="1902">
        <f t="shared" si="432"/>
        <v>0</v>
      </c>
      <c r="PHZ23" s="1902">
        <f t="shared" si="432"/>
        <v>0</v>
      </c>
      <c r="PIA23" s="1902">
        <f t="shared" si="432"/>
        <v>0</v>
      </c>
      <c r="PIB23" s="1902">
        <f t="shared" si="432"/>
        <v>0</v>
      </c>
      <c r="PIC23" s="1902">
        <f t="shared" si="432"/>
        <v>0</v>
      </c>
      <c r="PID23" s="1902">
        <f t="shared" si="432"/>
        <v>0</v>
      </c>
      <c r="PIE23" s="1902">
        <f t="shared" si="432"/>
        <v>0</v>
      </c>
      <c r="PIF23" s="1902">
        <f t="shared" si="432"/>
        <v>0</v>
      </c>
      <c r="PIG23" s="1902">
        <f t="shared" si="432"/>
        <v>0</v>
      </c>
      <c r="PIH23" s="1902">
        <f t="shared" si="432"/>
        <v>0</v>
      </c>
      <c r="PII23" s="1902">
        <f t="shared" si="432"/>
        <v>0</v>
      </c>
      <c r="PIJ23" s="1902">
        <f t="shared" si="432"/>
        <v>0</v>
      </c>
      <c r="PIK23" s="1902">
        <f t="shared" si="432"/>
        <v>0</v>
      </c>
      <c r="PIL23" s="1902">
        <f t="shared" si="432"/>
        <v>0</v>
      </c>
      <c r="PIM23" s="1902">
        <f t="shared" si="432"/>
        <v>0</v>
      </c>
      <c r="PIN23" s="1902">
        <f t="shared" si="432"/>
        <v>0</v>
      </c>
      <c r="PIO23" s="1902">
        <f t="shared" si="432"/>
        <v>0</v>
      </c>
      <c r="PIP23" s="1902">
        <f t="shared" si="432"/>
        <v>0</v>
      </c>
      <c r="PIQ23" s="1902">
        <f t="shared" si="432"/>
        <v>0</v>
      </c>
      <c r="PIR23" s="1902">
        <f t="shared" si="432"/>
        <v>0</v>
      </c>
      <c r="PIS23" s="1902">
        <f t="shared" si="432"/>
        <v>0</v>
      </c>
      <c r="PIT23" s="1902">
        <f t="shared" si="432"/>
        <v>0</v>
      </c>
      <c r="PIU23" s="1902">
        <f t="shared" si="432"/>
        <v>0</v>
      </c>
      <c r="PIV23" s="1902">
        <f t="shared" si="432"/>
        <v>0</v>
      </c>
      <c r="PIW23" s="1902">
        <f t="shared" si="432"/>
        <v>0</v>
      </c>
      <c r="PIX23" s="1902">
        <f t="shared" si="432"/>
        <v>0</v>
      </c>
      <c r="PIY23" s="1902">
        <f t="shared" si="432"/>
        <v>0</v>
      </c>
      <c r="PIZ23" s="1902">
        <f t="shared" si="432"/>
        <v>0</v>
      </c>
      <c r="PJA23" s="1902">
        <f t="shared" si="432"/>
        <v>0</v>
      </c>
      <c r="PJB23" s="1902">
        <f t="shared" si="432"/>
        <v>0</v>
      </c>
      <c r="PJC23" s="1902">
        <f t="shared" si="432"/>
        <v>0</v>
      </c>
      <c r="PJD23" s="1902">
        <f t="shared" si="432"/>
        <v>0</v>
      </c>
      <c r="PJE23" s="1902">
        <f t="shared" si="432"/>
        <v>0</v>
      </c>
      <c r="PJF23" s="1902">
        <f t="shared" si="432"/>
        <v>0</v>
      </c>
      <c r="PJG23" s="1902">
        <f t="shared" ref="PJG23:PLR23" si="433">IF(AND(PJG$26="End of period",PJG$25="Revenue"),PJG10,0)</f>
        <v>0</v>
      </c>
      <c r="PJH23" s="1902">
        <f t="shared" si="433"/>
        <v>0</v>
      </c>
      <c r="PJI23" s="1902">
        <f t="shared" si="433"/>
        <v>0</v>
      </c>
      <c r="PJJ23" s="1902">
        <f t="shared" si="433"/>
        <v>0</v>
      </c>
      <c r="PJK23" s="1902">
        <f t="shared" si="433"/>
        <v>0</v>
      </c>
      <c r="PJL23" s="1902">
        <f t="shared" si="433"/>
        <v>0</v>
      </c>
      <c r="PJM23" s="1902">
        <f t="shared" si="433"/>
        <v>0</v>
      </c>
      <c r="PJN23" s="1902">
        <f t="shared" si="433"/>
        <v>0</v>
      </c>
      <c r="PJO23" s="1902">
        <f t="shared" si="433"/>
        <v>0</v>
      </c>
      <c r="PJP23" s="1902">
        <f t="shared" si="433"/>
        <v>0</v>
      </c>
      <c r="PJQ23" s="1902">
        <f t="shared" si="433"/>
        <v>0</v>
      </c>
      <c r="PJR23" s="1902">
        <f t="shared" si="433"/>
        <v>0</v>
      </c>
      <c r="PJS23" s="1902">
        <f t="shared" si="433"/>
        <v>0</v>
      </c>
      <c r="PJT23" s="1902">
        <f t="shared" si="433"/>
        <v>0</v>
      </c>
      <c r="PJU23" s="1902">
        <f t="shared" si="433"/>
        <v>0</v>
      </c>
      <c r="PJV23" s="1902">
        <f t="shared" si="433"/>
        <v>0</v>
      </c>
      <c r="PJW23" s="1902">
        <f t="shared" si="433"/>
        <v>0</v>
      </c>
      <c r="PJX23" s="1902">
        <f t="shared" si="433"/>
        <v>0</v>
      </c>
      <c r="PJY23" s="1902">
        <f t="shared" si="433"/>
        <v>0</v>
      </c>
      <c r="PJZ23" s="1902">
        <f t="shared" si="433"/>
        <v>0</v>
      </c>
      <c r="PKA23" s="1902">
        <f t="shared" si="433"/>
        <v>0</v>
      </c>
      <c r="PKB23" s="1902">
        <f t="shared" si="433"/>
        <v>0</v>
      </c>
      <c r="PKC23" s="1902">
        <f t="shared" si="433"/>
        <v>0</v>
      </c>
      <c r="PKD23" s="1902">
        <f t="shared" si="433"/>
        <v>0</v>
      </c>
      <c r="PKE23" s="1902">
        <f t="shared" si="433"/>
        <v>0</v>
      </c>
      <c r="PKF23" s="1902">
        <f t="shared" si="433"/>
        <v>0</v>
      </c>
      <c r="PKG23" s="1902">
        <f t="shared" si="433"/>
        <v>0</v>
      </c>
      <c r="PKH23" s="1902">
        <f t="shared" si="433"/>
        <v>0</v>
      </c>
      <c r="PKI23" s="1902">
        <f t="shared" si="433"/>
        <v>0</v>
      </c>
      <c r="PKJ23" s="1902">
        <f t="shared" si="433"/>
        <v>0</v>
      </c>
      <c r="PKK23" s="1902">
        <f t="shared" si="433"/>
        <v>0</v>
      </c>
      <c r="PKL23" s="1902">
        <f t="shared" si="433"/>
        <v>0</v>
      </c>
      <c r="PKM23" s="1902">
        <f t="shared" si="433"/>
        <v>0</v>
      </c>
      <c r="PKN23" s="1902">
        <f t="shared" si="433"/>
        <v>0</v>
      </c>
      <c r="PKO23" s="1902">
        <f t="shared" si="433"/>
        <v>0</v>
      </c>
      <c r="PKP23" s="1902">
        <f t="shared" si="433"/>
        <v>0</v>
      </c>
      <c r="PKQ23" s="1902">
        <f t="shared" si="433"/>
        <v>0</v>
      </c>
      <c r="PKR23" s="1902">
        <f t="shared" si="433"/>
        <v>0</v>
      </c>
      <c r="PKS23" s="1902">
        <f t="shared" si="433"/>
        <v>0</v>
      </c>
      <c r="PKT23" s="1902">
        <f t="shared" si="433"/>
        <v>0</v>
      </c>
      <c r="PKU23" s="1902">
        <f t="shared" si="433"/>
        <v>0</v>
      </c>
      <c r="PKV23" s="1902">
        <f t="shared" si="433"/>
        <v>0</v>
      </c>
      <c r="PKW23" s="1902">
        <f t="shared" si="433"/>
        <v>0</v>
      </c>
      <c r="PKX23" s="1902">
        <f t="shared" si="433"/>
        <v>0</v>
      </c>
      <c r="PKY23" s="1902">
        <f t="shared" si="433"/>
        <v>0</v>
      </c>
      <c r="PKZ23" s="1902">
        <f t="shared" si="433"/>
        <v>0</v>
      </c>
      <c r="PLA23" s="1902">
        <f t="shared" si="433"/>
        <v>0</v>
      </c>
      <c r="PLB23" s="1902">
        <f t="shared" si="433"/>
        <v>0</v>
      </c>
      <c r="PLC23" s="1902">
        <f t="shared" si="433"/>
        <v>0</v>
      </c>
      <c r="PLD23" s="1902">
        <f t="shared" si="433"/>
        <v>0</v>
      </c>
      <c r="PLE23" s="1902">
        <f t="shared" si="433"/>
        <v>0</v>
      </c>
      <c r="PLF23" s="1902">
        <f t="shared" si="433"/>
        <v>0</v>
      </c>
      <c r="PLG23" s="1902">
        <f t="shared" si="433"/>
        <v>0</v>
      </c>
      <c r="PLH23" s="1902">
        <f t="shared" si="433"/>
        <v>0</v>
      </c>
      <c r="PLI23" s="1902">
        <f t="shared" si="433"/>
        <v>0</v>
      </c>
      <c r="PLJ23" s="1902">
        <f t="shared" si="433"/>
        <v>0</v>
      </c>
      <c r="PLK23" s="1902">
        <f t="shared" si="433"/>
        <v>0</v>
      </c>
      <c r="PLL23" s="1902">
        <f t="shared" si="433"/>
        <v>0</v>
      </c>
      <c r="PLM23" s="1902">
        <f t="shared" si="433"/>
        <v>0</v>
      </c>
      <c r="PLN23" s="1902">
        <f t="shared" si="433"/>
        <v>0</v>
      </c>
      <c r="PLO23" s="1902">
        <f t="shared" si="433"/>
        <v>0</v>
      </c>
      <c r="PLP23" s="1902">
        <f t="shared" si="433"/>
        <v>0</v>
      </c>
      <c r="PLQ23" s="1902">
        <f t="shared" si="433"/>
        <v>0</v>
      </c>
      <c r="PLR23" s="1902">
        <f t="shared" si="433"/>
        <v>0</v>
      </c>
      <c r="PLS23" s="1902">
        <f t="shared" ref="PLS23:POD23" si="434">IF(AND(PLS$26="End of period",PLS$25="Revenue"),PLS10,0)</f>
        <v>0</v>
      </c>
      <c r="PLT23" s="1902">
        <f t="shared" si="434"/>
        <v>0</v>
      </c>
      <c r="PLU23" s="1902">
        <f t="shared" si="434"/>
        <v>0</v>
      </c>
      <c r="PLV23" s="1902">
        <f t="shared" si="434"/>
        <v>0</v>
      </c>
      <c r="PLW23" s="1902">
        <f t="shared" si="434"/>
        <v>0</v>
      </c>
      <c r="PLX23" s="1902">
        <f t="shared" si="434"/>
        <v>0</v>
      </c>
      <c r="PLY23" s="1902">
        <f t="shared" si="434"/>
        <v>0</v>
      </c>
      <c r="PLZ23" s="1902">
        <f t="shared" si="434"/>
        <v>0</v>
      </c>
      <c r="PMA23" s="1902">
        <f t="shared" si="434"/>
        <v>0</v>
      </c>
      <c r="PMB23" s="1902">
        <f t="shared" si="434"/>
        <v>0</v>
      </c>
      <c r="PMC23" s="1902">
        <f t="shared" si="434"/>
        <v>0</v>
      </c>
      <c r="PMD23" s="1902">
        <f t="shared" si="434"/>
        <v>0</v>
      </c>
      <c r="PME23" s="1902">
        <f t="shared" si="434"/>
        <v>0</v>
      </c>
      <c r="PMF23" s="1902">
        <f t="shared" si="434"/>
        <v>0</v>
      </c>
      <c r="PMG23" s="1902">
        <f t="shared" si="434"/>
        <v>0</v>
      </c>
      <c r="PMH23" s="1902">
        <f t="shared" si="434"/>
        <v>0</v>
      </c>
      <c r="PMI23" s="1902">
        <f t="shared" si="434"/>
        <v>0</v>
      </c>
      <c r="PMJ23" s="1902">
        <f t="shared" si="434"/>
        <v>0</v>
      </c>
      <c r="PMK23" s="1902">
        <f t="shared" si="434"/>
        <v>0</v>
      </c>
      <c r="PML23" s="1902">
        <f t="shared" si="434"/>
        <v>0</v>
      </c>
      <c r="PMM23" s="1902">
        <f t="shared" si="434"/>
        <v>0</v>
      </c>
      <c r="PMN23" s="1902">
        <f t="shared" si="434"/>
        <v>0</v>
      </c>
      <c r="PMO23" s="1902">
        <f t="shared" si="434"/>
        <v>0</v>
      </c>
      <c r="PMP23" s="1902">
        <f t="shared" si="434"/>
        <v>0</v>
      </c>
      <c r="PMQ23" s="1902">
        <f t="shared" si="434"/>
        <v>0</v>
      </c>
      <c r="PMR23" s="1902">
        <f t="shared" si="434"/>
        <v>0</v>
      </c>
      <c r="PMS23" s="1902">
        <f t="shared" si="434"/>
        <v>0</v>
      </c>
      <c r="PMT23" s="1902">
        <f t="shared" si="434"/>
        <v>0</v>
      </c>
      <c r="PMU23" s="1902">
        <f t="shared" si="434"/>
        <v>0</v>
      </c>
      <c r="PMV23" s="1902">
        <f t="shared" si="434"/>
        <v>0</v>
      </c>
      <c r="PMW23" s="1902">
        <f t="shared" si="434"/>
        <v>0</v>
      </c>
      <c r="PMX23" s="1902">
        <f t="shared" si="434"/>
        <v>0</v>
      </c>
      <c r="PMY23" s="1902">
        <f t="shared" si="434"/>
        <v>0</v>
      </c>
      <c r="PMZ23" s="1902">
        <f t="shared" si="434"/>
        <v>0</v>
      </c>
      <c r="PNA23" s="1902">
        <f t="shared" si="434"/>
        <v>0</v>
      </c>
      <c r="PNB23" s="1902">
        <f t="shared" si="434"/>
        <v>0</v>
      </c>
      <c r="PNC23" s="1902">
        <f t="shared" si="434"/>
        <v>0</v>
      </c>
      <c r="PND23" s="1902">
        <f t="shared" si="434"/>
        <v>0</v>
      </c>
      <c r="PNE23" s="1902">
        <f t="shared" si="434"/>
        <v>0</v>
      </c>
      <c r="PNF23" s="1902">
        <f t="shared" si="434"/>
        <v>0</v>
      </c>
      <c r="PNG23" s="1902">
        <f t="shared" si="434"/>
        <v>0</v>
      </c>
      <c r="PNH23" s="1902">
        <f t="shared" si="434"/>
        <v>0</v>
      </c>
      <c r="PNI23" s="1902">
        <f t="shared" si="434"/>
        <v>0</v>
      </c>
      <c r="PNJ23" s="1902">
        <f t="shared" si="434"/>
        <v>0</v>
      </c>
      <c r="PNK23" s="1902">
        <f t="shared" si="434"/>
        <v>0</v>
      </c>
      <c r="PNL23" s="1902">
        <f t="shared" si="434"/>
        <v>0</v>
      </c>
      <c r="PNM23" s="1902">
        <f t="shared" si="434"/>
        <v>0</v>
      </c>
      <c r="PNN23" s="1902">
        <f t="shared" si="434"/>
        <v>0</v>
      </c>
      <c r="PNO23" s="1902">
        <f t="shared" si="434"/>
        <v>0</v>
      </c>
      <c r="PNP23" s="1902">
        <f t="shared" si="434"/>
        <v>0</v>
      </c>
      <c r="PNQ23" s="1902">
        <f t="shared" si="434"/>
        <v>0</v>
      </c>
      <c r="PNR23" s="1902">
        <f t="shared" si="434"/>
        <v>0</v>
      </c>
      <c r="PNS23" s="1902">
        <f t="shared" si="434"/>
        <v>0</v>
      </c>
      <c r="PNT23" s="1902">
        <f t="shared" si="434"/>
        <v>0</v>
      </c>
      <c r="PNU23" s="1902">
        <f t="shared" si="434"/>
        <v>0</v>
      </c>
      <c r="PNV23" s="1902">
        <f t="shared" si="434"/>
        <v>0</v>
      </c>
      <c r="PNW23" s="1902">
        <f t="shared" si="434"/>
        <v>0</v>
      </c>
      <c r="PNX23" s="1902">
        <f t="shared" si="434"/>
        <v>0</v>
      </c>
      <c r="PNY23" s="1902">
        <f t="shared" si="434"/>
        <v>0</v>
      </c>
      <c r="PNZ23" s="1902">
        <f t="shared" si="434"/>
        <v>0</v>
      </c>
      <c r="POA23" s="1902">
        <f t="shared" si="434"/>
        <v>0</v>
      </c>
      <c r="POB23" s="1902">
        <f t="shared" si="434"/>
        <v>0</v>
      </c>
      <c r="POC23" s="1902">
        <f t="shared" si="434"/>
        <v>0</v>
      </c>
      <c r="POD23" s="1902">
        <f t="shared" si="434"/>
        <v>0</v>
      </c>
      <c r="POE23" s="1902">
        <f t="shared" ref="POE23:PQP23" si="435">IF(AND(POE$26="End of period",POE$25="Revenue"),POE10,0)</f>
        <v>0</v>
      </c>
      <c r="POF23" s="1902">
        <f t="shared" si="435"/>
        <v>0</v>
      </c>
      <c r="POG23" s="1902">
        <f t="shared" si="435"/>
        <v>0</v>
      </c>
      <c r="POH23" s="1902">
        <f t="shared" si="435"/>
        <v>0</v>
      </c>
      <c r="POI23" s="1902">
        <f t="shared" si="435"/>
        <v>0</v>
      </c>
      <c r="POJ23" s="1902">
        <f t="shared" si="435"/>
        <v>0</v>
      </c>
      <c r="POK23" s="1902">
        <f t="shared" si="435"/>
        <v>0</v>
      </c>
      <c r="POL23" s="1902">
        <f t="shared" si="435"/>
        <v>0</v>
      </c>
      <c r="POM23" s="1902">
        <f t="shared" si="435"/>
        <v>0</v>
      </c>
      <c r="PON23" s="1902">
        <f t="shared" si="435"/>
        <v>0</v>
      </c>
      <c r="POO23" s="1902">
        <f t="shared" si="435"/>
        <v>0</v>
      </c>
      <c r="POP23" s="1902">
        <f t="shared" si="435"/>
        <v>0</v>
      </c>
      <c r="POQ23" s="1902">
        <f t="shared" si="435"/>
        <v>0</v>
      </c>
      <c r="POR23" s="1902">
        <f t="shared" si="435"/>
        <v>0</v>
      </c>
      <c r="POS23" s="1902">
        <f t="shared" si="435"/>
        <v>0</v>
      </c>
      <c r="POT23" s="1902">
        <f t="shared" si="435"/>
        <v>0</v>
      </c>
      <c r="POU23" s="1902">
        <f t="shared" si="435"/>
        <v>0</v>
      </c>
      <c r="POV23" s="1902">
        <f t="shared" si="435"/>
        <v>0</v>
      </c>
      <c r="POW23" s="1902">
        <f t="shared" si="435"/>
        <v>0</v>
      </c>
      <c r="POX23" s="1902">
        <f t="shared" si="435"/>
        <v>0</v>
      </c>
      <c r="POY23" s="1902">
        <f t="shared" si="435"/>
        <v>0</v>
      </c>
      <c r="POZ23" s="1902">
        <f t="shared" si="435"/>
        <v>0</v>
      </c>
      <c r="PPA23" s="1902">
        <f t="shared" si="435"/>
        <v>0</v>
      </c>
      <c r="PPB23" s="1902">
        <f t="shared" si="435"/>
        <v>0</v>
      </c>
      <c r="PPC23" s="1902">
        <f t="shared" si="435"/>
        <v>0</v>
      </c>
      <c r="PPD23" s="1902">
        <f t="shared" si="435"/>
        <v>0</v>
      </c>
      <c r="PPE23" s="1902">
        <f t="shared" si="435"/>
        <v>0</v>
      </c>
      <c r="PPF23" s="1902">
        <f t="shared" si="435"/>
        <v>0</v>
      </c>
      <c r="PPG23" s="1902">
        <f t="shared" si="435"/>
        <v>0</v>
      </c>
      <c r="PPH23" s="1902">
        <f t="shared" si="435"/>
        <v>0</v>
      </c>
      <c r="PPI23" s="1902">
        <f t="shared" si="435"/>
        <v>0</v>
      </c>
      <c r="PPJ23" s="1902">
        <f t="shared" si="435"/>
        <v>0</v>
      </c>
      <c r="PPK23" s="1902">
        <f t="shared" si="435"/>
        <v>0</v>
      </c>
      <c r="PPL23" s="1902">
        <f t="shared" si="435"/>
        <v>0</v>
      </c>
      <c r="PPM23" s="1902">
        <f t="shared" si="435"/>
        <v>0</v>
      </c>
      <c r="PPN23" s="1902">
        <f t="shared" si="435"/>
        <v>0</v>
      </c>
      <c r="PPO23" s="1902">
        <f t="shared" si="435"/>
        <v>0</v>
      </c>
      <c r="PPP23" s="1902">
        <f t="shared" si="435"/>
        <v>0</v>
      </c>
      <c r="PPQ23" s="1902">
        <f t="shared" si="435"/>
        <v>0</v>
      </c>
      <c r="PPR23" s="1902">
        <f t="shared" si="435"/>
        <v>0</v>
      </c>
      <c r="PPS23" s="1902">
        <f t="shared" si="435"/>
        <v>0</v>
      </c>
      <c r="PPT23" s="1902">
        <f t="shared" si="435"/>
        <v>0</v>
      </c>
      <c r="PPU23" s="1902">
        <f t="shared" si="435"/>
        <v>0</v>
      </c>
      <c r="PPV23" s="1902">
        <f t="shared" si="435"/>
        <v>0</v>
      </c>
      <c r="PPW23" s="1902">
        <f t="shared" si="435"/>
        <v>0</v>
      </c>
      <c r="PPX23" s="1902">
        <f t="shared" si="435"/>
        <v>0</v>
      </c>
      <c r="PPY23" s="1902">
        <f t="shared" si="435"/>
        <v>0</v>
      </c>
      <c r="PPZ23" s="1902">
        <f t="shared" si="435"/>
        <v>0</v>
      </c>
      <c r="PQA23" s="1902">
        <f t="shared" si="435"/>
        <v>0</v>
      </c>
      <c r="PQB23" s="1902">
        <f t="shared" si="435"/>
        <v>0</v>
      </c>
      <c r="PQC23" s="1902">
        <f t="shared" si="435"/>
        <v>0</v>
      </c>
      <c r="PQD23" s="1902">
        <f t="shared" si="435"/>
        <v>0</v>
      </c>
      <c r="PQE23" s="1902">
        <f t="shared" si="435"/>
        <v>0</v>
      </c>
      <c r="PQF23" s="1902">
        <f t="shared" si="435"/>
        <v>0</v>
      </c>
      <c r="PQG23" s="1902">
        <f t="shared" si="435"/>
        <v>0</v>
      </c>
      <c r="PQH23" s="1902">
        <f t="shared" si="435"/>
        <v>0</v>
      </c>
      <c r="PQI23" s="1902">
        <f t="shared" si="435"/>
        <v>0</v>
      </c>
      <c r="PQJ23" s="1902">
        <f t="shared" si="435"/>
        <v>0</v>
      </c>
      <c r="PQK23" s="1902">
        <f t="shared" si="435"/>
        <v>0</v>
      </c>
      <c r="PQL23" s="1902">
        <f t="shared" si="435"/>
        <v>0</v>
      </c>
      <c r="PQM23" s="1902">
        <f t="shared" si="435"/>
        <v>0</v>
      </c>
      <c r="PQN23" s="1902">
        <f t="shared" si="435"/>
        <v>0</v>
      </c>
      <c r="PQO23" s="1902">
        <f t="shared" si="435"/>
        <v>0</v>
      </c>
      <c r="PQP23" s="1902">
        <f t="shared" si="435"/>
        <v>0</v>
      </c>
      <c r="PQQ23" s="1902">
        <f t="shared" ref="PQQ23:PTB23" si="436">IF(AND(PQQ$26="End of period",PQQ$25="Revenue"),PQQ10,0)</f>
        <v>0</v>
      </c>
      <c r="PQR23" s="1902">
        <f t="shared" si="436"/>
        <v>0</v>
      </c>
      <c r="PQS23" s="1902">
        <f t="shared" si="436"/>
        <v>0</v>
      </c>
      <c r="PQT23" s="1902">
        <f t="shared" si="436"/>
        <v>0</v>
      </c>
      <c r="PQU23" s="1902">
        <f t="shared" si="436"/>
        <v>0</v>
      </c>
      <c r="PQV23" s="1902">
        <f t="shared" si="436"/>
        <v>0</v>
      </c>
      <c r="PQW23" s="1902">
        <f t="shared" si="436"/>
        <v>0</v>
      </c>
      <c r="PQX23" s="1902">
        <f t="shared" si="436"/>
        <v>0</v>
      </c>
      <c r="PQY23" s="1902">
        <f t="shared" si="436"/>
        <v>0</v>
      </c>
      <c r="PQZ23" s="1902">
        <f t="shared" si="436"/>
        <v>0</v>
      </c>
      <c r="PRA23" s="1902">
        <f t="shared" si="436"/>
        <v>0</v>
      </c>
      <c r="PRB23" s="1902">
        <f t="shared" si="436"/>
        <v>0</v>
      </c>
      <c r="PRC23" s="1902">
        <f t="shared" si="436"/>
        <v>0</v>
      </c>
      <c r="PRD23" s="1902">
        <f t="shared" si="436"/>
        <v>0</v>
      </c>
      <c r="PRE23" s="1902">
        <f t="shared" si="436"/>
        <v>0</v>
      </c>
      <c r="PRF23" s="1902">
        <f t="shared" si="436"/>
        <v>0</v>
      </c>
      <c r="PRG23" s="1902">
        <f t="shared" si="436"/>
        <v>0</v>
      </c>
      <c r="PRH23" s="1902">
        <f t="shared" si="436"/>
        <v>0</v>
      </c>
      <c r="PRI23" s="1902">
        <f t="shared" si="436"/>
        <v>0</v>
      </c>
      <c r="PRJ23" s="1902">
        <f t="shared" si="436"/>
        <v>0</v>
      </c>
      <c r="PRK23" s="1902">
        <f t="shared" si="436"/>
        <v>0</v>
      </c>
      <c r="PRL23" s="1902">
        <f t="shared" si="436"/>
        <v>0</v>
      </c>
      <c r="PRM23" s="1902">
        <f t="shared" si="436"/>
        <v>0</v>
      </c>
      <c r="PRN23" s="1902">
        <f t="shared" si="436"/>
        <v>0</v>
      </c>
      <c r="PRO23" s="1902">
        <f t="shared" si="436"/>
        <v>0</v>
      </c>
      <c r="PRP23" s="1902">
        <f t="shared" si="436"/>
        <v>0</v>
      </c>
      <c r="PRQ23" s="1902">
        <f t="shared" si="436"/>
        <v>0</v>
      </c>
      <c r="PRR23" s="1902">
        <f t="shared" si="436"/>
        <v>0</v>
      </c>
      <c r="PRS23" s="1902">
        <f t="shared" si="436"/>
        <v>0</v>
      </c>
      <c r="PRT23" s="1902">
        <f t="shared" si="436"/>
        <v>0</v>
      </c>
      <c r="PRU23" s="1902">
        <f t="shared" si="436"/>
        <v>0</v>
      </c>
      <c r="PRV23" s="1902">
        <f t="shared" si="436"/>
        <v>0</v>
      </c>
      <c r="PRW23" s="1902">
        <f t="shared" si="436"/>
        <v>0</v>
      </c>
      <c r="PRX23" s="1902">
        <f t="shared" si="436"/>
        <v>0</v>
      </c>
      <c r="PRY23" s="1902">
        <f t="shared" si="436"/>
        <v>0</v>
      </c>
      <c r="PRZ23" s="1902">
        <f t="shared" si="436"/>
        <v>0</v>
      </c>
      <c r="PSA23" s="1902">
        <f t="shared" si="436"/>
        <v>0</v>
      </c>
      <c r="PSB23" s="1902">
        <f t="shared" si="436"/>
        <v>0</v>
      </c>
      <c r="PSC23" s="1902">
        <f t="shared" si="436"/>
        <v>0</v>
      </c>
      <c r="PSD23" s="1902">
        <f t="shared" si="436"/>
        <v>0</v>
      </c>
      <c r="PSE23" s="1902">
        <f t="shared" si="436"/>
        <v>0</v>
      </c>
      <c r="PSF23" s="1902">
        <f t="shared" si="436"/>
        <v>0</v>
      </c>
      <c r="PSG23" s="1902">
        <f t="shared" si="436"/>
        <v>0</v>
      </c>
      <c r="PSH23" s="1902">
        <f t="shared" si="436"/>
        <v>0</v>
      </c>
      <c r="PSI23" s="1902">
        <f t="shared" si="436"/>
        <v>0</v>
      </c>
      <c r="PSJ23" s="1902">
        <f t="shared" si="436"/>
        <v>0</v>
      </c>
      <c r="PSK23" s="1902">
        <f t="shared" si="436"/>
        <v>0</v>
      </c>
      <c r="PSL23" s="1902">
        <f t="shared" si="436"/>
        <v>0</v>
      </c>
      <c r="PSM23" s="1902">
        <f t="shared" si="436"/>
        <v>0</v>
      </c>
      <c r="PSN23" s="1902">
        <f t="shared" si="436"/>
        <v>0</v>
      </c>
      <c r="PSO23" s="1902">
        <f t="shared" si="436"/>
        <v>0</v>
      </c>
      <c r="PSP23" s="1902">
        <f t="shared" si="436"/>
        <v>0</v>
      </c>
      <c r="PSQ23" s="1902">
        <f t="shared" si="436"/>
        <v>0</v>
      </c>
      <c r="PSR23" s="1902">
        <f t="shared" si="436"/>
        <v>0</v>
      </c>
      <c r="PSS23" s="1902">
        <f t="shared" si="436"/>
        <v>0</v>
      </c>
      <c r="PST23" s="1902">
        <f t="shared" si="436"/>
        <v>0</v>
      </c>
      <c r="PSU23" s="1902">
        <f t="shared" si="436"/>
        <v>0</v>
      </c>
      <c r="PSV23" s="1902">
        <f t="shared" si="436"/>
        <v>0</v>
      </c>
      <c r="PSW23" s="1902">
        <f t="shared" si="436"/>
        <v>0</v>
      </c>
      <c r="PSX23" s="1902">
        <f t="shared" si="436"/>
        <v>0</v>
      </c>
      <c r="PSY23" s="1902">
        <f t="shared" si="436"/>
        <v>0</v>
      </c>
      <c r="PSZ23" s="1902">
        <f t="shared" si="436"/>
        <v>0</v>
      </c>
      <c r="PTA23" s="1902">
        <f t="shared" si="436"/>
        <v>0</v>
      </c>
      <c r="PTB23" s="1902">
        <f t="shared" si="436"/>
        <v>0</v>
      </c>
      <c r="PTC23" s="1902">
        <f t="shared" ref="PTC23:PVN23" si="437">IF(AND(PTC$26="End of period",PTC$25="Revenue"),PTC10,0)</f>
        <v>0</v>
      </c>
      <c r="PTD23" s="1902">
        <f t="shared" si="437"/>
        <v>0</v>
      </c>
      <c r="PTE23" s="1902">
        <f t="shared" si="437"/>
        <v>0</v>
      </c>
      <c r="PTF23" s="1902">
        <f t="shared" si="437"/>
        <v>0</v>
      </c>
      <c r="PTG23" s="1902">
        <f t="shared" si="437"/>
        <v>0</v>
      </c>
      <c r="PTH23" s="1902">
        <f t="shared" si="437"/>
        <v>0</v>
      </c>
      <c r="PTI23" s="1902">
        <f t="shared" si="437"/>
        <v>0</v>
      </c>
      <c r="PTJ23" s="1902">
        <f t="shared" si="437"/>
        <v>0</v>
      </c>
      <c r="PTK23" s="1902">
        <f t="shared" si="437"/>
        <v>0</v>
      </c>
      <c r="PTL23" s="1902">
        <f t="shared" si="437"/>
        <v>0</v>
      </c>
      <c r="PTM23" s="1902">
        <f t="shared" si="437"/>
        <v>0</v>
      </c>
      <c r="PTN23" s="1902">
        <f t="shared" si="437"/>
        <v>0</v>
      </c>
      <c r="PTO23" s="1902">
        <f t="shared" si="437"/>
        <v>0</v>
      </c>
      <c r="PTP23" s="1902">
        <f t="shared" si="437"/>
        <v>0</v>
      </c>
      <c r="PTQ23" s="1902">
        <f t="shared" si="437"/>
        <v>0</v>
      </c>
      <c r="PTR23" s="1902">
        <f t="shared" si="437"/>
        <v>0</v>
      </c>
      <c r="PTS23" s="1902">
        <f t="shared" si="437"/>
        <v>0</v>
      </c>
      <c r="PTT23" s="1902">
        <f t="shared" si="437"/>
        <v>0</v>
      </c>
      <c r="PTU23" s="1902">
        <f t="shared" si="437"/>
        <v>0</v>
      </c>
      <c r="PTV23" s="1902">
        <f t="shared" si="437"/>
        <v>0</v>
      </c>
      <c r="PTW23" s="1902">
        <f t="shared" si="437"/>
        <v>0</v>
      </c>
      <c r="PTX23" s="1902">
        <f t="shared" si="437"/>
        <v>0</v>
      </c>
      <c r="PTY23" s="1902">
        <f t="shared" si="437"/>
        <v>0</v>
      </c>
      <c r="PTZ23" s="1902">
        <f t="shared" si="437"/>
        <v>0</v>
      </c>
      <c r="PUA23" s="1902">
        <f t="shared" si="437"/>
        <v>0</v>
      </c>
      <c r="PUB23" s="1902">
        <f t="shared" si="437"/>
        <v>0</v>
      </c>
      <c r="PUC23" s="1902">
        <f t="shared" si="437"/>
        <v>0</v>
      </c>
      <c r="PUD23" s="1902">
        <f t="shared" si="437"/>
        <v>0</v>
      </c>
      <c r="PUE23" s="1902">
        <f t="shared" si="437"/>
        <v>0</v>
      </c>
      <c r="PUF23" s="1902">
        <f t="shared" si="437"/>
        <v>0</v>
      </c>
      <c r="PUG23" s="1902">
        <f t="shared" si="437"/>
        <v>0</v>
      </c>
      <c r="PUH23" s="1902">
        <f t="shared" si="437"/>
        <v>0</v>
      </c>
      <c r="PUI23" s="1902">
        <f t="shared" si="437"/>
        <v>0</v>
      </c>
      <c r="PUJ23" s="1902">
        <f t="shared" si="437"/>
        <v>0</v>
      </c>
      <c r="PUK23" s="1902">
        <f t="shared" si="437"/>
        <v>0</v>
      </c>
      <c r="PUL23" s="1902">
        <f t="shared" si="437"/>
        <v>0</v>
      </c>
      <c r="PUM23" s="1902">
        <f t="shared" si="437"/>
        <v>0</v>
      </c>
      <c r="PUN23" s="1902">
        <f t="shared" si="437"/>
        <v>0</v>
      </c>
      <c r="PUO23" s="1902">
        <f t="shared" si="437"/>
        <v>0</v>
      </c>
      <c r="PUP23" s="1902">
        <f t="shared" si="437"/>
        <v>0</v>
      </c>
      <c r="PUQ23" s="1902">
        <f t="shared" si="437"/>
        <v>0</v>
      </c>
      <c r="PUR23" s="1902">
        <f t="shared" si="437"/>
        <v>0</v>
      </c>
      <c r="PUS23" s="1902">
        <f t="shared" si="437"/>
        <v>0</v>
      </c>
      <c r="PUT23" s="1902">
        <f t="shared" si="437"/>
        <v>0</v>
      </c>
      <c r="PUU23" s="1902">
        <f t="shared" si="437"/>
        <v>0</v>
      </c>
      <c r="PUV23" s="1902">
        <f t="shared" si="437"/>
        <v>0</v>
      </c>
      <c r="PUW23" s="1902">
        <f t="shared" si="437"/>
        <v>0</v>
      </c>
      <c r="PUX23" s="1902">
        <f t="shared" si="437"/>
        <v>0</v>
      </c>
      <c r="PUY23" s="1902">
        <f t="shared" si="437"/>
        <v>0</v>
      </c>
      <c r="PUZ23" s="1902">
        <f t="shared" si="437"/>
        <v>0</v>
      </c>
      <c r="PVA23" s="1902">
        <f t="shared" si="437"/>
        <v>0</v>
      </c>
      <c r="PVB23" s="1902">
        <f t="shared" si="437"/>
        <v>0</v>
      </c>
      <c r="PVC23" s="1902">
        <f t="shared" si="437"/>
        <v>0</v>
      </c>
      <c r="PVD23" s="1902">
        <f t="shared" si="437"/>
        <v>0</v>
      </c>
      <c r="PVE23" s="1902">
        <f t="shared" si="437"/>
        <v>0</v>
      </c>
      <c r="PVF23" s="1902">
        <f t="shared" si="437"/>
        <v>0</v>
      </c>
      <c r="PVG23" s="1902">
        <f t="shared" si="437"/>
        <v>0</v>
      </c>
      <c r="PVH23" s="1902">
        <f t="shared" si="437"/>
        <v>0</v>
      </c>
      <c r="PVI23" s="1902">
        <f t="shared" si="437"/>
        <v>0</v>
      </c>
      <c r="PVJ23" s="1902">
        <f t="shared" si="437"/>
        <v>0</v>
      </c>
      <c r="PVK23" s="1902">
        <f t="shared" si="437"/>
        <v>0</v>
      </c>
      <c r="PVL23" s="1902">
        <f t="shared" si="437"/>
        <v>0</v>
      </c>
      <c r="PVM23" s="1902">
        <f t="shared" si="437"/>
        <v>0</v>
      </c>
      <c r="PVN23" s="1902">
        <f t="shared" si="437"/>
        <v>0</v>
      </c>
      <c r="PVO23" s="1902">
        <f t="shared" ref="PVO23:PXZ23" si="438">IF(AND(PVO$26="End of period",PVO$25="Revenue"),PVO10,0)</f>
        <v>0</v>
      </c>
      <c r="PVP23" s="1902">
        <f t="shared" si="438"/>
        <v>0</v>
      </c>
      <c r="PVQ23" s="1902">
        <f t="shared" si="438"/>
        <v>0</v>
      </c>
      <c r="PVR23" s="1902">
        <f t="shared" si="438"/>
        <v>0</v>
      </c>
      <c r="PVS23" s="1902">
        <f t="shared" si="438"/>
        <v>0</v>
      </c>
      <c r="PVT23" s="1902">
        <f t="shared" si="438"/>
        <v>0</v>
      </c>
      <c r="PVU23" s="1902">
        <f t="shared" si="438"/>
        <v>0</v>
      </c>
      <c r="PVV23" s="1902">
        <f t="shared" si="438"/>
        <v>0</v>
      </c>
      <c r="PVW23" s="1902">
        <f t="shared" si="438"/>
        <v>0</v>
      </c>
      <c r="PVX23" s="1902">
        <f t="shared" si="438"/>
        <v>0</v>
      </c>
      <c r="PVY23" s="1902">
        <f t="shared" si="438"/>
        <v>0</v>
      </c>
      <c r="PVZ23" s="1902">
        <f t="shared" si="438"/>
        <v>0</v>
      </c>
      <c r="PWA23" s="1902">
        <f t="shared" si="438"/>
        <v>0</v>
      </c>
      <c r="PWB23" s="1902">
        <f t="shared" si="438"/>
        <v>0</v>
      </c>
      <c r="PWC23" s="1902">
        <f t="shared" si="438"/>
        <v>0</v>
      </c>
      <c r="PWD23" s="1902">
        <f t="shared" si="438"/>
        <v>0</v>
      </c>
      <c r="PWE23" s="1902">
        <f t="shared" si="438"/>
        <v>0</v>
      </c>
      <c r="PWF23" s="1902">
        <f t="shared" si="438"/>
        <v>0</v>
      </c>
      <c r="PWG23" s="1902">
        <f t="shared" si="438"/>
        <v>0</v>
      </c>
      <c r="PWH23" s="1902">
        <f t="shared" si="438"/>
        <v>0</v>
      </c>
      <c r="PWI23" s="1902">
        <f t="shared" si="438"/>
        <v>0</v>
      </c>
      <c r="PWJ23" s="1902">
        <f t="shared" si="438"/>
        <v>0</v>
      </c>
      <c r="PWK23" s="1902">
        <f t="shared" si="438"/>
        <v>0</v>
      </c>
      <c r="PWL23" s="1902">
        <f t="shared" si="438"/>
        <v>0</v>
      </c>
      <c r="PWM23" s="1902">
        <f t="shared" si="438"/>
        <v>0</v>
      </c>
      <c r="PWN23" s="1902">
        <f t="shared" si="438"/>
        <v>0</v>
      </c>
      <c r="PWO23" s="1902">
        <f t="shared" si="438"/>
        <v>0</v>
      </c>
      <c r="PWP23" s="1902">
        <f t="shared" si="438"/>
        <v>0</v>
      </c>
      <c r="PWQ23" s="1902">
        <f t="shared" si="438"/>
        <v>0</v>
      </c>
      <c r="PWR23" s="1902">
        <f t="shared" si="438"/>
        <v>0</v>
      </c>
      <c r="PWS23" s="1902">
        <f t="shared" si="438"/>
        <v>0</v>
      </c>
      <c r="PWT23" s="1902">
        <f t="shared" si="438"/>
        <v>0</v>
      </c>
      <c r="PWU23" s="1902">
        <f t="shared" si="438"/>
        <v>0</v>
      </c>
      <c r="PWV23" s="1902">
        <f t="shared" si="438"/>
        <v>0</v>
      </c>
      <c r="PWW23" s="1902">
        <f t="shared" si="438"/>
        <v>0</v>
      </c>
      <c r="PWX23" s="1902">
        <f t="shared" si="438"/>
        <v>0</v>
      </c>
      <c r="PWY23" s="1902">
        <f t="shared" si="438"/>
        <v>0</v>
      </c>
      <c r="PWZ23" s="1902">
        <f t="shared" si="438"/>
        <v>0</v>
      </c>
      <c r="PXA23" s="1902">
        <f t="shared" si="438"/>
        <v>0</v>
      </c>
      <c r="PXB23" s="1902">
        <f t="shared" si="438"/>
        <v>0</v>
      </c>
      <c r="PXC23" s="1902">
        <f t="shared" si="438"/>
        <v>0</v>
      </c>
      <c r="PXD23" s="1902">
        <f t="shared" si="438"/>
        <v>0</v>
      </c>
      <c r="PXE23" s="1902">
        <f t="shared" si="438"/>
        <v>0</v>
      </c>
      <c r="PXF23" s="1902">
        <f t="shared" si="438"/>
        <v>0</v>
      </c>
      <c r="PXG23" s="1902">
        <f t="shared" si="438"/>
        <v>0</v>
      </c>
      <c r="PXH23" s="1902">
        <f t="shared" si="438"/>
        <v>0</v>
      </c>
      <c r="PXI23" s="1902">
        <f t="shared" si="438"/>
        <v>0</v>
      </c>
      <c r="PXJ23" s="1902">
        <f t="shared" si="438"/>
        <v>0</v>
      </c>
      <c r="PXK23" s="1902">
        <f t="shared" si="438"/>
        <v>0</v>
      </c>
      <c r="PXL23" s="1902">
        <f t="shared" si="438"/>
        <v>0</v>
      </c>
      <c r="PXM23" s="1902">
        <f t="shared" si="438"/>
        <v>0</v>
      </c>
      <c r="PXN23" s="1902">
        <f t="shared" si="438"/>
        <v>0</v>
      </c>
      <c r="PXO23" s="1902">
        <f t="shared" si="438"/>
        <v>0</v>
      </c>
      <c r="PXP23" s="1902">
        <f t="shared" si="438"/>
        <v>0</v>
      </c>
      <c r="PXQ23" s="1902">
        <f t="shared" si="438"/>
        <v>0</v>
      </c>
      <c r="PXR23" s="1902">
        <f t="shared" si="438"/>
        <v>0</v>
      </c>
      <c r="PXS23" s="1902">
        <f t="shared" si="438"/>
        <v>0</v>
      </c>
      <c r="PXT23" s="1902">
        <f t="shared" si="438"/>
        <v>0</v>
      </c>
      <c r="PXU23" s="1902">
        <f t="shared" si="438"/>
        <v>0</v>
      </c>
      <c r="PXV23" s="1902">
        <f t="shared" si="438"/>
        <v>0</v>
      </c>
      <c r="PXW23" s="1902">
        <f t="shared" si="438"/>
        <v>0</v>
      </c>
      <c r="PXX23" s="1902">
        <f t="shared" si="438"/>
        <v>0</v>
      </c>
      <c r="PXY23" s="1902">
        <f t="shared" si="438"/>
        <v>0</v>
      </c>
      <c r="PXZ23" s="1902">
        <f t="shared" si="438"/>
        <v>0</v>
      </c>
      <c r="PYA23" s="1902">
        <f t="shared" ref="PYA23:QAL23" si="439">IF(AND(PYA$26="End of period",PYA$25="Revenue"),PYA10,0)</f>
        <v>0</v>
      </c>
      <c r="PYB23" s="1902">
        <f t="shared" si="439"/>
        <v>0</v>
      </c>
      <c r="PYC23" s="1902">
        <f t="shared" si="439"/>
        <v>0</v>
      </c>
      <c r="PYD23" s="1902">
        <f t="shared" si="439"/>
        <v>0</v>
      </c>
      <c r="PYE23" s="1902">
        <f t="shared" si="439"/>
        <v>0</v>
      </c>
      <c r="PYF23" s="1902">
        <f t="shared" si="439"/>
        <v>0</v>
      </c>
      <c r="PYG23" s="1902">
        <f t="shared" si="439"/>
        <v>0</v>
      </c>
      <c r="PYH23" s="1902">
        <f t="shared" si="439"/>
        <v>0</v>
      </c>
      <c r="PYI23" s="1902">
        <f t="shared" si="439"/>
        <v>0</v>
      </c>
      <c r="PYJ23" s="1902">
        <f t="shared" si="439"/>
        <v>0</v>
      </c>
      <c r="PYK23" s="1902">
        <f t="shared" si="439"/>
        <v>0</v>
      </c>
      <c r="PYL23" s="1902">
        <f t="shared" si="439"/>
        <v>0</v>
      </c>
      <c r="PYM23" s="1902">
        <f t="shared" si="439"/>
        <v>0</v>
      </c>
      <c r="PYN23" s="1902">
        <f t="shared" si="439"/>
        <v>0</v>
      </c>
      <c r="PYO23" s="1902">
        <f t="shared" si="439"/>
        <v>0</v>
      </c>
      <c r="PYP23" s="1902">
        <f t="shared" si="439"/>
        <v>0</v>
      </c>
      <c r="PYQ23" s="1902">
        <f t="shared" si="439"/>
        <v>0</v>
      </c>
      <c r="PYR23" s="1902">
        <f t="shared" si="439"/>
        <v>0</v>
      </c>
      <c r="PYS23" s="1902">
        <f t="shared" si="439"/>
        <v>0</v>
      </c>
      <c r="PYT23" s="1902">
        <f t="shared" si="439"/>
        <v>0</v>
      </c>
      <c r="PYU23" s="1902">
        <f t="shared" si="439"/>
        <v>0</v>
      </c>
      <c r="PYV23" s="1902">
        <f t="shared" si="439"/>
        <v>0</v>
      </c>
      <c r="PYW23" s="1902">
        <f t="shared" si="439"/>
        <v>0</v>
      </c>
      <c r="PYX23" s="1902">
        <f t="shared" si="439"/>
        <v>0</v>
      </c>
      <c r="PYY23" s="1902">
        <f t="shared" si="439"/>
        <v>0</v>
      </c>
      <c r="PYZ23" s="1902">
        <f t="shared" si="439"/>
        <v>0</v>
      </c>
      <c r="PZA23" s="1902">
        <f t="shared" si="439"/>
        <v>0</v>
      </c>
      <c r="PZB23" s="1902">
        <f t="shared" si="439"/>
        <v>0</v>
      </c>
      <c r="PZC23" s="1902">
        <f t="shared" si="439"/>
        <v>0</v>
      </c>
      <c r="PZD23" s="1902">
        <f t="shared" si="439"/>
        <v>0</v>
      </c>
      <c r="PZE23" s="1902">
        <f t="shared" si="439"/>
        <v>0</v>
      </c>
      <c r="PZF23" s="1902">
        <f t="shared" si="439"/>
        <v>0</v>
      </c>
      <c r="PZG23" s="1902">
        <f t="shared" si="439"/>
        <v>0</v>
      </c>
      <c r="PZH23" s="1902">
        <f t="shared" si="439"/>
        <v>0</v>
      </c>
      <c r="PZI23" s="1902">
        <f t="shared" si="439"/>
        <v>0</v>
      </c>
      <c r="PZJ23" s="1902">
        <f t="shared" si="439"/>
        <v>0</v>
      </c>
      <c r="PZK23" s="1902">
        <f t="shared" si="439"/>
        <v>0</v>
      </c>
      <c r="PZL23" s="1902">
        <f t="shared" si="439"/>
        <v>0</v>
      </c>
      <c r="PZM23" s="1902">
        <f t="shared" si="439"/>
        <v>0</v>
      </c>
      <c r="PZN23" s="1902">
        <f t="shared" si="439"/>
        <v>0</v>
      </c>
      <c r="PZO23" s="1902">
        <f t="shared" si="439"/>
        <v>0</v>
      </c>
      <c r="PZP23" s="1902">
        <f t="shared" si="439"/>
        <v>0</v>
      </c>
      <c r="PZQ23" s="1902">
        <f t="shared" si="439"/>
        <v>0</v>
      </c>
      <c r="PZR23" s="1902">
        <f t="shared" si="439"/>
        <v>0</v>
      </c>
      <c r="PZS23" s="1902">
        <f t="shared" si="439"/>
        <v>0</v>
      </c>
      <c r="PZT23" s="1902">
        <f t="shared" si="439"/>
        <v>0</v>
      </c>
      <c r="PZU23" s="1902">
        <f t="shared" si="439"/>
        <v>0</v>
      </c>
      <c r="PZV23" s="1902">
        <f t="shared" si="439"/>
        <v>0</v>
      </c>
      <c r="PZW23" s="1902">
        <f t="shared" si="439"/>
        <v>0</v>
      </c>
      <c r="PZX23" s="1902">
        <f t="shared" si="439"/>
        <v>0</v>
      </c>
      <c r="PZY23" s="1902">
        <f t="shared" si="439"/>
        <v>0</v>
      </c>
      <c r="PZZ23" s="1902">
        <f t="shared" si="439"/>
        <v>0</v>
      </c>
      <c r="QAA23" s="1902">
        <f t="shared" si="439"/>
        <v>0</v>
      </c>
      <c r="QAB23" s="1902">
        <f t="shared" si="439"/>
        <v>0</v>
      </c>
      <c r="QAC23" s="1902">
        <f t="shared" si="439"/>
        <v>0</v>
      </c>
      <c r="QAD23" s="1902">
        <f t="shared" si="439"/>
        <v>0</v>
      </c>
      <c r="QAE23" s="1902">
        <f t="shared" si="439"/>
        <v>0</v>
      </c>
      <c r="QAF23" s="1902">
        <f t="shared" si="439"/>
        <v>0</v>
      </c>
      <c r="QAG23" s="1902">
        <f t="shared" si="439"/>
        <v>0</v>
      </c>
      <c r="QAH23" s="1902">
        <f t="shared" si="439"/>
        <v>0</v>
      </c>
      <c r="QAI23" s="1902">
        <f t="shared" si="439"/>
        <v>0</v>
      </c>
      <c r="QAJ23" s="1902">
        <f t="shared" si="439"/>
        <v>0</v>
      </c>
      <c r="QAK23" s="1902">
        <f t="shared" si="439"/>
        <v>0</v>
      </c>
      <c r="QAL23" s="1902">
        <f t="shared" si="439"/>
        <v>0</v>
      </c>
      <c r="QAM23" s="1902">
        <f t="shared" ref="QAM23:QCX23" si="440">IF(AND(QAM$26="End of period",QAM$25="Revenue"),QAM10,0)</f>
        <v>0</v>
      </c>
      <c r="QAN23" s="1902">
        <f t="shared" si="440"/>
        <v>0</v>
      </c>
      <c r="QAO23" s="1902">
        <f t="shared" si="440"/>
        <v>0</v>
      </c>
      <c r="QAP23" s="1902">
        <f t="shared" si="440"/>
        <v>0</v>
      </c>
      <c r="QAQ23" s="1902">
        <f t="shared" si="440"/>
        <v>0</v>
      </c>
      <c r="QAR23" s="1902">
        <f t="shared" si="440"/>
        <v>0</v>
      </c>
      <c r="QAS23" s="1902">
        <f t="shared" si="440"/>
        <v>0</v>
      </c>
      <c r="QAT23" s="1902">
        <f t="shared" si="440"/>
        <v>0</v>
      </c>
      <c r="QAU23" s="1902">
        <f t="shared" si="440"/>
        <v>0</v>
      </c>
      <c r="QAV23" s="1902">
        <f t="shared" si="440"/>
        <v>0</v>
      </c>
      <c r="QAW23" s="1902">
        <f t="shared" si="440"/>
        <v>0</v>
      </c>
      <c r="QAX23" s="1902">
        <f t="shared" si="440"/>
        <v>0</v>
      </c>
      <c r="QAY23" s="1902">
        <f t="shared" si="440"/>
        <v>0</v>
      </c>
      <c r="QAZ23" s="1902">
        <f t="shared" si="440"/>
        <v>0</v>
      </c>
      <c r="QBA23" s="1902">
        <f t="shared" si="440"/>
        <v>0</v>
      </c>
      <c r="QBB23" s="1902">
        <f t="shared" si="440"/>
        <v>0</v>
      </c>
      <c r="QBC23" s="1902">
        <f t="shared" si="440"/>
        <v>0</v>
      </c>
      <c r="QBD23" s="1902">
        <f t="shared" si="440"/>
        <v>0</v>
      </c>
      <c r="QBE23" s="1902">
        <f t="shared" si="440"/>
        <v>0</v>
      </c>
      <c r="QBF23" s="1902">
        <f t="shared" si="440"/>
        <v>0</v>
      </c>
      <c r="QBG23" s="1902">
        <f t="shared" si="440"/>
        <v>0</v>
      </c>
      <c r="QBH23" s="1902">
        <f t="shared" si="440"/>
        <v>0</v>
      </c>
      <c r="QBI23" s="1902">
        <f t="shared" si="440"/>
        <v>0</v>
      </c>
      <c r="QBJ23" s="1902">
        <f t="shared" si="440"/>
        <v>0</v>
      </c>
      <c r="QBK23" s="1902">
        <f t="shared" si="440"/>
        <v>0</v>
      </c>
      <c r="QBL23" s="1902">
        <f t="shared" si="440"/>
        <v>0</v>
      </c>
      <c r="QBM23" s="1902">
        <f t="shared" si="440"/>
        <v>0</v>
      </c>
      <c r="QBN23" s="1902">
        <f t="shared" si="440"/>
        <v>0</v>
      </c>
      <c r="QBO23" s="1902">
        <f t="shared" si="440"/>
        <v>0</v>
      </c>
      <c r="QBP23" s="1902">
        <f t="shared" si="440"/>
        <v>0</v>
      </c>
      <c r="QBQ23" s="1902">
        <f t="shared" si="440"/>
        <v>0</v>
      </c>
      <c r="QBR23" s="1902">
        <f t="shared" si="440"/>
        <v>0</v>
      </c>
      <c r="QBS23" s="1902">
        <f t="shared" si="440"/>
        <v>0</v>
      </c>
      <c r="QBT23" s="1902">
        <f t="shared" si="440"/>
        <v>0</v>
      </c>
      <c r="QBU23" s="1902">
        <f t="shared" si="440"/>
        <v>0</v>
      </c>
      <c r="QBV23" s="1902">
        <f t="shared" si="440"/>
        <v>0</v>
      </c>
      <c r="QBW23" s="1902">
        <f t="shared" si="440"/>
        <v>0</v>
      </c>
      <c r="QBX23" s="1902">
        <f t="shared" si="440"/>
        <v>0</v>
      </c>
      <c r="QBY23" s="1902">
        <f t="shared" si="440"/>
        <v>0</v>
      </c>
      <c r="QBZ23" s="1902">
        <f t="shared" si="440"/>
        <v>0</v>
      </c>
      <c r="QCA23" s="1902">
        <f t="shared" si="440"/>
        <v>0</v>
      </c>
      <c r="QCB23" s="1902">
        <f t="shared" si="440"/>
        <v>0</v>
      </c>
      <c r="QCC23" s="1902">
        <f t="shared" si="440"/>
        <v>0</v>
      </c>
      <c r="QCD23" s="1902">
        <f t="shared" si="440"/>
        <v>0</v>
      </c>
      <c r="QCE23" s="1902">
        <f t="shared" si="440"/>
        <v>0</v>
      </c>
      <c r="QCF23" s="1902">
        <f t="shared" si="440"/>
        <v>0</v>
      </c>
      <c r="QCG23" s="1902">
        <f t="shared" si="440"/>
        <v>0</v>
      </c>
      <c r="QCH23" s="1902">
        <f t="shared" si="440"/>
        <v>0</v>
      </c>
      <c r="QCI23" s="1902">
        <f t="shared" si="440"/>
        <v>0</v>
      </c>
      <c r="QCJ23" s="1902">
        <f t="shared" si="440"/>
        <v>0</v>
      </c>
      <c r="QCK23" s="1902">
        <f t="shared" si="440"/>
        <v>0</v>
      </c>
      <c r="QCL23" s="1902">
        <f t="shared" si="440"/>
        <v>0</v>
      </c>
      <c r="QCM23" s="1902">
        <f t="shared" si="440"/>
        <v>0</v>
      </c>
      <c r="QCN23" s="1902">
        <f t="shared" si="440"/>
        <v>0</v>
      </c>
      <c r="QCO23" s="1902">
        <f t="shared" si="440"/>
        <v>0</v>
      </c>
      <c r="QCP23" s="1902">
        <f t="shared" si="440"/>
        <v>0</v>
      </c>
      <c r="QCQ23" s="1902">
        <f t="shared" si="440"/>
        <v>0</v>
      </c>
      <c r="QCR23" s="1902">
        <f t="shared" si="440"/>
        <v>0</v>
      </c>
      <c r="QCS23" s="1902">
        <f t="shared" si="440"/>
        <v>0</v>
      </c>
      <c r="QCT23" s="1902">
        <f t="shared" si="440"/>
        <v>0</v>
      </c>
      <c r="QCU23" s="1902">
        <f t="shared" si="440"/>
        <v>0</v>
      </c>
      <c r="QCV23" s="1902">
        <f t="shared" si="440"/>
        <v>0</v>
      </c>
      <c r="QCW23" s="1902">
        <f t="shared" si="440"/>
        <v>0</v>
      </c>
      <c r="QCX23" s="1902">
        <f t="shared" si="440"/>
        <v>0</v>
      </c>
      <c r="QCY23" s="1902">
        <f t="shared" ref="QCY23:QFJ23" si="441">IF(AND(QCY$26="End of period",QCY$25="Revenue"),QCY10,0)</f>
        <v>0</v>
      </c>
      <c r="QCZ23" s="1902">
        <f t="shared" si="441"/>
        <v>0</v>
      </c>
      <c r="QDA23" s="1902">
        <f t="shared" si="441"/>
        <v>0</v>
      </c>
      <c r="QDB23" s="1902">
        <f t="shared" si="441"/>
        <v>0</v>
      </c>
      <c r="QDC23" s="1902">
        <f t="shared" si="441"/>
        <v>0</v>
      </c>
      <c r="QDD23" s="1902">
        <f t="shared" si="441"/>
        <v>0</v>
      </c>
      <c r="QDE23" s="1902">
        <f t="shared" si="441"/>
        <v>0</v>
      </c>
      <c r="QDF23" s="1902">
        <f t="shared" si="441"/>
        <v>0</v>
      </c>
      <c r="QDG23" s="1902">
        <f t="shared" si="441"/>
        <v>0</v>
      </c>
      <c r="QDH23" s="1902">
        <f t="shared" si="441"/>
        <v>0</v>
      </c>
      <c r="QDI23" s="1902">
        <f t="shared" si="441"/>
        <v>0</v>
      </c>
      <c r="QDJ23" s="1902">
        <f t="shared" si="441"/>
        <v>0</v>
      </c>
      <c r="QDK23" s="1902">
        <f t="shared" si="441"/>
        <v>0</v>
      </c>
      <c r="QDL23" s="1902">
        <f t="shared" si="441"/>
        <v>0</v>
      </c>
      <c r="QDM23" s="1902">
        <f t="shared" si="441"/>
        <v>0</v>
      </c>
      <c r="QDN23" s="1902">
        <f t="shared" si="441"/>
        <v>0</v>
      </c>
      <c r="QDO23" s="1902">
        <f t="shared" si="441"/>
        <v>0</v>
      </c>
      <c r="QDP23" s="1902">
        <f t="shared" si="441"/>
        <v>0</v>
      </c>
      <c r="QDQ23" s="1902">
        <f t="shared" si="441"/>
        <v>0</v>
      </c>
      <c r="QDR23" s="1902">
        <f t="shared" si="441"/>
        <v>0</v>
      </c>
      <c r="QDS23" s="1902">
        <f t="shared" si="441"/>
        <v>0</v>
      </c>
      <c r="QDT23" s="1902">
        <f t="shared" si="441"/>
        <v>0</v>
      </c>
      <c r="QDU23" s="1902">
        <f t="shared" si="441"/>
        <v>0</v>
      </c>
      <c r="QDV23" s="1902">
        <f t="shared" si="441"/>
        <v>0</v>
      </c>
      <c r="QDW23" s="1902">
        <f t="shared" si="441"/>
        <v>0</v>
      </c>
      <c r="QDX23" s="1902">
        <f t="shared" si="441"/>
        <v>0</v>
      </c>
      <c r="QDY23" s="1902">
        <f t="shared" si="441"/>
        <v>0</v>
      </c>
      <c r="QDZ23" s="1902">
        <f t="shared" si="441"/>
        <v>0</v>
      </c>
      <c r="QEA23" s="1902">
        <f t="shared" si="441"/>
        <v>0</v>
      </c>
      <c r="QEB23" s="1902">
        <f t="shared" si="441"/>
        <v>0</v>
      </c>
      <c r="QEC23" s="1902">
        <f t="shared" si="441"/>
        <v>0</v>
      </c>
      <c r="QED23" s="1902">
        <f t="shared" si="441"/>
        <v>0</v>
      </c>
      <c r="QEE23" s="1902">
        <f t="shared" si="441"/>
        <v>0</v>
      </c>
      <c r="QEF23" s="1902">
        <f t="shared" si="441"/>
        <v>0</v>
      </c>
      <c r="QEG23" s="1902">
        <f t="shared" si="441"/>
        <v>0</v>
      </c>
      <c r="QEH23" s="1902">
        <f t="shared" si="441"/>
        <v>0</v>
      </c>
      <c r="QEI23" s="1902">
        <f t="shared" si="441"/>
        <v>0</v>
      </c>
      <c r="QEJ23" s="1902">
        <f t="shared" si="441"/>
        <v>0</v>
      </c>
      <c r="QEK23" s="1902">
        <f t="shared" si="441"/>
        <v>0</v>
      </c>
      <c r="QEL23" s="1902">
        <f t="shared" si="441"/>
        <v>0</v>
      </c>
      <c r="QEM23" s="1902">
        <f t="shared" si="441"/>
        <v>0</v>
      </c>
      <c r="QEN23" s="1902">
        <f t="shared" si="441"/>
        <v>0</v>
      </c>
      <c r="QEO23" s="1902">
        <f t="shared" si="441"/>
        <v>0</v>
      </c>
      <c r="QEP23" s="1902">
        <f t="shared" si="441"/>
        <v>0</v>
      </c>
      <c r="QEQ23" s="1902">
        <f t="shared" si="441"/>
        <v>0</v>
      </c>
      <c r="QER23" s="1902">
        <f t="shared" si="441"/>
        <v>0</v>
      </c>
      <c r="QES23" s="1902">
        <f t="shared" si="441"/>
        <v>0</v>
      </c>
      <c r="QET23" s="1902">
        <f t="shared" si="441"/>
        <v>0</v>
      </c>
      <c r="QEU23" s="1902">
        <f t="shared" si="441"/>
        <v>0</v>
      </c>
      <c r="QEV23" s="1902">
        <f t="shared" si="441"/>
        <v>0</v>
      </c>
      <c r="QEW23" s="1902">
        <f t="shared" si="441"/>
        <v>0</v>
      </c>
      <c r="QEX23" s="1902">
        <f t="shared" si="441"/>
        <v>0</v>
      </c>
      <c r="QEY23" s="1902">
        <f t="shared" si="441"/>
        <v>0</v>
      </c>
      <c r="QEZ23" s="1902">
        <f t="shared" si="441"/>
        <v>0</v>
      </c>
      <c r="QFA23" s="1902">
        <f t="shared" si="441"/>
        <v>0</v>
      </c>
      <c r="QFB23" s="1902">
        <f t="shared" si="441"/>
        <v>0</v>
      </c>
      <c r="QFC23" s="1902">
        <f t="shared" si="441"/>
        <v>0</v>
      </c>
      <c r="QFD23" s="1902">
        <f t="shared" si="441"/>
        <v>0</v>
      </c>
      <c r="QFE23" s="1902">
        <f t="shared" si="441"/>
        <v>0</v>
      </c>
      <c r="QFF23" s="1902">
        <f t="shared" si="441"/>
        <v>0</v>
      </c>
      <c r="QFG23" s="1902">
        <f t="shared" si="441"/>
        <v>0</v>
      </c>
      <c r="QFH23" s="1902">
        <f t="shared" si="441"/>
        <v>0</v>
      </c>
      <c r="QFI23" s="1902">
        <f t="shared" si="441"/>
        <v>0</v>
      </c>
      <c r="QFJ23" s="1902">
        <f t="shared" si="441"/>
        <v>0</v>
      </c>
      <c r="QFK23" s="1902">
        <f t="shared" ref="QFK23:QHV23" si="442">IF(AND(QFK$26="End of period",QFK$25="Revenue"),QFK10,0)</f>
        <v>0</v>
      </c>
      <c r="QFL23" s="1902">
        <f t="shared" si="442"/>
        <v>0</v>
      </c>
      <c r="QFM23" s="1902">
        <f t="shared" si="442"/>
        <v>0</v>
      </c>
      <c r="QFN23" s="1902">
        <f t="shared" si="442"/>
        <v>0</v>
      </c>
      <c r="QFO23" s="1902">
        <f t="shared" si="442"/>
        <v>0</v>
      </c>
      <c r="QFP23" s="1902">
        <f t="shared" si="442"/>
        <v>0</v>
      </c>
      <c r="QFQ23" s="1902">
        <f t="shared" si="442"/>
        <v>0</v>
      </c>
      <c r="QFR23" s="1902">
        <f t="shared" si="442"/>
        <v>0</v>
      </c>
      <c r="QFS23" s="1902">
        <f t="shared" si="442"/>
        <v>0</v>
      </c>
      <c r="QFT23" s="1902">
        <f t="shared" si="442"/>
        <v>0</v>
      </c>
      <c r="QFU23" s="1902">
        <f t="shared" si="442"/>
        <v>0</v>
      </c>
      <c r="QFV23" s="1902">
        <f t="shared" si="442"/>
        <v>0</v>
      </c>
      <c r="QFW23" s="1902">
        <f t="shared" si="442"/>
        <v>0</v>
      </c>
      <c r="QFX23" s="1902">
        <f t="shared" si="442"/>
        <v>0</v>
      </c>
      <c r="QFY23" s="1902">
        <f t="shared" si="442"/>
        <v>0</v>
      </c>
      <c r="QFZ23" s="1902">
        <f t="shared" si="442"/>
        <v>0</v>
      </c>
      <c r="QGA23" s="1902">
        <f t="shared" si="442"/>
        <v>0</v>
      </c>
      <c r="QGB23" s="1902">
        <f t="shared" si="442"/>
        <v>0</v>
      </c>
      <c r="QGC23" s="1902">
        <f t="shared" si="442"/>
        <v>0</v>
      </c>
      <c r="QGD23" s="1902">
        <f t="shared" si="442"/>
        <v>0</v>
      </c>
      <c r="QGE23" s="1902">
        <f t="shared" si="442"/>
        <v>0</v>
      </c>
      <c r="QGF23" s="1902">
        <f t="shared" si="442"/>
        <v>0</v>
      </c>
      <c r="QGG23" s="1902">
        <f t="shared" si="442"/>
        <v>0</v>
      </c>
      <c r="QGH23" s="1902">
        <f t="shared" si="442"/>
        <v>0</v>
      </c>
      <c r="QGI23" s="1902">
        <f t="shared" si="442"/>
        <v>0</v>
      </c>
      <c r="QGJ23" s="1902">
        <f t="shared" si="442"/>
        <v>0</v>
      </c>
      <c r="QGK23" s="1902">
        <f t="shared" si="442"/>
        <v>0</v>
      </c>
      <c r="QGL23" s="1902">
        <f t="shared" si="442"/>
        <v>0</v>
      </c>
      <c r="QGM23" s="1902">
        <f t="shared" si="442"/>
        <v>0</v>
      </c>
      <c r="QGN23" s="1902">
        <f t="shared" si="442"/>
        <v>0</v>
      </c>
      <c r="QGO23" s="1902">
        <f t="shared" si="442"/>
        <v>0</v>
      </c>
      <c r="QGP23" s="1902">
        <f t="shared" si="442"/>
        <v>0</v>
      </c>
      <c r="QGQ23" s="1902">
        <f t="shared" si="442"/>
        <v>0</v>
      </c>
      <c r="QGR23" s="1902">
        <f t="shared" si="442"/>
        <v>0</v>
      </c>
      <c r="QGS23" s="1902">
        <f t="shared" si="442"/>
        <v>0</v>
      </c>
      <c r="QGT23" s="1902">
        <f t="shared" si="442"/>
        <v>0</v>
      </c>
      <c r="QGU23" s="1902">
        <f t="shared" si="442"/>
        <v>0</v>
      </c>
      <c r="QGV23" s="1902">
        <f t="shared" si="442"/>
        <v>0</v>
      </c>
      <c r="QGW23" s="1902">
        <f t="shared" si="442"/>
        <v>0</v>
      </c>
      <c r="QGX23" s="1902">
        <f t="shared" si="442"/>
        <v>0</v>
      </c>
      <c r="QGY23" s="1902">
        <f t="shared" si="442"/>
        <v>0</v>
      </c>
      <c r="QGZ23" s="1902">
        <f t="shared" si="442"/>
        <v>0</v>
      </c>
      <c r="QHA23" s="1902">
        <f t="shared" si="442"/>
        <v>0</v>
      </c>
      <c r="QHB23" s="1902">
        <f t="shared" si="442"/>
        <v>0</v>
      </c>
      <c r="QHC23" s="1902">
        <f t="shared" si="442"/>
        <v>0</v>
      </c>
      <c r="QHD23" s="1902">
        <f t="shared" si="442"/>
        <v>0</v>
      </c>
      <c r="QHE23" s="1902">
        <f t="shared" si="442"/>
        <v>0</v>
      </c>
      <c r="QHF23" s="1902">
        <f t="shared" si="442"/>
        <v>0</v>
      </c>
      <c r="QHG23" s="1902">
        <f t="shared" si="442"/>
        <v>0</v>
      </c>
      <c r="QHH23" s="1902">
        <f t="shared" si="442"/>
        <v>0</v>
      </c>
      <c r="QHI23" s="1902">
        <f t="shared" si="442"/>
        <v>0</v>
      </c>
      <c r="QHJ23" s="1902">
        <f t="shared" si="442"/>
        <v>0</v>
      </c>
      <c r="QHK23" s="1902">
        <f t="shared" si="442"/>
        <v>0</v>
      </c>
      <c r="QHL23" s="1902">
        <f t="shared" si="442"/>
        <v>0</v>
      </c>
      <c r="QHM23" s="1902">
        <f t="shared" si="442"/>
        <v>0</v>
      </c>
      <c r="QHN23" s="1902">
        <f t="shared" si="442"/>
        <v>0</v>
      </c>
      <c r="QHO23" s="1902">
        <f t="shared" si="442"/>
        <v>0</v>
      </c>
      <c r="QHP23" s="1902">
        <f t="shared" si="442"/>
        <v>0</v>
      </c>
      <c r="QHQ23" s="1902">
        <f t="shared" si="442"/>
        <v>0</v>
      </c>
      <c r="QHR23" s="1902">
        <f t="shared" si="442"/>
        <v>0</v>
      </c>
      <c r="QHS23" s="1902">
        <f t="shared" si="442"/>
        <v>0</v>
      </c>
      <c r="QHT23" s="1902">
        <f t="shared" si="442"/>
        <v>0</v>
      </c>
      <c r="QHU23" s="1902">
        <f t="shared" si="442"/>
        <v>0</v>
      </c>
      <c r="QHV23" s="1902">
        <f t="shared" si="442"/>
        <v>0</v>
      </c>
      <c r="QHW23" s="1902">
        <f t="shared" ref="QHW23:QKH23" si="443">IF(AND(QHW$26="End of period",QHW$25="Revenue"),QHW10,0)</f>
        <v>0</v>
      </c>
      <c r="QHX23" s="1902">
        <f t="shared" si="443"/>
        <v>0</v>
      </c>
      <c r="QHY23" s="1902">
        <f t="shared" si="443"/>
        <v>0</v>
      </c>
      <c r="QHZ23" s="1902">
        <f t="shared" si="443"/>
        <v>0</v>
      </c>
      <c r="QIA23" s="1902">
        <f t="shared" si="443"/>
        <v>0</v>
      </c>
      <c r="QIB23" s="1902">
        <f t="shared" si="443"/>
        <v>0</v>
      </c>
      <c r="QIC23" s="1902">
        <f t="shared" si="443"/>
        <v>0</v>
      </c>
      <c r="QID23" s="1902">
        <f t="shared" si="443"/>
        <v>0</v>
      </c>
      <c r="QIE23" s="1902">
        <f t="shared" si="443"/>
        <v>0</v>
      </c>
      <c r="QIF23" s="1902">
        <f t="shared" si="443"/>
        <v>0</v>
      </c>
      <c r="QIG23" s="1902">
        <f t="shared" si="443"/>
        <v>0</v>
      </c>
      <c r="QIH23" s="1902">
        <f t="shared" si="443"/>
        <v>0</v>
      </c>
      <c r="QII23" s="1902">
        <f t="shared" si="443"/>
        <v>0</v>
      </c>
      <c r="QIJ23" s="1902">
        <f t="shared" si="443"/>
        <v>0</v>
      </c>
      <c r="QIK23" s="1902">
        <f t="shared" si="443"/>
        <v>0</v>
      </c>
      <c r="QIL23" s="1902">
        <f t="shared" si="443"/>
        <v>0</v>
      </c>
      <c r="QIM23" s="1902">
        <f t="shared" si="443"/>
        <v>0</v>
      </c>
      <c r="QIN23" s="1902">
        <f t="shared" si="443"/>
        <v>0</v>
      </c>
      <c r="QIO23" s="1902">
        <f t="shared" si="443"/>
        <v>0</v>
      </c>
      <c r="QIP23" s="1902">
        <f t="shared" si="443"/>
        <v>0</v>
      </c>
      <c r="QIQ23" s="1902">
        <f t="shared" si="443"/>
        <v>0</v>
      </c>
      <c r="QIR23" s="1902">
        <f t="shared" si="443"/>
        <v>0</v>
      </c>
      <c r="QIS23" s="1902">
        <f t="shared" si="443"/>
        <v>0</v>
      </c>
      <c r="QIT23" s="1902">
        <f t="shared" si="443"/>
        <v>0</v>
      </c>
      <c r="QIU23" s="1902">
        <f t="shared" si="443"/>
        <v>0</v>
      </c>
      <c r="QIV23" s="1902">
        <f t="shared" si="443"/>
        <v>0</v>
      </c>
      <c r="QIW23" s="1902">
        <f t="shared" si="443"/>
        <v>0</v>
      </c>
      <c r="QIX23" s="1902">
        <f t="shared" si="443"/>
        <v>0</v>
      </c>
      <c r="QIY23" s="1902">
        <f t="shared" si="443"/>
        <v>0</v>
      </c>
      <c r="QIZ23" s="1902">
        <f t="shared" si="443"/>
        <v>0</v>
      </c>
      <c r="QJA23" s="1902">
        <f t="shared" si="443"/>
        <v>0</v>
      </c>
      <c r="QJB23" s="1902">
        <f t="shared" si="443"/>
        <v>0</v>
      </c>
      <c r="QJC23" s="1902">
        <f t="shared" si="443"/>
        <v>0</v>
      </c>
      <c r="QJD23" s="1902">
        <f t="shared" si="443"/>
        <v>0</v>
      </c>
      <c r="QJE23" s="1902">
        <f t="shared" si="443"/>
        <v>0</v>
      </c>
      <c r="QJF23" s="1902">
        <f t="shared" si="443"/>
        <v>0</v>
      </c>
      <c r="QJG23" s="1902">
        <f t="shared" si="443"/>
        <v>0</v>
      </c>
      <c r="QJH23" s="1902">
        <f t="shared" si="443"/>
        <v>0</v>
      </c>
      <c r="QJI23" s="1902">
        <f t="shared" si="443"/>
        <v>0</v>
      </c>
      <c r="QJJ23" s="1902">
        <f t="shared" si="443"/>
        <v>0</v>
      </c>
      <c r="QJK23" s="1902">
        <f t="shared" si="443"/>
        <v>0</v>
      </c>
      <c r="QJL23" s="1902">
        <f t="shared" si="443"/>
        <v>0</v>
      </c>
      <c r="QJM23" s="1902">
        <f t="shared" si="443"/>
        <v>0</v>
      </c>
      <c r="QJN23" s="1902">
        <f t="shared" si="443"/>
        <v>0</v>
      </c>
      <c r="QJO23" s="1902">
        <f t="shared" si="443"/>
        <v>0</v>
      </c>
      <c r="QJP23" s="1902">
        <f t="shared" si="443"/>
        <v>0</v>
      </c>
      <c r="QJQ23" s="1902">
        <f t="shared" si="443"/>
        <v>0</v>
      </c>
      <c r="QJR23" s="1902">
        <f t="shared" si="443"/>
        <v>0</v>
      </c>
      <c r="QJS23" s="1902">
        <f t="shared" si="443"/>
        <v>0</v>
      </c>
      <c r="QJT23" s="1902">
        <f t="shared" si="443"/>
        <v>0</v>
      </c>
      <c r="QJU23" s="1902">
        <f t="shared" si="443"/>
        <v>0</v>
      </c>
      <c r="QJV23" s="1902">
        <f t="shared" si="443"/>
        <v>0</v>
      </c>
      <c r="QJW23" s="1902">
        <f t="shared" si="443"/>
        <v>0</v>
      </c>
      <c r="QJX23" s="1902">
        <f t="shared" si="443"/>
        <v>0</v>
      </c>
      <c r="QJY23" s="1902">
        <f t="shared" si="443"/>
        <v>0</v>
      </c>
      <c r="QJZ23" s="1902">
        <f t="shared" si="443"/>
        <v>0</v>
      </c>
      <c r="QKA23" s="1902">
        <f t="shared" si="443"/>
        <v>0</v>
      </c>
      <c r="QKB23" s="1902">
        <f t="shared" si="443"/>
        <v>0</v>
      </c>
      <c r="QKC23" s="1902">
        <f t="shared" si="443"/>
        <v>0</v>
      </c>
      <c r="QKD23" s="1902">
        <f t="shared" si="443"/>
        <v>0</v>
      </c>
      <c r="QKE23" s="1902">
        <f t="shared" si="443"/>
        <v>0</v>
      </c>
      <c r="QKF23" s="1902">
        <f t="shared" si="443"/>
        <v>0</v>
      </c>
      <c r="QKG23" s="1902">
        <f t="shared" si="443"/>
        <v>0</v>
      </c>
      <c r="QKH23" s="1902">
        <f t="shared" si="443"/>
        <v>0</v>
      </c>
      <c r="QKI23" s="1902">
        <f t="shared" ref="QKI23:QMT23" si="444">IF(AND(QKI$26="End of period",QKI$25="Revenue"),QKI10,0)</f>
        <v>0</v>
      </c>
      <c r="QKJ23" s="1902">
        <f t="shared" si="444"/>
        <v>0</v>
      </c>
      <c r="QKK23" s="1902">
        <f t="shared" si="444"/>
        <v>0</v>
      </c>
      <c r="QKL23" s="1902">
        <f t="shared" si="444"/>
        <v>0</v>
      </c>
      <c r="QKM23" s="1902">
        <f t="shared" si="444"/>
        <v>0</v>
      </c>
      <c r="QKN23" s="1902">
        <f t="shared" si="444"/>
        <v>0</v>
      </c>
      <c r="QKO23" s="1902">
        <f t="shared" si="444"/>
        <v>0</v>
      </c>
      <c r="QKP23" s="1902">
        <f t="shared" si="444"/>
        <v>0</v>
      </c>
      <c r="QKQ23" s="1902">
        <f t="shared" si="444"/>
        <v>0</v>
      </c>
      <c r="QKR23" s="1902">
        <f t="shared" si="444"/>
        <v>0</v>
      </c>
      <c r="QKS23" s="1902">
        <f t="shared" si="444"/>
        <v>0</v>
      </c>
      <c r="QKT23" s="1902">
        <f t="shared" si="444"/>
        <v>0</v>
      </c>
      <c r="QKU23" s="1902">
        <f t="shared" si="444"/>
        <v>0</v>
      </c>
      <c r="QKV23" s="1902">
        <f t="shared" si="444"/>
        <v>0</v>
      </c>
      <c r="QKW23" s="1902">
        <f t="shared" si="444"/>
        <v>0</v>
      </c>
      <c r="QKX23" s="1902">
        <f t="shared" si="444"/>
        <v>0</v>
      </c>
      <c r="QKY23" s="1902">
        <f t="shared" si="444"/>
        <v>0</v>
      </c>
      <c r="QKZ23" s="1902">
        <f t="shared" si="444"/>
        <v>0</v>
      </c>
      <c r="QLA23" s="1902">
        <f t="shared" si="444"/>
        <v>0</v>
      </c>
      <c r="QLB23" s="1902">
        <f t="shared" si="444"/>
        <v>0</v>
      </c>
      <c r="QLC23" s="1902">
        <f t="shared" si="444"/>
        <v>0</v>
      </c>
      <c r="QLD23" s="1902">
        <f t="shared" si="444"/>
        <v>0</v>
      </c>
      <c r="QLE23" s="1902">
        <f t="shared" si="444"/>
        <v>0</v>
      </c>
      <c r="QLF23" s="1902">
        <f t="shared" si="444"/>
        <v>0</v>
      </c>
      <c r="QLG23" s="1902">
        <f t="shared" si="444"/>
        <v>0</v>
      </c>
      <c r="QLH23" s="1902">
        <f t="shared" si="444"/>
        <v>0</v>
      </c>
      <c r="QLI23" s="1902">
        <f t="shared" si="444"/>
        <v>0</v>
      </c>
      <c r="QLJ23" s="1902">
        <f t="shared" si="444"/>
        <v>0</v>
      </c>
      <c r="QLK23" s="1902">
        <f t="shared" si="444"/>
        <v>0</v>
      </c>
      <c r="QLL23" s="1902">
        <f t="shared" si="444"/>
        <v>0</v>
      </c>
      <c r="QLM23" s="1902">
        <f t="shared" si="444"/>
        <v>0</v>
      </c>
      <c r="QLN23" s="1902">
        <f t="shared" si="444"/>
        <v>0</v>
      </c>
      <c r="QLO23" s="1902">
        <f t="shared" si="444"/>
        <v>0</v>
      </c>
      <c r="QLP23" s="1902">
        <f t="shared" si="444"/>
        <v>0</v>
      </c>
      <c r="QLQ23" s="1902">
        <f t="shared" si="444"/>
        <v>0</v>
      </c>
      <c r="QLR23" s="1902">
        <f t="shared" si="444"/>
        <v>0</v>
      </c>
      <c r="QLS23" s="1902">
        <f t="shared" si="444"/>
        <v>0</v>
      </c>
      <c r="QLT23" s="1902">
        <f t="shared" si="444"/>
        <v>0</v>
      </c>
      <c r="QLU23" s="1902">
        <f t="shared" si="444"/>
        <v>0</v>
      </c>
      <c r="QLV23" s="1902">
        <f t="shared" si="444"/>
        <v>0</v>
      </c>
      <c r="QLW23" s="1902">
        <f t="shared" si="444"/>
        <v>0</v>
      </c>
      <c r="QLX23" s="1902">
        <f t="shared" si="444"/>
        <v>0</v>
      </c>
      <c r="QLY23" s="1902">
        <f t="shared" si="444"/>
        <v>0</v>
      </c>
      <c r="QLZ23" s="1902">
        <f t="shared" si="444"/>
        <v>0</v>
      </c>
      <c r="QMA23" s="1902">
        <f t="shared" si="444"/>
        <v>0</v>
      </c>
      <c r="QMB23" s="1902">
        <f t="shared" si="444"/>
        <v>0</v>
      </c>
      <c r="QMC23" s="1902">
        <f t="shared" si="444"/>
        <v>0</v>
      </c>
      <c r="QMD23" s="1902">
        <f t="shared" si="444"/>
        <v>0</v>
      </c>
      <c r="QME23" s="1902">
        <f t="shared" si="444"/>
        <v>0</v>
      </c>
      <c r="QMF23" s="1902">
        <f t="shared" si="444"/>
        <v>0</v>
      </c>
      <c r="QMG23" s="1902">
        <f t="shared" si="444"/>
        <v>0</v>
      </c>
      <c r="QMH23" s="1902">
        <f t="shared" si="444"/>
        <v>0</v>
      </c>
      <c r="QMI23" s="1902">
        <f t="shared" si="444"/>
        <v>0</v>
      </c>
      <c r="QMJ23" s="1902">
        <f t="shared" si="444"/>
        <v>0</v>
      </c>
      <c r="QMK23" s="1902">
        <f t="shared" si="444"/>
        <v>0</v>
      </c>
      <c r="QML23" s="1902">
        <f t="shared" si="444"/>
        <v>0</v>
      </c>
      <c r="QMM23" s="1902">
        <f t="shared" si="444"/>
        <v>0</v>
      </c>
      <c r="QMN23" s="1902">
        <f t="shared" si="444"/>
        <v>0</v>
      </c>
      <c r="QMO23" s="1902">
        <f t="shared" si="444"/>
        <v>0</v>
      </c>
      <c r="QMP23" s="1902">
        <f t="shared" si="444"/>
        <v>0</v>
      </c>
      <c r="QMQ23" s="1902">
        <f t="shared" si="444"/>
        <v>0</v>
      </c>
      <c r="QMR23" s="1902">
        <f t="shared" si="444"/>
        <v>0</v>
      </c>
      <c r="QMS23" s="1902">
        <f t="shared" si="444"/>
        <v>0</v>
      </c>
      <c r="QMT23" s="1902">
        <f t="shared" si="444"/>
        <v>0</v>
      </c>
      <c r="QMU23" s="1902">
        <f t="shared" ref="QMU23:QPF23" si="445">IF(AND(QMU$26="End of period",QMU$25="Revenue"),QMU10,0)</f>
        <v>0</v>
      </c>
      <c r="QMV23" s="1902">
        <f t="shared" si="445"/>
        <v>0</v>
      </c>
      <c r="QMW23" s="1902">
        <f t="shared" si="445"/>
        <v>0</v>
      </c>
      <c r="QMX23" s="1902">
        <f t="shared" si="445"/>
        <v>0</v>
      </c>
      <c r="QMY23" s="1902">
        <f t="shared" si="445"/>
        <v>0</v>
      </c>
      <c r="QMZ23" s="1902">
        <f t="shared" si="445"/>
        <v>0</v>
      </c>
      <c r="QNA23" s="1902">
        <f t="shared" si="445"/>
        <v>0</v>
      </c>
      <c r="QNB23" s="1902">
        <f t="shared" si="445"/>
        <v>0</v>
      </c>
      <c r="QNC23" s="1902">
        <f t="shared" si="445"/>
        <v>0</v>
      </c>
      <c r="QND23" s="1902">
        <f t="shared" si="445"/>
        <v>0</v>
      </c>
      <c r="QNE23" s="1902">
        <f t="shared" si="445"/>
        <v>0</v>
      </c>
      <c r="QNF23" s="1902">
        <f t="shared" si="445"/>
        <v>0</v>
      </c>
      <c r="QNG23" s="1902">
        <f t="shared" si="445"/>
        <v>0</v>
      </c>
      <c r="QNH23" s="1902">
        <f t="shared" si="445"/>
        <v>0</v>
      </c>
      <c r="QNI23" s="1902">
        <f t="shared" si="445"/>
        <v>0</v>
      </c>
      <c r="QNJ23" s="1902">
        <f t="shared" si="445"/>
        <v>0</v>
      </c>
      <c r="QNK23" s="1902">
        <f t="shared" si="445"/>
        <v>0</v>
      </c>
      <c r="QNL23" s="1902">
        <f t="shared" si="445"/>
        <v>0</v>
      </c>
      <c r="QNM23" s="1902">
        <f t="shared" si="445"/>
        <v>0</v>
      </c>
      <c r="QNN23" s="1902">
        <f t="shared" si="445"/>
        <v>0</v>
      </c>
      <c r="QNO23" s="1902">
        <f t="shared" si="445"/>
        <v>0</v>
      </c>
      <c r="QNP23" s="1902">
        <f t="shared" si="445"/>
        <v>0</v>
      </c>
      <c r="QNQ23" s="1902">
        <f t="shared" si="445"/>
        <v>0</v>
      </c>
      <c r="QNR23" s="1902">
        <f t="shared" si="445"/>
        <v>0</v>
      </c>
      <c r="QNS23" s="1902">
        <f t="shared" si="445"/>
        <v>0</v>
      </c>
      <c r="QNT23" s="1902">
        <f t="shared" si="445"/>
        <v>0</v>
      </c>
      <c r="QNU23" s="1902">
        <f t="shared" si="445"/>
        <v>0</v>
      </c>
      <c r="QNV23" s="1902">
        <f t="shared" si="445"/>
        <v>0</v>
      </c>
      <c r="QNW23" s="1902">
        <f t="shared" si="445"/>
        <v>0</v>
      </c>
      <c r="QNX23" s="1902">
        <f t="shared" si="445"/>
        <v>0</v>
      </c>
      <c r="QNY23" s="1902">
        <f t="shared" si="445"/>
        <v>0</v>
      </c>
      <c r="QNZ23" s="1902">
        <f t="shared" si="445"/>
        <v>0</v>
      </c>
      <c r="QOA23" s="1902">
        <f t="shared" si="445"/>
        <v>0</v>
      </c>
      <c r="QOB23" s="1902">
        <f t="shared" si="445"/>
        <v>0</v>
      </c>
      <c r="QOC23" s="1902">
        <f t="shared" si="445"/>
        <v>0</v>
      </c>
      <c r="QOD23" s="1902">
        <f t="shared" si="445"/>
        <v>0</v>
      </c>
      <c r="QOE23" s="1902">
        <f t="shared" si="445"/>
        <v>0</v>
      </c>
      <c r="QOF23" s="1902">
        <f t="shared" si="445"/>
        <v>0</v>
      </c>
      <c r="QOG23" s="1902">
        <f t="shared" si="445"/>
        <v>0</v>
      </c>
      <c r="QOH23" s="1902">
        <f t="shared" si="445"/>
        <v>0</v>
      </c>
      <c r="QOI23" s="1902">
        <f t="shared" si="445"/>
        <v>0</v>
      </c>
      <c r="QOJ23" s="1902">
        <f t="shared" si="445"/>
        <v>0</v>
      </c>
      <c r="QOK23" s="1902">
        <f t="shared" si="445"/>
        <v>0</v>
      </c>
      <c r="QOL23" s="1902">
        <f t="shared" si="445"/>
        <v>0</v>
      </c>
      <c r="QOM23" s="1902">
        <f t="shared" si="445"/>
        <v>0</v>
      </c>
      <c r="QON23" s="1902">
        <f t="shared" si="445"/>
        <v>0</v>
      </c>
      <c r="QOO23" s="1902">
        <f t="shared" si="445"/>
        <v>0</v>
      </c>
      <c r="QOP23" s="1902">
        <f t="shared" si="445"/>
        <v>0</v>
      </c>
      <c r="QOQ23" s="1902">
        <f t="shared" si="445"/>
        <v>0</v>
      </c>
      <c r="QOR23" s="1902">
        <f t="shared" si="445"/>
        <v>0</v>
      </c>
      <c r="QOS23" s="1902">
        <f t="shared" si="445"/>
        <v>0</v>
      </c>
      <c r="QOT23" s="1902">
        <f t="shared" si="445"/>
        <v>0</v>
      </c>
      <c r="QOU23" s="1902">
        <f t="shared" si="445"/>
        <v>0</v>
      </c>
      <c r="QOV23" s="1902">
        <f t="shared" si="445"/>
        <v>0</v>
      </c>
      <c r="QOW23" s="1902">
        <f t="shared" si="445"/>
        <v>0</v>
      </c>
      <c r="QOX23" s="1902">
        <f t="shared" si="445"/>
        <v>0</v>
      </c>
      <c r="QOY23" s="1902">
        <f t="shared" si="445"/>
        <v>0</v>
      </c>
      <c r="QOZ23" s="1902">
        <f t="shared" si="445"/>
        <v>0</v>
      </c>
      <c r="QPA23" s="1902">
        <f t="shared" si="445"/>
        <v>0</v>
      </c>
      <c r="QPB23" s="1902">
        <f t="shared" si="445"/>
        <v>0</v>
      </c>
      <c r="QPC23" s="1902">
        <f t="shared" si="445"/>
        <v>0</v>
      </c>
      <c r="QPD23" s="1902">
        <f t="shared" si="445"/>
        <v>0</v>
      </c>
      <c r="QPE23" s="1902">
        <f t="shared" si="445"/>
        <v>0</v>
      </c>
      <c r="QPF23" s="1902">
        <f t="shared" si="445"/>
        <v>0</v>
      </c>
      <c r="QPG23" s="1902">
        <f t="shared" ref="QPG23:QRR23" si="446">IF(AND(QPG$26="End of period",QPG$25="Revenue"),QPG10,0)</f>
        <v>0</v>
      </c>
      <c r="QPH23" s="1902">
        <f t="shared" si="446"/>
        <v>0</v>
      </c>
      <c r="QPI23" s="1902">
        <f t="shared" si="446"/>
        <v>0</v>
      </c>
      <c r="QPJ23" s="1902">
        <f t="shared" si="446"/>
        <v>0</v>
      </c>
      <c r="QPK23" s="1902">
        <f t="shared" si="446"/>
        <v>0</v>
      </c>
      <c r="QPL23" s="1902">
        <f t="shared" si="446"/>
        <v>0</v>
      </c>
      <c r="QPM23" s="1902">
        <f t="shared" si="446"/>
        <v>0</v>
      </c>
      <c r="QPN23" s="1902">
        <f t="shared" si="446"/>
        <v>0</v>
      </c>
      <c r="QPO23" s="1902">
        <f t="shared" si="446"/>
        <v>0</v>
      </c>
      <c r="QPP23" s="1902">
        <f t="shared" si="446"/>
        <v>0</v>
      </c>
      <c r="QPQ23" s="1902">
        <f t="shared" si="446"/>
        <v>0</v>
      </c>
      <c r="QPR23" s="1902">
        <f t="shared" si="446"/>
        <v>0</v>
      </c>
      <c r="QPS23" s="1902">
        <f t="shared" si="446"/>
        <v>0</v>
      </c>
      <c r="QPT23" s="1902">
        <f t="shared" si="446"/>
        <v>0</v>
      </c>
      <c r="QPU23" s="1902">
        <f t="shared" si="446"/>
        <v>0</v>
      </c>
      <c r="QPV23" s="1902">
        <f t="shared" si="446"/>
        <v>0</v>
      </c>
      <c r="QPW23" s="1902">
        <f t="shared" si="446"/>
        <v>0</v>
      </c>
      <c r="QPX23" s="1902">
        <f t="shared" si="446"/>
        <v>0</v>
      </c>
      <c r="QPY23" s="1902">
        <f t="shared" si="446"/>
        <v>0</v>
      </c>
      <c r="QPZ23" s="1902">
        <f t="shared" si="446"/>
        <v>0</v>
      </c>
      <c r="QQA23" s="1902">
        <f t="shared" si="446"/>
        <v>0</v>
      </c>
      <c r="QQB23" s="1902">
        <f t="shared" si="446"/>
        <v>0</v>
      </c>
      <c r="QQC23" s="1902">
        <f t="shared" si="446"/>
        <v>0</v>
      </c>
      <c r="QQD23" s="1902">
        <f t="shared" si="446"/>
        <v>0</v>
      </c>
      <c r="QQE23" s="1902">
        <f t="shared" si="446"/>
        <v>0</v>
      </c>
      <c r="QQF23" s="1902">
        <f t="shared" si="446"/>
        <v>0</v>
      </c>
      <c r="QQG23" s="1902">
        <f t="shared" si="446"/>
        <v>0</v>
      </c>
      <c r="QQH23" s="1902">
        <f t="shared" si="446"/>
        <v>0</v>
      </c>
      <c r="QQI23" s="1902">
        <f t="shared" si="446"/>
        <v>0</v>
      </c>
      <c r="QQJ23" s="1902">
        <f t="shared" si="446"/>
        <v>0</v>
      </c>
      <c r="QQK23" s="1902">
        <f t="shared" si="446"/>
        <v>0</v>
      </c>
      <c r="QQL23" s="1902">
        <f t="shared" si="446"/>
        <v>0</v>
      </c>
      <c r="QQM23" s="1902">
        <f t="shared" si="446"/>
        <v>0</v>
      </c>
      <c r="QQN23" s="1902">
        <f t="shared" si="446"/>
        <v>0</v>
      </c>
      <c r="QQO23" s="1902">
        <f t="shared" si="446"/>
        <v>0</v>
      </c>
      <c r="QQP23" s="1902">
        <f t="shared" si="446"/>
        <v>0</v>
      </c>
      <c r="QQQ23" s="1902">
        <f t="shared" si="446"/>
        <v>0</v>
      </c>
      <c r="QQR23" s="1902">
        <f t="shared" si="446"/>
        <v>0</v>
      </c>
      <c r="QQS23" s="1902">
        <f t="shared" si="446"/>
        <v>0</v>
      </c>
      <c r="QQT23" s="1902">
        <f t="shared" si="446"/>
        <v>0</v>
      </c>
      <c r="QQU23" s="1902">
        <f t="shared" si="446"/>
        <v>0</v>
      </c>
      <c r="QQV23" s="1902">
        <f t="shared" si="446"/>
        <v>0</v>
      </c>
      <c r="QQW23" s="1902">
        <f t="shared" si="446"/>
        <v>0</v>
      </c>
      <c r="QQX23" s="1902">
        <f t="shared" si="446"/>
        <v>0</v>
      </c>
      <c r="QQY23" s="1902">
        <f t="shared" si="446"/>
        <v>0</v>
      </c>
      <c r="QQZ23" s="1902">
        <f t="shared" si="446"/>
        <v>0</v>
      </c>
      <c r="QRA23" s="1902">
        <f t="shared" si="446"/>
        <v>0</v>
      </c>
      <c r="QRB23" s="1902">
        <f t="shared" si="446"/>
        <v>0</v>
      </c>
      <c r="QRC23" s="1902">
        <f t="shared" si="446"/>
        <v>0</v>
      </c>
      <c r="QRD23" s="1902">
        <f t="shared" si="446"/>
        <v>0</v>
      </c>
      <c r="QRE23" s="1902">
        <f t="shared" si="446"/>
        <v>0</v>
      </c>
      <c r="QRF23" s="1902">
        <f t="shared" si="446"/>
        <v>0</v>
      </c>
      <c r="QRG23" s="1902">
        <f t="shared" si="446"/>
        <v>0</v>
      </c>
      <c r="QRH23" s="1902">
        <f t="shared" si="446"/>
        <v>0</v>
      </c>
      <c r="QRI23" s="1902">
        <f t="shared" si="446"/>
        <v>0</v>
      </c>
      <c r="QRJ23" s="1902">
        <f t="shared" si="446"/>
        <v>0</v>
      </c>
      <c r="QRK23" s="1902">
        <f t="shared" si="446"/>
        <v>0</v>
      </c>
      <c r="QRL23" s="1902">
        <f t="shared" si="446"/>
        <v>0</v>
      </c>
      <c r="QRM23" s="1902">
        <f t="shared" si="446"/>
        <v>0</v>
      </c>
      <c r="QRN23" s="1902">
        <f t="shared" si="446"/>
        <v>0</v>
      </c>
      <c r="QRO23" s="1902">
        <f t="shared" si="446"/>
        <v>0</v>
      </c>
      <c r="QRP23" s="1902">
        <f t="shared" si="446"/>
        <v>0</v>
      </c>
      <c r="QRQ23" s="1902">
        <f t="shared" si="446"/>
        <v>0</v>
      </c>
      <c r="QRR23" s="1902">
        <f t="shared" si="446"/>
        <v>0</v>
      </c>
      <c r="QRS23" s="1902">
        <f t="shared" ref="QRS23:QUD23" si="447">IF(AND(QRS$26="End of period",QRS$25="Revenue"),QRS10,0)</f>
        <v>0</v>
      </c>
      <c r="QRT23" s="1902">
        <f t="shared" si="447"/>
        <v>0</v>
      </c>
      <c r="QRU23" s="1902">
        <f t="shared" si="447"/>
        <v>0</v>
      </c>
      <c r="QRV23" s="1902">
        <f t="shared" si="447"/>
        <v>0</v>
      </c>
      <c r="QRW23" s="1902">
        <f t="shared" si="447"/>
        <v>0</v>
      </c>
      <c r="QRX23" s="1902">
        <f t="shared" si="447"/>
        <v>0</v>
      </c>
      <c r="QRY23" s="1902">
        <f t="shared" si="447"/>
        <v>0</v>
      </c>
      <c r="QRZ23" s="1902">
        <f t="shared" si="447"/>
        <v>0</v>
      </c>
      <c r="QSA23" s="1902">
        <f t="shared" si="447"/>
        <v>0</v>
      </c>
      <c r="QSB23" s="1902">
        <f t="shared" si="447"/>
        <v>0</v>
      </c>
      <c r="QSC23" s="1902">
        <f t="shared" si="447"/>
        <v>0</v>
      </c>
      <c r="QSD23" s="1902">
        <f t="shared" si="447"/>
        <v>0</v>
      </c>
      <c r="QSE23" s="1902">
        <f t="shared" si="447"/>
        <v>0</v>
      </c>
      <c r="QSF23" s="1902">
        <f t="shared" si="447"/>
        <v>0</v>
      </c>
      <c r="QSG23" s="1902">
        <f t="shared" si="447"/>
        <v>0</v>
      </c>
      <c r="QSH23" s="1902">
        <f t="shared" si="447"/>
        <v>0</v>
      </c>
      <c r="QSI23" s="1902">
        <f t="shared" si="447"/>
        <v>0</v>
      </c>
      <c r="QSJ23" s="1902">
        <f t="shared" si="447"/>
        <v>0</v>
      </c>
      <c r="QSK23" s="1902">
        <f t="shared" si="447"/>
        <v>0</v>
      </c>
      <c r="QSL23" s="1902">
        <f t="shared" si="447"/>
        <v>0</v>
      </c>
      <c r="QSM23" s="1902">
        <f t="shared" si="447"/>
        <v>0</v>
      </c>
      <c r="QSN23" s="1902">
        <f t="shared" si="447"/>
        <v>0</v>
      </c>
      <c r="QSO23" s="1902">
        <f t="shared" si="447"/>
        <v>0</v>
      </c>
      <c r="QSP23" s="1902">
        <f t="shared" si="447"/>
        <v>0</v>
      </c>
      <c r="QSQ23" s="1902">
        <f t="shared" si="447"/>
        <v>0</v>
      </c>
      <c r="QSR23" s="1902">
        <f t="shared" si="447"/>
        <v>0</v>
      </c>
      <c r="QSS23" s="1902">
        <f t="shared" si="447"/>
        <v>0</v>
      </c>
      <c r="QST23" s="1902">
        <f t="shared" si="447"/>
        <v>0</v>
      </c>
      <c r="QSU23" s="1902">
        <f t="shared" si="447"/>
        <v>0</v>
      </c>
      <c r="QSV23" s="1902">
        <f t="shared" si="447"/>
        <v>0</v>
      </c>
      <c r="QSW23" s="1902">
        <f t="shared" si="447"/>
        <v>0</v>
      </c>
      <c r="QSX23" s="1902">
        <f t="shared" si="447"/>
        <v>0</v>
      </c>
      <c r="QSY23" s="1902">
        <f t="shared" si="447"/>
        <v>0</v>
      </c>
      <c r="QSZ23" s="1902">
        <f t="shared" si="447"/>
        <v>0</v>
      </c>
      <c r="QTA23" s="1902">
        <f t="shared" si="447"/>
        <v>0</v>
      </c>
      <c r="QTB23" s="1902">
        <f t="shared" si="447"/>
        <v>0</v>
      </c>
      <c r="QTC23" s="1902">
        <f t="shared" si="447"/>
        <v>0</v>
      </c>
      <c r="QTD23" s="1902">
        <f t="shared" si="447"/>
        <v>0</v>
      </c>
      <c r="QTE23" s="1902">
        <f t="shared" si="447"/>
        <v>0</v>
      </c>
      <c r="QTF23" s="1902">
        <f t="shared" si="447"/>
        <v>0</v>
      </c>
      <c r="QTG23" s="1902">
        <f t="shared" si="447"/>
        <v>0</v>
      </c>
      <c r="QTH23" s="1902">
        <f t="shared" si="447"/>
        <v>0</v>
      </c>
      <c r="QTI23" s="1902">
        <f t="shared" si="447"/>
        <v>0</v>
      </c>
      <c r="QTJ23" s="1902">
        <f t="shared" si="447"/>
        <v>0</v>
      </c>
      <c r="QTK23" s="1902">
        <f t="shared" si="447"/>
        <v>0</v>
      </c>
      <c r="QTL23" s="1902">
        <f t="shared" si="447"/>
        <v>0</v>
      </c>
      <c r="QTM23" s="1902">
        <f t="shared" si="447"/>
        <v>0</v>
      </c>
      <c r="QTN23" s="1902">
        <f t="shared" si="447"/>
        <v>0</v>
      </c>
      <c r="QTO23" s="1902">
        <f t="shared" si="447"/>
        <v>0</v>
      </c>
      <c r="QTP23" s="1902">
        <f t="shared" si="447"/>
        <v>0</v>
      </c>
      <c r="QTQ23" s="1902">
        <f t="shared" si="447"/>
        <v>0</v>
      </c>
      <c r="QTR23" s="1902">
        <f t="shared" si="447"/>
        <v>0</v>
      </c>
      <c r="QTS23" s="1902">
        <f t="shared" si="447"/>
        <v>0</v>
      </c>
      <c r="QTT23" s="1902">
        <f t="shared" si="447"/>
        <v>0</v>
      </c>
      <c r="QTU23" s="1902">
        <f t="shared" si="447"/>
        <v>0</v>
      </c>
      <c r="QTV23" s="1902">
        <f t="shared" si="447"/>
        <v>0</v>
      </c>
      <c r="QTW23" s="1902">
        <f t="shared" si="447"/>
        <v>0</v>
      </c>
      <c r="QTX23" s="1902">
        <f t="shared" si="447"/>
        <v>0</v>
      </c>
      <c r="QTY23" s="1902">
        <f t="shared" si="447"/>
        <v>0</v>
      </c>
      <c r="QTZ23" s="1902">
        <f t="shared" si="447"/>
        <v>0</v>
      </c>
      <c r="QUA23" s="1902">
        <f t="shared" si="447"/>
        <v>0</v>
      </c>
      <c r="QUB23" s="1902">
        <f t="shared" si="447"/>
        <v>0</v>
      </c>
      <c r="QUC23" s="1902">
        <f t="shared" si="447"/>
        <v>0</v>
      </c>
      <c r="QUD23" s="1902">
        <f t="shared" si="447"/>
        <v>0</v>
      </c>
      <c r="QUE23" s="1902">
        <f t="shared" ref="QUE23:QWP23" si="448">IF(AND(QUE$26="End of period",QUE$25="Revenue"),QUE10,0)</f>
        <v>0</v>
      </c>
      <c r="QUF23" s="1902">
        <f t="shared" si="448"/>
        <v>0</v>
      </c>
      <c r="QUG23" s="1902">
        <f t="shared" si="448"/>
        <v>0</v>
      </c>
      <c r="QUH23" s="1902">
        <f t="shared" si="448"/>
        <v>0</v>
      </c>
      <c r="QUI23" s="1902">
        <f t="shared" si="448"/>
        <v>0</v>
      </c>
      <c r="QUJ23" s="1902">
        <f t="shared" si="448"/>
        <v>0</v>
      </c>
      <c r="QUK23" s="1902">
        <f t="shared" si="448"/>
        <v>0</v>
      </c>
      <c r="QUL23" s="1902">
        <f t="shared" si="448"/>
        <v>0</v>
      </c>
      <c r="QUM23" s="1902">
        <f t="shared" si="448"/>
        <v>0</v>
      </c>
      <c r="QUN23" s="1902">
        <f t="shared" si="448"/>
        <v>0</v>
      </c>
      <c r="QUO23" s="1902">
        <f t="shared" si="448"/>
        <v>0</v>
      </c>
      <c r="QUP23" s="1902">
        <f t="shared" si="448"/>
        <v>0</v>
      </c>
      <c r="QUQ23" s="1902">
        <f t="shared" si="448"/>
        <v>0</v>
      </c>
      <c r="QUR23" s="1902">
        <f t="shared" si="448"/>
        <v>0</v>
      </c>
      <c r="QUS23" s="1902">
        <f t="shared" si="448"/>
        <v>0</v>
      </c>
      <c r="QUT23" s="1902">
        <f t="shared" si="448"/>
        <v>0</v>
      </c>
      <c r="QUU23" s="1902">
        <f t="shared" si="448"/>
        <v>0</v>
      </c>
      <c r="QUV23" s="1902">
        <f t="shared" si="448"/>
        <v>0</v>
      </c>
      <c r="QUW23" s="1902">
        <f t="shared" si="448"/>
        <v>0</v>
      </c>
      <c r="QUX23" s="1902">
        <f t="shared" si="448"/>
        <v>0</v>
      </c>
      <c r="QUY23" s="1902">
        <f t="shared" si="448"/>
        <v>0</v>
      </c>
      <c r="QUZ23" s="1902">
        <f t="shared" si="448"/>
        <v>0</v>
      </c>
      <c r="QVA23" s="1902">
        <f t="shared" si="448"/>
        <v>0</v>
      </c>
      <c r="QVB23" s="1902">
        <f t="shared" si="448"/>
        <v>0</v>
      </c>
      <c r="QVC23" s="1902">
        <f t="shared" si="448"/>
        <v>0</v>
      </c>
      <c r="QVD23" s="1902">
        <f t="shared" si="448"/>
        <v>0</v>
      </c>
      <c r="QVE23" s="1902">
        <f t="shared" si="448"/>
        <v>0</v>
      </c>
      <c r="QVF23" s="1902">
        <f t="shared" si="448"/>
        <v>0</v>
      </c>
      <c r="QVG23" s="1902">
        <f t="shared" si="448"/>
        <v>0</v>
      </c>
      <c r="QVH23" s="1902">
        <f t="shared" si="448"/>
        <v>0</v>
      </c>
      <c r="QVI23" s="1902">
        <f t="shared" si="448"/>
        <v>0</v>
      </c>
      <c r="QVJ23" s="1902">
        <f t="shared" si="448"/>
        <v>0</v>
      </c>
      <c r="QVK23" s="1902">
        <f t="shared" si="448"/>
        <v>0</v>
      </c>
      <c r="QVL23" s="1902">
        <f t="shared" si="448"/>
        <v>0</v>
      </c>
      <c r="QVM23" s="1902">
        <f t="shared" si="448"/>
        <v>0</v>
      </c>
      <c r="QVN23" s="1902">
        <f t="shared" si="448"/>
        <v>0</v>
      </c>
      <c r="QVO23" s="1902">
        <f t="shared" si="448"/>
        <v>0</v>
      </c>
      <c r="QVP23" s="1902">
        <f t="shared" si="448"/>
        <v>0</v>
      </c>
      <c r="QVQ23" s="1902">
        <f t="shared" si="448"/>
        <v>0</v>
      </c>
      <c r="QVR23" s="1902">
        <f t="shared" si="448"/>
        <v>0</v>
      </c>
      <c r="QVS23" s="1902">
        <f t="shared" si="448"/>
        <v>0</v>
      </c>
      <c r="QVT23" s="1902">
        <f t="shared" si="448"/>
        <v>0</v>
      </c>
      <c r="QVU23" s="1902">
        <f t="shared" si="448"/>
        <v>0</v>
      </c>
      <c r="QVV23" s="1902">
        <f t="shared" si="448"/>
        <v>0</v>
      </c>
      <c r="QVW23" s="1902">
        <f t="shared" si="448"/>
        <v>0</v>
      </c>
      <c r="QVX23" s="1902">
        <f t="shared" si="448"/>
        <v>0</v>
      </c>
      <c r="QVY23" s="1902">
        <f t="shared" si="448"/>
        <v>0</v>
      </c>
      <c r="QVZ23" s="1902">
        <f t="shared" si="448"/>
        <v>0</v>
      </c>
      <c r="QWA23" s="1902">
        <f t="shared" si="448"/>
        <v>0</v>
      </c>
      <c r="QWB23" s="1902">
        <f t="shared" si="448"/>
        <v>0</v>
      </c>
      <c r="QWC23" s="1902">
        <f t="shared" si="448"/>
        <v>0</v>
      </c>
      <c r="QWD23" s="1902">
        <f t="shared" si="448"/>
        <v>0</v>
      </c>
      <c r="QWE23" s="1902">
        <f t="shared" si="448"/>
        <v>0</v>
      </c>
      <c r="QWF23" s="1902">
        <f t="shared" si="448"/>
        <v>0</v>
      </c>
      <c r="QWG23" s="1902">
        <f t="shared" si="448"/>
        <v>0</v>
      </c>
      <c r="QWH23" s="1902">
        <f t="shared" si="448"/>
        <v>0</v>
      </c>
      <c r="QWI23" s="1902">
        <f t="shared" si="448"/>
        <v>0</v>
      </c>
      <c r="QWJ23" s="1902">
        <f t="shared" si="448"/>
        <v>0</v>
      </c>
      <c r="QWK23" s="1902">
        <f t="shared" si="448"/>
        <v>0</v>
      </c>
      <c r="QWL23" s="1902">
        <f t="shared" si="448"/>
        <v>0</v>
      </c>
      <c r="QWM23" s="1902">
        <f t="shared" si="448"/>
        <v>0</v>
      </c>
      <c r="QWN23" s="1902">
        <f t="shared" si="448"/>
        <v>0</v>
      </c>
      <c r="QWO23" s="1902">
        <f t="shared" si="448"/>
        <v>0</v>
      </c>
      <c r="QWP23" s="1902">
        <f t="shared" si="448"/>
        <v>0</v>
      </c>
      <c r="QWQ23" s="1902">
        <f t="shared" ref="QWQ23:QZB23" si="449">IF(AND(QWQ$26="End of period",QWQ$25="Revenue"),QWQ10,0)</f>
        <v>0</v>
      </c>
      <c r="QWR23" s="1902">
        <f t="shared" si="449"/>
        <v>0</v>
      </c>
      <c r="QWS23" s="1902">
        <f t="shared" si="449"/>
        <v>0</v>
      </c>
      <c r="QWT23" s="1902">
        <f t="shared" si="449"/>
        <v>0</v>
      </c>
      <c r="QWU23" s="1902">
        <f t="shared" si="449"/>
        <v>0</v>
      </c>
      <c r="QWV23" s="1902">
        <f t="shared" si="449"/>
        <v>0</v>
      </c>
      <c r="QWW23" s="1902">
        <f t="shared" si="449"/>
        <v>0</v>
      </c>
      <c r="QWX23" s="1902">
        <f t="shared" si="449"/>
        <v>0</v>
      </c>
      <c r="QWY23" s="1902">
        <f t="shared" si="449"/>
        <v>0</v>
      </c>
      <c r="QWZ23" s="1902">
        <f t="shared" si="449"/>
        <v>0</v>
      </c>
      <c r="QXA23" s="1902">
        <f t="shared" si="449"/>
        <v>0</v>
      </c>
      <c r="QXB23" s="1902">
        <f t="shared" si="449"/>
        <v>0</v>
      </c>
      <c r="QXC23" s="1902">
        <f t="shared" si="449"/>
        <v>0</v>
      </c>
      <c r="QXD23" s="1902">
        <f t="shared" si="449"/>
        <v>0</v>
      </c>
      <c r="QXE23" s="1902">
        <f t="shared" si="449"/>
        <v>0</v>
      </c>
      <c r="QXF23" s="1902">
        <f t="shared" si="449"/>
        <v>0</v>
      </c>
      <c r="QXG23" s="1902">
        <f t="shared" si="449"/>
        <v>0</v>
      </c>
      <c r="QXH23" s="1902">
        <f t="shared" si="449"/>
        <v>0</v>
      </c>
      <c r="QXI23" s="1902">
        <f t="shared" si="449"/>
        <v>0</v>
      </c>
      <c r="QXJ23" s="1902">
        <f t="shared" si="449"/>
        <v>0</v>
      </c>
      <c r="QXK23" s="1902">
        <f t="shared" si="449"/>
        <v>0</v>
      </c>
      <c r="QXL23" s="1902">
        <f t="shared" si="449"/>
        <v>0</v>
      </c>
      <c r="QXM23" s="1902">
        <f t="shared" si="449"/>
        <v>0</v>
      </c>
      <c r="QXN23" s="1902">
        <f t="shared" si="449"/>
        <v>0</v>
      </c>
      <c r="QXO23" s="1902">
        <f t="shared" si="449"/>
        <v>0</v>
      </c>
      <c r="QXP23" s="1902">
        <f t="shared" si="449"/>
        <v>0</v>
      </c>
      <c r="QXQ23" s="1902">
        <f t="shared" si="449"/>
        <v>0</v>
      </c>
      <c r="QXR23" s="1902">
        <f t="shared" si="449"/>
        <v>0</v>
      </c>
      <c r="QXS23" s="1902">
        <f t="shared" si="449"/>
        <v>0</v>
      </c>
      <c r="QXT23" s="1902">
        <f t="shared" si="449"/>
        <v>0</v>
      </c>
      <c r="QXU23" s="1902">
        <f t="shared" si="449"/>
        <v>0</v>
      </c>
      <c r="QXV23" s="1902">
        <f t="shared" si="449"/>
        <v>0</v>
      </c>
      <c r="QXW23" s="1902">
        <f t="shared" si="449"/>
        <v>0</v>
      </c>
      <c r="QXX23" s="1902">
        <f t="shared" si="449"/>
        <v>0</v>
      </c>
      <c r="QXY23" s="1902">
        <f t="shared" si="449"/>
        <v>0</v>
      </c>
      <c r="QXZ23" s="1902">
        <f t="shared" si="449"/>
        <v>0</v>
      </c>
      <c r="QYA23" s="1902">
        <f t="shared" si="449"/>
        <v>0</v>
      </c>
      <c r="QYB23" s="1902">
        <f t="shared" si="449"/>
        <v>0</v>
      </c>
      <c r="QYC23" s="1902">
        <f t="shared" si="449"/>
        <v>0</v>
      </c>
      <c r="QYD23" s="1902">
        <f t="shared" si="449"/>
        <v>0</v>
      </c>
      <c r="QYE23" s="1902">
        <f t="shared" si="449"/>
        <v>0</v>
      </c>
      <c r="QYF23" s="1902">
        <f t="shared" si="449"/>
        <v>0</v>
      </c>
      <c r="QYG23" s="1902">
        <f t="shared" si="449"/>
        <v>0</v>
      </c>
      <c r="QYH23" s="1902">
        <f t="shared" si="449"/>
        <v>0</v>
      </c>
      <c r="QYI23" s="1902">
        <f t="shared" si="449"/>
        <v>0</v>
      </c>
      <c r="QYJ23" s="1902">
        <f t="shared" si="449"/>
        <v>0</v>
      </c>
      <c r="QYK23" s="1902">
        <f t="shared" si="449"/>
        <v>0</v>
      </c>
      <c r="QYL23" s="1902">
        <f t="shared" si="449"/>
        <v>0</v>
      </c>
      <c r="QYM23" s="1902">
        <f t="shared" si="449"/>
        <v>0</v>
      </c>
      <c r="QYN23" s="1902">
        <f t="shared" si="449"/>
        <v>0</v>
      </c>
      <c r="QYO23" s="1902">
        <f t="shared" si="449"/>
        <v>0</v>
      </c>
      <c r="QYP23" s="1902">
        <f t="shared" si="449"/>
        <v>0</v>
      </c>
      <c r="QYQ23" s="1902">
        <f t="shared" si="449"/>
        <v>0</v>
      </c>
      <c r="QYR23" s="1902">
        <f t="shared" si="449"/>
        <v>0</v>
      </c>
      <c r="QYS23" s="1902">
        <f t="shared" si="449"/>
        <v>0</v>
      </c>
      <c r="QYT23" s="1902">
        <f t="shared" si="449"/>
        <v>0</v>
      </c>
      <c r="QYU23" s="1902">
        <f t="shared" si="449"/>
        <v>0</v>
      </c>
      <c r="QYV23" s="1902">
        <f t="shared" si="449"/>
        <v>0</v>
      </c>
      <c r="QYW23" s="1902">
        <f t="shared" si="449"/>
        <v>0</v>
      </c>
      <c r="QYX23" s="1902">
        <f t="shared" si="449"/>
        <v>0</v>
      </c>
      <c r="QYY23" s="1902">
        <f t="shared" si="449"/>
        <v>0</v>
      </c>
      <c r="QYZ23" s="1902">
        <f t="shared" si="449"/>
        <v>0</v>
      </c>
      <c r="QZA23" s="1902">
        <f t="shared" si="449"/>
        <v>0</v>
      </c>
      <c r="QZB23" s="1902">
        <f t="shared" si="449"/>
        <v>0</v>
      </c>
      <c r="QZC23" s="1902">
        <f t="shared" ref="QZC23:RBN23" si="450">IF(AND(QZC$26="End of period",QZC$25="Revenue"),QZC10,0)</f>
        <v>0</v>
      </c>
      <c r="QZD23" s="1902">
        <f t="shared" si="450"/>
        <v>0</v>
      </c>
      <c r="QZE23" s="1902">
        <f t="shared" si="450"/>
        <v>0</v>
      </c>
      <c r="QZF23" s="1902">
        <f t="shared" si="450"/>
        <v>0</v>
      </c>
      <c r="QZG23" s="1902">
        <f t="shared" si="450"/>
        <v>0</v>
      </c>
      <c r="QZH23" s="1902">
        <f t="shared" si="450"/>
        <v>0</v>
      </c>
      <c r="QZI23" s="1902">
        <f t="shared" si="450"/>
        <v>0</v>
      </c>
      <c r="QZJ23" s="1902">
        <f t="shared" si="450"/>
        <v>0</v>
      </c>
      <c r="QZK23" s="1902">
        <f t="shared" si="450"/>
        <v>0</v>
      </c>
      <c r="QZL23" s="1902">
        <f t="shared" si="450"/>
        <v>0</v>
      </c>
      <c r="QZM23" s="1902">
        <f t="shared" si="450"/>
        <v>0</v>
      </c>
      <c r="QZN23" s="1902">
        <f t="shared" si="450"/>
        <v>0</v>
      </c>
      <c r="QZO23" s="1902">
        <f t="shared" si="450"/>
        <v>0</v>
      </c>
      <c r="QZP23" s="1902">
        <f t="shared" si="450"/>
        <v>0</v>
      </c>
      <c r="QZQ23" s="1902">
        <f t="shared" si="450"/>
        <v>0</v>
      </c>
      <c r="QZR23" s="1902">
        <f t="shared" si="450"/>
        <v>0</v>
      </c>
      <c r="QZS23" s="1902">
        <f t="shared" si="450"/>
        <v>0</v>
      </c>
      <c r="QZT23" s="1902">
        <f t="shared" si="450"/>
        <v>0</v>
      </c>
      <c r="QZU23" s="1902">
        <f t="shared" si="450"/>
        <v>0</v>
      </c>
      <c r="QZV23" s="1902">
        <f t="shared" si="450"/>
        <v>0</v>
      </c>
      <c r="QZW23" s="1902">
        <f t="shared" si="450"/>
        <v>0</v>
      </c>
      <c r="QZX23" s="1902">
        <f t="shared" si="450"/>
        <v>0</v>
      </c>
      <c r="QZY23" s="1902">
        <f t="shared" si="450"/>
        <v>0</v>
      </c>
      <c r="QZZ23" s="1902">
        <f t="shared" si="450"/>
        <v>0</v>
      </c>
      <c r="RAA23" s="1902">
        <f t="shared" si="450"/>
        <v>0</v>
      </c>
      <c r="RAB23" s="1902">
        <f t="shared" si="450"/>
        <v>0</v>
      </c>
      <c r="RAC23" s="1902">
        <f t="shared" si="450"/>
        <v>0</v>
      </c>
      <c r="RAD23" s="1902">
        <f t="shared" si="450"/>
        <v>0</v>
      </c>
      <c r="RAE23" s="1902">
        <f t="shared" si="450"/>
        <v>0</v>
      </c>
      <c r="RAF23" s="1902">
        <f t="shared" si="450"/>
        <v>0</v>
      </c>
      <c r="RAG23" s="1902">
        <f t="shared" si="450"/>
        <v>0</v>
      </c>
      <c r="RAH23" s="1902">
        <f t="shared" si="450"/>
        <v>0</v>
      </c>
      <c r="RAI23" s="1902">
        <f t="shared" si="450"/>
        <v>0</v>
      </c>
      <c r="RAJ23" s="1902">
        <f t="shared" si="450"/>
        <v>0</v>
      </c>
      <c r="RAK23" s="1902">
        <f t="shared" si="450"/>
        <v>0</v>
      </c>
      <c r="RAL23" s="1902">
        <f t="shared" si="450"/>
        <v>0</v>
      </c>
      <c r="RAM23" s="1902">
        <f t="shared" si="450"/>
        <v>0</v>
      </c>
      <c r="RAN23" s="1902">
        <f t="shared" si="450"/>
        <v>0</v>
      </c>
      <c r="RAO23" s="1902">
        <f t="shared" si="450"/>
        <v>0</v>
      </c>
      <c r="RAP23" s="1902">
        <f t="shared" si="450"/>
        <v>0</v>
      </c>
      <c r="RAQ23" s="1902">
        <f t="shared" si="450"/>
        <v>0</v>
      </c>
      <c r="RAR23" s="1902">
        <f t="shared" si="450"/>
        <v>0</v>
      </c>
      <c r="RAS23" s="1902">
        <f t="shared" si="450"/>
        <v>0</v>
      </c>
      <c r="RAT23" s="1902">
        <f t="shared" si="450"/>
        <v>0</v>
      </c>
      <c r="RAU23" s="1902">
        <f t="shared" si="450"/>
        <v>0</v>
      </c>
      <c r="RAV23" s="1902">
        <f t="shared" si="450"/>
        <v>0</v>
      </c>
      <c r="RAW23" s="1902">
        <f t="shared" si="450"/>
        <v>0</v>
      </c>
      <c r="RAX23" s="1902">
        <f t="shared" si="450"/>
        <v>0</v>
      </c>
      <c r="RAY23" s="1902">
        <f t="shared" si="450"/>
        <v>0</v>
      </c>
      <c r="RAZ23" s="1902">
        <f t="shared" si="450"/>
        <v>0</v>
      </c>
      <c r="RBA23" s="1902">
        <f t="shared" si="450"/>
        <v>0</v>
      </c>
      <c r="RBB23" s="1902">
        <f t="shared" si="450"/>
        <v>0</v>
      </c>
      <c r="RBC23" s="1902">
        <f t="shared" si="450"/>
        <v>0</v>
      </c>
      <c r="RBD23" s="1902">
        <f t="shared" si="450"/>
        <v>0</v>
      </c>
      <c r="RBE23" s="1902">
        <f t="shared" si="450"/>
        <v>0</v>
      </c>
      <c r="RBF23" s="1902">
        <f t="shared" si="450"/>
        <v>0</v>
      </c>
      <c r="RBG23" s="1902">
        <f t="shared" si="450"/>
        <v>0</v>
      </c>
      <c r="RBH23" s="1902">
        <f t="shared" si="450"/>
        <v>0</v>
      </c>
      <c r="RBI23" s="1902">
        <f t="shared" si="450"/>
        <v>0</v>
      </c>
      <c r="RBJ23" s="1902">
        <f t="shared" si="450"/>
        <v>0</v>
      </c>
      <c r="RBK23" s="1902">
        <f t="shared" si="450"/>
        <v>0</v>
      </c>
      <c r="RBL23" s="1902">
        <f t="shared" si="450"/>
        <v>0</v>
      </c>
      <c r="RBM23" s="1902">
        <f t="shared" si="450"/>
        <v>0</v>
      </c>
      <c r="RBN23" s="1902">
        <f t="shared" si="450"/>
        <v>0</v>
      </c>
      <c r="RBO23" s="1902">
        <f t="shared" ref="RBO23:RDZ23" si="451">IF(AND(RBO$26="End of period",RBO$25="Revenue"),RBO10,0)</f>
        <v>0</v>
      </c>
      <c r="RBP23" s="1902">
        <f t="shared" si="451"/>
        <v>0</v>
      </c>
      <c r="RBQ23" s="1902">
        <f t="shared" si="451"/>
        <v>0</v>
      </c>
      <c r="RBR23" s="1902">
        <f t="shared" si="451"/>
        <v>0</v>
      </c>
      <c r="RBS23" s="1902">
        <f t="shared" si="451"/>
        <v>0</v>
      </c>
      <c r="RBT23" s="1902">
        <f t="shared" si="451"/>
        <v>0</v>
      </c>
      <c r="RBU23" s="1902">
        <f t="shared" si="451"/>
        <v>0</v>
      </c>
      <c r="RBV23" s="1902">
        <f t="shared" si="451"/>
        <v>0</v>
      </c>
      <c r="RBW23" s="1902">
        <f t="shared" si="451"/>
        <v>0</v>
      </c>
      <c r="RBX23" s="1902">
        <f t="shared" si="451"/>
        <v>0</v>
      </c>
      <c r="RBY23" s="1902">
        <f t="shared" si="451"/>
        <v>0</v>
      </c>
      <c r="RBZ23" s="1902">
        <f t="shared" si="451"/>
        <v>0</v>
      </c>
      <c r="RCA23" s="1902">
        <f t="shared" si="451"/>
        <v>0</v>
      </c>
      <c r="RCB23" s="1902">
        <f t="shared" si="451"/>
        <v>0</v>
      </c>
      <c r="RCC23" s="1902">
        <f t="shared" si="451"/>
        <v>0</v>
      </c>
      <c r="RCD23" s="1902">
        <f t="shared" si="451"/>
        <v>0</v>
      </c>
      <c r="RCE23" s="1902">
        <f t="shared" si="451"/>
        <v>0</v>
      </c>
      <c r="RCF23" s="1902">
        <f t="shared" si="451"/>
        <v>0</v>
      </c>
      <c r="RCG23" s="1902">
        <f t="shared" si="451"/>
        <v>0</v>
      </c>
      <c r="RCH23" s="1902">
        <f t="shared" si="451"/>
        <v>0</v>
      </c>
      <c r="RCI23" s="1902">
        <f t="shared" si="451"/>
        <v>0</v>
      </c>
      <c r="RCJ23" s="1902">
        <f t="shared" si="451"/>
        <v>0</v>
      </c>
      <c r="RCK23" s="1902">
        <f t="shared" si="451"/>
        <v>0</v>
      </c>
      <c r="RCL23" s="1902">
        <f t="shared" si="451"/>
        <v>0</v>
      </c>
      <c r="RCM23" s="1902">
        <f t="shared" si="451"/>
        <v>0</v>
      </c>
      <c r="RCN23" s="1902">
        <f t="shared" si="451"/>
        <v>0</v>
      </c>
      <c r="RCO23" s="1902">
        <f t="shared" si="451"/>
        <v>0</v>
      </c>
      <c r="RCP23" s="1902">
        <f t="shared" si="451"/>
        <v>0</v>
      </c>
      <c r="RCQ23" s="1902">
        <f t="shared" si="451"/>
        <v>0</v>
      </c>
      <c r="RCR23" s="1902">
        <f t="shared" si="451"/>
        <v>0</v>
      </c>
      <c r="RCS23" s="1902">
        <f t="shared" si="451"/>
        <v>0</v>
      </c>
      <c r="RCT23" s="1902">
        <f t="shared" si="451"/>
        <v>0</v>
      </c>
      <c r="RCU23" s="1902">
        <f t="shared" si="451"/>
        <v>0</v>
      </c>
      <c r="RCV23" s="1902">
        <f t="shared" si="451"/>
        <v>0</v>
      </c>
      <c r="RCW23" s="1902">
        <f t="shared" si="451"/>
        <v>0</v>
      </c>
      <c r="RCX23" s="1902">
        <f t="shared" si="451"/>
        <v>0</v>
      </c>
      <c r="RCY23" s="1902">
        <f t="shared" si="451"/>
        <v>0</v>
      </c>
      <c r="RCZ23" s="1902">
        <f t="shared" si="451"/>
        <v>0</v>
      </c>
      <c r="RDA23" s="1902">
        <f t="shared" si="451"/>
        <v>0</v>
      </c>
      <c r="RDB23" s="1902">
        <f t="shared" si="451"/>
        <v>0</v>
      </c>
      <c r="RDC23" s="1902">
        <f t="shared" si="451"/>
        <v>0</v>
      </c>
      <c r="RDD23" s="1902">
        <f t="shared" si="451"/>
        <v>0</v>
      </c>
      <c r="RDE23" s="1902">
        <f t="shared" si="451"/>
        <v>0</v>
      </c>
      <c r="RDF23" s="1902">
        <f t="shared" si="451"/>
        <v>0</v>
      </c>
      <c r="RDG23" s="1902">
        <f t="shared" si="451"/>
        <v>0</v>
      </c>
      <c r="RDH23" s="1902">
        <f t="shared" si="451"/>
        <v>0</v>
      </c>
      <c r="RDI23" s="1902">
        <f t="shared" si="451"/>
        <v>0</v>
      </c>
      <c r="RDJ23" s="1902">
        <f t="shared" si="451"/>
        <v>0</v>
      </c>
      <c r="RDK23" s="1902">
        <f t="shared" si="451"/>
        <v>0</v>
      </c>
      <c r="RDL23" s="1902">
        <f t="shared" si="451"/>
        <v>0</v>
      </c>
      <c r="RDM23" s="1902">
        <f t="shared" si="451"/>
        <v>0</v>
      </c>
      <c r="RDN23" s="1902">
        <f t="shared" si="451"/>
        <v>0</v>
      </c>
      <c r="RDO23" s="1902">
        <f t="shared" si="451"/>
        <v>0</v>
      </c>
      <c r="RDP23" s="1902">
        <f t="shared" si="451"/>
        <v>0</v>
      </c>
      <c r="RDQ23" s="1902">
        <f t="shared" si="451"/>
        <v>0</v>
      </c>
      <c r="RDR23" s="1902">
        <f t="shared" si="451"/>
        <v>0</v>
      </c>
      <c r="RDS23" s="1902">
        <f t="shared" si="451"/>
        <v>0</v>
      </c>
      <c r="RDT23" s="1902">
        <f t="shared" si="451"/>
        <v>0</v>
      </c>
      <c r="RDU23" s="1902">
        <f t="shared" si="451"/>
        <v>0</v>
      </c>
      <c r="RDV23" s="1902">
        <f t="shared" si="451"/>
        <v>0</v>
      </c>
      <c r="RDW23" s="1902">
        <f t="shared" si="451"/>
        <v>0</v>
      </c>
      <c r="RDX23" s="1902">
        <f t="shared" si="451"/>
        <v>0</v>
      </c>
      <c r="RDY23" s="1902">
        <f t="shared" si="451"/>
        <v>0</v>
      </c>
      <c r="RDZ23" s="1902">
        <f t="shared" si="451"/>
        <v>0</v>
      </c>
      <c r="REA23" s="1902">
        <f t="shared" ref="REA23:RGL23" si="452">IF(AND(REA$26="End of period",REA$25="Revenue"),REA10,0)</f>
        <v>0</v>
      </c>
      <c r="REB23" s="1902">
        <f t="shared" si="452"/>
        <v>0</v>
      </c>
      <c r="REC23" s="1902">
        <f t="shared" si="452"/>
        <v>0</v>
      </c>
      <c r="RED23" s="1902">
        <f t="shared" si="452"/>
        <v>0</v>
      </c>
      <c r="REE23" s="1902">
        <f t="shared" si="452"/>
        <v>0</v>
      </c>
      <c r="REF23" s="1902">
        <f t="shared" si="452"/>
        <v>0</v>
      </c>
      <c r="REG23" s="1902">
        <f t="shared" si="452"/>
        <v>0</v>
      </c>
      <c r="REH23" s="1902">
        <f t="shared" si="452"/>
        <v>0</v>
      </c>
      <c r="REI23" s="1902">
        <f t="shared" si="452"/>
        <v>0</v>
      </c>
      <c r="REJ23" s="1902">
        <f t="shared" si="452"/>
        <v>0</v>
      </c>
      <c r="REK23" s="1902">
        <f t="shared" si="452"/>
        <v>0</v>
      </c>
      <c r="REL23" s="1902">
        <f t="shared" si="452"/>
        <v>0</v>
      </c>
      <c r="REM23" s="1902">
        <f t="shared" si="452"/>
        <v>0</v>
      </c>
      <c r="REN23" s="1902">
        <f t="shared" si="452"/>
        <v>0</v>
      </c>
      <c r="REO23" s="1902">
        <f t="shared" si="452"/>
        <v>0</v>
      </c>
      <c r="REP23" s="1902">
        <f t="shared" si="452"/>
        <v>0</v>
      </c>
      <c r="REQ23" s="1902">
        <f t="shared" si="452"/>
        <v>0</v>
      </c>
      <c r="RER23" s="1902">
        <f t="shared" si="452"/>
        <v>0</v>
      </c>
      <c r="RES23" s="1902">
        <f t="shared" si="452"/>
        <v>0</v>
      </c>
      <c r="RET23" s="1902">
        <f t="shared" si="452"/>
        <v>0</v>
      </c>
      <c r="REU23" s="1902">
        <f t="shared" si="452"/>
        <v>0</v>
      </c>
      <c r="REV23" s="1902">
        <f t="shared" si="452"/>
        <v>0</v>
      </c>
      <c r="REW23" s="1902">
        <f t="shared" si="452"/>
        <v>0</v>
      </c>
      <c r="REX23" s="1902">
        <f t="shared" si="452"/>
        <v>0</v>
      </c>
      <c r="REY23" s="1902">
        <f t="shared" si="452"/>
        <v>0</v>
      </c>
      <c r="REZ23" s="1902">
        <f t="shared" si="452"/>
        <v>0</v>
      </c>
      <c r="RFA23" s="1902">
        <f t="shared" si="452"/>
        <v>0</v>
      </c>
      <c r="RFB23" s="1902">
        <f t="shared" si="452"/>
        <v>0</v>
      </c>
      <c r="RFC23" s="1902">
        <f t="shared" si="452"/>
        <v>0</v>
      </c>
      <c r="RFD23" s="1902">
        <f t="shared" si="452"/>
        <v>0</v>
      </c>
      <c r="RFE23" s="1902">
        <f t="shared" si="452"/>
        <v>0</v>
      </c>
      <c r="RFF23" s="1902">
        <f t="shared" si="452"/>
        <v>0</v>
      </c>
      <c r="RFG23" s="1902">
        <f t="shared" si="452"/>
        <v>0</v>
      </c>
      <c r="RFH23" s="1902">
        <f t="shared" si="452"/>
        <v>0</v>
      </c>
      <c r="RFI23" s="1902">
        <f t="shared" si="452"/>
        <v>0</v>
      </c>
      <c r="RFJ23" s="1902">
        <f t="shared" si="452"/>
        <v>0</v>
      </c>
      <c r="RFK23" s="1902">
        <f t="shared" si="452"/>
        <v>0</v>
      </c>
      <c r="RFL23" s="1902">
        <f t="shared" si="452"/>
        <v>0</v>
      </c>
      <c r="RFM23" s="1902">
        <f t="shared" si="452"/>
        <v>0</v>
      </c>
      <c r="RFN23" s="1902">
        <f t="shared" si="452"/>
        <v>0</v>
      </c>
      <c r="RFO23" s="1902">
        <f t="shared" si="452"/>
        <v>0</v>
      </c>
      <c r="RFP23" s="1902">
        <f t="shared" si="452"/>
        <v>0</v>
      </c>
      <c r="RFQ23" s="1902">
        <f t="shared" si="452"/>
        <v>0</v>
      </c>
      <c r="RFR23" s="1902">
        <f t="shared" si="452"/>
        <v>0</v>
      </c>
      <c r="RFS23" s="1902">
        <f t="shared" si="452"/>
        <v>0</v>
      </c>
      <c r="RFT23" s="1902">
        <f t="shared" si="452"/>
        <v>0</v>
      </c>
      <c r="RFU23" s="1902">
        <f t="shared" si="452"/>
        <v>0</v>
      </c>
      <c r="RFV23" s="1902">
        <f t="shared" si="452"/>
        <v>0</v>
      </c>
      <c r="RFW23" s="1902">
        <f t="shared" si="452"/>
        <v>0</v>
      </c>
      <c r="RFX23" s="1902">
        <f t="shared" si="452"/>
        <v>0</v>
      </c>
      <c r="RFY23" s="1902">
        <f t="shared" si="452"/>
        <v>0</v>
      </c>
      <c r="RFZ23" s="1902">
        <f t="shared" si="452"/>
        <v>0</v>
      </c>
      <c r="RGA23" s="1902">
        <f t="shared" si="452"/>
        <v>0</v>
      </c>
      <c r="RGB23" s="1902">
        <f t="shared" si="452"/>
        <v>0</v>
      </c>
      <c r="RGC23" s="1902">
        <f t="shared" si="452"/>
        <v>0</v>
      </c>
      <c r="RGD23" s="1902">
        <f t="shared" si="452"/>
        <v>0</v>
      </c>
      <c r="RGE23" s="1902">
        <f t="shared" si="452"/>
        <v>0</v>
      </c>
      <c r="RGF23" s="1902">
        <f t="shared" si="452"/>
        <v>0</v>
      </c>
      <c r="RGG23" s="1902">
        <f t="shared" si="452"/>
        <v>0</v>
      </c>
      <c r="RGH23" s="1902">
        <f t="shared" si="452"/>
        <v>0</v>
      </c>
      <c r="RGI23" s="1902">
        <f t="shared" si="452"/>
        <v>0</v>
      </c>
      <c r="RGJ23" s="1902">
        <f t="shared" si="452"/>
        <v>0</v>
      </c>
      <c r="RGK23" s="1902">
        <f t="shared" si="452"/>
        <v>0</v>
      </c>
      <c r="RGL23" s="1902">
        <f t="shared" si="452"/>
        <v>0</v>
      </c>
      <c r="RGM23" s="1902">
        <f t="shared" ref="RGM23:RIX23" si="453">IF(AND(RGM$26="End of period",RGM$25="Revenue"),RGM10,0)</f>
        <v>0</v>
      </c>
      <c r="RGN23" s="1902">
        <f t="shared" si="453"/>
        <v>0</v>
      </c>
      <c r="RGO23" s="1902">
        <f t="shared" si="453"/>
        <v>0</v>
      </c>
      <c r="RGP23" s="1902">
        <f t="shared" si="453"/>
        <v>0</v>
      </c>
      <c r="RGQ23" s="1902">
        <f t="shared" si="453"/>
        <v>0</v>
      </c>
      <c r="RGR23" s="1902">
        <f t="shared" si="453"/>
        <v>0</v>
      </c>
      <c r="RGS23" s="1902">
        <f t="shared" si="453"/>
        <v>0</v>
      </c>
      <c r="RGT23" s="1902">
        <f t="shared" si="453"/>
        <v>0</v>
      </c>
      <c r="RGU23" s="1902">
        <f t="shared" si="453"/>
        <v>0</v>
      </c>
      <c r="RGV23" s="1902">
        <f t="shared" si="453"/>
        <v>0</v>
      </c>
      <c r="RGW23" s="1902">
        <f t="shared" si="453"/>
        <v>0</v>
      </c>
      <c r="RGX23" s="1902">
        <f t="shared" si="453"/>
        <v>0</v>
      </c>
      <c r="RGY23" s="1902">
        <f t="shared" si="453"/>
        <v>0</v>
      </c>
      <c r="RGZ23" s="1902">
        <f t="shared" si="453"/>
        <v>0</v>
      </c>
      <c r="RHA23" s="1902">
        <f t="shared" si="453"/>
        <v>0</v>
      </c>
      <c r="RHB23" s="1902">
        <f t="shared" si="453"/>
        <v>0</v>
      </c>
      <c r="RHC23" s="1902">
        <f t="shared" si="453"/>
        <v>0</v>
      </c>
      <c r="RHD23" s="1902">
        <f t="shared" si="453"/>
        <v>0</v>
      </c>
      <c r="RHE23" s="1902">
        <f t="shared" si="453"/>
        <v>0</v>
      </c>
      <c r="RHF23" s="1902">
        <f t="shared" si="453"/>
        <v>0</v>
      </c>
      <c r="RHG23" s="1902">
        <f t="shared" si="453"/>
        <v>0</v>
      </c>
      <c r="RHH23" s="1902">
        <f t="shared" si="453"/>
        <v>0</v>
      </c>
      <c r="RHI23" s="1902">
        <f t="shared" si="453"/>
        <v>0</v>
      </c>
      <c r="RHJ23" s="1902">
        <f t="shared" si="453"/>
        <v>0</v>
      </c>
      <c r="RHK23" s="1902">
        <f t="shared" si="453"/>
        <v>0</v>
      </c>
      <c r="RHL23" s="1902">
        <f t="shared" si="453"/>
        <v>0</v>
      </c>
      <c r="RHM23" s="1902">
        <f t="shared" si="453"/>
        <v>0</v>
      </c>
      <c r="RHN23" s="1902">
        <f t="shared" si="453"/>
        <v>0</v>
      </c>
      <c r="RHO23" s="1902">
        <f t="shared" si="453"/>
        <v>0</v>
      </c>
      <c r="RHP23" s="1902">
        <f t="shared" si="453"/>
        <v>0</v>
      </c>
      <c r="RHQ23" s="1902">
        <f t="shared" si="453"/>
        <v>0</v>
      </c>
      <c r="RHR23" s="1902">
        <f t="shared" si="453"/>
        <v>0</v>
      </c>
      <c r="RHS23" s="1902">
        <f t="shared" si="453"/>
        <v>0</v>
      </c>
      <c r="RHT23" s="1902">
        <f t="shared" si="453"/>
        <v>0</v>
      </c>
      <c r="RHU23" s="1902">
        <f t="shared" si="453"/>
        <v>0</v>
      </c>
      <c r="RHV23" s="1902">
        <f t="shared" si="453"/>
        <v>0</v>
      </c>
      <c r="RHW23" s="1902">
        <f t="shared" si="453"/>
        <v>0</v>
      </c>
      <c r="RHX23" s="1902">
        <f t="shared" si="453"/>
        <v>0</v>
      </c>
      <c r="RHY23" s="1902">
        <f t="shared" si="453"/>
        <v>0</v>
      </c>
      <c r="RHZ23" s="1902">
        <f t="shared" si="453"/>
        <v>0</v>
      </c>
      <c r="RIA23" s="1902">
        <f t="shared" si="453"/>
        <v>0</v>
      </c>
      <c r="RIB23" s="1902">
        <f t="shared" si="453"/>
        <v>0</v>
      </c>
      <c r="RIC23" s="1902">
        <f t="shared" si="453"/>
        <v>0</v>
      </c>
      <c r="RID23" s="1902">
        <f t="shared" si="453"/>
        <v>0</v>
      </c>
      <c r="RIE23" s="1902">
        <f t="shared" si="453"/>
        <v>0</v>
      </c>
      <c r="RIF23" s="1902">
        <f t="shared" si="453"/>
        <v>0</v>
      </c>
      <c r="RIG23" s="1902">
        <f t="shared" si="453"/>
        <v>0</v>
      </c>
      <c r="RIH23" s="1902">
        <f t="shared" si="453"/>
        <v>0</v>
      </c>
      <c r="RII23" s="1902">
        <f t="shared" si="453"/>
        <v>0</v>
      </c>
      <c r="RIJ23" s="1902">
        <f t="shared" si="453"/>
        <v>0</v>
      </c>
      <c r="RIK23" s="1902">
        <f t="shared" si="453"/>
        <v>0</v>
      </c>
      <c r="RIL23" s="1902">
        <f t="shared" si="453"/>
        <v>0</v>
      </c>
      <c r="RIM23" s="1902">
        <f t="shared" si="453"/>
        <v>0</v>
      </c>
      <c r="RIN23" s="1902">
        <f t="shared" si="453"/>
        <v>0</v>
      </c>
      <c r="RIO23" s="1902">
        <f t="shared" si="453"/>
        <v>0</v>
      </c>
      <c r="RIP23" s="1902">
        <f t="shared" si="453"/>
        <v>0</v>
      </c>
      <c r="RIQ23" s="1902">
        <f t="shared" si="453"/>
        <v>0</v>
      </c>
      <c r="RIR23" s="1902">
        <f t="shared" si="453"/>
        <v>0</v>
      </c>
      <c r="RIS23" s="1902">
        <f t="shared" si="453"/>
        <v>0</v>
      </c>
      <c r="RIT23" s="1902">
        <f t="shared" si="453"/>
        <v>0</v>
      </c>
      <c r="RIU23" s="1902">
        <f t="shared" si="453"/>
        <v>0</v>
      </c>
      <c r="RIV23" s="1902">
        <f t="shared" si="453"/>
        <v>0</v>
      </c>
      <c r="RIW23" s="1902">
        <f t="shared" si="453"/>
        <v>0</v>
      </c>
      <c r="RIX23" s="1902">
        <f t="shared" si="453"/>
        <v>0</v>
      </c>
      <c r="RIY23" s="1902">
        <f t="shared" ref="RIY23:RLJ23" si="454">IF(AND(RIY$26="End of period",RIY$25="Revenue"),RIY10,0)</f>
        <v>0</v>
      </c>
      <c r="RIZ23" s="1902">
        <f t="shared" si="454"/>
        <v>0</v>
      </c>
      <c r="RJA23" s="1902">
        <f t="shared" si="454"/>
        <v>0</v>
      </c>
      <c r="RJB23" s="1902">
        <f t="shared" si="454"/>
        <v>0</v>
      </c>
      <c r="RJC23" s="1902">
        <f t="shared" si="454"/>
        <v>0</v>
      </c>
      <c r="RJD23" s="1902">
        <f t="shared" si="454"/>
        <v>0</v>
      </c>
      <c r="RJE23" s="1902">
        <f t="shared" si="454"/>
        <v>0</v>
      </c>
      <c r="RJF23" s="1902">
        <f t="shared" si="454"/>
        <v>0</v>
      </c>
      <c r="RJG23" s="1902">
        <f t="shared" si="454"/>
        <v>0</v>
      </c>
      <c r="RJH23" s="1902">
        <f t="shared" si="454"/>
        <v>0</v>
      </c>
      <c r="RJI23" s="1902">
        <f t="shared" si="454"/>
        <v>0</v>
      </c>
      <c r="RJJ23" s="1902">
        <f t="shared" si="454"/>
        <v>0</v>
      </c>
      <c r="RJK23" s="1902">
        <f t="shared" si="454"/>
        <v>0</v>
      </c>
      <c r="RJL23" s="1902">
        <f t="shared" si="454"/>
        <v>0</v>
      </c>
      <c r="RJM23" s="1902">
        <f t="shared" si="454"/>
        <v>0</v>
      </c>
      <c r="RJN23" s="1902">
        <f t="shared" si="454"/>
        <v>0</v>
      </c>
      <c r="RJO23" s="1902">
        <f t="shared" si="454"/>
        <v>0</v>
      </c>
      <c r="RJP23" s="1902">
        <f t="shared" si="454"/>
        <v>0</v>
      </c>
      <c r="RJQ23" s="1902">
        <f t="shared" si="454"/>
        <v>0</v>
      </c>
      <c r="RJR23" s="1902">
        <f t="shared" si="454"/>
        <v>0</v>
      </c>
      <c r="RJS23" s="1902">
        <f t="shared" si="454"/>
        <v>0</v>
      </c>
      <c r="RJT23" s="1902">
        <f t="shared" si="454"/>
        <v>0</v>
      </c>
      <c r="RJU23" s="1902">
        <f t="shared" si="454"/>
        <v>0</v>
      </c>
      <c r="RJV23" s="1902">
        <f t="shared" si="454"/>
        <v>0</v>
      </c>
      <c r="RJW23" s="1902">
        <f t="shared" si="454"/>
        <v>0</v>
      </c>
      <c r="RJX23" s="1902">
        <f t="shared" si="454"/>
        <v>0</v>
      </c>
      <c r="RJY23" s="1902">
        <f t="shared" si="454"/>
        <v>0</v>
      </c>
      <c r="RJZ23" s="1902">
        <f t="shared" si="454"/>
        <v>0</v>
      </c>
      <c r="RKA23" s="1902">
        <f t="shared" si="454"/>
        <v>0</v>
      </c>
      <c r="RKB23" s="1902">
        <f t="shared" si="454"/>
        <v>0</v>
      </c>
      <c r="RKC23" s="1902">
        <f t="shared" si="454"/>
        <v>0</v>
      </c>
      <c r="RKD23" s="1902">
        <f t="shared" si="454"/>
        <v>0</v>
      </c>
      <c r="RKE23" s="1902">
        <f t="shared" si="454"/>
        <v>0</v>
      </c>
      <c r="RKF23" s="1902">
        <f t="shared" si="454"/>
        <v>0</v>
      </c>
      <c r="RKG23" s="1902">
        <f t="shared" si="454"/>
        <v>0</v>
      </c>
      <c r="RKH23" s="1902">
        <f t="shared" si="454"/>
        <v>0</v>
      </c>
      <c r="RKI23" s="1902">
        <f t="shared" si="454"/>
        <v>0</v>
      </c>
      <c r="RKJ23" s="1902">
        <f t="shared" si="454"/>
        <v>0</v>
      </c>
      <c r="RKK23" s="1902">
        <f t="shared" si="454"/>
        <v>0</v>
      </c>
      <c r="RKL23" s="1902">
        <f t="shared" si="454"/>
        <v>0</v>
      </c>
      <c r="RKM23" s="1902">
        <f t="shared" si="454"/>
        <v>0</v>
      </c>
      <c r="RKN23" s="1902">
        <f t="shared" si="454"/>
        <v>0</v>
      </c>
      <c r="RKO23" s="1902">
        <f t="shared" si="454"/>
        <v>0</v>
      </c>
      <c r="RKP23" s="1902">
        <f t="shared" si="454"/>
        <v>0</v>
      </c>
      <c r="RKQ23" s="1902">
        <f t="shared" si="454"/>
        <v>0</v>
      </c>
      <c r="RKR23" s="1902">
        <f t="shared" si="454"/>
        <v>0</v>
      </c>
      <c r="RKS23" s="1902">
        <f t="shared" si="454"/>
        <v>0</v>
      </c>
      <c r="RKT23" s="1902">
        <f t="shared" si="454"/>
        <v>0</v>
      </c>
      <c r="RKU23" s="1902">
        <f t="shared" si="454"/>
        <v>0</v>
      </c>
      <c r="RKV23" s="1902">
        <f t="shared" si="454"/>
        <v>0</v>
      </c>
      <c r="RKW23" s="1902">
        <f t="shared" si="454"/>
        <v>0</v>
      </c>
      <c r="RKX23" s="1902">
        <f t="shared" si="454"/>
        <v>0</v>
      </c>
      <c r="RKY23" s="1902">
        <f t="shared" si="454"/>
        <v>0</v>
      </c>
      <c r="RKZ23" s="1902">
        <f t="shared" si="454"/>
        <v>0</v>
      </c>
      <c r="RLA23" s="1902">
        <f t="shared" si="454"/>
        <v>0</v>
      </c>
      <c r="RLB23" s="1902">
        <f t="shared" si="454"/>
        <v>0</v>
      </c>
      <c r="RLC23" s="1902">
        <f t="shared" si="454"/>
        <v>0</v>
      </c>
      <c r="RLD23" s="1902">
        <f t="shared" si="454"/>
        <v>0</v>
      </c>
      <c r="RLE23" s="1902">
        <f t="shared" si="454"/>
        <v>0</v>
      </c>
      <c r="RLF23" s="1902">
        <f t="shared" si="454"/>
        <v>0</v>
      </c>
      <c r="RLG23" s="1902">
        <f t="shared" si="454"/>
        <v>0</v>
      </c>
      <c r="RLH23" s="1902">
        <f t="shared" si="454"/>
        <v>0</v>
      </c>
      <c r="RLI23" s="1902">
        <f t="shared" si="454"/>
        <v>0</v>
      </c>
      <c r="RLJ23" s="1902">
        <f t="shared" si="454"/>
        <v>0</v>
      </c>
      <c r="RLK23" s="1902">
        <f t="shared" ref="RLK23:RNV23" si="455">IF(AND(RLK$26="End of period",RLK$25="Revenue"),RLK10,0)</f>
        <v>0</v>
      </c>
      <c r="RLL23" s="1902">
        <f t="shared" si="455"/>
        <v>0</v>
      </c>
      <c r="RLM23" s="1902">
        <f t="shared" si="455"/>
        <v>0</v>
      </c>
      <c r="RLN23" s="1902">
        <f t="shared" si="455"/>
        <v>0</v>
      </c>
      <c r="RLO23" s="1902">
        <f t="shared" si="455"/>
        <v>0</v>
      </c>
      <c r="RLP23" s="1902">
        <f t="shared" si="455"/>
        <v>0</v>
      </c>
      <c r="RLQ23" s="1902">
        <f t="shared" si="455"/>
        <v>0</v>
      </c>
      <c r="RLR23" s="1902">
        <f t="shared" si="455"/>
        <v>0</v>
      </c>
      <c r="RLS23" s="1902">
        <f t="shared" si="455"/>
        <v>0</v>
      </c>
      <c r="RLT23" s="1902">
        <f t="shared" si="455"/>
        <v>0</v>
      </c>
      <c r="RLU23" s="1902">
        <f t="shared" si="455"/>
        <v>0</v>
      </c>
      <c r="RLV23" s="1902">
        <f t="shared" si="455"/>
        <v>0</v>
      </c>
      <c r="RLW23" s="1902">
        <f t="shared" si="455"/>
        <v>0</v>
      </c>
      <c r="RLX23" s="1902">
        <f t="shared" si="455"/>
        <v>0</v>
      </c>
      <c r="RLY23" s="1902">
        <f t="shared" si="455"/>
        <v>0</v>
      </c>
      <c r="RLZ23" s="1902">
        <f t="shared" si="455"/>
        <v>0</v>
      </c>
      <c r="RMA23" s="1902">
        <f t="shared" si="455"/>
        <v>0</v>
      </c>
      <c r="RMB23" s="1902">
        <f t="shared" si="455"/>
        <v>0</v>
      </c>
      <c r="RMC23" s="1902">
        <f t="shared" si="455"/>
        <v>0</v>
      </c>
      <c r="RMD23" s="1902">
        <f t="shared" si="455"/>
        <v>0</v>
      </c>
      <c r="RME23" s="1902">
        <f t="shared" si="455"/>
        <v>0</v>
      </c>
      <c r="RMF23" s="1902">
        <f t="shared" si="455"/>
        <v>0</v>
      </c>
      <c r="RMG23" s="1902">
        <f t="shared" si="455"/>
        <v>0</v>
      </c>
      <c r="RMH23" s="1902">
        <f t="shared" si="455"/>
        <v>0</v>
      </c>
      <c r="RMI23" s="1902">
        <f t="shared" si="455"/>
        <v>0</v>
      </c>
      <c r="RMJ23" s="1902">
        <f t="shared" si="455"/>
        <v>0</v>
      </c>
      <c r="RMK23" s="1902">
        <f t="shared" si="455"/>
        <v>0</v>
      </c>
      <c r="RML23" s="1902">
        <f t="shared" si="455"/>
        <v>0</v>
      </c>
      <c r="RMM23" s="1902">
        <f t="shared" si="455"/>
        <v>0</v>
      </c>
      <c r="RMN23" s="1902">
        <f t="shared" si="455"/>
        <v>0</v>
      </c>
      <c r="RMO23" s="1902">
        <f t="shared" si="455"/>
        <v>0</v>
      </c>
      <c r="RMP23" s="1902">
        <f t="shared" si="455"/>
        <v>0</v>
      </c>
      <c r="RMQ23" s="1902">
        <f t="shared" si="455"/>
        <v>0</v>
      </c>
      <c r="RMR23" s="1902">
        <f t="shared" si="455"/>
        <v>0</v>
      </c>
      <c r="RMS23" s="1902">
        <f t="shared" si="455"/>
        <v>0</v>
      </c>
      <c r="RMT23" s="1902">
        <f t="shared" si="455"/>
        <v>0</v>
      </c>
      <c r="RMU23" s="1902">
        <f t="shared" si="455"/>
        <v>0</v>
      </c>
      <c r="RMV23" s="1902">
        <f t="shared" si="455"/>
        <v>0</v>
      </c>
      <c r="RMW23" s="1902">
        <f t="shared" si="455"/>
        <v>0</v>
      </c>
      <c r="RMX23" s="1902">
        <f t="shared" si="455"/>
        <v>0</v>
      </c>
      <c r="RMY23" s="1902">
        <f t="shared" si="455"/>
        <v>0</v>
      </c>
      <c r="RMZ23" s="1902">
        <f t="shared" si="455"/>
        <v>0</v>
      </c>
      <c r="RNA23" s="1902">
        <f t="shared" si="455"/>
        <v>0</v>
      </c>
      <c r="RNB23" s="1902">
        <f t="shared" si="455"/>
        <v>0</v>
      </c>
      <c r="RNC23" s="1902">
        <f t="shared" si="455"/>
        <v>0</v>
      </c>
      <c r="RND23" s="1902">
        <f t="shared" si="455"/>
        <v>0</v>
      </c>
      <c r="RNE23" s="1902">
        <f t="shared" si="455"/>
        <v>0</v>
      </c>
      <c r="RNF23" s="1902">
        <f t="shared" si="455"/>
        <v>0</v>
      </c>
      <c r="RNG23" s="1902">
        <f t="shared" si="455"/>
        <v>0</v>
      </c>
      <c r="RNH23" s="1902">
        <f t="shared" si="455"/>
        <v>0</v>
      </c>
      <c r="RNI23" s="1902">
        <f t="shared" si="455"/>
        <v>0</v>
      </c>
      <c r="RNJ23" s="1902">
        <f t="shared" si="455"/>
        <v>0</v>
      </c>
      <c r="RNK23" s="1902">
        <f t="shared" si="455"/>
        <v>0</v>
      </c>
      <c r="RNL23" s="1902">
        <f t="shared" si="455"/>
        <v>0</v>
      </c>
      <c r="RNM23" s="1902">
        <f t="shared" si="455"/>
        <v>0</v>
      </c>
      <c r="RNN23" s="1902">
        <f t="shared" si="455"/>
        <v>0</v>
      </c>
      <c r="RNO23" s="1902">
        <f t="shared" si="455"/>
        <v>0</v>
      </c>
      <c r="RNP23" s="1902">
        <f t="shared" si="455"/>
        <v>0</v>
      </c>
      <c r="RNQ23" s="1902">
        <f t="shared" si="455"/>
        <v>0</v>
      </c>
      <c r="RNR23" s="1902">
        <f t="shared" si="455"/>
        <v>0</v>
      </c>
      <c r="RNS23" s="1902">
        <f t="shared" si="455"/>
        <v>0</v>
      </c>
      <c r="RNT23" s="1902">
        <f t="shared" si="455"/>
        <v>0</v>
      </c>
      <c r="RNU23" s="1902">
        <f t="shared" si="455"/>
        <v>0</v>
      </c>
      <c r="RNV23" s="1902">
        <f t="shared" si="455"/>
        <v>0</v>
      </c>
      <c r="RNW23" s="1902">
        <f t="shared" ref="RNW23:RQH23" si="456">IF(AND(RNW$26="End of period",RNW$25="Revenue"),RNW10,0)</f>
        <v>0</v>
      </c>
      <c r="RNX23" s="1902">
        <f t="shared" si="456"/>
        <v>0</v>
      </c>
      <c r="RNY23" s="1902">
        <f t="shared" si="456"/>
        <v>0</v>
      </c>
      <c r="RNZ23" s="1902">
        <f t="shared" si="456"/>
        <v>0</v>
      </c>
      <c r="ROA23" s="1902">
        <f t="shared" si="456"/>
        <v>0</v>
      </c>
      <c r="ROB23" s="1902">
        <f t="shared" si="456"/>
        <v>0</v>
      </c>
      <c r="ROC23" s="1902">
        <f t="shared" si="456"/>
        <v>0</v>
      </c>
      <c r="ROD23" s="1902">
        <f t="shared" si="456"/>
        <v>0</v>
      </c>
      <c r="ROE23" s="1902">
        <f t="shared" si="456"/>
        <v>0</v>
      </c>
      <c r="ROF23" s="1902">
        <f t="shared" si="456"/>
        <v>0</v>
      </c>
      <c r="ROG23" s="1902">
        <f t="shared" si="456"/>
        <v>0</v>
      </c>
      <c r="ROH23" s="1902">
        <f t="shared" si="456"/>
        <v>0</v>
      </c>
      <c r="ROI23" s="1902">
        <f t="shared" si="456"/>
        <v>0</v>
      </c>
      <c r="ROJ23" s="1902">
        <f t="shared" si="456"/>
        <v>0</v>
      </c>
      <c r="ROK23" s="1902">
        <f t="shared" si="456"/>
        <v>0</v>
      </c>
      <c r="ROL23" s="1902">
        <f t="shared" si="456"/>
        <v>0</v>
      </c>
      <c r="ROM23" s="1902">
        <f t="shared" si="456"/>
        <v>0</v>
      </c>
      <c r="RON23" s="1902">
        <f t="shared" si="456"/>
        <v>0</v>
      </c>
      <c r="ROO23" s="1902">
        <f t="shared" si="456"/>
        <v>0</v>
      </c>
      <c r="ROP23" s="1902">
        <f t="shared" si="456"/>
        <v>0</v>
      </c>
      <c r="ROQ23" s="1902">
        <f t="shared" si="456"/>
        <v>0</v>
      </c>
      <c r="ROR23" s="1902">
        <f t="shared" si="456"/>
        <v>0</v>
      </c>
      <c r="ROS23" s="1902">
        <f t="shared" si="456"/>
        <v>0</v>
      </c>
      <c r="ROT23" s="1902">
        <f t="shared" si="456"/>
        <v>0</v>
      </c>
      <c r="ROU23" s="1902">
        <f t="shared" si="456"/>
        <v>0</v>
      </c>
      <c r="ROV23" s="1902">
        <f t="shared" si="456"/>
        <v>0</v>
      </c>
      <c r="ROW23" s="1902">
        <f t="shared" si="456"/>
        <v>0</v>
      </c>
      <c r="ROX23" s="1902">
        <f t="shared" si="456"/>
        <v>0</v>
      </c>
      <c r="ROY23" s="1902">
        <f t="shared" si="456"/>
        <v>0</v>
      </c>
      <c r="ROZ23" s="1902">
        <f t="shared" si="456"/>
        <v>0</v>
      </c>
      <c r="RPA23" s="1902">
        <f t="shared" si="456"/>
        <v>0</v>
      </c>
      <c r="RPB23" s="1902">
        <f t="shared" si="456"/>
        <v>0</v>
      </c>
      <c r="RPC23" s="1902">
        <f t="shared" si="456"/>
        <v>0</v>
      </c>
      <c r="RPD23" s="1902">
        <f t="shared" si="456"/>
        <v>0</v>
      </c>
      <c r="RPE23" s="1902">
        <f t="shared" si="456"/>
        <v>0</v>
      </c>
      <c r="RPF23" s="1902">
        <f t="shared" si="456"/>
        <v>0</v>
      </c>
      <c r="RPG23" s="1902">
        <f t="shared" si="456"/>
        <v>0</v>
      </c>
      <c r="RPH23" s="1902">
        <f t="shared" si="456"/>
        <v>0</v>
      </c>
      <c r="RPI23" s="1902">
        <f t="shared" si="456"/>
        <v>0</v>
      </c>
      <c r="RPJ23" s="1902">
        <f t="shared" si="456"/>
        <v>0</v>
      </c>
      <c r="RPK23" s="1902">
        <f t="shared" si="456"/>
        <v>0</v>
      </c>
      <c r="RPL23" s="1902">
        <f t="shared" si="456"/>
        <v>0</v>
      </c>
      <c r="RPM23" s="1902">
        <f t="shared" si="456"/>
        <v>0</v>
      </c>
      <c r="RPN23" s="1902">
        <f t="shared" si="456"/>
        <v>0</v>
      </c>
      <c r="RPO23" s="1902">
        <f t="shared" si="456"/>
        <v>0</v>
      </c>
      <c r="RPP23" s="1902">
        <f t="shared" si="456"/>
        <v>0</v>
      </c>
      <c r="RPQ23" s="1902">
        <f t="shared" si="456"/>
        <v>0</v>
      </c>
      <c r="RPR23" s="1902">
        <f t="shared" si="456"/>
        <v>0</v>
      </c>
      <c r="RPS23" s="1902">
        <f t="shared" si="456"/>
        <v>0</v>
      </c>
      <c r="RPT23" s="1902">
        <f t="shared" si="456"/>
        <v>0</v>
      </c>
      <c r="RPU23" s="1902">
        <f t="shared" si="456"/>
        <v>0</v>
      </c>
      <c r="RPV23" s="1902">
        <f t="shared" si="456"/>
        <v>0</v>
      </c>
      <c r="RPW23" s="1902">
        <f t="shared" si="456"/>
        <v>0</v>
      </c>
      <c r="RPX23" s="1902">
        <f t="shared" si="456"/>
        <v>0</v>
      </c>
      <c r="RPY23" s="1902">
        <f t="shared" si="456"/>
        <v>0</v>
      </c>
      <c r="RPZ23" s="1902">
        <f t="shared" si="456"/>
        <v>0</v>
      </c>
      <c r="RQA23" s="1902">
        <f t="shared" si="456"/>
        <v>0</v>
      </c>
      <c r="RQB23" s="1902">
        <f t="shared" si="456"/>
        <v>0</v>
      </c>
      <c r="RQC23" s="1902">
        <f t="shared" si="456"/>
        <v>0</v>
      </c>
      <c r="RQD23" s="1902">
        <f t="shared" si="456"/>
        <v>0</v>
      </c>
      <c r="RQE23" s="1902">
        <f t="shared" si="456"/>
        <v>0</v>
      </c>
      <c r="RQF23" s="1902">
        <f t="shared" si="456"/>
        <v>0</v>
      </c>
      <c r="RQG23" s="1902">
        <f t="shared" si="456"/>
        <v>0</v>
      </c>
      <c r="RQH23" s="1902">
        <f t="shared" si="456"/>
        <v>0</v>
      </c>
      <c r="RQI23" s="1902">
        <f t="shared" ref="RQI23:RST23" si="457">IF(AND(RQI$26="End of period",RQI$25="Revenue"),RQI10,0)</f>
        <v>0</v>
      </c>
      <c r="RQJ23" s="1902">
        <f t="shared" si="457"/>
        <v>0</v>
      </c>
      <c r="RQK23" s="1902">
        <f t="shared" si="457"/>
        <v>0</v>
      </c>
      <c r="RQL23" s="1902">
        <f t="shared" si="457"/>
        <v>0</v>
      </c>
      <c r="RQM23" s="1902">
        <f t="shared" si="457"/>
        <v>0</v>
      </c>
      <c r="RQN23" s="1902">
        <f t="shared" si="457"/>
        <v>0</v>
      </c>
      <c r="RQO23" s="1902">
        <f t="shared" si="457"/>
        <v>0</v>
      </c>
      <c r="RQP23" s="1902">
        <f t="shared" si="457"/>
        <v>0</v>
      </c>
      <c r="RQQ23" s="1902">
        <f t="shared" si="457"/>
        <v>0</v>
      </c>
      <c r="RQR23" s="1902">
        <f t="shared" si="457"/>
        <v>0</v>
      </c>
      <c r="RQS23" s="1902">
        <f t="shared" si="457"/>
        <v>0</v>
      </c>
      <c r="RQT23" s="1902">
        <f t="shared" si="457"/>
        <v>0</v>
      </c>
      <c r="RQU23" s="1902">
        <f t="shared" si="457"/>
        <v>0</v>
      </c>
      <c r="RQV23" s="1902">
        <f t="shared" si="457"/>
        <v>0</v>
      </c>
      <c r="RQW23" s="1902">
        <f t="shared" si="457"/>
        <v>0</v>
      </c>
      <c r="RQX23" s="1902">
        <f t="shared" si="457"/>
        <v>0</v>
      </c>
      <c r="RQY23" s="1902">
        <f t="shared" si="457"/>
        <v>0</v>
      </c>
      <c r="RQZ23" s="1902">
        <f t="shared" si="457"/>
        <v>0</v>
      </c>
      <c r="RRA23" s="1902">
        <f t="shared" si="457"/>
        <v>0</v>
      </c>
      <c r="RRB23" s="1902">
        <f t="shared" si="457"/>
        <v>0</v>
      </c>
      <c r="RRC23" s="1902">
        <f t="shared" si="457"/>
        <v>0</v>
      </c>
      <c r="RRD23" s="1902">
        <f t="shared" si="457"/>
        <v>0</v>
      </c>
      <c r="RRE23" s="1902">
        <f t="shared" si="457"/>
        <v>0</v>
      </c>
      <c r="RRF23" s="1902">
        <f t="shared" si="457"/>
        <v>0</v>
      </c>
      <c r="RRG23" s="1902">
        <f t="shared" si="457"/>
        <v>0</v>
      </c>
      <c r="RRH23" s="1902">
        <f t="shared" si="457"/>
        <v>0</v>
      </c>
      <c r="RRI23" s="1902">
        <f t="shared" si="457"/>
        <v>0</v>
      </c>
      <c r="RRJ23" s="1902">
        <f t="shared" si="457"/>
        <v>0</v>
      </c>
      <c r="RRK23" s="1902">
        <f t="shared" si="457"/>
        <v>0</v>
      </c>
      <c r="RRL23" s="1902">
        <f t="shared" si="457"/>
        <v>0</v>
      </c>
      <c r="RRM23" s="1902">
        <f t="shared" si="457"/>
        <v>0</v>
      </c>
      <c r="RRN23" s="1902">
        <f t="shared" si="457"/>
        <v>0</v>
      </c>
      <c r="RRO23" s="1902">
        <f t="shared" si="457"/>
        <v>0</v>
      </c>
      <c r="RRP23" s="1902">
        <f t="shared" si="457"/>
        <v>0</v>
      </c>
      <c r="RRQ23" s="1902">
        <f t="shared" si="457"/>
        <v>0</v>
      </c>
      <c r="RRR23" s="1902">
        <f t="shared" si="457"/>
        <v>0</v>
      </c>
      <c r="RRS23" s="1902">
        <f t="shared" si="457"/>
        <v>0</v>
      </c>
      <c r="RRT23" s="1902">
        <f t="shared" si="457"/>
        <v>0</v>
      </c>
      <c r="RRU23" s="1902">
        <f t="shared" si="457"/>
        <v>0</v>
      </c>
      <c r="RRV23" s="1902">
        <f t="shared" si="457"/>
        <v>0</v>
      </c>
      <c r="RRW23" s="1902">
        <f t="shared" si="457"/>
        <v>0</v>
      </c>
      <c r="RRX23" s="1902">
        <f t="shared" si="457"/>
        <v>0</v>
      </c>
      <c r="RRY23" s="1902">
        <f t="shared" si="457"/>
        <v>0</v>
      </c>
      <c r="RRZ23" s="1902">
        <f t="shared" si="457"/>
        <v>0</v>
      </c>
      <c r="RSA23" s="1902">
        <f t="shared" si="457"/>
        <v>0</v>
      </c>
      <c r="RSB23" s="1902">
        <f t="shared" si="457"/>
        <v>0</v>
      </c>
      <c r="RSC23" s="1902">
        <f t="shared" si="457"/>
        <v>0</v>
      </c>
      <c r="RSD23" s="1902">
        <f t="shared" si="457"/>
        <v>0</v>
      </c>
      <c r="RSE23" s="1902">
        <f t="shared" si="457"/>
        <v>0</v>
      </c>
      <c r="RSF23" s="1902">
        <f t="shared" si="457"/>
        <v>0</v>
      </c>
      <c r="RSG23" s="1902">
        <f t="shared" si="457"/>
        <v>0</v>
      </c>
      <c r="RSH23" s="1902">
        <f t="shared" si="457"/>
        <v>0</v>
      </c>
      <c r="RSI23" s="1902">
        <f t="shared" si="457"/>
        <v>0</v>
      </c>
      <c r="RSJ23" s="1902">
        <f t="shared" si="457"/>
        <v>0</v>
      </c>
      <c r="RSK23" s="1902">
        <f t="shared" si="457"/>
        <v>0</v>
      </c>
      <c r="RSL23" s="1902">
        <f t="shared" si="457"/>
        <v>0</v>
      </c>
      <c r="RSM23" s="1902">
        <f t="shared" si="457"/>
        <v>0</v>
      </c>
      <c r="RSN23" s="1902">
        <f t="shared" si="457"/>
        <v>0</v>
      </c>
      <c r="RSO23" s="1902">
        <f t="shared" si="457"/>
        <v>0</v>
      </c>
      <c r="RSP23" s="1902">
        <f t="shared" si="457"/>
        <v>0</v>
      </c>
      <c r="RSQ23" s="1902">
        <f t="shared" si="457"/>
        <v>0</v>
      </c>
      <c r="RSR23" s="1902">
        <f t="shared" si="457"/>
        <v>0</v>
      </c>
      <c r="RSS23" s="1902">
        <f t="shared" si="457"/>
        <v>0</v>
      </c>
      <c r="RST23" s="1902">
        <f t="shared" si="457"/>
        <v>0</v>
      </c>
      <c r="RSU23" s="1902">
        <f t="shared" ref="RSU23:RVF23" si="458">IF(AND(RSU$26="End of period",RSU$25="Revenue"),RSU10,0)</f>
        <v>0</v>
      </c>
      <c r="RSV23" s="1902">
        <f t="shared" si="458"/>
        <v>0</v>
      </c>
      <c r="RSW23" s="1902">
        <f t="shared" si="458"/>
        <v>0</v>
      </c>
      <c r="RSX23" s="1902">
        <f t="shared" si="458"/>
        <v>0</v>
      </c>
      <c r="RSY23" s="1902">
        <f t="shared" si="458"/>
        <v>0</v>
      </c>
      <c r="RSZ23" s="1902">
        <f t="shared" si="458"/>
        <v>0</v>
      </c>
      <c r="RTA23" s="1902">
        <f t="shared" si="458"/>
        <v>0</v>
      </c>
      <c r="RTB23" s="1902">
        <f t="shared" si="458"/>
        <v>0</v>
      </c>
      <c r="RTC23" s="1902">
        <f t="shared" si="458"/>
        <v>0</v>
      </c>
      <c r="RTD23" s="1902">
        <f t="shared" si="458"/>
        <v>0</v>
      </c>
      <c r="RTE23" s="1902">
        <f t="shared" si="458"/>
        <v>0</v>
      </c>
      <c r="RTF23" s="1902">
        <f t="shared" si="458"/>
        <v>0</v>
      </c>
      <c r="RTG23" s="1902">
        <f t="shared" si="458"/>
        <v>0</v>
      </c>
      <c r="RTH23" s="1902">
        <f t="shared" si="458"/>
        <v>0</v>
      </c>
      <c r="RTI23" s="1902">
        <f t="shared" si="458"/>
        <v>0</v>
      </c>
      <c r="RTJ23" s="1902">
        <f t="shared" si="458"/>
        <v>0</v>
      </c>
      <c r="RTK23" s="1902">
        <f t="shared" si="458"/>
        <v>0</v>
      </c>
      <c r="RTL23" s="1902">
        <f t="shared" si="458"/>
        <v>0</v>
      </c>
      <c r="RTM23" s="1902">
        <f t="shared" si="458"/>
        <v>0</v>
      </c>
      <c r="RTN23" s="1902">
        <f t="shared" si="458"/>
        <v>0</v>
      </c>
      <c r="RTO23" s="1902">
        <f t="shared" si="458"/>
        <v>0</v>
      </c>
      <c r="RTP23" s="1902">
        <f t="shared" si="458"/>
        <v>0</v>
      </c>
      <c r="RTQ23" s="1902">
        <f t="shared" si="458"/>
        <v>0</v>
      </c>
      <c r="RTR23" s="1902">
        <f t="shared" si="458"/>
        <v>0</v>
      </c>
      <c r="RTS23" s="1902">
        <f t="shared" si="458"/>
        <v>0</v>
      </c>
      <c r="RTT23" s="1902">
        <f t="shared" si="458"/>
        <v>0</v>
      </c>
      <c r="RTU23" s="1902">
        <f t="shared" si="458"/>
        <v>0</v>
      </c>
      <c r="RTV23" s="1902">
        <f t="shared" si="458"/>
        <v>0</v>
      </c>
      <c r="RTW23" s="1902">
        <f t="shared" si="458"/>
        <v>0</v>
      </c>
      <c r="RTX23" s="1902">
        <f t="shared" si="458"/>
        <v>0</v>
      </c>
      <c r="RTY23" s="1902">
        <f t="shared" si="458"/>
        <v>0</v>
      </c>
      <c r="RTZ23" s="1902">
        <f t="shared" si="458"/>
        <v>0</v>
      </c>
      <c r="RUA23" s="1902">
        <f t="shared" si="458"/>
        <v>0</v>
      </c>
      <c r="RUB23" s="1902">
        <f t="shared" si="458"/>
        <v>0</v>
      </c>
      <c r="RUC23" s="1902">
        <f t="shared" si="458"/>
        <v>0</v>
      </c>
      <c r="RUD23" s="1902">
        <f t="shared" si="458"/>
        <v>0</v>
      </c>
      <c r="RUE23" s="1902">
        <f t="shared" si="458"/>
        <v>0</v>
      </c>
      <c r="RUF23" s="1902">
        <f t="shared" si="458"/>
        <v>0</v>
      </c>
      <c r="RUG23" s="1902">
        <f t="shared" si="458"/>
        <v>0</v>
      </c>
      <c r="RUH23" s="1902">
        <f t="shared" si="458"/>
        <v>0</v>
      </c>
      <c r="RUI23" s="1902">
        <f t="shared" si="458"/>
        <v>0</v>
      </c>
      <c r="RUJ23" s="1902">
        <f t="shared" si="458"/>
        <v>0</v>
      </c>
      <c r="RUK23" s="1902">
        <f t="shared" si="458"/>
        <v>0</v>
      </c>
      <c r="RUL23" s="1902">
        <f t="shared" si="458"/>
        <v>0</v>
      </c>
      <c r="RUM23" s="1902">
        <f t="shared" si="458"/>
        <v>0</v>
      </c>
      <c r="RUN23" s="1902">
        <f t="shared" si="458"/>
        <v>0</v>
      </c>
      <c r="RUO23" s="1902">
        <f t="shared" si="458"/>
        <v>0</v>
      </c>
      <c r="RUP23" s="1902">
        <f t="shared" si="458"/>
        <v>0</v>
      </c>
      <c r="RUQ23" s="1902">
        <f t="shared" si="458"/>
        <v>0</v>
      </c>
      <c r="RUR23" s="1902">
        <f t="shared" si="458"/>
        <v>0</v>
      </c>
      <c r="RUS23" s="1902">
        <f t="shared" si="458"/>
        <v>0</v>
      </c>
      <c r="RUT23" s="1902">
        <f t="shared" si="458"/>
        <v>0</v>
      </c>
      <c r="RUU23" s="1902">
        <f t="shared" si="458"/>
        <v>0</v>
      </c>
      <c r="RUV23" s="1902">
        <f t="shared" si="458"/>
        <v>0</v>
      </c>
      <c r="RUW23" s="1902">
        <f t="shared" si="458"/>
        <v>0</v>
      </c>
      <c r="RUX23" s="1902">
        <f t="shared" si="458"/>
        <v>0</v>
      </c>
      <c r="RUY23" s="1902">
        <f t="shared" si="458"/>
        <v>0</v>
      </c>
      <c r="RUZ23" s="1902">
        <f t="shared" si="458"/>
        <v>0</v>
      </c>
      <c r="RVA23" s="1902">
        <f t="shared" si="458"/>
        <v>0</v>
      </c>
      <c r="RVB23" s="1902">
        <f t="shared" si="458"/>
        <v>0</v>
      </c>
      <c r="RVC23" s="1902">
        <f t="shared" si="458"/>
        <v>0</v>
      </c>
      <c r="RVD23" s="1902">
        <f t="shared" si="458"/>
        <v>0</v>
      </c>
      <c r="RVE23" s="1902">
        <f t="shared" si="458"/>
        <v>0</v>
      </c>
      <c r="RVF23" s="1902">
        <f t="shared" si="458"/>
        <v>0</v>
      </c>
      <c r="RVG23" s="1902">
        <f t="shared" ref="RVG23:RXR23" si="459">IF(AND(RVG$26="End of period",RVG$25="Revenue"),RVG10,0)</f>
        <v>0</v>
      </c>
      <c r="RVH23" s="1902">
        <f t="shared" si="459"/>
        <v>0</v>
      </c>
      <c r="RVI23" s="1902">
        <f t="shared" si="459"/>
        <v>0</v>
      </c>
      <c r="RVJ23" s="1902">
        <f t="shared" si="459"/>
        <v>0</v>
      </c>
      <c r="RVK23" s="1902">
        <f t="shared" si="459"/>
        <v>0</v>
      </c>
      <c r="RVL23" s="1902">
        <f t="shared" si="459"/>
        <v>0</v>
      </c>
      <c r="RVM23" s="1902">
        <f t="shared" si="459"/>
        <v>0</v>
      </c>
      <c r="RVN23" s="1902">
        <f t="shared" si="459"/>
        <v>0</v>
      </c>
      <c r="RVO23" s="1902">
        <f t="shared" si="459"/>
        <v>0</v>
      </c>
      <c r="RVP23" s="1902">
        <f t="shared" si="459"/>
        <v>0</v>
      </c>
      <c r="RVQ23" s="1902">
        <f t="shared" si="459"/>
        <v>0</v>
      </c>
      <c r="RVR23" s="1902">
        <f t="shared" si="459"/>
        <v>0</v>
      </c>
      <c r="RVS23" s="1902">
        <f t="shared" si="459"/>
        <v>0</v>
      </c>
      <c r="RVT23" s="1902">
        <f t="shared" si="459"/>
        <v>0</v>
      </c>
      <c r="RVU23" s="1902">
        <f t="shared" si="459"/>
        <v>0</v>
      </c>
      <c r="RVV23" s="1902">
        <f t="shared" si="459"/>
        <v>0</v>
      </c>
      <c r="RVW23" s="1902">
        <f t="shared" si="459"/>
        <v>0</v>
      </c>
      <c r="RVX23" s="1902">
        <f t="shared" si="459"/>
        <v>0</v>
      </c>
      <c r="RVY23" s="1902">
        <f t="shared" si="459"/>
        <v>0</v>
      </c>
      <c r="RVZ23" s="1902">
        <f t="shared" si="459"/>
        <v>0</v>
      </c>
      <c r="RWA23" s="1902">
        <f t="shared" si="459"/>
        <v>0</v>
      </c>
      <c r="RWB23" s="1902">
        <f t="shared" si="459"/>
        <v>0</v>
      </c>
      <c r="RWC23" s="1902">
        <f t="shared" si="459"/>
        <v>0</v>
      </c>
      <c r="RWD23" s="1902">
        <f t="shared" si="459"/>
        <v>0</v>
      </c>
      <c r="RWE23" s="1902">
        <f t="shared" si="459"/>
        <v>0</v>
      </c>
      <c r="RWF23" s="1902">
        <f t="shared" si="459"/>
        <v>0</v>
      </c>
      <c r="RWG23" s="1902">
        <f t="shared" si="459"/>
        <v>0</v>
      </c>
      <c r="RWH23" s="1902">
        <f t="shared" si="459"/>
        <v>0</v>
      </c>
      <c r="RWI23" s="1902">
        <f t="shared" si="459"/>
        <v>0</v>
      </c>
      <c r="RWJ23" s="1902">
        <f t="shared" si="459"/>
        <v>0</v>
      </c>
      <c r="RWK23" s="1902">
        <f t="shared" si="459"/>
        <v>0</v>
      </c>
      <c r="RWL23" s="1902">
        <f t="shared" si="459"/>
        <v>0</v>
      </c>
      <c r="RWM23" s="1902">
        <f t="shared" si="459"/>
        <v>0</v>
      </c>
      <c r="RWN23" s="1902">
        <f t="shared" si="459"/>
        <v>0</v>
      </c>
      <c r="RWO23" s="1902">
        <f t="shared" si="459"/>
        <v>0</v>
      </c>
      <c r="RWP23" s="1902">
        <f t="shared" si="459"/>
        <v>0</v>
      </c>
      <c r="RWQ23" s="1902">
        <f t="shared" si="459"/>
        <v>0</v>
      </c>
      <c r="RWR23" s="1902">
        <f t="shared" si="459"/>
        <v>0</v>
      </c>
      <c r="RWS23" s="1902">
        <f t="shared" si="459"/>
        <v>0</v>
      </c>
      <c r="RWT23" s="1902">
        <f t="shared" si="459"/>
        <v>0</v>
      </c>
      <c r="RWU23" s="1902">
        <f t="shared" si="459"/>
        <v>0</v>
      </c>
      <c r="RWV23" s="1902">
        <f t="shared" si="459"/>
        <v>0</v>
      </c>
      <c r="RWW23" s="1902">
        <f t="shared" si="459"/>
        <v>0</v>
      </c>
      <c r="RWX23" s="1902">
        <f t="shared" si="459"/>
        <v>0</v>
      </c>
      <c r="RWY23" s="1902">
        <f t="shared" si="459"/>
        <v>0</v>
      </c>
      <c r="RWZ23" s="1902">
        <f t="shared" si="459"/>
        <v>0</v>
      </c>
      <c r="RXA23" s="1902">
        <f t="shared" si="459"/>
        <v>0</v>
      </c>
      <c r="RXB23" s="1902">
        <f t="shared" si="459"/>
        <v>0</v>
      </c>
      <c r="RXC23" s="1902">
        <f t="shared" si="459"/>
        <v>0</v>
      </c>
      <c r="RXD23" s="1902">
        <f t="shared" si="459"/>
        <v>0</v>
      </c>
      <c r="RXE23" s="1902">
        <f t="shared" si="459"/>
        <v>0</v>
      </c>
      <c r="RXF23" s="1902">
        <f t="shared" si="459"/>
        <v>0</v>
      </c>
      <c r="RXG23" s="1902">
        <f t="shared" si="459"/>
        <v>0</v>
      </c>
      <c r="RXH23" s="1902">
        <f t="shared" si="459"/>
        <v>0</v>
      </c>
      <c r="RXI23" s="1902">
        <f t="shared" si="459"/>
        <v>0</v>
      </c>
      <c r="RXJ23" s="1902">
        <f t="shared" si="459"/>
        <v>0</v>
      </c>
      <c r="RXK23" s="1902">
        <f t="shared" si="459"/>
        <v>0</v>
      </c>
      <c r="RXL23" s="1902">
        <f t="shared" si="459"/>
        <v>0</v>
      </c>
      <c r="RXM23" s="1902">
        <f t="shared" si="459"/>
        <v>0</v>
      </c>
      <c r="RXN23" s="1902">
        <f t="shared" si="459"/>
        <v>0</v>
      </c>
      <c r="RXO23" s="1902">
        <f t="shared" si="459"/>
        <v>0</v>
      </c>
      <c r="RXP23" s="1902">
        <f t="shared" si="459"/>
        <v>0</v>
      </c>
      <c r="RXQ23" s="1902">
        <f t="shared" si="459"/>
        <v>0</v>
      </c>
      <c r="RXR23" s="1902">
        <f t="shared" si="459"/>
        <v>0</v>
      </c>
      <c r="RXS23" s="1902">
        <f t="shared" ref="RXS23:SAD23" si="460">IF(AND(RXS$26="End of period",RXS$25="Revenue"),RXS10,0)</f>
        <v>0</v>
      </c>
      <c r="RXT23" s="1902">
        <f t="shared" si="460"/>
        <v>0</v>
      </c>
      <c r="RXU23" s="1902">
        <f t="shared" si="460"/>
        <v>0</v>
      </c>
      <c r="RXV23" s="1902">
        <f t="shared" si="460"/>
        <v>0</v>
      </c>
      <c r="RXW23" s="1902">
        <f t="shared" si="460"/>
        <v>0</v>
      </c>
      <c r="RXX23" s="1902">
        <f t="shared" si="460"/>
        <v>0</v>
      </c>
      <c r="RXY23" s="1902">
        <f t="shared" si="460"/>
        <v>0</v>
      </c>
      <c r="RXZ23" s="1902">
        <f t="shared" si="460"/>
        <v>0</v>
      </c>
      <c r="RYA23" s="1902">
        <f t="shared" si="460"/>
        <v>0</v>
      </c>
      <c r="RYB23" s="1902">
        <f t="shared" si="460"/>
        <v>0</v>
      </c>
      <c r="RYC23" s="1902">
        <f t="shared" si="460"/>
        <v>0</v>
      </c>
      <c r="RYD23" s="1902">
        <f t="shared" si="460"/>
        <v>0</v>
      </c>
      <c r="RYE23" s="1902">
        <f t="shared" si="460"/>
        <v>0</v>
      </c>
      <c r="RYF23" s="1902">
        <f t="shared" si="460"/>
        <v>0</v>
      </c>
      <c r="RYG23" s="1902">
        <f t="shared" si="460"/>
        <v>0</v>
      </c>
      <c r="RYH23" s="1902">
        <f t="shared" si="460"/>
        <v>0</v>
      </c>
      <c r="RYI23" s="1902">
        <f t="shared" si="460"/>
        <v>0</v>
      </c>
      <c r="RYJ23" s="1902">
        <f t="shared" si="460"/>
        <v>0</v>
      </c>
      <c r="RYK23" s="1902">
        <f t="shared" si="460"/>
        <v>0</v>
      </c>
      <c r="RYL23" s="1902">
        <f t="shared" si="460"/>
        <v>0</v>
      </c>
      <c r="RYM23" s="1902">
        <f t="shared" si="460"/>
        <v>0</v>
      </c>
      <c r="RYN23" s="1902">
        <f t="shared" si="460"/>
        <v>0</v>
      </c>
      <c r="RYO23" s="1902">
        <f t="shared" si="460"/>
        <v>0</v>
      </c>
      <c r="RYP23" s="1902">
        <f t="shared" si="460"/>
        <v>0</v>
      </c>
      <c r="RYQ23" s="1902">
        <f t="shared" si="460"/>
        <v>0</v>
      </c>
      <c r="RYR23" s="1902">
        <f t="shared" si="460"/>
        <v>0</v>
      </c>
      <c r="RYS23" s="1902">
        <f t="shared" si="460"/>
        <v>0</v>
      </c>
      <c r="RYT23" s="1902">
        <f t="shared" si="460"/>
        <v>0</v>
      </c>
      <c r="RYU23" s="1902">
        <f t="shared" si="460"/>
        <v>0</v>
      </c>
      <c r="RYV23" s="1902">
        <f t="shared" si="460"/>
        <v>0</v>
      </c>
      <c r="RYW23" s="1902">
        <f t="shared" si="460"/>
        <v>0</v>
      </c>
      <c r="RYX23" s="1902">
        <f t="shared" si="460"/>
        <v>0</v>
      </c>
      <c r="RYY23" s="1902">
        <f t="shared" si="460"/>
        <v>0</v>
      </c>
      <c r="RYZ23" s="1902">
        <f t="shared" si="460"/>
        <v>0</v>
      </c>
      <c r="RZA23" s="1902">
        <f t="shared" si="460"/>
        <v>0</v>
      </c>
      <c r="RZB23" s="1902">
        <f t="shared" si="460"/>
        <v>0</v>
      </c>
      <c r="RZC23" s="1902">
        <f t="shared" si="460"/>
        <v>0</v>
      </c>
      <c r="RZD23" s="1902">
        <f t="shared" si="460"/>
        <v>0</v>
      </c>
      <c r="RZE23" s="1902">
        <f t="shared" si="460"/>
        <v>0</v>
      </c>
      <c r="RZF23" s="1902">
        <f t="shared" si="460"/>
        <v>0</v>
      </c>
      <c r="RZG23" s="1902">
        <f t="shared" si="460"/>
        <v>0</v>
      </c>
      <c r="RZH23" s="1902">
        <f t="shared" si="460"/>
        <v>0</v>
      </c>
      <c r="RZI23" s="1902">
        <f t="shared" si="460"/>
        <v>0</v>
      </c>
      <c r="RZJ23" s="1902">
        <f t="shared" si="460"/>
        <v>0</v>
      </c>
      <c r="RZK23" s="1902">
        <f t="shared" si="460"/>
        <v>0</v>
      </c>
      <c r="RZL23" s="1902">
        <f t="shared" si="460"/>
        <v>0</v>
      </c>
      <c r="RZM23" s="1902">
        <f t="shared" si="460"/>
        <v>0</v>
      </c>
      <c r="RZN23" s="1902">
        <f t="shared" si="460"/>
        <v>0</v>
      </c>
      <c r="RZO23" s="1902">
        <f t="shared" si="460"/>
        <v>0</v>
      </c>
      <c r="RZP23" s="1902">
        <f t="shared" si="460"/>
        <v>0</v>
      </c>
      <c r="RZQ23" s="1902">
        <f t="shared" si="460"/>
        <v>0</v>
      </c>
      <c r="RZR23" s="1902">
        <f t="shared" si="460"/>
        <v>0</v>
      </c>
      <c r="RZS23" s="1902">
        <f t="shared" si="460"/>
        <v>0</v>
      </c>
      <c r="RZT23" s="1902">
        <f t="shared" si="460"/>
        <v>0</v>
      </c>
      <c r="RZU23" s="1902">
        <f t="shared" si="460"/>
        <v>0</v>
      </c>
      <c r="RZV23" s="1902">
        <f t="shared" si="460"/>
        <v>0</v>
      </c>
      <c r="RZW23" s="1902">
        <f t="shared" si="460"/>
        <v>0</v>
      </c>
      <c r="RZX23" s="1902">
        <f t="shared" si="460"/>
        <v>0</v>
      </c>
      <c r="RZY23" s="1902">
        <f t="shared" si="460"/>
        <v>0</v>
      </c>
      <c r="RZZ23" s="1902">
        <f t="shared" si="460"/>
        <v>0</v>
      </c>
      <c r="SAA23" s="1902">
        <f t="shared" si="460"/>
        <v>0</v>
      </c>
      <c r="SAB23" s="1902">
        <f t="shared" si="460"/>
        <v>0</v>
      </c>
      <c r="SAC23" s="1902">
        <f t="shared" si="460"/>
        <v>0</v>
      </c>
      <c r="SAD23" s="1902">
        <f t="shared" si="460"/>
        <v>0</v>
      </c>
      <c r="SAE23" s="1902">
        <f t="shared" ref="SAE23:SCP23" si="461">IF(AND(SAE$26="End of period",SAE$25="Revenue"),SAE10,0)</f>
        <v>0</v>
      </c>
      <c r="SAF23" s="1902">
        <f t="shared" si="461"/>
        <v>0</v>
      </c>
      <c r="SAG23" s="1902">
        <f t="shared" si="461"/>
        <v>0</v>
      </c>
      <c r="SAH23" s="1902">
        <f t="shared" si="461"/>
        <v>0</v>
      </c>
      <c r="SAI23" s="1902">
        <f t="shared" si="461"/>
        <v>0</v>
      </c>
      <c r="SAJ23" s="1902">
        <f t="shared" si="461"/>
        <v>0</v>
      </c>
      <c r="SAK23" s="1902">
        <f t="shared" si="461"/>
        <v>0</v>
      </c>
      <c r="SAL23" s="1902">
        <f t="shared" si="461"/>
        <v>0</v>
      </c>
      <c r="SAM23" s="1902">
        <f t="shared" si="461"/>
        <v>0</v>
      </c>
      <c r="SAN23" s="1902">
        <f t="shared" si="461"/>
        <v>0</v>
      </c>
      <c r="SAO23" s="1902">
        <f t="shared" si="461"/>
        <v>0</v>
      </c>
      <c r="SAP23" s="1902">
        <f t="shared" si="461"/>
        <v>0</v>
      </c>
      <c r="SAQ23" s="1902">
        <f t="shared" si="461"/>
        <v>0</v>
      </c>
      <c r="SAR23" s="1902">
        <f t="shared" si="461"/>
        <v>0</v>
      </c>
      <c r="SAS23" s="1902">
        <f t="shared" si="461"/>
        <v>0</v>
      </c>
      <c r="SAT23" s="1902">
        <f t="shared" si="461"/>
        <v>0</v>
      </c>
      <c r="SAU23" s="1902">
        <f t="shared" si="461"/>
        <v>0</v>
      </c>
      <c r="SAV23" s="1902">
        <f t="shared" si="461"/>
        <v>0</v>
      </c>
      <c r="SAW23" s="1902">
        <f t="shared" si="461"/>
        <v>0</v>
      </c>
      <c r="SAX23" s="1902">
        <f t="shared" si="461"/>
        <v>0</v>
      </c>
      <c r="SAY23" s="1902">
        <f t="shared" si="461"/>
        <v>0</v>
      </c>
      <c r="SAZ23" s="1902">
        <f t="shared" si="461"/>
        <v>0</v>
      </c>
      <c r="SBA23" s="1902">
        <f t="shared" si="461"/>
        <v>0</v>
      </c>
      <c r="SBB23" s="1902">
        <f t="shared" si="461"/>
        <v>0</v>
      </c>
      <c r="SBC23" s="1902">
        <f t="shared" si="461"/>
        <v>0</v>
      </c>
      <c r="SBD23" s="1902">
        <f t="shared" si="461"/>
        <v>0</v>
      </c>
      <c r="SBE23" s="1902">
        <f t="shared" si="461"/>
        <v>0</v>
      </c>
      <c r="SBF23" s="1902">
        <f t="shared" si="461"/>
        <v>0</v>
      </c>
      <c r="SBG23" s="1902">
        <f t="shared" si="461"/>
        <v>0</v>
      </c>
      <c r="SBH23" s="1902">
        <f t="shared" si="461"/>
        <v>0</v>
      </c>
      <c r="SBI23" s="1902">
        <f t="shared" si="461"/>
        <v>0</v>
      </c>
      <c r="SBJ23" s="1902">
        <f t="shared" si="461"/>
        <v>0</v>
      </c>
      <c r="SBK23" s="1902">
        <f t="shared" si="461"/>
        <v>0</v>
      </c>
      <c r="SBL23" s="1902">
        <f t="shared" si="461"/>
        <v>0</v>
      </c>
      <c r="SBM23" s="1902">
        <f t="shared" si="461"/>
        <v>0</v>
      </c>
      <c r="SBN23" s="1902">
        <f t="shared" si="461"/>
        <v>0</v>
      </c>
      <c r="SBO23" s="1902">
        <f t="shared" si="461"/>
        <v>0</v>
      </c>
      <c r="SBP23" s="1902">
        <f t="shared" si="461"/>
        <v>0</v>
      </c>
      <c r="SBQ23" s="1902">
        <f t="shared" si="461"/>
        <v>0</v>
      </c>
      <c r="SBR23" s="1902">
        <f t="shared" si="461"/>
        <v>0</v>
      </c>
      <c r="SBS23" s="1902">
        <f t="shared" si="461"/>
        <v>0</v>
      </c>
      <c r="SBT23" s="1902">
        <f t="shared" si="461"/>
        <v>0</v>
      </c>
      <c r="SBU23" s="1902">
        <f t="shared" si="461"/>
        <v>0</v>
      </c>
      <c r="SBV23" s="1902">
        <f t="shared" si="461"/>
        <v>0</v>
      </c>
      <c r="SBW23" s="1902">
        <f t="shared" si="461"/>
        <v>0</v>
      </c>
      <c r="SBX23" s="1902">
        <f t="shared" si="461"/>
        <v>0</v>
      </c>
      <c r="SBY23" s="1902">
        <f t="shared" si="461"/>
        <v>0</v>
      </c>
      <c r="SBZ23" s="1902">
        <f t="shared" si="461"/>
        <v>0</v>
      </c>
      <c r="SCA23" s="1902">
        <f t="shared" si="461"/>
        <v>0</v>
      </c>
      <c r="SCB23" s="1902">
        <f t="shared" si="461"/>
        <v>0</v>
      </c>
      <c r="SCC23" s="1902">
        <f t="shared" si="461"/>
        <v>0</v>
      </c>
      <c r="SCD23" s="1902">
        <f t="shared" si="461"/>
        <v>0</v>
      </c>
      <c r="SCE23" s="1902">
        <f t="shared" si="461"/>
        <v>0</v>
      </c>
      <c r="SCF23" s="1902">
        <f t="shared" si="461"/>
        <v>0</v>
      </c>
      <c r="SCG23" s="1902">
        <f t="shared" si="461"/>
        <v>0</v>
      </c>
      <c r="SCH23" s="1902">
        <f t="shared" si="461"/>
        <v>0</v>
      </c>
      <c r="SCI23" s="1902">
        <f t="shared" si="461"/>
        <v>0</v>
      </c>
      <c r="SCJ23" s="1902">
        <f t="shared" si="461"/>
        <v>0</v>
      </c>
      <c r="SCK23" s="1902">
        <f t="shared" si="461"/>
        <v>0</v>
      </c>
      <c r="SCL23" s="1902">
        <f t="shared" si="461"/>
        <v>0</v>
      </c>
      <c r="SCM23" s="1902">
        <f t="shared" si="461"/>
        <v>0</v>
      </c>
      <c r="SCN23" s="1902">
        <f t="shared" si="461"/>
        <v>0</v>
      </c>
      <c r="SCO23" s="1902">
        <f t="shared" si="461"/>
        <v>0</v>
      </c>
      <c r="SCP23" s="1902">
        <f t="shared" si="461"/>
        <v>0</v>
      </c>
      <c r="SCQ23" s="1902">
        <f t="shared" ref="SCQ23:SFB23" si="462">IF(AND(SCQ$26="End of period",SCQ$25="Revenue"),SCQ10,0)</f>
        <v>0</v>
      </c>
      <c r="SCR23" s="1902">
        <f t="shared" si="462"/>
        <v>0</v>
      </c>
      <c r="SCS23" s="1902">
        <f t="shared" si="462"/>
        <v>0</v>
      </c>
      <c r="SCT23" s="1902">
        <f t="shared" si="462"/>
        <v>0</v>
      </c>
      <c r="SCU23" s="1902">
        <f t="shared" si="462"/>
        <v>0</v>
      </c>
      <c r="SCV23" s="1902">
        <f t="shared" si="462"/>
        <v>0</v>
      </c>
      <c r="SCW23" s="1902">
        <f t="shared" si="462"/>
        <v>0</v>
      </c>
      <c r="SCX23" s="1902">
        <f t="shared" si="462"/>
        <v>0</v>
      </c>
      <c r="SCY23" s="1902">
        <f t="shared" si="462"/>
        <v>0</v>
      </c>
      <c r="SCZ23" s="1902">
        <f t="shared" si="462"/>
        <v>0</v>
      </c>
      <c r="SDA23" s="1902">
        <f t="shared" si="462"/>
        <v>0</v>
      </c>
      <c r="SDB23" s="1902">
        <f t="shared" si="462"/>
        <v>0</v>
      </c>
      <c r="SDC23" s="1902">
        <f t="shared" si="462"/>
        <v>0</v>
      </c>
      <c r="SDD23" s="1902">
        <f t="shared" si="462"/>
        <v>0</v>
      </c>
      <c r="SDE23" s="1902">
        <f t="shared" si="462"/>
        <v>0</v>
      </c>
      <c r="SDF23" s="1902">
        <f t="shared" si="462"/>
        <v>0</v>
      </c>
      <c r="SDG23" s="1902">
        <f t="shared" si="462"/>
        <v>0</v>
      </c>
      <c r="SDH23" s="1902">
        <f t="shared" si="462"/>
        <v>0</v>
      </c>
      <c r="SDI23" s="1902">
        <f t="shared" si="462"/>
        <v>0</v>
      </c>
      <c r="SDJ23" s="1902">
        <f t="shared" si="462"/>
        <v>0</v>
      </c>
      <c r="SDK23" s="1902">
        <f t="shared" si="462"/>
        <v>0</v>
      </c>
      <c r="SDL23" s="1902">
        <f t="shared" si="462"/>
        <v>0</v>
      </c>
      <c r="SDM23" s="1902">
        <f t="shared" si="462"/>
        <v>0</v>
      </c>
      <c r="SDN23" s="1902">
        <f t="shared" si="462"/>
        <v>0</v>
      </c>
      <c r="SDO23" s="1902">
        <f t="shared" si="462"/>
        <v>0</v>
      </c>
      <c r="SDP23" s="1902">
        <f t="shared" si="462"/>
        <v>0</v>
      </c>
      <c r="SDQ23" s="1902">
        <f t="shared" si="462"/>
        <v>0</v>
      </c>
      <c r="SDR23" s="1902">
        <f t="shared" si="462"/>
        <v>0</v>
      </c>
      <c r="SDS23" s="1902">
        <f t="shared" si="462"/>
        <v>0</v>
      </c>
      <c r="SDT23" s="1902">
        <f t="shared" si="462"/>
        <v>0</v>
      </c>
      <c r="SDU23" s="1902">
        <f t="shared" si="462"/>
        <v>0</v>
      </c>
      <c r="SDV23" s="1902">
        <f t="shared" si="462"/>
        <v>0</v>
      </c>
      <c r="SDW23" s="1902">
        <f t="shared" si="462"/>
        <v>0</v>
      </c>
      <c r="SDX23" s="1902">
        <f t="shared" si="462"/>
        <v>0</v>
      </c>
      <c r="SDY23" s="1902">
        <f t="shared" si="462"/>
        <v>0</v>
      </c>
      <c r="SDZ23" s="1902">
        <f t="shared" si="462"/>
        <v>0</v>
      </c>
      <c r="SEA23" s="1902">
        <f t="shared" si="462"/>
        <v>0</v>
      </c>
      <c r="SEB23" s="1902">
        <f t="shared" si="462"/>
        <v>0</v>
      </c>
      <c r="SEC23" s="1902">
        <f t="shared" si="462"/>
        <v>0</v>
      </c>
      <c r="SED23" s="1902">
        <f t="shared" si="462"/>
        <v>0</v>
      </c>
      <c r="SEE23" s="1902">
        <f t="shared" si="462"/>
        <v>0</v>
      </c>
      <c r="SEF23" s="1902">
        <f t="shared" si="462"/>
        <v>0</v>
      </c>
      <c r="SEG23" s="1902">
        <f t="shared" si="462"/>
        <v>0</v>
      </c>
      <c r="SEH23" s="1902">
        <f t="shared" si="462"/>
        <v>0</v>
      </c>
      <c r="SEI23" s="1902">
        <f t="shared" si="462"/>
        <v>0</v>
      </c>
      <c r="SEJ23" s="1902">
        <f t="shared" si="462"/>
        <v>0</v>
      </c>
      <c r="SEK23" s="1902">
        <f t="shared" si="462"/>
        <v>0</v>
      </c>
      <c r="SEL23" s="1902">
        <f t="shared" si="462"/>
        <v>0</v>
      </c>
      <c r="SEM23" s="1902">
        <f t="shared" si="462"/>
        <v>0</v>
      </c>
      <c r="SEN23" s="1902">
        <f t="shared" si="462"/>
        <v>0</v>
      </c>
      <c r="SEO23" s="1902">
        <f t="shared" si="462"/>
        <v>0</v>
      </c>
      <c r="SEP23" s="1902">
        <f t="shared" si="462"/>
        <v>0</v>
      </c>
      <c r="SEQ23" s="1902">
        <f t="shared" si="462"/>
        <v>0</v>
      </c>
      <c r="SER23" s="1902">
        <f t="shared" si="462"/>
        <v>0</v>
      </c>
      <c r="SES23" s="1902">
        <f t="shared" si="462"/>
        <v>0</v>
      </c>
      <c r="SET23" s="1902">
        <f t="shared" si="462"/>
        <v>0</v>
      </c>
      <c r="SEU23" s="1902">
        <f t="shared" si="462"/>
        <v>0</v>
      </c>
      <c r="SEV23" s="1902">
        <f t="shared" si="462"/>
        <v>0</v>
      </c>
      <c r="SEW23" s="1902">
        <f t="shared" si="462"/>
        <v>0</v>
      </c>
      <c r="SEX23" s="1902">
        <f t="shared" si="462"/>
        <v>0</v>
      </c>
      <c r="SEY23" s="1902">
        <f t="shared" si="462"/>
        <v>0</v>
      </c>
      <c r="SEZ23" s="1902">
        <f t="shared" si="462"/>
        <v>0</v>
      </c>
      <c r="SFA23" s="1902">
        <f t="shared" si="462"/>
        <v>0</v>
      </c>
      <c r="SFB23" s="1902">
        <f t="shared" si="462"/>
        <v>0</v>
      </c>
      <c r="SFC23" s="1902">
        <f t="shared" ref="SFC23:SHN23" si="463">IF(AND(SFC$26="End of period",SFC$25="Revenue"),SFC10,0)</f>
        <v>0</v>
      </c>
      <c r="SFD23" s="1902">
        <f t="shared" si="463"/>
        <v>0</v>
      </c>
      <c r="SFE23" s="1902">
        <f t="shared" si="463"/>
        <v>0</v>
      </c>
      <c r="SFF23" s="1902">
        <f t="shared" si="463"/>
        <v>0</v>
      </c>
      <c r="SFG23" s="1902">
        <f t="shared" si="463"/>
        <v>0</v>
      </c>
      <c r="SFH23" s="1902">
        <f t="shared" si="463"/>
        <v>0</v>
      </c>
      <c r="SFI23" s="1902">
        <f t="shared" si="463"/>
        <v>0</v>
      </c>
      <c r="SFJ23" s="1902">
        <f t="shared" si="463"/>
        <v>0</v>
      </c>
      <c r="SFK23" s="1902">
        <f t="shared" si="463"/>
        <v>0</v>
      </c>
      <c r="SFL23" s="1902">
        <f t="shared" si="463"/>
        <v>0</v>
      </c>
      <c r="SFM23" s="1902">
        <f t="shared" si="463"/>
        <v>0</v>
      </c>
      <c r="SFN23" s="1902">
        <f t="shared" si="463"/>
        <v>0</v>
      </c>
      <c r="SFO23" s="1902">
        <f t="shared" si="463"/>
        <v>0</v>
      </c>
      <c r="SFP23" s="1902">
        <f t="shared" si="463"/>
        <v>0</v>
      </c>
      <c r="SFQ23" s="1902">
        <f t="shared" si="463"/>
        <v>0</v>
      </c>
      <c r="SFR23" s="1902">
        <f t="shared" si="463"/>
        <v>0</v>
      </c>
      <c r="SFS23" s="1902">
        <f t="shared" si="463"/>
        <v>0</v>
      </c>
      <c r="SFT23" s="1902">
        <f t="shared" si="463"/>
        <v>0</v>
      </c>
      <c r="SFU23" s="1902">
        <f t="shared" si="463"/>
        <v>0</v>
      </c>
      <c r="SFV23" s="1902">
        <f t="shared" si="463"/>
        <v>0</v>
      </c>
      <c r="SFW23" s="1902">
        <f t="shared" si="463"/>
        <v>0</v>
      </c>
      <c r="SFX23" s="1902">
        <f t="shared" si="463"/>
        <v>0</v>
      </c>
      <c r="SFY23" s="1902">
        <f t="shared" si="463"/>
        <v>0</v>
      </c>
      <c r="SFZ23" s="1902">
        <f t="shared" si="463"/>
        <v>0</v>
      </c>
      <c r="SGA23" s="1902">
        <f t="shared" si="463"/>
        <v>0</v>
      </c>
      <c r="SGB23" s="1902">
        <f t="shared" si="463"/>
        <v>0</v>
      </c>
      <c r="SGC23" s="1902">
        <f t="shared" si="463"/>
        <v>0</v>
      </c>
      <c r="SGD23" s="1902">
        <f t="shared" si="463"/>
        <v>0</v>
      </c>
      <c r="SGE23" s="1902">
        <f t="shared" si="463"/>
        <v>0</v>
      </c>
      <c r="SGF23" s="1902">
        <f t="shared" si="463"/>
        <v>0</v>
      </c>
      <c r="SGG23" s="1902">
        <f t="shared" si="463"/>
        <v>0</v>
      </c>
      <c r="SGH23" s="1902">
        <f t="shared" si="463"/>
        <v>0</v>
      </c>
      <c r="SGI23" s="1902">
        <f t="shared" si="463"/>
        <v>0</v>
      </c>
      <c r="SGJ23" s="1902">
        <f t="shared" si="463"/>
        <v>0</v>
      </c>
      <c r="SGK23" s="1902">
        <f t="shared" si="463"/>
        <v>0</v>
      </c>
      <c r="SGL23" s="1902">
        <f t="shared" si="463"/>
        <v>0</v>
      </c>
      <c r="SGM23" s="1902">
        <f t="shared" si="463"/>
        <v>0</v>
      </c>
      <c r="SGN23" s="1902">
        <f t="shared" si="463"/>
        <v>0</v>
      </c>
      <c r="SGO23" s="1902">
        <f t="shared" si="463"/>
        <v>0</v>
      </c>
      <c r="SGP23" s="1902">
        <f t="shared" si="463"/>
        <v>0</v>
      </c>
      <c r="SGQ23" s="1902">
        <f t="shared" si="463"/>
        <v>0</v>
      </c>
      <c r="SGR23" s="1902">
        <f t="shared" si="463"/>
        <v>0</v>
      </c>
      <c r="SGS23" s="1902">
        <f t="shared" si="463"/>
        <v>0</v>
      </c>
      <c r="SGT23" s="1902">
        <f t="shared" si="463"/>
        <v>0</v>
      </c>
      <c r="SGU23" s="1902">
        <f t="shared" si="463"/>
        <v>0</v>
      </c>
      <c r="SGV23" s="1902">
        <f t="shared" si="463"/>
        <v>0</v>
      </c>
      <c r="SGW23" s="1902">
        <f t="shared" si="463"/>
        <v>0</v>
      </c>
      <c r="SGX23" s="1902">
        <f t="shared" si="463"/>
        <v>0</v>
      </c>
      <c r="SGY23" s="1902">
        <f t="shared" si="463"/>
        <v>0</v>
      </c>
      <c r="SGZ23" s="1902">
        <f t="shared" si="463"/>
        <v>0</v>
      </c>
      <c r="SHA23" s="1902">
        <f t="shared" si="463"/>
        <v>0</v>
      </c>
      <c r="SHB23" s="1902">
        <f t="shared" si="463"/>
        <v>0</v>
      </c>
      <c r="SHC23" s="1902">
        <f t="shared" si="463"/>
        <v>0</v>
      </c>
      <c r="SHD23" s="1902">
        <f t="shared" si="463"/>
        <v>0</v>
      </c>
      <c r="SHE23" s="1902">
        <f t="shared" si="463"/>
        <v>0</v>
      </c>
      <c r="SHF23" s="1902">
        <f t="shared" si="463"/>
        <v>0</v>
      </c>
      <c r="SHG23" s="1902">
        <f t="shared" si="463"/>
        <v>0</v>
      </c>
      <c r="SHH23" s="1902">
        <f t="shared" si="463"/>
        <v>0</v>
      </c>
      <c r="SHI23" s="1902">
        <f t="shared" si="463"/>
        <v>0</v>
      </c>
      <c r="SHJ23" s="1902">
        <f t="shared" si="463"/>
        <v>0</v>
      </c>
      <c r="SHK23" s="1902">
        <f t="shared" si="463"/>
        <v>0</v>
      </c>
      <c r="SHL23" s="1902">
        <f t="shared" si="463"/>
        <v>0</v>
      </c>
      <c r="SHM23" s="1902">
        <f t="shared" si="463"/>
        <v>0</v>
      </c>
      <c r="SHN23" s="1902">
        <f t="shared" si="463"/>
        <v>0</v>
      </c>
      <c r="SHO23" s="1902">
        <f t="shared" ref="SHO23:SJZ23" si="464">IF(AND(SHO$26="End of period",SHO$25="Revenue"),SHO10,0)</f>
        <v>0</v>
      </c>
      <c r="SHP23" s="1902">
        <f t="shared" si="464"/>
        <v>0</v>
      </c>
      <c r="SHQ23" s="1902">
        <f t="shared" si="464"/>
        <v>0</v>
      </c>
      <c r="SHR23" s="1902">
        <f t="shared" si="464"/>
        <v>0</v>
      </c>
      <c r="SHS23" s="1902">
        <f t="shared" si="464"/>
        <v>0</v>
      </c>
      <c r="SHT23" s="1902">
        <f t="shared" si="464"/>
        <v>0</v>
      </c>
      <c r="SHU23" s="1902">
        <f t="shared" si="464"/>
        <v>0</v>
      </c>
      <c r="SHV23" s="1902">
        <f t="shared" si="464"/>
        <v>0</v>
      </c>
      <c r="SHW23" s="1902">
        <f t="shared" si="464"/>
        <v>0</v>
      </c>
      <c r="SHX23" s="1902">
        <f t="shared" si="464"/>
        <v>0</v>
      </c>
      <c r="SHY23" s="1902">
        <f t="shared" si="464"/>
        <v>0</v>
      </c>
      <c r="SHZ23" s="1902">
        <f t="shared" si="464"/>
        <v>0</v>
      </c>
      <c r="SIA23" s="1902">
        <f t="shared" si="464"/>
        <v>0</v>
      </c>
      <c r="SIB23" s="1902">
        <f t="shared" si="464"/>
        <v>0</v>
      </c>
      <c r="SIC23" s="1902">
        <f t="shared" si="464"/>
        <v>0</v>
      </c>
      <c r="SID23" s="1902">
        <f t="shared" si="464"/>
        <v>0</v>
      </c>
      <c r="SIE23" s="1902">
        <f t="shared" si="464"/>
        <v>0</v>
      </c>
      <c r="SIF23" s="1902">
        <f t="shared" si="464"/>
        <v>0</v>
      </c>
      <c r="SIG23" s="1902">
        <f t="shared" si="464"/>
        <v>0</v>
      </c>
      <c r="SIH23" s="1902">
        <f t="shared" si="464"/>
        <v>0</v>
      </c>
      <c r="SII23" s="1902">
        <f t="shared" si="464"/>
        <v>0</v>
      </c>
      <c r="SIJ23" s="1902">
        <f t="shared" si="464"/>
        <v>0</v>
      </c>
      <c r="SIK23" s="1902">
        <f t="shared" si="464"/>
        <v>0</v>
      </c>
      <c r="SIL23" s="1902">
        <f t="shared" si="464"/>
        <v>0</v>
      </c>
      <c r="SIM23" s="1902">
        <f t="shared" si="464"/>
        <v>0</v>
      </c>
      <c r="SIN23" s="1902">
        <f t="shared" si="464"/>
        <v>0</v>
      </c>
      <c r="SIO23" s="1902">
        <f t="shared" si="464"/>
        <v>0</v>
      </c>
      <c r="SIP23" s="1902">
        <f t="shared" si="464"/>
        <v>0</v>
      </c>
      <c r="SIQ23" s="1902">
        <f t="shared" si="464"/>
        <v>0</v>
      </c>
      <c r="SIR23" s="1902">
        <f t="shared" si="464"/>
        <v>0</v>
      </c>
      <c r="SIS23" s="1902">
        <f t="shared" si="464"/>
        <v>0</v>
      </c>
      <c r="SIT23" s="1902">
        <f t="shared" si="464"/>
        <v>0</v>
      </c>
      <c r="SIU23" s="1902">
        <f t="shared" si="464"/>
        <v>0</v>
      </c>
      <c r="SIV23" s="1902">
        <f t="shared" si="464"/>
        <v>0</v>
      </c>
      <c r="SIW23" s="1902">
        <f t="shared" si="464"/>
        <v>0</v>
      </c>
      <c r="SIX23" s="1902">
        <f t="shared" si="464"/>
        <v>0</v>
      </c>
      <c r="SIY23" s="1902">
        <f t="shared" si="464"/>
        <v>0</v>
      </c>
      <c r="SIZ23" s="1902">
        <f t="shared" si="464"/>
        <v>0</v>
      </c>
      <c r="SJA23" s="1902">
        <f t="shared" si="464"/>
        <v>0</v>
      </c>
      <c r="SJB23" s="1902">
        <f t="shared" si="464"/>
        <v>0</v>
      </c>
      <c r="SJC23" s="1902">
        <f t="shared" si="464"/>
        <v>0</v>
      </c>
      <c r="SJD23" s="1902">
        <f t="shared" si="464"/>
        <v>0</v>
      </c>
      <c r="SJE23" s="1902">
        <f t="shared" si="464"/>
        <v>0</v>
      </c>
      <c r="SJF23" s="1902">
        <f t="shared" si="464"/>
        <v>0</v>
      </c>
      <c r="SJG23" s="1902">
        <f t="shared" si="464"/>
        <v>0</v>
      </c>
      <c r="SJH23" s="1902">
        <f t="shared" si="464"/>
        <v>0</v>
      </c>
      <c r="SJI23" s="1902">
        <f t="shared" si="464"/>
        <v>0</v>
      </c>
      <c r="SJJ23" s="1902">
        <f t="shared" si="464"/>
        <v>0</v>
      </c>
      <c r="SJK23" s="1902">
        <f t="shared" si="464"/>
        <v>0</v>
      </c>
      <c r="SJL23" s="1902">
        <f t="shared" si="464"/>
        <v>0</v>
      </c>
      <c r="SJM23" s="1902">
        <f t="shared" si="464"/>
        <v>0</v>
      </c>
      <c r="SJN23" s="1902">
        <f t="shared" si="464"/>
        <v>0</v>
      </c>
      <c r="SJO23" s="1902">
        <f t="shared" si="464"/>
        <v>0</v>
      </c>
      <c r="SJP23" s="1902">
        <f t="shared" si="464"/>
        <v>0</v>
      </c>
      <c r="SJQ23" s="1902">
        <f t="shared" si="464"/>
        <v>0</v>
      </c>
      <c r="SJR23" s="1902">
        <f t="shared" si="464"/>
        <v>0</v>
      </c>
      <c r="SJS23" s="1902">
        <f t="shared" si="464"/>
        <v>0</v>
      </c>
      <c r="SJT23" s="1902">
        <f t="shared" si="464"/>
        <v>0</v>
      </c>
      <c r="SJU23" s="1902">
        <f t="shared" si="464"/>
        <v>0</v>
      </c>
      <c r="SJV23" s="1902">
        <f t="shared" si="464"/>
        <v>0</v>
      </c>
      <c r="SJW23" s="1902">
        <f t="shared" si="464"/>
        <v>0</v>
      </c>
      <c r="SJX23" s="1902">
        <f t="shared" si="464"/>
        <v>0</v>
      </c>
      <c r="SJY23" s="1902">
        <f t="shared" si="464"/>
        <v>0</v>
      </c>
      <c r="SJZ23" s="1902">
        <f t="shared" si="464"/>
        <v>0</v>
      </c>
      <c r="SKA23" s="1902">
        <f t="shared" ref="SKA23:SML23" si="465">IF(AND(SKA$26="End of period",SKA$25="Revenue"),SKA10,0)</f>
        <v>0</v>
      </c>
      <c r="SKB23" s="1902">
        <f t="shared" si="465"/>
        <v>0</v>
      </c>
      <c r="SKC23" s="1902">
        <f t="shared" si="465"/>
        <v>0</v>
      </c>
      <c r="SKD23" s="1902">
        <f t="shared" si="465"/>
        <v>0</v>
      </c>
      <c r="SKE23" s="1902">
        <f t="shared" si="465"/>
        <v>0</v>
      </c>
      <c r="SKF23" s="1902">
        <f t="shared" si="465"/>
        <v>0</v>
      </c>
      <c r="SKG23" s="1902">
        <f t="shared" si="465"/>
        <v>0</v>
      </c>
      <c r="SKH23" s="1902">
        <f t="shared" si="465"/>
        <v>0</v>
      </c>
      <c r="SKI23" s="1902">
        <f t="shared" si="465"/>
        <v>0</v>
      </c>
      <c r="SKJ23" s="1902">
        <f t="shared" si="465"/>
        <v>0</v>
      </c>
      <c r="SKK23" s="1902">
        <f t="shared" si="465"/>
        <v>0</v>
      </c>
      <c r="SKL23" s="1902">
        <f t="shared" si="465"/>
        <v>0</v>
      </c>
      <c r="SKM23" s="1902">
        <f t="shared" si="465"/>
        <v>0</v>
      </c>
      <c r="SKN23" s="1902">
        <f t="shared" si="465"/>
        <v>0</v>
      </c>
      <c r="SKO23" s="1902">
        <f t="shared" si="465"/>
        <v>0</v>
      </c>
      <c r="SKP23" s="1902">
        <f t="shared" si="465"/>
        <v>0</v>
      </c>
      <c r="SKQ23" s="1902">
        <f t="shared" si="465"/>
        <v>0</v>
      </c>
      <c r="SKR23" s="1902">
        <f t="shared" si="465"/>
        <v>0</v>
      </c>
      <c r="SKS23" s="1902">
        <f t="shared" si="465"/>
        <v>0</v>
      </c>
      <c r="SKT23" s="1902">
        <f t="shared" si="465"/>
        <v>0</v>
      </c>
      <c r="SKU23" s="1902">
        <f t="shared" si="465"/>
        <v>0</v>
      </c>
      <c r="SKV23" s="1902">
        <f t="shared" si="465"/>
        <v>0</v>
      </c>
      <c r="SKW23" s="1902">
        <f t="shared" si="465"/>
        <v>0</v>
      </c>
      <c r="SKX23" s="1902">
        <f t="shared" si="465"/>
        <v>0</v>
      </c>
      <c r="SKY23" s="1902">
        <f t="shared" si="465"/>
        <v>0</v>
      </c>
      <c r="SKZ23" s="1902">
        <f t="shared" si="465"/>
        <v>0</v>
      </c>
      <c r="SLA23" s="1902">
        <f t="shared" si="465"/>
        <v>0</v>
      </c>
      <c r="SLB23" s="1902">
        <f t="shared" si="465"/>
        <v>0</v>
      </c>
      <c r="SLC23" s="1902">
        <f t="shared" si="465"/>
        <v>0</v>
      </c>
      <c r="SLD23" s="1902">
        <f t="shared" si="465"/>
        <v>0</v>
      </c>
      <c r="SLE23" s="1902">
        <f t="shared" si="465"/>
        <v>0</v>
      </c>
      <c r="SLF23" s="1902">
        <f t="shared" si="465"/>
        <v>0</v>
      </c>
      <c r="SLG23" s="1902">
        <f t="shared" si="465"/>
        <v>0</v>
      </c>
      <c r="SLH23" s="1902">
        <f t="shared" si="465"/>
        <v>0</v>
      </c>
      <c r="SLI23" s="1902">
        <f t="shared" si="465"/>
        <v>0</v>
      </c>
      <c r="SLJ23" s="1902">
        <f t="shared" si="465"/>
        <v>0</v>
      </c>
      <c r="SLK23" s="1902">
        <f t="shared" si="465"/>
        <v>0</v>
      </c>
      <c r="SLL23" s="1902">
        <f t="shared" si="465"/>
        <v>0</v>
      </c>
      <c r="SLM23" s="1902">
        <f t="shared" si="465"/>
        <v>0</v>
      </c>
      <c r="SLN23" s="1902">
        <f t="shared" si="465"/>
        <v>0</v>
      </c>
      <c r="SLO23" s="1902">
        <f t="shared" si="465"/>
        <v>0</v>
      </c>
      <c r="SLP23" s="1902">
        <f t="shared" si="465"/>
        <v>0</v>
      </c>
      <c r="SLQ23" s="1902">
        <f t="shared" si="465"/>
        <v>0</v>
      </c>
      <c r="SLR23" s="1902">
        <f t="shared" si="465"/>
        <v>0</v>
      </c>
      <c r="SLS23" s="1902">
        <f t="shared" si="465"/>
        <v>0</v>
      </c>
      <c r="SLT23" s="1902">
        <f t="shared" si="465"/>
        <v>0</v>
      </c>
      <c r="SLU23" s="1902">
        <f t="shared" si="465"/>
        <v>0</v>
      </c>
      <c r="SLV23" s="1902">
        <f t="shared" si="465"/>
        <v>0</v>
      </c>
      <c r="SLW23" s="1902">
        <f t="shared" si="465"/>
        <v>0</v>
      </c>
      <c r="SLX23" s="1902">
        <f t="shared" si="465"/>
        <v>0</v>
      </c>
      <c r="SLY23" s="1902">
        <f t="shared" si="465"/>
        <v>0</v>
      </c>
      <c r="SLZ23" s="1902">
        <f t="shared" si="465"/>
        <v>0</v>
      </c>
      <c r="SMA23" s="1902">
        <f t="shared" si="465"/>
        <v>0</v>
      </c>
      <c r="SMB23" s="1902">
        <f t="shared" si="465"/>
        <v>0</v>
      </c>
      <c r="SMC23" s="1902">
        <f t="shared" si="465"/>
        <v>0</v>
      </c>
      <c r="SMD23" s="1902">
        <f t="shared" si="465"/>
        <v>0</v>
      </c>
      <c r="SME23" s="1902">
        <f t="shared" si="465"/>
        <v>0</v>
      </c>
      <c r="SMF23" s="1902">
        <f t="shared" si="465"/>
        <v>0</v>
      </c>
      <c r="SMG23" s="1902">
        <f t="shared" si="465"/>
        <v>0</v>
      </c>
      <c r="SMH23" s="1902">
        <f t="shared" si="465"/>
        <v>0</v>
      </c>
      <c r="SMI23" s="1902">
        <f t="shared" si="465"/>
        <v>0</v>
      </c>
      <c r="SMJ23" s="1902">
        <f t="shared" si="465"/>
        <v>0</v>
      </c>
      <c r="SMK23" s="1902">
        <f t="shared" si="465"/>
        <v>0</v>
      </c>
      <c r="SML23" s="1902">
        <f t="shared" si="465"/>
        <v>0</v>
      </c>
      <c r="SMM23" s="1902">
        <f t="shared" ref="SMM23:SOX23" si="466">IF(AND(SMM$26="End of period",SMM$25="Revenue"),SMM10,0)</f>
        <v>0</v>
      </c>
      <c r="SMN23" s="1902">
        <f t="shared" si="466"/>
        <v>0</v>
      </c>
      <c r="SMO23" s="1902">
        <f t="shared" si="466"/>
        <v>0</v>
      </c>
      <c r="SMP23" s="1902">
        <f t="shared" si="466"/>
        <v>0</v>
      </c>
      <c r="SMQ23" s="1902">
        <f t="shared" si="466"/>
        <v>0</v>
      </c>
      <c r="SMR23" s="1902">
        <f t="shared" si="466"/>
        <v>0</v>
      </c>
      <c r="SMS23" s="1902">
        <f t="shared" si="466"/>
        <v>0</v>
      </c>
      <c r="SMT23" s="1902">
        <f t="shared" si="466"/>
        <v>0</v>
      </c>
      <c r="SMU23" s="1902">
        <f t="shared" si="466"/>
        <v>0</v>
      </c>
      <c r="SMV23" s="1902">
        <f t="shared" si="466"/>
        <v>0</v>
      </c>
      <c r="SMW23" s="1902">
        <f t="shared" si="466"/>
        <v>0</v>
      </c>
      <c r="SMX23" s="1902">
        <f t="shared" si="466"/>
        <v>0</v>
      </c>
      <c r="SMY23" s="1902">
        <f t="shared" si="466"/>
        <v>0</v>
      </c>
      <c r="SMZ23" s="1902">
        <f t="shared" si="466"/>
        <v>0</v>
      </c>
      <c r="SNA23" s="1902">
        <f t="shared" si="466"/>
        <v>0</v>
      </c>
      <c r="SNB23" s="1902">
        <f t="shared" si="466"/>
        <v>0</v>
      </c>
      <c r="SNC23" s="1902">
        <f t="shared" si="466"/>
        <v>0</v>
      </c>
      <c r="SND23" s="1902">
        <f t="shared" si="466"/>
        <v>0</v>
      </c>
      <c r="SNE23" s="1902">
        <f t="shared" si="466"/>
        <v>0</v>
      </c>
      <c r="SNF23" s="1902">
        <f t="shared" si="466"/>
        <v>0</v>
      </c>
      <c r="SNG23" s="1902">
        <f t="shared" si="466"/>
        <v>0</v>
      </c>
      <c r="SNH23" s="1902">
        <f t="shared" si="466"/>
        <v>0</v>
      </c>
      <c r="SNI23" s="1902">
        <f t="shared" si="466"/>
        <v>0</v>
      </c>
      <c r="SNJ23" s="1902">
        <f t="shared" si="466"/>
        <v>0</v>
      </c>
      <c r="SNK23" s="1902">
        <f t="shared" si="466"/>
        <v>0</v>
      </c>
      <c r="SNL23" s="1902">
        <f t="shared" si="466"/>
        <v>0</v>
      </c>
      <c r="SNM23" s="1902">
        <f t="shared" si="466"/>
        <v>0</v>
      </c>
      <c r="SNN23" s="1902">
        <f t="shared" si="466"/>
        <v>0</v>
      </c>
      <c r="SNO23" s="1902">
        <f t="shared" si="466"/>
        <v>0</v>
      </c>
      <c r="SNP23" s="1902">
        <f t="shared" si="466"/>
        <v>0</v>
      </c>
      <c r="SNQ23" s="1902">
        <f t="shared" si="466"/>
        <v>0</v>
      </c>
      <c r="SNR23" s="1902">
        <f t="shared" si="466"/>
        <v>0</v>
      </c>
      <c r="SNS23" s="1902">
        <f t="shared" si="466"/>
        <v>0</v>
      </c>
      <c r="SNT23" s="1902">
        <f t="shared" si="466"/>
        <v>0</v>
      </c>
      <c r="SNU23" s="1902">
        <f t="shared" si="466"/>
        <v>0</v>
      </c>
      <c r="SNV23" s="1902">
        <f t="shared" si="466"/>
        <v>0</v>
      </c>
      <c r="SNW23" s="1902">
        <f t="shared" si="466"/>
        <v>0</v>
      </c>
      <c r="SNX23" s="1902">
        <f t="shared" si="466"/>
        <v>0</v>
      </c>
      <c r="SNY23" s="1902">
        <f t="shared" si="466"/>
        <v>0</v>
      </c>
      <c r="SNZ23" s="1902">
        <f t="shared" si="466"/>
        <v>0</v>
      </c>
      <c r="SOA23" s="1902">
        <f t="shared" si="466"/>
        <v>0</v>
      </c>
      <c r="SOB23" s="1902">
        <f t="shared" si="466"/>
        <v>0</v>
      </c>
      <c r="SOC23" s="1902">
        <f t="shared" si="466"/>
        <v>0</v>
      </c>
      <c r="SOD23" s="1902">
        <f t="shared" si="466"/>
        <v>0</v>
      </c>
      <c r="SOE23" s="1902">
        <f t="shared" si="466"/>
        <v>0</v>
      </c>
      <c r="SOF23" s="1902">
        <f t="shared" si="466"/>
        <v>0</v>
      </c>
      <c r="SOG23" s="1902">
        <f t="shared" si="466"/>
        <v>0</v>
      </c>
      <c r="SOH23" s="1902">
        <f t="shared" si="466"/>
        <v>0</v>
      </c>
      <c r="SOI23" s="1902">
        <f t="shared" si="466"/>
        <v>0</v>
      </c>
      <c r="SOJ23" s="1902">
        <f t="shared" si="466"/>
        <v>0</v>
      </c>
      <c r="SOK23" s="1902">
        <f t="shared" si="466"/>
        <v>0</v>
      </c>
      <c r="SOL23" s="1902">
        <f t="shared" si="466"/>
        <v>0</v>
      </c>
      <c r="SOM23" s="1902">
        <f t="shared" si="466"/>
        <v>0</v>
      </c>
      <c r="SON23" s="1902">
        <f t="shared" si="466"/>
        <v>0</v>
      </c>
      <c r="SOO23" s="1902">
        <f t="shared" si="466"/>
        <v>0</v>
      </c>
      <c r="SOP23" s="1902">
        <f t="shared" si="466"/>
        <v>0</v>
      </c>
      <c r="SOQ23" s="1902">
        <f t="shared" si="466"/>
        <v>0</v>
      </c>
      <c r="SOR23" s="1902">
        <f t="shared" si="466"/>
        <v>0</v>
      </c>
      <c r="SOS23" s="1902">
        <f t="shared" si="466"/>
        <v>0</v>
      </c>
      <c r="SOT23" s="1902">
        <f t="shared" si="466"/>
        <v>0</v>
      </c>
      <c r="SOU23" s="1902">
        <f t="shared" si="466"/>
        <v>0</v>
      </c>
      <c r="SOV23" s="1902">
        <f t="shared" si="466"/>
        <v>0</v>
      </c>
      <c r="SOW23" s="1902">
        <f t="shared" si="466"/>
        <v>0</v>
      </c>
      <c r="SOX23" s="1902">
        <f t="shared" si="466"/>
        <v>0</v>
      </c>
      <c r="SOY23" s="1902">
        <f t="shared" ref="SOY23:SRJ23" si="467">IF(AND(SOY$26="End of period",SOY$25="Revenue"),SOY10,0)</f>
        <v>0</v>
      </c>
      <c r="SOZ23" s="1902">
        <f t="shared" si="467"/>
        <v>0</v>
      </c>
      <c r="SPA23" s="1902">
        <f t="shared" si="467"/>
        <v>0</v>
      </c>
      <c r="SPB23" s="1902">
        <f t="shared" si="467"/>
        <v>0</v>
      </c>
      <c r="SPC23" s="1902">
        <f t="shared" si="467"/>
        <v>0</v>
      </c>
      <c r="SPD23" s="1902">
        <f t="shared" si="467"/>
        <v>0</v>
      </c>
      <c r="SPE23" s="1902">
        <f t="shared" si="467"/>
        <v>0</v>
      </c>
      <c r="SPF23" s="1902">
        <f t="shared" si="467"/>
        <v>0</v>
      </c>
      <c r="SPG23" s="1902">
        <f t="shared" si="467"/>
        <v>0</v>
      </c>
      <c r="SPH23" s="1902">
        <f t="shared" si="467"/>
        <v>0</v>
      </c>
      <c r="SPI23" s="1902">
        <f t="shared" si="467"/>
        <v>0</v>
      </c>
      <c r="SPJ23" s="1902">
        <f t="shared" si="467"/>
        <v>0</v>
      </c>
      <c r="SPK23" s="1902">
        <f t="shared" si="467"/>
        <v>0</v>
      </c>
      <c r="SPL23" s="1902">
        <f t="shared" si="467"/>
        <v>0</v>
      </c>
      <c r="SPM23" s="1902">
        <f t="shared" si="467"/>
        <v>0</v>
      </c>
      <c r="SPN23" s="1902">
        <f t="shared" si="467"/>
        <v>0</v>
      </c>
      <c r="SPO23" s="1902">
        <f t="shared" si="467"/>
        <v>0</v>
      </c>
      <c r="SPP23" s="1902">
        <f t="shared" si="467"/>
        <v>0</v>
      </c>
      <c r="SPQ23" s="1902">
        <f t="shared" si="467"/>
        <v>0</v>
      </c>
      <c r="SPR23" s="1902">
        <f t="shared" si="467"/>
        <v>0</v>
      </c>
      <c r="SPS23" s="1902">
        <f t="shared" si="467"/>
        <v>0</v>
      </c>
      <c r="SPT23" s="1902">
        <f t="shared" si="467"/>
        <v>0</v>
      </c>
      <c r="SPU23" s="1902">
        <f t="shared" si="467"/>
        <v>0</v>
      </c>
      <c r="SPV23" s="1902">
        <f t="shared" si="467"/>
        <v>0</v>
      </c>
      <c r="SPW23" s="1902">
        <f t="shared" si="467"/>
        <v>0</v>
      </c>
      <c r="SPX23" s="1902">
        <f t="shared" si="467"/>
        <v>0</v>
      </c>
      <c r="SPY23" s="1902">
        <f t="shared" si="467"/>
        <v>0</v>
      </c>
      <c r="SPZ23" s="1902">
        <f t="shared" si="467"/>
        <v>0</v>
      </c>
      <c r="SQA23" s="1902">
        <f t="shared" si="467"/>
        <v>0</v>
      </c>
      <c r="SQB23" s="1902">
        <f t="shared" si="467"/>
        <v>0</v>
      </c>
      <c r="SQC23" s="1902">
        <f t="shared" si="467"/>
        <v>0</v>
      </c>
      <c r="SQD23" s="1902">
        <f t="shared" si="467"/>
        <v>0</v>
      </c>
      <c r="SQE23" s="1902">
        <f t="shared" si="467"/>
        <v>0</v>
      </c>
      <c r="SQF23" s="1902">
        <f t="shared" si="467"/>
        <v>0</v>
      </c>
      <c r="SQG23" s="1902">
        <f t="shared" si="467"/>
        <v>0</v>
      </c>
      <c r="SQH23" s="1902">
        <f t="shared" si="467"/>
        <v>0</v>
      </c>
      <c r="SQI23" s="1902">
        <f t="shared" si="467"/>
        <v>0</v>
      </c>
      <c r="SQJ23" s="1902">
        <f t="shared" si="467"/>
        <v>0</v>
      </c>
      <c r="SQK23" s="1902">
        <f t="shared" si="467"/>
        <v>0</v>
      </c>
      <c r="SQL23" s="1902">
        <f t="shared" si="467"/>
        <v>0</v>
      </c>
      <c r="SQM23" s="1902">
        <f t="shared" si="467"/>
        <v>0</v>
      </c>
      <c r="SQN23" s="1902">
        <f t="shared" si="467"/>
        <v>0</v>
      </c>
      <c r="SQO23" s="1902">
        <f t="shared" si="467"/>
        <v>0</v>
      </c>
      <c r="SQP23" s="1902">
        <f t="shared" si="467"/>
        <v>0</v>
      </c>
      <c r="SQQ23" s="1902">
        <f t="shared" si="467"/>
        <v>0</v>
      </c>
      <c r="SQR23" s="1902">
        <f t="shared" si="467"/>
        <v>0</v>
      </c>
      <c r="SQS23" s="1902">
        <f t="shared" si="467"/>
        <v>0</v>
      </c>
      <c r="SQT23" s="1902">
        <f t="shared" si="467"/>
        <v>0</v>
      </c>
      <c r="SQU23" s="1902">
        <f t="shared" si="467"/>
        <v>0</v>
      </c>
      <c r="SQV23" s="1902">
        <f t="shared" si="467"/>
        <v>0</v>
      </c>
      <c r="SQW23" s="1902">
        <f t="shared" si="467"/>
        <v>0</v>
      </c>
      <c r="SQX23" s="1902">
        <f t="shared" si="467"/>
        <v>0</v>
      </c>
      <c r="SQY23" s="1902">
        <f t="shared" si="467"/>
        <v>0</v>
      </c>
      <c r="SQZ23" s="1902">
        <f t="shared" si="467"/>
        <v>0</v>
      </c>
      <c r="SRA23" s="1902">
        <f t="shared" si="467"/>
        <v>0</v>
      </c>
      <c r="SRB23" s="1902">
        <f t="shared" si="467"/>
        <v>0</v>
      </c>
      <c r="SRC23" s="1902">
        <f t="shared" si="467"/>
        <v>0</v>
      </c>
      <c r="SRD23" s="1902">
        <f t="shared" si="467"/>
        <v>0</v>
      </c>
      <c r="SRE23" s="1902">
        <f t="shared" si="467"/>
        <v>0</v>
      </c>
      <c r="SRF23" s="1902">
        <f t="shared" si="467"/>
        <v>0</v>
      </c>
      <c r="SRG23" s="1902">
        <f t="shared" si="467"/>
        <v>0</v>
      </c>
      <c r="SRH23" s="1902">
        <f t="shared" si="467"/>
        <v>0</v>
      </c>
      <c r="SRI23" s="1902">
        <f t="shared" si="467"/>
        <v>0</v>
      </c>
      <c r="SRJ23" s="1902">
        <f t="shared" si="467"/>
        <v>0</v>
      </c>
      <c r="SRK23" s="1902">
        <f t="shared" ref="SRK23:STV23" si="468">IF(AND(SRK$26="End of period",SRK$25="Revenue"),SRK10,0)</f>
        <v>0</v>
      </c>
      <c r="SRL23" s="1902">
        <f t="shared" si="468"/>
        <v>0</v>
      </c>
      <c r="SRM23" s="1902">
        <f t="shared" si="468"/>
        <v>0</v>
      </c>
      <c r="SRN23" s="1902">
        <f t="shared" si="468"/>
        <v>0</v>
      </c>
      <c r="SRO23" s="1902">
        <f t="shared" si="468"/>
        <v>0</v>
      </c>
      <c r="SRP23" s="1902">
        <f t="shared" si="468"/>
        <v>0</v>
      </c>
      <c r="SRQ23" s="1902">
        <f t="shared" si="468"/>
        <v>0</v>
      </c>
      <c r="SRR23" s="1902">
        <f t="shared" si="468"/>
        <v>0</v>
      </c>
      <c r="SRS23" s="1902">
        <f t="shared" si="468"/>
        <v>0</v>
      </c>
      <c r="SRT23" s="1902">
        <f t="shared" si="468"/>
        <v>0</v>
      </c>
      <c r="SRU23" s="1902">
        <f t="shared" si="468"/>
        <v>0</v>
      </c>
      <c r="SRV23" s="1902">
        <f t="shared" si="468"/>
        <v>0</v>
      </c>
      <c r="SRW23" s="1902">
        <f t="shared" si="468"/>
        <v>0</v>
      </c>
      <c r="SRX23" s="1902">
        <f t="shared" si="468"/>
        <v>0</v>
      </c>
      <c r="SRY23" s="1902">
        <f t="shared" si="468"/>
        <v>0</v>
      </c>
      <c r="SRZ23" s="1902">
        <f t="shared" si="468"/>
        <v>0</v>
      </c>
      <c r="SSA23" s="1902">
        <f t="shared" si="468"/>
        <v>0</v>
      </c>
      <c r="SSB23" s="1902">
        <f t="shared" si="468"/>
        <v>0</v>
      </c>
      <c r="SSC23" s="1902">
        <f t="shared" si="468"/>
        <v>0</v>
      </c>
      <c r="SSD23" s="1902">
        <f t="shared" si="468"/>
        <v>0</v>
      </c>
      <c r="SSE23" s="1902">
        <f t="shared" si="468"/>
        <v>0</v>
      </c>
      <c r="SSF23" s="1902">
        <f t="shared" si="468"/>
        <v>0</v>
      </c>
      <c r="SSG23" s="1902">
        <f t="shared" si="468"/>
        <v>0</v>
      </c>
      <c r="SSH23" s="1902">
        <f t="shared" si="468"/>
        <v>0</v>
      </c>
      <c r="SSI23" s="1902">
        <f t="shared" si="468"/>
        <v>0</v>
      </c>
      <c r="SSJ23" s="1902">
        <f t="shared" si="468"/>
        <v>0</v>
      </c>
      <c r="SSK23" s="1902">
        <f t="shared" si="468"/>
        <v>0</v>
      </c>
      <c r="SSL23" s="1902">
        <f t="shared" si="468"/>
        <v>0</v>
      </c>
      <c r="SSM23" s="1902">
        <f t="shared" si="468"/>
        <v>0</v>
      </c>
      <c r="SSN23" s="1902">
        <f t="shared" si="468"/>
        <v>0</v>
      </c>
      <c r="SSO23" s="1902">
        <f t="shared" si="468"/>
        <v>0</v>
      </c>
      <c r="SSP23" s="1902">
        <f t="shared" si="468"/>
        <v>0</v>
      </c>
      <c r="SSQ23" s="1902">
        <f t="shared" si="468"/>
        <v>0</v>
      </c>
      <c r="SSR23" s="1902">
        <f t="shared" si="468"/>
        <v>0</v>
      </c>
      <c r="SSS23" s="1902">
        <f t="shared" si="468"/>
        <v>0</v>
      </c>
      <c r="SST23" s="1902">
        <f t="shared" si="468"/>
        <v>0</v>
      </c>
      <c r="SSU23" s="1902">
        <f t="shared" si="468"/>
        <v>0</v>
      </c>
      <c r="SSV23" s="1902">
        <f t="shared" si="468"/>
        <v>0</v>
      </c>
      <c r="SSW23" s="1902">
        <f t="shared" si="468"/>
        <v>0</v>
      </c>
      <c r="SSX23" s="1902">
        <f t="shared" si="468"/>
        <v>0</v>
      </c>
      <c r="SSY23" s="1902">
        <f t="shared" si="468"/>
        <v>0</v>
      </c>
      <c r="SSZ23" s="1902">
        <f t="shared" si="468"/>
        <v>0</v>
      </c>
      <c r="STA23" s="1902">
        <f t="shared" si="468"/>
        <v>0</v>
      </c>
      <c r="STB23" s="1902">
        <f t="shared" si="468"/>
        <v>0</v>
      </c>
      <c r="STC23" s="1902">
        <f t="shared" si="468"/>
        <v>0</v>
      </c>
      <c r="STD23" s="1902">
        <f t="shared" si="468"/>
        <v>0</v>
      </c>
      <c r="STE23" s="1902">
        <f t="shared" si="468"/>
        <v>0</v>
      </c>
      <c r="STF23" s="1902">
        <f t="shared" si="468"/>
        <v>0</v>
      </c>
      <c r="STG23" s="1902">
        <f t="shared" si="468"/>
        <v>0</v>
      </c>
      <c r="STH23" s="1902">
        <f t="shared" si="468"/>
        <v>0</v>
      </c>
      <c r="STI23" s="1902">
        <f t="shared" si="468"/>
        <v>0</v>
      </c>
      <c r="STJ23" s="1902">
        <f t="shared" si="468"/>
        <v>0</v>
      </c>
      <c r="STK23" s="1902">
        <f t="shared" si="468"/>
        <v>0</v>
      </c>
      <c r="STL23" s="1902">
        <f t="shared" si="468"/>
        <v>0</v>
      </c>
      <c r="STM23" s="1902">
        <f t="shared" si="468"/>
        <v>0</v>
      </c>
      <c r="STN23" s="1902">
        <f t="shared" si="468"/>
        <v>0</v>
      </c>
      <c r="STO23" s="1902">
        <f t="shared" si="468"/>
        <v>0</v>
      </c>
      <c r="STP23" s="1902">
        <f t="shared" si="468"/>
        <v>0</v>
      </c>
      <c r="STQ23" s="1902">
        <f t="shared" si="468"/>
        <v>0</v>
      </c>
      <c r="STR23" s="1902">
        <f t="shared" si="468"/>
        <v>0</v>
      </c>
      <c r="STS23" s="1902">
        <f t="shared" si="468"/>
        <v>0</v>
      </c>
      <c r="STT23" s="1902">
        <f t="shared" si="468"/>
        <v>0</v>
      </c>
      <c r="STU23" s="1902">
        <f t="shared" si="468"/>
        <v>0</v>
      </c>
      <c r="STV23" s="1902">
        <f t="shared" si="468"/>
        <v>0</v>
      </c>
      <c r="STW23" s="1902">
        <f t="shared" ref="STW23:SWH23" si="469">IF(AND(STW$26="End of period",STW$25="Revenue"),STW10,0)</f>
        <v>0</v>
      </c>
      <c r="STX23" s="1902">
        <f t="shared" si="469"/>
        <v>0</v>
      </c>
      <c r="STY23" s="1902">
        <f t="shared" si="469"/>
        <v>0</v>
      </c>
      <c r="STZ23" s="1902">
        <f t="shared" si="469"/>
        <v>0</v>
      </c>
      <c r="SUA23" s="1902">
        <f t="shared" si="469"/>
        <v>0</v>
      </c>
      <c r="SUB23" s="1902">
        <f t="shared" si="469"/>
        <v>0</v>
      </c>
      <c r="SUC23" s="1902">
        <f t="shared" si="469"/>
        <v>0</v>
      </c>
      <c r="SUD23" s="1902">
        <f t="shared" si="469"/>
        <v>0</v>
      </c>
      <c r="SUE23" s="1902">
        <f t="shared" si="469"/>
        <v>0</v>
      </c>
      <c r="SUF23" s="1902">
        <f t="shared" si="469"/>
        <v>0</v>
      </c>
      <c r="SUG23" s="1902">
        <f t="shared" si="469"/>
        <v>0</v>
      </c>
      <c r="SUH23" s="1902">
        <f t="shared" si="469"/>
        <v>0</v>
      </c>
      <c r="SUI23" s="1902">
        <f t="shared" si="469"/>
        <v>0</v>
      </c>
      <c r="SUJ23" s="1902">
        <f t="shared" si="469"/>
        <v>0</v>
      </c>
      <c r="SUK23" s="1902">
        <f t="shared" si="469"/>
        <v>0</v>
      </c>
      <c r="SUL23" s="1902">
        <f t="shared" si="469"/>
        <v>0</v>
      </c>
      <c r="SUM23" s="1902">
        <f t="shared" si="469"/>
        <v>0</v>
      </c>
      <c r="SUN23" s="1902">
        <f t="shared" si="469"/>
        <v>0</v>
      </c>
      <c r="SUO23" s="1902">
        <f t="shared" si="469"/>
        <v>0</v>
      </c>
      <c r="SUP23" s="1902">
        <f t="shared" si="469"/>
        <v>0</v>
      </c>
      <c r="SUQ23" s="1902">
        <f t="shared" si="469"/>
        <v>0</v>
      </c>
      <c r="SUR23" s="1902">
        <f t="shared" si="469"/>
        <v>0</v>
      </c>
      <c r="SUS23" s="1902">
        <f t="shared" si="469"/>
        <v>0</v>
      </c>
      <c r="SUT23" s="1902">
        <f t="shared" si="469"/>
        <v>0</v>
      </c>
      <c r="SUU23" s="1902">
        <f t="shared" si="469"/>
        <v>0</v>
      </c>
      <c r="SUV23" s="1902">
        <f t="shared" si="469"/>
        <v>0</v>
      </c>
      <c r="SUW23" s="1902">
        <f t="shared" si="469"/>
        <v>0</v>
      </c>
      <c r="SUX23" s="1902">
        <f t="shared" si="469"/>
        <v>0</v>
      </c>
      <c r="SUY23" s="1902">
        <f t="shared" si="469"/>
        <v>0</v>
      </c>
      <c r="SUZ23" s="1902">
        <f t="shared" si="469"/>
        <v>0</v>
      </c>
      <c r="SVA23" s="1902">
        <f t="shared" si="469"/>
        <v>0</v>
      </c>
      <c r="SVB23" s="1902">
        <f t="shared" si="469"/>
        <v>0</v>
      </c>
      <c r="SVC23" s="1902">
        <f t="shared" si="469"/>
        <v>0</v>
      </c>
      <c r="SVD23" s="1902">
        <f t="shared" si="469"/>
        <v>0</v>
      </c>
      <c r="SVE23" s="1902">
        <f t="shared" si="469"/>
        <v>0</v>
      </c>
      <c r="SVF23" s="1902">
        <f t="shared" si="469"/>
        <v>0</v>
      </c>
      <c r="SVG23" s="1902">
        <f t="shared" si="469"/>
        <v>0</v>
      </c>
      <c r="SVH23" s="1902">
        <f t="shared" si="469"/>
        <v>0</v>
      </c>
      <c r="SVI23" s="1902">
        <f t="shared" si="469"/>
        <v>0</v>
      </c>
      <c r="SVJ23" s="1902">
        <f t="shared" si="469"/>
        <v>0</v>
      </c>
      <c r="SVK23" s="1902">
        <f t="shared" si="469"/>
        <v>0</v>
      </c>
      <c r="SVL23" s="1902">
        <f t="shared" si="469"/>
        <v>0</v>
      </c>
      <c r="SVM23" s="1902">
        <f t="shared" si="469"/>
        <v>0</v>
      </c>
      <c r="SVN23" s="1902">
        <f t="shared" si="469"/>
        <v>0</v>
      </c>
      <c r="SVO23" s="1902">
        <f t="shared" si="469"/>
        <v>0</v>
      </c>
      <c r="SVP23" s="1902">
        <f t="shared" si="469"/>
        <v>0</v>
      </c>
      <c r="SVQ23" s="1902">
        <f t="shared" si="469"/>
        <v>0</v>
      </c>
      <c r="SVR23" s="1902">
        <f t="shared" si="469"/>
        <v>0</v>
      </c>
      <c r="SVS23" s="1902">
        <f t="shared" si="469"/>
        <v>0</v>
      </c>
      <c r="SVT23" s="1902">
        <f t="shared" si="469"/>
        <v>0</v>
      </c>
      <c r="SVU23" s="1902">
        <f t="shared" si="469"/>
        <v>0</v>
      </c>
      <c r="SVV23" s="1902">
        <f t="shared" si="469"/>
        <v>0</v>
      </c>
      <c r="SVW23" s="1902">
        <f t="shared" si="469"/>
        <v>0</v>
      </c>
      <c r="SVX23" s="1902">
        <f t="shared" si="469"/>
        <v>0</v>
      </c>
      <c r="SVY23" s="1902">
        <f t="shared" si="469"/>
        <v>0</v>
      </c>
      <c r="SVZ23" s="1902">
        <f t="shared" si="469"/>
        <v>0</v>
      </c>
      <c r="SWA23" s="1902">
        <f t="shared" si="469"/>
        <v>0</v>
      </c>
      <c r="SWB23" s="1902">
        <f t="shared" si="469"/>
        <v>0</v>
      </c>
      <c r="SWC23" s="1902">
        <f t="shared" si="469"/>
        <v>0</v>
      </c>
      <c r="SWD23" s="1902">
        <f t="shared" si="469"/>
        <v>0</v>
      </c>
      <c r="SWE23" s="1902">
        <f t="shared" si="469"/>
        <v>0</v>
      </c>
      <c r="SWF23" s="1902">
        <f t="shared" si="469"/>
        <v>0</v>
      </c>
      <c r="SWG23" s="1902">
        <f t="shared" si="469"/>
        <v>0</v>
      </c>
      <c r="SWH23" s="1902">
        <f t="shared" si="469"/>
        <v>0</v>
      </c>
      <c r="SWI23" s="1902">
        <f t="shared" ref="SWI23:SYT23" si="470">IF(AND(SWI$26="End of period",SWI$25="Revenue"),SWI10,0)</f>
        <v>0</v>
      </c>
      <c r="SWJ23" s="1902">
        <f t="shared" si="470"/>
        <v>0</v>
      </c>
      <c r="SWK23" s="1902">
        <f t="shared" si="470"/>
        <v>0</v>
      </c>
      <c r="SWL23" s="1902">
        <f t="shared" si="470"/>
        <v>0</v>
      </c>
      <c r="SWM23" s="1902">
        <f t="shared" si="470"/>
        <v>0</v>
      </c>
      <c r="SWN23" s="1902">
        <f t="shared" si="470"/>
        <v>0</v>
      </c>
      <c r="SWO23" s="1902">
        <f t="shared" si="470"/>
        <v>0</v>
      </c>
      <c r="SWP23" s="1902">
        <f t="shared" si="470"/>
        <v>0</v>
      </c>
      <c r="SWQ23" s="1902">
        <f t="shared" si="470"/>
        <v>0</v>
      </c>
      <c r="SWR23" s="1902">
        <f t="shared" si="470"/>
        <v>0</v>
      </c>
      <c r="SWS23" s="1902">
        <f t="shared" si="470"/>
        <v>0</v>
      </c>
      <c r="SWT23" s="1902">
        <f t="shared" si="470"/>
        <v>0</v>
      </c>
      <c r="SWU23" s="1902">
        <f t="shared" si="470"/>
        <v>0</v>
      </c>
      <c r="SWV23" s="1902">
        <f t="shared" si="470"/>
        <v>0</v>
      </c>
      <c r="SWW23" s="1902">
        <f t="shared" si="470"/>
        <v>0</v>
      </c>
      <c r="SWX23" s="1902">
        <f t="shared" si="470"/>
        <v>0</v>
      </c>
      <c r="SWY23" s="1902">
        <f t="shared" si="470"/>
        <v>0</v>
      </c>
      <c r="SWZ23" s="1902">
        <f t="shared" si="470"/>
        <v>0</v>
      </c>
      <c r="SXA23" s="1902">
        <f t="shared" si="470"/>
        <v>0</v>
      </c>
      <c r="SXB23" s="1902">
        <f t="shared" si="470"/>
        <v>0</v>
      </c>
      <c r="SXC23" s="1902">
        <f t="shared" si="470"/>
        <v>0</v>
      </c>
      <c r="SXD23" s="1902">
        <f t="shared" si="470"/>
        <v>0</v>
      </c>
      <c r="SXE23" s="1902">
        <f t="shared" si="470"/>
        <v>0</v>
      </c>
      <c r="SXF23" s="1902">
        <f t="shared" si="470"/>
        <v>0</v>
      </c>
      <c r="SXG23" s="1902">
        <f t="shared" si="470"/>
        <v>0</v>
      </c>
      <c r="SXH23" s="1902">
        <f t="shared" si="470"/>
        <v>0</v>
      </c>
      <c r="SXI23" s="1902">
        <f t="shared" si="470"/>
        <v>0</v>
      </c>
      <c r="SXJ23" s="1902">
        <f t="shared" si="470"/>
        <v>0</v>
      </c>
      <c r="SXK23" s="1902">
        <f t="shared" si="470"/>
        <v>0</v>
      </c>
      <c r="SXL23" s="1902">
        <f t="shared" si="470"/>
        <v>0</v>
      </c>
      <c r="SXM23" s="1902">
        <f t="shared" si="470"/>
        <v>0</v>
      </c>
      <c r="SXN23" s="1902">
        <f t="shared" si="470"/>
        <v>0</v>
      </c>
      <c r="SXO23" s="1902">
        <f t="shared" si="470"/>
        <v>0</v>
      </c>
      <c r="SXP23" s="1902">
        <f t="shared" si="470"/>
        <v>0</v>
      </c>
      <c r="SXQ23" s="1902">
        <f t="shared" si="470"/>
        <v>0</v>
      </c>
      <c r="SXR23" s="1902">
        <f t="shared" si="470"/>
        <v>0</v>
      </c>
      <c r="SXS23" s="1902">
        <f t="shared" si="470"/>
        <v>0</v>
      </c>
      <c r="SXT23" s="1902">
        <f t="shared" si="470"/>
        <v>0</v>
      </c>
      <c r="SXU23" s="1902">
        <f t="shared" si="470"/>
        <v>0</v>
      </c>
      <c r="SXV23" s="1902">
        <f t="shared" si="470"/>
        <v>0</v>
      </c>
      <c r="SXW23" s="1902">
        <f t="shared" si="470"/>
        <v>0</v>
      </c>
      <c r="SXX23" s="1902">
        <f t="shared" si="470"/>
        <v>0</v>
      </c>
      <c r="SXY23" s="1902">
        <f t="shared" si="470"/>
        <v>0</v>
      </c>
      <c r="SXZ23" s="1902">
        <f t="shared" si="470"/>
        <v>0</v>
      </c>
      <c r="SYA23" s="1902">
        <f t="shared" si="470"/>
        <v>0</v>
      </c>
      <c r="SYB23" s="1902">
        <f t="shared" si="470"/>
        <v>0</v>
      </c>
      <c r="SYC23" s="1902">
        <f t="shared" si="470"/>
        <v>0</v>
      </c>
      <c r="SYD23" s="1902">
        <f t="shared" si="470"/>
        <v>0</v>
      </c>
      <c r="SYE23" s="1902">
        <f t="shared" si="470"/>
        <v>0</v>
      </c>
      <c r="SYF23" s="1902">
        <f t="shared" si="470"/>
        <v>0</v>
      </c>
      <c r="SYG23" s="1902">
        <f t="shared" si="470"/>
        <v>0</v>
      </c>
      <c r="SYH23" s="1902">
        <f t="shared" si="470"/>
        <v>0</v>
      </c>
      <c r="SYI23" s="1902">
        <f t="shared" si="470"/>
        <v>0</v>
      </c>
      <c r="SYJ23" s="1902">
        <f t="shared" si="470"/>
        <v>0</v>
      </c>
      <c r="SYK23" s="1902">
        <f t="shared" si="470"/>
        <v>0</v>
      </c>
      <c r="SYL23" s="1902">
        <f t="shared" si="470"/>
        <v>0</v>
      </c>
      <c r="SYM23" s="1902">
        <f t="shared" si="470"/>
        <v>0</v>
      </c>
      <c r="SYN23" s="1902">
        <f t="shared" si="470"/>
        <v>0</v>
      </c>
      <c r="SYO23" s="1902">
        <f t="shared" si="470"/>
        <v>0</v>
      </c>
      <c r="SYP23" s="1902">
        <f t="shared" si="470"/>
        <v>0</v>
      </c>
      <c r="SYQ23" s="1902">
        <f t="shared" si="470"/>
        <v>0</v>
      </c>
      <c r="SYR23" s="1902">
        <f t="shared" si="470"/>
        <v>0</v>
      </c>
      <c r="SYS23" s="1902">
        <f t="shared" si="470"/>
        <v>0</v>
      </c>
      <c r="SYT23" s="1902">
        <f t="shared" si="470"/>
        <v>0</v>
      </c>
      <c r="SYU23" s="1902">
        <f t="shared" ref="SYU23:TBF23" si="471">IF(AND(SYU$26="End of period",SYU$25="Revenue"),SYU10,0)</f>
        <v>0</v>
      </c>
      <c r="SYV23" s="1902">
        <f t="shared" si="471"/>
        <v>0</v>
      </c>
      <c r="SYW23" s="1902">
        <f t="shared" si="471"/>
        <v>0</v>
      </c>
      <c r="SYX23" s="1902">
        <f t="shared" si="471"/>
        <v>0</v>
      </c>
      <c r="SYY23" s="1902">
        <f t="shared" si="471"/>
        <v>0</v>
      </c>
      <c r="SYZ23" s="1902">
        <f t="shared" si="471"/>
        <v>0</v>
      </c>
      <c r="SZA23" s="1902">
        <f t="shared" si="471"/>
        <v>0</v>
      </c>
      <c r="SZB23" s="1902">
        <f t="shared" si="471"/>
        <v>0</v>
      </c>
      <c r="SZC23" s="1902">
        <f t="shared" si="471"/>
        <v>0</v>
      </c>
      <c r="SZD23" s="1902">
        <f t="shared" si="471"/>
        <v>0</v>
      </c>
      <c r="SZE23" s="1902">
        <f t="shared" si="471"/>
        <v>0</v>
      </c>
      <c r="SZF23" s="1902">
        <f t="shared" si="471"/>
        <v>0</v>
      </c>
      <c r="SZG23" s="1902">
        <f t="shared" si="471"/>
        <v>0</v>
      </c>
      <c r="SZH23" s="1902">
        <f t="shared" si="471"/>
        <v>0</v>
      </c>
      <c r="SZI23" s="1902">
        <f t="shared" si="471"/>
        <v>0</v>
      </c>
      <c r="SZJ23" s="1902">
        <f t="shared" si="471"/>
        <v>0</v>
      </c>
      <c r="SZK23" s="1902">
        <f t="shared" si="471"/>
        <v>0</v>
      </c>
      <c r="SZL23" s="1902">
        <f t="shared" si="471"/>
        <v>0</v>
      </c>
      <c r="SZM23" s="1902">
        <f t="shared" si="471"/>
        <v>0</v>
      </c>
      <c r="SZN23" s="1902">
        <f t="shared" si="471"/>
        <v>0</v>
      </c>
      <c r="SZO23" s="1902">
        <f t="shared" si="471"/>
        <v>0</v>
      </c>
      <c r="SZP23" s="1902">
        <f t="shared" si="471"/>
        <v>0</v>
      </c>
      <c r="SZQ23" s="1902">
        <f t="shared" si="471"/>
        <v>0</v>
      </c>
      <c r="SZR23" s="1902">
        <f t="shared" si="471"/>
        <v>0</v>
      </c>
      <c r="SZS23" s="1902">
        <f t="shared" si="471"/>
        <v>0</v>
      </c>
      <c r="SZT23" s="1902">
        <f t="shared" si="471"/>
        <v>0</v>
      </c>
      <c r="SZU23" s="1902">
        <f t="shared" si="471"/>
        <v>0</v>
      </c>
      <c r="SZV23" s="1902">
        <f t="shared" si="471"/>
        <v>0</v>
      </c>
      <c r="SZW23" s="1902">
        <f t="shared" si="471"/>
        <v>0</v>
      </c>
      <c r="SZX23" s="1902">
        <f t="shared" si="471"/>
        <v>0</v>
      </c>
      <c r="SZY23" s="1902">
        <f t="shared" si="471"/>
        <v>0</v>
      </c>
      <c r="SZZ23" s="1902">
        <f t="shared" si="471"/>
        <v>0</v>
      </c>
      <c r="TAA23" s="1902">
        <f t="shared" si="471"/>
        <v>0</v>
      </c>
      <c r="TAB23" s="1902">
        <f t="shared" si="471"/>
        <v>0</v>
      </c>
      <c r="TAC23" s="1902">
        <f t="shared" si="471"/>
        <v>0</v>
      </c>
      <c r="TAD23" s="1902">
        <f t="shared" si="471"/>
        <v>0</v>
      </c>
      <c r="TAE23" s="1902">
        <f t="shared" si="471"/>
        <v>0</v>
      </c>
      <c r="TAF23" s="1902">
        <f t="shared" si="471"/>
        <v>0</v>
      </c>
      <c r="TAG23" s="1902">
        <f t="shared" si="471"/>
        <v>0</v>
      </c>
      <c r="TAH23" s="1902">
        <f t="shared" si="471"/>
        <v>0</v>
      </c>
      <c r="TAI23" s="1902">
        <f t="shared" si="471"/>
        <v>0</v>
      </c>
      <c r="TAJ23" s="1902">
        <f t="shared" si="471"/>
        <v>0</v>
      </c>
      <c r="TAK23" s="1902">
        <f t="shared" si="471"/>
        <v>0</v>
      </c>
      <c r="TAL23" s="1902">
        <f t="shared" si="471"/>
        <v>0</v>
      </c>
      <c r="TAM23" s="1902">
        <f t="shared" si="471"/>
        <v>0</v>
      </c>
      <c r="TAN23" s="1902">
        <f t="shared" si="471"/>
        <v>0</v>
      </c>
      <c r="TAO23" s="1902">
        <f t="shared" si="471"/>
        <v>0</v>
      </c>
      <c r="TAP23" s="1902">
        <f t="shared" si="471"/>
        <v>0</v>
      </c>
      <c r="TAQ23" s="1902">
        <f t="shared" si="471"/>
        <v>0</v>
      </c>
      <c r="TAR23" s="1902">
        <f t="shared" si="471"/>
        <v>0</v>
      </c>
      <c r="TAS23" s="1902">
        <f t="shared" si="471"/>
        <v>0</v>
      </c>
      <c r="TAT23" s="1902">
        <f t="shared" si="471"/>
        <v>0</v>
      </c>
      <c r="TAU23" s="1902">
        <f t="shared" si="471"/>
        <v>0</v>
      </c>
      <c r="TAV23" s="1902">
        <f t="shared" si="471"/>
        <v>0</v>
      </c>
      <c r="TAW23" s="1902">
        <f t="shared" si="471"/>
        <v>0</v>
      </c>
      <c r="TAX23" s="1902">
        <f t="shared" si="471"/>
        <v>0</v>
      </c>
      <c r="TAY23" s="1902">
        <f t="shared" si="471"/>
        <v>0</v>
      </c>
      <c r="TAZ23" s="1902">
        <f t="shared" si="471"/>
        <v>0</v>
      </c>
      <c r="TBA23" s="1902">
        <f t="shared" si="471"/>
        <v>0</v>
      </c>
      <c r="TBB23" s="1902">
        <f t="shared" si="471"/>
        <v>0</v>
      </c>
      <c r="TBC23" s="1902">
        <f t="shared" si="471"/>
        <v>0</v>
      </c>
      <c r="TBD23" s="1902">
        <f t="shared" si="471"/>
        <v>0</v>
      </c>
      <c r="TBE23" s="1902">
        <f t="shared" si="471"/>
        <v>0</v>
      </c>
      <c r="TBF23" s="1902">
        <f t="shared" si="471"/>
        <v>0</v>
      </c>
      <c r="TBG23" s="1902">
        <f t="shared" ref="TBG23:TDR23" si="472">IF(AND(TBG$26="End of period",TBG$25="Revenue"),TBG10,0)</f>
        <v>0</v>
      </c>
      <c r="TBH23" s="1902">
        <f t="shared" si="472"/>
        <v>0</v>
      </c>
      <c r="TBI23" s="1902">
        <f t="shared" si="472"/>
        <v>0</v>
      </c>
      <c r="TBJ23" s="1902">
        <f t="shared" si="472"/>
        <v>0</v>
      </c>
      <c r="TBK23" s="1902">
        <f t="shared" si="472"/>
        <v>0</v>
      </c>
      <c r="TBL23" s="1902">
        <f t="shared" si="472"/>
        <v>0</v>
      </c>
      <c r="TBM23" s="1902">
        <f t="shared" si="472"/>
        <v>0</v>
      </c>
      <c r="TBN23" s="1902">
        <f t="shared" si="472"/>
        <v>0</v>
      </c>
      <c r="TBO23" s="1902">
        <f t="shared" si="472"/>
        <v>0</v>
      </c>
      <c r="TBP23" s="1902">
        <f t="shared" si="472"/>
        <v>0</v>
      </c>
      <c r="TBQ23" s="1902">
        <f t="shared" si="472"/>
        <v>0</v>
      </c>
      <c r="TBR23" s="1902">
        <f t="shared" si="472"/>
        <v>0</v>
      </c>
      <c r="TBS23" s="1902">
        <f t="shared" si="472"/>
        <v>0</v>
      </c>
      <c r="TBT23" s="1902">
        <f t="shared" si="472"/>
        <v>0</v>
      </c>
      <c r="TBU23" s="1902">
        <f t="shared" si="472"/>
        <v>0</v>
      </c>
      <c r="TBV23" s="1902">
        <f t="shared" si="472"/>
        <v>0</v>
      </c>
      <c r="TBW23" s="1902">
        <f t="shared" si="472"/>
        <v>0</v>
      </c>
      <c r="TBX23" s="1902">
        <f t="shared" si="472"/>
        <v>0</v>
      </c>
      <c r="TBY23" s="1902">
        <f t="shared" si="472"/>
        <v>0</v>
      </c>
      <c r="TBZ23" s="1902">
        <f t="shared" si="472"/>
        <v>0</v>
      </c>
      <c r="TCA23" s="1902">
        <f t="shared" si="472"/>
        <v>0</v>
      </c>
      <c r="TCB23" s="1902">
        <f t="shared" si="472"/>
        <v>0</v>
      </c>
      <c r="TCC23" s="1902">
        <f t="shared" si="472"/>
        <v>0</v>
      </c>
      <c r="TCD23" s="1902">
        <f t="shared" si="472"/>
        <v>0</v>
      </c>
      <c r="TCE23" s="1902">
        <f t="shared" si="472"/>
        <v>0</v>
      </c>
      <c r="TCF23" s="1902">
        <f t="shared" si="472"/>
        <v>0</v>
      </c>
      <c r="TCG23" s="1902">
        <f t="shared" si="472"/>
        <v>0</v>
      </c>
      <c r="TCH23" s="1902">
        <f t="shared" si="472"/>
        <v>0</v>
      </c>
      <c r="TCI23" s="1902">
        <f t="shared" si="472"/>
        <v>0</v>
      </c>
      <c r="TCJ23" s="1902">
        <f t="shared" si="472"/>
        <v>0</v>
      </c>
      <c r="TCK23" s="1902">
        <f t="shared" si="472"/>
        <v>0</v>
      </c>
      <c r="TCL23" s="1902">
        <f t="shared" si="472"/>
        <v>0</v>
      </c>
      <c r="TCM23" s="1902">
        <f t="shared" si="472"/>
        <v>0</v>
      </c>
      <c r="TCN23" s="1902">
        <f t="shared" si="472"/>
        <v>0</v>
      </c>
      <c r="TCO23" s="1902">
        <f t="shared" si="472"/>
        <v>0</v>
      </c>
      <c r="TCP23" s="1902">
        <f t="shared" si="472"/>
        <v>0</v>
      </c>
      <c r="TCQ23" s="1902">
        <f t="shared" si="472"/>
        <v>0</v>
      </c>
      <c r="TCR23" s="1902">
        <f t="shared" si="472"/>
        <v>0</v>
      </c>
      <c r="TCS23" s="1902">
        <f t="shared" si="472"/>
        <v>0</v>
      </c>
      <c r="TCT23" s="1902">
        <f t="shared" si="472"/>
        <v>0</v>
      </c>
      <c r="TCU23" s="1902">
        <f t="shared" si="472"/>
        <v>0</v>
      </c>
      <c r="TCV23" s="1902">
        <f t="shared" si="472"/>
        <v>0</v>
      </c>
      <c r="TCW23" s="1902">
        <f t="shared" si="472"/>
        <v>0</v>
      </c>
      <c r="TCX23" s="1902">
        <f t="shared" si="472"/>
        <v>0</v>
      </c>
      <c r="TCY23" s="1902">
        <f t="shared" si="472"/>
        <v>0</v>
      </c>
      <c r="TCZ23" s="1902">
        <f t="shared" si="472"/>
        <v>0</v>
      </c>
      <c r="TDA23" s="1902">
        <f t="shared" si="472"/>
        <v>0</v>
      </c>
      <c r="TDB23" s="1902">
        <f t="shared" si="472"/>
        <v>0</v>
      </c>
      <c r="TDC23" s="1902">
        <f t="shared" si="472"/>
        <v>0</v>
      </c>
      <c r="TDD23" s="1902">
        <f t="shared" si="472"/>
        <v>0</v>
      </c>
      <c r="TDE23" s="1902">
        <f t="shared" si="472"/>
        <v>0</v>
      </c>
      <c r="TDF23" s="1902">
        <f t="shared" si="472"/>
        <v>0</v>
      </c>
      <c r="TDG23" s="1902">
        <f t="shared" si="472"/>
        <v>0</v>
      </c>
      <c r="TDH23" s="1902">
        <f t="shared" si="472"/>
        <v>0</v>
      </c>
      <c r="TDI23" s="1902">
        <f t="shared" si="472"/>
        <v>0</v>
      </c>
      <c r="TDJ23" s="1902">
        <f t="shared" si="472"/>
        <v>0</v>
      </c>
      <c r="TDK23" s="1902">
        <f t="shared" si="472"/>
        <v>0</v>
      </c>
      <c r="TDL23" s="1902">
        <f t="shared" si="472"/>
        <v>0</v>
      </c>
      <c r="TDM23" s="1902">
        <f t="shared" si="472"/>
        <v>0</v>
      </c>
      <c r="TDN23" s="1902">
        <f t="shared" si="472"/>
        <v>0</v>
      </c>
      <c r="TDO23" s="1902">
        <f t="shared" si="472"/>
        <v>0</v>
      </c>
      <c r="TDP23" s="1902">
        <f t="shared" si="472"/>
        <v>0</v>
      </c>
      <c r="TDQ23" s="1902">
        <f t="shared" si="472"/>
        <v>0</v>
      </c>
      <c r="TDR23" s="1902">
        <f t="shared" si="472"/>
        <v>0</v>
      </c>
      <c r="TDS23" s="1902">
        <f t="shared" ref="TDS23:TGD23" si="473">IF(AND(TDS$26="End of period",TDS$25="Revenue"),TDS10,0)</f>
        <v>0</v>
      </c>
      <c r="TDT23" s="1902">
        <f t="shared" si="473"/>
        <v>0</v>
      </c>
      <c r="TDU23" s="1902">
        <f t="shared" si="473"/>
        <v>0</v>
      </c>
      <c r="TDV23" s="1902">
        <f t="shared" si="473"/>
        <v>0</v>
      </c>
      <c r="TDW23" s="1902">
        <f t="shared" si="473"/>
        <v>0</v>
      </c>
      <c r="TDX23" s="1902">
        <f t="shared" si="473"/>
        <v>0</v>
      </c>
      <c r="TDY23" s="1902">
        <f t="shared" si="473"/>
        <v>0</v>
      </c>
      <c r="TDZ23" s="1902">
        <f t="shared" si="473"/>
        <v>0</v>
      </c>
      <c r="TEA23" s="1902">
        <f t="shared" si="473"/>
        <v>0</v>
      </c>
      <c r="TEB23" s="1902">
        <f t="shared" si="473"/>
        <v>0</v>
      </c>
      <c r="TEC23" s="1902">
        <f t="shared" si="473"/>
        <v>0</v>
      </c>
      <c r="TED23" s="1902">
        <f t="shared" si="473"/>
        <v>0</v>
      </c>
      <c r="TEE23" s="1902">
        <f t="shared" si="473"/>
        <v>0</v>
      </c>
      <c r="TEF23" s="1902">
        <f t="shared" si="473"/>
        <v>0</v>
      </c>
      <c r="TEG23" s="1902">
        <f t="shared" si="473"/>
        <v>0</v>
      </c>
      <c r="TEH23" s="1902">
        <f t="shared" si="473"/>
        <v>0</v>
      </c>
      <c r="TEI23" s="1902">
        <f t="shared" si="473"/>
        <v>0</v>
      </c>
      <c r="TEJ23" s="1902">
        <f t="shared" si="473"/>
        <v>0</v>
      </c>
      <c r="TEK23" s="1902">
        <f t="shared" si="473"/>
        <v>0</v>
      </c>
      <c r="TEL23" s="1902">
        <f t="shared" si="473"/>
        <v>0</v>
      </c>
      <c r="TEM23" s="1902">
        <f t="shared" si="473"/>
        <v>0</v>
      </c>
      <c r="TEN23" s="1902">
        <f t="shared" si="473"/>
        <v>0</v>
      </c>
      <c r="TEO23" s="1902">
        <f t="shared" si="473"/>
        <v>0</v>
      </c>
      <c r="TEP23" s="1902">
        <f t="shared" si="473"/>
        <v>0</v>
      </c>
      <c r="TEQ23" s="1902">
        <f t="shared" si="473"/>
        <v>0</v>
      </c>
      <c r="TER23" s="1902">
        <f t="shared" si="473"/>
        <v>0</v>
      </c>
      <c r="TES23" s="1902">
        <f t="shared" si="473"/>
        <v>0</v>
      </c>
      <c r="TET23" s="1902">
        <f t="shared" si="473"/>
        <v>0</v>
      </c>
      <c r="TEU23" s="1902">
        <f t="shared" si="473"/>
        <v>0</v>
      </c>
      <c r="TEV23" s="1902">
        <f t="shared" si="473"/>
        <v>0</v>
      </c>
      <c r="TEW23" s="1902">
        <f t="shared" si="473"/>
        <v>0</v>
      </c>
      <c r="TEX23" s="1902">
        <f t="shared" si="473"/>
        <v>0</v>
      </c>
      <c r="TEY23" s="1902">
        <f t="shared" si="473"/>
        <v>0</v>
      </c>
      <c r="TEZ23" s="1902">
        <f t="shared" si="473"/>
        <v>0</v>
      </c>
      <c r="TFA23" s="1902">
        <f t="shared" si="473"/>
        <v>0</v>
      </c>
      <c r="TFB23" s="1902">
        <f t="shared" si="473"/>
        <v>0</v>
      </c>
      <c r="TFC23" s="1902">
        <f t="shared" si="473"/>
        <v>0</v>
      </c>
      <c r="TFD23" s="1902">
        <f t="shared" si="473"/>
        <v>0</v>
      </c>
      <c r="TFE23" s="1902">
        <f t="shared" si="473"/>
        <v>0</v>
      </c>
      <c r="TFF23" s="1902">
        <f t="shared" si="473"/>
        <v>0</v>
      </c>
      <c r="TFG23" s="1902">
        <f t="shared" si="473"/>
        <v>0</v>
      </c>
      <c r="TFH23" s="1902">
        <f t="shared" si="473"/>
        <v>0</v>
      </c>
      <c r="TFI23" s="1902">
        <f t="shared" si="473"/>
        <v>0</v>
      </c>
      <c r="TFJ23" s="1902">
        <f t="shared" si="473"/>
        <v>0</v>
      </c>
      <c r="TFK23" s="1902">
        <f t="shared" si="473"/>
        <v>0</v>
      </c>
      <c r="TFL23" s="1902">
        <f t="shared" si="473"/>
        <v>0</v>
      </c>
      <c r="TFM23" s="1902">
        <f t="shared" si="473"/>
        <v>0</v>
      </c>
      <c r="TFN23" s="1902">
        <f t="shared" si="473"/>
        <v>0</v>
      </c>
      <c r="TFO23" s="1902">
        <f t="shared" si="473"/>
        <v>0</v>
      </c>
      <c r="TFP23" s="1902">
        <f t="shared" si="473"/>
        <v>0</v>
      </c>
      <c r="TFQ23" s="1902">
        <f t="shared" si="473"/>
        <v>0</v>
      </c>
      <c r="TFR23" s="1902">
        <f t="shared" si="473"/>
        <v>0</v>
      </c>
      <c r="TFS23" s="1902">
        <f t="shared" si="473"/>
        <v>0</v>
      </c>
      <c r="TFT23" s="1902">
        <f t="shared" si="473"/>
        <v>0</v>
      </c>
      <c r="TFU23" s="1902">
        <f t="shared" si="473"/>
        <v>0</v>
      </c>
      <c r="TFV23" s="1902">
        <f t="shared" si="473"/>
        <v>0</v>
      </c>
      <c r="TFW23" s="1902">
        <f t="shared" si="473"/>
        <v>0</v>
      </c>
      <c r="TFX23" s="1902">
        <f t="shared" si="473"/>
        <v>0</v>
      </c>
      <c r="TFY23" s="1902">
        <f t="shared" si="473"/>
        <v>0</v>
      </c>
      <c r="TFZ23" s="1902">
        <f t="shared" si="473"/>
        <v>0</v>
      </c>
      <c r="TGA23" s="1902">
        <f t="shared" si="473"/>
        <v>0</v>
      </c>
      <c r="TGB23" s="1902">
        <f t="shared" si="473"/>
        <v>0</v>
      </c>
      <c r="TGC23" s="1902">
        <f t="shared" si="473"/>
        <v>0</v>
      </c>
      <c r="TGD23" s="1902">
        <f t="shared" si="473"/>
        <v>0</v>
      </c>
      <c r="TGE23" s="1902">
        <f t="shared" ref="TGE23:TIP23" si="474">IF(AND(TGE$26="End of period",TGE$25="Revenue"),TGE10,0)</f>
        <v>0</v>
      </c>
      <c r="TGF23" s="1902">
        <f t="shared" si="474"/>
        <v>0</v>
      </c>
      <c r="TGG23" s="1902">
        <f t="shared" si="474"/>
        <v>0</v>
      </c>
      <c r="TGH23" s="1902">
        <f t="shared" si="474"/>
        <v>0</v>
      </c>
      <c r="TGI23" s="1902">
        <f t="shared" si="474"/>
        <v>0</v>
      </c>
      <c r="TGJ23" s="1902">
        <f t="shared" si="474"/>
        <v>0</v>
      </c>
      <c r="TGK23" s="1902">
        <f t="shared" si="474"/>
        <v>0</v>
      </c>
      <c r="TGL23" s="1902">
        <f t="shared" si="474"/>
        <v>0</v>
      </c>
      <c r="TGM23" s="1902">
        <f t="shared" si="474"/>
        <v>0</v>
      </c>
      <c r="TGN23" s="1902">
        <f t="shared" si="474"/>
        <v>0</v>
      </c>
      <c r="TGO23" s="1902">
        <f t="shared" si="474"/>
        <v>0</v>
      </c>
      <c r="TGP23" s="1902">
        <f t="shared" si="474"/>
        <v>0</v>
      </c>
      <c r="TGQ23" s="1902">
        <f t="shared" si="474"/>
        <v>0</v>
      </c>
      <c r="TGR23" s="1902">
        <f t="shared" si="474"/>
        <v>0</v>
      </c>
      <c r="TGS23" s="1902">
        <f t="shared" si="474"/>
        <v>0</v>
      </c>
      <c r="TGT23" s="1902">
        <f t="shared" si="474"/>
        <v>0</v>
      </c>
      <c r="TGU23" s="1902">
        <f t="shared" si="474"/>
        <v>0</v>
      </c>
      <c r="TGV23" s="1902">
        <f t="shared" si="474"/>
        <v>0</v>
      </c>
      <c r="TGW23" s="1902">
        <f t="shared" si="474"/>
        <v>0</v>
      </c>
      <c r="TGX23" s="1902">
        <f t="shared" si="474"/>
        <v>0</v>
      </c>
      <c r="TGY23" s="1902">
        <f t="shared" si="474"/>
        <v>0</v>
      </c>
      <c r="TGZ23" s="1902">
        <f t="shared" si="474"/>
        <v>0</v>
      </c>
      <c r="THA23" s="1902">
        <f t="shared" si="474"/>
        <v>0</v>
      </c>
      <c r="THB23" s="1902">
        <f t="shared" si="474"/>
        <v>0</v>
      </c>
      <c r="THC23" s="1902">
        <f t="shared" si="474"/>
        <v>0</v>
      </c>
      <c r="THD23" s="1902">
        <f t="shared" si="474"/>
        <v>0</v>
      </c>
      <c r="THE23" s="1902">
        <f t="shared" si="474"/>
        <v>0</v>
      </c>
      <c r="THF23" s="1902">
        <f t="shared" si="474"/>
        <v>0</v>
      </c>
      <c r="THG23" s="1902">
        <f t="shared" si="474"/>
        <v>0</v>
      </c>
      <c r="THH23" s="1902">
        <f t="shared" si="474"/>
        <v>0</v>
      </c>
      <c r="THI23" s="1902">
        <f t="shared" si="474"/>
        <v>0</v>
      </c>
      <c r="THJ23" s="1902">
        <f t="shared" si="474"/>
        <v>0</v>
      </c>
      <c r="THK23" s="1902">
        <f t="shared" si="474"/>
        <v>0</v>
      </c>
      <c r="THL23" s="1902">
        <f t="shared" si="474"/>
        <v>0</v>
      </c>
      <c r="THM23" s="1902">
        <f t="shared" si="474"/>
        <v>0</v>
      </c>
      <c r="THN23" s="1902">
        <f t="shared" si="474"/>
        <v>0</v>
      </c>
      <c r="THO23" s="1902">
        <f t="shared" si="474"/>
        <v>0</v>
      </c>
      <c r="THP23" s="1902">
        <f t="shared" si="474"/>
        <v>0</v>
      </c>
      <c r="THQ23" s="1902">
        <f t="shared" si="474"/>
        <v>0</v>
      </c>
      <c r="THR23" s="1902">
        <f t="shared" si="474"/>
        <v>0</v>
      </c>
      <c r="THS23" s="1902">
        <f t="shared" si="474"/>
        <v>0</v>
      </c>
      <c r="THT23" s="1902">
        <f t="shared" si="474"/>
        <v>0</v>
      </c>
      <c r="THU23" s="1902">
        <f t="shared" si="474"/>
        <v>0</v>
      </c>
      <c r="THV23" s="1902">
        <f t="shared" si="474"/>
        <v>0</v>
      </c>
      <c r="THW23" s="1902">
        <f t="shared" si="474"/>
        <v>0</v>
      </c>
      <c r="THX23" s="1902">
        <f t="shared" si="474"/>
        <v>0</v>
      </c>
      <c r="THY23" s="1902">
        <f t="shared" si="474"/>
        <v>0</v>
      </c>
      <c r="THZ23" s="1902">
        <f t="shared" si="474"/>
        <v>0</v>
      </c>
      <c r="TIA23" s="1902">
        <f t="shared" si="474"/>
        <v>0</v>
      </c>
      <c r="TIB23" s="1902">
        <f t="shared" si="474"/>
        <v>0</v>
      </c>
      <c r="TIC23" s="1902">
        <f t="shared" si="474"/>
        <v>0</v>
      </c>
      <c r="TID23" s="1902">
        <f t="shared" si="474"/>
        <v>0</v>
      </c>
      <c r="TIE23" s="1902">
        <f t="shared" si="474"/>
        <v>0</v>
      </c>
      <c r="TIF23" s="1902">
        <f t="shared" si="474"/>
        <v>0</v>
      </c>
      <c r="TIG23" s="1902">
        <f t="shared" si="474"/>
        <v>0</v>
      </c>
      <c r="TIH23" s="1902">
        <f t="shared" si="474"/>
        <v>0</v>
      </c>
      <c r="TII23" s="1902">
        <f t="shared" si="474"/>
        <v>0</v>
      </c>
      <c r="TIJ23" s="1902">
        <f t="shared" si="474"/>
        <v>0</v>
      </c>
      <c r="TIK23" s="1902">
        <f t="shared" si="474"/>
        <v>0</v>
      </c>
      <c r="TIL23" s="1902">
        <f t="shared" si="474"/>
        <v>0</v>
      </c>
      <c r="TIM23" s="1902">
        <f t="shared" si="474"/>
        <v>0</v>
      </c>
      <c r="TIN23" s="1902">
        <f t="shared" si="474"/>
        <v>0</v>
      </c>
      <c r="TIO23" s="1902">
        <f t="shared" si="474"/>
        <v>0</v>
      </c>
      <c r="TIP23" s="1902">
        <f t="shared" si="474"/>
        <v>0</v>
      </c>
      <c r="TIQ23" s="1902">
        <f t="shared" ref="TIQ23:TLB23" si="475">IF(AND(TIQ$26="End of period",TIQ$25="Revenue"),TIQ10,0)</f>
        <v>0</v>
      </c>
      <c r="TIR23" s="1902">
        <f t="shared" si="475"/>
        <v>0</v>
      </c>
      <c r="TIS23" s="1902">
        <f t="shared" si="475"/>
        <v>0</v>
      </c>
      <c r="TIT23" s="1902">
        <f t="shared" si="475"/>
        <v>0</v>
      </c>
      <c r="TIU23" s="1902">
        <f t="shared" si="475"/>
        <v>0</v>
      </c>
      <c r="TIV23" s="1902">
        <f t="shared" si="475"/>
        <v>0</v>
      </c>
      <c r="TIW23" s="1902">
        <f t="shared" si="475"/>
        <v>0</v>
      </c>
      <c r="TIX23" s="1902">
        <f t="shared" si="475"/>
        <v>0</v>
      </c>
      <c r="TIY23" s="1902">
        <f t="shared" si="475"/>
        <v>0</v>
      </c>
      <c r="TIZ23" s="1902">
        <f t="shared" si="475"/>
        <v>0</v>
      </c>
      <c r="TJA23" s="1902">
        <f t="shared" si="475"/>
        <v>0</v>
      </c>
      <c r="TJB23" s="1902">
        <f t="shared" si="475"/>
        <v>0</v>
      </c>
      <c r="TJC23" s="1902">
        <f t="shared" si="475"/>
        <v>0</v>
      </c>
      <c r="TJD23" s="1902">
        <f t="shared" si="475"/>
        <v>0</v>
      </c>
      <c r="TJE23" s="1902">
        <f t="shared" si="475"/>
        <v>0</v>
      </c>
      <c r="TJF23" s="1902">
        <f t="shared" si="475"/>
        <v>0</v>
      </c>
      <c r="TJG23" s="1902">
        <f t="shared" si="475"/>
        <v>0</v>
      </c>
      <c r="TJH23" s="1902">
        <f t="shared" si="475"/>
        <v>0</v>
      </c>
      <c r="TJI23" s="1902">
        <f t="shared" si="475"/>
        <v>0</v>
      </c>
      <c r="TJJ23" s="1902">
        <f t="shared" si="475"/>
        <v>0</v>
      </c>
      <c r="TJK23" s="1902">
        <f t="shared" si="475"/>
        <v>0</v>
      </c>
      <c r="TJL23" s="1902">
        <f t="shared" si="475"/>
        <v>0</v>
      </c>
      <c r="TJM23" s="1902">
        <f t="shared" si="475"/>
        <v>0</v>
      </c>
      <c r="TJN23" s="1902">
        <f t="shared" si="475"/>
        <v>0</v>
      </c>
      <c r="TJO23" s="1902">
        <f t="shared" si="475"/>
        <v>0</v>
      </c>
      <c r="TJP23" s="1902">
        <f t="shared" si="475"/>
        <v>0</v>
      </c>
      <c r="TJQ23" s="1902">
        <f t="shared" si="475"/>
        <v>0</v>
      </c>
      <c r="TJR23" s="1902">
        <f t="shared" si="475"/>
        <v>0</v>
      </c>
      <c r="TJS23" s="1902">
        <f t="shared" si="475"/>
        <v>0</v>
      </c>
      <c r="TJT23" s="1902">
        <f t="shared" si="475"/>
        <v>0</v>
      </c>
      <c r="TJU23" s="1902">
        <f t="shared" si="475"/>
        <v>0</v>
      </c>
      <c r="TJV23" s="1902">
        <f t="shared" si="475"/>
        <v>0</v>
      </c>
      <c r="TJW23" s="1902">
        <f t="shared" si="475"/>
        <v>0</v>
      </c>
      <c r="TJX23" s="1902">
        <f t="shared" si="475"/>
        <v>0</v>
      </c>
      <c r="TJY23" s="1902">
        <f t="shared" si="475"/>
        <v>0</v>
      </c>
      <c r="TJZ23" s="1902">
        <f t="shared" si="475"/>
        <v>0</v>
      </c>
      <c r="TKA23" s="1902">
        <f t="shared" si="475"/>
        <v>0</v>
      </c>
      <c r="TKB23" s="1902">
        <f t="shared" si="475"/>
        <v>0</v>
      </c>
      <c r="TKC23" s="1902">
        <f t="shared" si="475"/>
        <v>0</v>
      </c>
      <c r="TKD23" s="1902">
        <f t="shared" si="475"/>
        <v>0</v>
      </c>
      <c r="TKE23" s="1902">
        <f t="shared" si="475"/>
        <v>0</v>
      </c>
      <c r="TKF23" s="1902">
        <f t="shared" si="475"/>
        <v>0</v>
      </c>
      <c r="TKG23" s="1902">
        <f t="shared" si="475"/>
        <v>0</v>
      </c>
      <c r="TKH23" s="1902">
        <f t="shared" si="475"/>
        <v>0</v>
      </c>
      <c r="TKI23" s="1902">
        <f t="shared" si="475"/>
        <v>0</v>
      </c>
      <c r="TKJ23" s="1902">
        <f t="shared" si="475"/>
        <v>0</v>
      </c>
      <c r="TKK23" s="1902">
        <f t="shared" si="475"/>
        <v>0</v>
      </c>
      <c r="TKL23" s="1902">
        <f t="shared" si="475"/>
        <v>0</v>
      </c>
      <c r="TKM23" s="1902">
        <f t="shared" si="475"/>
        <v>0</v>
      </c>
      <c r="TKN23" s="1902">
        <f t="shared" si="475"/>
        <v>0</v>
      </c>
      <c r="TKO23" s="1902">
        <f t="shared" si="475"/>
        <v>0</v>
      </c>
      <c r="TKP23" s="1902">
        <f t="shared" si="475"/>
        <v>0</v>
      </c>
      <c r="TKQ23" s="1902">
        <f t="shared" si="475"/>
        <v>0</v>
      </c>
      <c r="TKR23" s="1902">
        <f t="shared" si="475"/>
        <v>0</v>
      </c>
      <c r="TKS23" s="1902">
        <f t="shared" si="475"/>
        <v>0</v>
      </c>
      <c r="TKT23" s="1902">
        <f t="shared" si="475"/>
        <v>0</v>
      </c>
      <c r="TKU23" s="1902">
        <f t="shared" si="475"/>
        <v>0</v>
      </c>
      <c r="TKV23" s="1902">
        <f t="shared" si="475"/>
        <v>0</v>
      </c>
      <c r="TKW23" s="1902">
        <f t="shared" si="475"/>
        <v>0</v>
      </c>
      <c r="TKX23" s="1902">
        <f t="shared" si="475"/>
        <v>0</v>
      </c>
      <c r="TKY23" s="1902">
        <f t="shared" si="475"/>
        <v>0</v>
      </c>
      <c r="TKZ23" s="1902">
        <f t="shared" si="475"/>
        <v>0</v>
      </c>
      <c r="TLA23" s="1902">
        <f t="shared" si="475"/>
        <v>0</v>
      </c>
      <c r="TLB23" s="1902">
        <f t="shared" si="475"/>
        <v>0</v>
      </c>
      <c r="TLC23" s="1902">
        <f t="shared" ref="TLC23:TNN23" si="476">IF(AND(TLC$26="End of period",TLC$25="Revenue"),TLC10,0)</f>
        <v>0</v>
      </c>
      <c r="TLD23" s="1902">
        <f t="shared" si="476"/>
        <v>0</v>
      </c>
      <c r="TLE23" s="1902">
        <f t="shared" si="476"/>
        <v>0</v>
      </c>
      <c r="TLF23" s="1902">
        <f t="shared" si="476"/>
        <v>0</v>
      </c>
      <c r="TLG23" s="1902">
        <f t="shared" si="476"/>
        <v>0</v>
      </c>
      <c r="TLH23" s="1902">
        <f t="shared" si="476"/>
        <v>0</v>
      </c>
      <c r="TLI23" s="1902">
        <f t="shared" si="476"/>
        <v>0</v>
      </c>
      <c r="TLJ23" s="1902">
        <f t="shared" si="476"/>
        <v>0</v>
      </c>
      <c r="TLK23" s="1902">
        <f t="shared" si="476"/>
        <v>0</v>
      </c>
      <c r="TLL23" s="1902">
        <f t="shared" si="476"/>
        <v>0</v>
      </c>
      <c r="TLM23" s="1902">
        <f t="shared" si="476"/>
        <v>0</v>
      </c>
      <c r="TLN23" s="1902">
        <f t="shared" si="476"/>
        <v>0</v>
      </c>
      <c r="TLO23" s="1902">
        <f t="shared" si="476"/>
        <v>0</v>
      </c>
      <c r="TLP23" s="1902">
        <f t="shared" si="476"/>
        <v>0</v>
      </c>
      <c r="TLQ23" s="1902">
        <f t="shared" si="476"/>
        <v>0</v>
      </c>
      <c r="TLR23" s="1902">
        <f t="shared" si="476"/>
        <v>0</v>
      </c>
      <c r="TLS23" s="1902">
        <f t="shared" si="476"/>
        <v>0</v>
      </c>
      <c r="TLT23" s="1902">
        <f t="shared" si="476"/>
        <v>0</v>
      </c>
      <c r="TLU23" s="1902">
        <f t="shared" si="476"/>
        <v>0</v>
      </c>
      <c r="TLV23" s="1902">
        <f t="shared" si="476"/>
        <v>0</v>
      </c>
      <c r="TLW23" s="1902">
        <f t="shared" si="476"/>
        <v>0</v>
      </c>
      <c r="TLX23" s="1902">
        <f t="shared" si="476"/>
        <v>0</v>
      </c>
      <c r="TLY23" s="1902">
        <f t="shared" si="476"/>
        <v>0</v>
      </c>
      <c r="TLZ23" s="1902">
        <f t="shared" si="476"/>
        <v>0</v>
      </c>
      <c r="TMA23" s="1902">
        <f t="shared" si="476"/>
        <v>0</v>
      </c>
      <c r="TMB23" s="1902">
        <f t="shared" si="476"/>
        <v>0</v>
      </c>
      <c r="TMC23" s="1902">
        <f t="shared" si="476"/>
        <v>0</v>
      </c>
      <c r="TMD23" s="1902">
        <f t="shared" si="476"/>
        <v>0</v>
      </c>
      <c r="TME23" s="1902">
        <f t="shared" si="476"/>
        <v>0</v>
      </c>
      <c r="TMF23" s="1902">
        <f t="shared" si="476"/>
        <v>0</v>
      </c>
      <c r="TMG23" s="1902">
        <f t="shared" si="476"/>
        <v>0</v>
      </c>
      <c r="TMH23" s="1902">
        <f t="shared" si="476"/>
        <v>0</v>
      </c>
      <c r="TMI23" s="1902">
        <f t="shared" si="476"/>
        <v>0</v>
      </c>
      <c r="TMJ23" s="1902">
        <f t="shared" si="476"/>
        <v>0</v>
      </c>
      <c r="TMK23" s="1902">
        <f t="shared" si="476"/>
        <v>0</v>
      </c>
      <c r="TML23" s="1902">
        <f t="shared" si="476"/>
        <v>0</v>
      </c>
      <c r="TMM23" s="1902">
        <f t="shared" si="476"/>
        <v>0</v>
      </c>
      <c r="TMN23" s="1902">
        <f t="shared" si="476"/>
        <v>0</v>
      </c>
      <c r="TMO23" s="1902">
        <f t="shared" si="476"/>
        <v>0</v>
      </c>
      <c r="TMP23" s="1902">
        <f t="shared" si="476"/>
        <v>0</v>
      </c>
      <c r="TMQ23" s="1902">
        <f t="shared" si="476"/>
        <v>0</v>
      </c>
      <c r="TMR23" s="1902">
        <f t="shared" si="476"/>
        <v>0</v>
      </c>
      <c r="TMS23" s="1902">
        <f t="shared" si="476"/>
        <v>0</v>
      </c>
      <c r="TMT23" s="1902">
        <f t="shared" si="476"/>
        <v>0</v>
      </c>
      <c r="TMU23" s="1902">
        <f t="shared" si="476"/>
        <v>0</v>
      </c>
      <c r="TMV23" s="1902">
        <f t="shared" si="476"/>
        <v>0</v>
      </c>
      <c r="TMW23" s="1902">
        <f t="shared" si="476"/>
        <v>0</v>
      </c>
      <c r="TMX23" s="1902">
        <f t="shared" si="476"/>
        <v>0</v>
      </c>
      <c r="TMY23" s="1902">
        <f t="shared" si="476"/>
        <v>0</v>
      </c>
      <c r="TMZ23" s="1902">
        <f t="shared" si="476"/>
        <v>0</v>
      </c>
      <c r="TNA23" s="1902">
        <f t="shared" si="476"/>
        <v>0</v>
      </c>
      <c r="TNB23" s="1902">
        <f t="shared" si="476"/>
        <v>0</v>
      </c>
      <c r="TNC23" s="1902">
        <f t="shared" si="476"/>
        <v>0</v>
      </c>
      <c r="TND23" s="1902">
        <f t="shared" si="476"/>
        <v>0</v>
      </c>
      <c r="TNE23" s="1902">
        <f t="shared" si="476"/>
        <v>0</v>
      </c>
      <c r="TNF23" s="1902">
        <f t="shared" si="476"/>
        <v>0</v>
      </c>
      <c r="TNG23" s="1902">
        <f t="shared" si="476"/>
        <v>0</v>
      </c>
      <c r="TNH23" s="1902">
        <f t="shared" si="476"/>
        <v>0</v>
      </c>
      <c r="TNI23" s="1902">
        <f t="shared" si="476"/>
        <v>0</v>
      </c>
      <c r="TNJ23" s="1902">
        <f t="shared" si="476"/>
        <v>0</v>
      </c>
      <c r="TNK23" s="1902">
        <f t="shared" si="476"/>
        <v>0</v>
      </c>
      <c r="TNL23" s="1902">
        <f t="shared" si="476"/>
        <v>0</v>
      </c>
      <c r="TNM23" s="1902">
        <f t="shared" si="476"/>
        <v>0</v>
      </c>
      <c r="TNN23" s="1902">
        <f t="shared" si="476"/>
        <v>0</v>
      </c>
      <c r="TNO23" s="1902">
        <f t="shared" ref="TNO23:TPZ23" si="477">IF(AND(TNO$26="End of period",TNO$25="Revenue"),TNO10,0)</f>
        <v>0</v>
      </c>
      <c r="TNP23" s="1902">
        <f t="shared" si="477"/>
        <v>0</v>
      </c>
      <c r="TNQ23" s="1902">
        <f t="shared" si="477"/>
        <v>0</v>
      </c>
      <c r="TNR23" s="1902">
        <f t="shared" si="477"/>
        <v>0</v>
      </c>
      <c r="TNS23" s="1902">
        <f t="shared" si="477"/>
        <v>0</v>
      </c>
      <c r="TNT23" s="1902">
        <f t="shared" si="477"/>
        <v>0</v>
      </c>
      <c r="TNU23" s="1902">
        <f t="shared" si="477"/>
        <v>0</v>
      </c>
      <c r="TNV23" s="1902">
        <f t="shared" si="477"/>
        <v>0</v>
      </c>
      <c r="TNW23" s="1902">
        <f t="shared" si="477"/>
        <v>0</v>
      </c>
      <c r="TNX23" s="1902">
        <f t="shared" si="477"/>
        <v>0</v>
      </c>
      <c r="TNY23" s="1902">
        <f t="shared" si="477"/>
        <v>0</v>
      </c>
      <c r="TNZ23" s="1902">
        <f t="shared" si="477"/>
        <v>0</v>
      </c>
      <c r="TOA23" s="1902">
        <f t="shared" si="477"/>
        <v>0</v>
      </c>
      <c r="TOB23" s="1902">
        <f t="shared" si="477"/>
        <v>0</v>
      </c>
      <c r="TOC23" s="1902">
        <f t="shared" si="477"/>
        <v>0</v>
      </c>
      <c r="TOD23" s="1902">
        <f t="shared" si="477"/>
        <v>0</v>
      </c>
      <c r="TOE23" s="1902">
        <f t="shared" si="477"/>
        <v>0</v>
      </c>
      <c r="TOF23" s="1902">
        <f t="shared" si="477"/>
        <v>0</v>
      </c>
      <c r="TOG23" s="1902">
        <f t="shared" si="477"/>
        <v>0</v>
      </c>
      <c r="TOH23" s="1902">
        <f t="shared" si="477"/>
        <v>0</v>
      </c>
      <c r="TOI23" s="1902">
        <f t="shared" si="477"/>
        <v>0</v>
      </c>
      <c r="TOJ23" s="1902">
        <f t="shared" si="477"/>
        <v>0</v>
      </c>
      <c r="TOK23" s="1902">
        <f t="shared" si="477"/>
        <v>0</v>
      </c>
      <c r="TOL23" s="1902">
        <f t="shared" si="477"/>
        <v>0</v>
      </c>
      <c r="TOM23" s="1902">
        <f t="shared" si="477"/>
        <v>0</v>
      </c>
      <c r="TON23" s="1902">
        <f t="shared" si="477"/>
        <v>0</v>
      </c>
      <c r="TOO23" s="1902">
        <f t="shared" si="477"/>
        <v>0</v>
      </c>
      <c r="TOP23" s="1902">
        <f t="shared" si="477"/>
        <v>0</v>
      </c>
      <c r="TOQ23" s="1902">
        <f t="shared" si="477"/>
        <v>0</v>
      </c>
      <c r="TOR23" s="1902">
        <f t="shared" si="477"/>
        <v>0</v>
      </c>
      <c r="TOS23" s="1902">
        <f t="shared" si="477"/>
        <v>0</v>
      </c>
      <c r="TOT23" s="1902">
        <f t="shared" si="477"/>
        <v>0</v>
      </c>
      <c r="TOU23" s="1902">
        <f t="shared" si="477"/>
        <v>0</v>
      </c>
      <c r="TOV23" s="1902">
        <f t="shared" si="477"/>
        <v>0</v>
      </c>
      <c r="TOW23" s="1902">
        <f t="shared" si="477"/>
        <v>0</v>
      </c>
      <c r="TOX23" s="1902">
        <f t="shared" si="477"/>
        <v>0</v>
      </c>
      <c r="TOY23" s="1902">
        <f t="shared" si="477"/>
        <v>0</v>
      </c>
      <c r="TOZ23" s="1902">
        <f t="shared" si="477"/>
        <v>0</v>
      </c>
      <c r="TPA23" s="1902">
        <f t="shared" si="477"/>
        <v>0</v>
      </c>
      <c r="TPB23" s="1902">
        <f t="shared" si="477"/>
        <v>0</v>
      </c>
      <c r="TPC23" s="1902">
        <f t="shared" si="477"/>
        <v>0</v>
      </c>
      <c r="TPD23" s="1902">
        <f t="shared" si="477"/>
        <v>0</v>
      </c>
      <c r="TPE23" s="1902">
        <f t="shared" si="477"/>
        <v>0</v>
      </c>
      <c r="TPF23" s="1902">
        <f t="shared" si="477"/>
        <v>0</v>
      </c>
      <c r="TPG23" s="1902">
        <f t="shared" si="477"/>
        <v>0</v>
      </c>
      <c r="TPH23" s="1902">
        <f t="shared" si="477"/>
        <v>0</v>
      </c>
      <c r="TPI23" s="1902">
        <f t="shared" si="477"/>
        <v>0</v>
      </c>
      <c r="TPJ23" s="1902">
        <f t="shared" si="477"/>
        <v>0</v>
      </c>
      <c r="TPK23" s="1902">
        <f t="shared" si="477"/>
        <v>0</v>
      </c>
      <c r="TPL23" s="1902">
        <f t="shared" si="477"/>
        <v>0</v>
      </c>
      <c r="TPM23" s="1902">
        <f t="shared" si="477"/>
        <v>0</v>
      </c>
      <c r="TPN23" s="1902">
        <f t="shared" si="477"/>
        <v>0</v>
      </c>
      <c r="TPO23" s="1902">
        <f t="shared" si="477"/>
        <v>0</v>
      </c>
      <c r="TPP23" s="1902">
        <f t="shared" si="477"/>
        <v>0</v>
      </c>
      <c r="TPQ23" s="1902">
        <f t="shared" si="477"/>
        <v>0</v>
      </c>
      <c r="TPR23" s="1902">
        <f t="shared" si="477"/>
        <v>0</v>
      </c>
      <c r="TPS23" s="1902">
        <f t="shared" si="477"/>
        <v>0</v>
      </c>
      <c r="TPT23" s="1902">
        <f t="shared" si="477"/>
        <v>0</v>
      </c>
      <c r="TPU23" s="1902">
        <f t="shared" si="477"/>
        <v>0</v>
      </c>
      <c r="TPV23" s="1902">
        <f t="shared" si="477"/>
        <v>0</v>
      </c>
      <c r="TPW23" s="1902">
        <f t="shared" si="477"/>
        <v>0</v>
      </c>
      <c r="TPX23" s="1902">
        <f t="shared" si="477"/>
        <v>0</v>
      </c>
      <c r="TPY23" s="1902">
        <f t="shared" si="477"/>
        <v>0</v>
      </c>
      <c r="TPZ23" s="1902">
        <f t="shared" si="477"/>
        <v>0</v>
      </c>
      <c r="TQA23" s="1902">
        <f t="shared" ref="TQA23:TSL23" si="478">IF(AND(TQA$26="End of period",TQA$25="Revenue"),TQA10,0)</f>
        <v>0</v>
      </c>
      <c r="TQB23" s="1902">
        <f t="shared" si="478"/>
        <v>0</v>
      </c>
      <c r="TQC23" s="1902">
        <f t="shared" si="478"/>
        <v>0</v>
      </c>
      <c r="TQD23" s="1902">
        <f t="shared" si="478"/>
        <v>0</v>
      </c>
      <c r="TQE23" s="1902">
        <f t="shared" si="478"/>
        <v>0</v>
      </c>
      <c r="TQF23" s="1902">
        <f t="shared" si="478"/>
        <v>0</v>
      </c>
      <c r="TQG23" s="1902">
        <f t="shared" si="478"/>
        <v>0</v>
      </c>
      <c r="TQH23" s="1902">
        <f t="shared" si="478"/>
        <v>0</v>
      </c>
      <c r="TQI23" s="1902">
        <f t="shared" si="478"/>
        <v>0</v>
      </c>
      <c r="TQJ23" s="1902">
        <f t="shared" si="478"/>
        <v>0</v>
      </c>
      <c r="TQK23" s="1902">
        <f t="shared" si="478"/>
        <v>0</v>
      </c>
      <c r="TQL23" s="1902">
        <f t="shared" si="478"/>
        <v>0</v>
      </c>
      <c r="TQM23" s="1902">
        <f t="shared" si="478"/>
        <v>0</v>
      </c>
      <c r="TQN23" s="1902">
        <f t="shared" si="478"/>
        <v>0</v>
      </c>
      <c r="TQO23" s="1902">
        <f t="shared" si="478"/>
        <v>0</v>
      </c>
      <c r="TQP23" s="1902">
        <f t="shared" si="478"/>
        <v>0</v>
      </c>
      <c r="TQQ23" s="1902">
        <f t="shared" si="478"/>
        <v>0</v>
      </c>
      <c r="TQR23" s="1902">
        <f t="shared" si="478"/>
        <v>0</v>
      </c>
      <c r="TQS23" s="1902">
        <f t="shared" si="478"/>
        <v>0</v>
      </c>
      <c r="TQT23" s="1902">
        <f t="shared" si="478"/>
        <v>0</v>
      </c>
      <c r="TQU23" s="1902">
        <f t="shared" si="478"/>
        <v>0</v>
      </c>
      <c r="TQV23" s="1902">
        <f t="shared" si="478"/>
        <v>0</v>
      </c>
      <c r="TQW23" s="1902">
        <f t="shared" si="478"/>
        <v>0</v>
      </c>
      <c r="TQX23" s="1902">
        <f t="shared" si="478"/>
        <v>0</v>
      </c>
      <c r="TQY23" s="1902">
        <f t="shared" si="478"/>
        <v>0</v>
      </c>
      <c r="TQZ23" s="1902">
        <f t="shared" si="478"/>
        <v>0</v>
      </c>
      <c r="TRA23" s="1902">
        <f t="shared" si="478"/>
        <v>0</v>
      </c>
      <c r="TRB23" s="1902">
        <f t="shared" si="478"/>
        <v>0</v>
      </c>
      <c r="TRC23" s="1902">
        <f t="shared" si="478"/>
        <v>0</v>
      </c>
      <c r="TRD23" s="1902">
        <f t="shared" si="478"/>
        <v>0</v>
      </c>
      <c r="TRE23" s="1902">
        <f t="shared" si="478"/>
        <v>0</v>
      </c>
      <c r="TRF23" s="1902">
        <f t="shared" si="478"/>
        <v>0</v>
      </c>
      <c r="TRG23" s="1902">
        <f t="shared" si="478"/>
        <v>0</v>
      </c>
      <c r="TRH23" s="1902">
        <f t="shared" si="478"/>
        <v>0</v>
      </c>
      <c r="TRI23" s="1902">
        <f t="shared" si="478"/>
        <v>0</v>
      </c>
      <c r="TRJ23" s="1902">
        <f t="shared" si="478"/>
        <v>0</v>
      </c>
      <c r="TRK23" s="1902">
        <f t="shared" si="478"/>
        <v>0</v>
      </c>
      <c r="TRL23" s="1902">
        <f t="shared" si="478"/>
        <v>0</v>
      </c>
      <c r="TRM23" s="1902">
        <f t="shared" si="478"/>
        <v>0</v>
      </c>
      <c r="TRN23" s="1902">
        <f t="shared" si="478"/>
        <v>0</v>
      </c>
      <c r="TRO23" s="1902">
        <f t="shared" si="478"/>
        <v>0</v>
      </c>
      <c r="TRP23" s="1902">
        <f t="shared" si="478"/>
        <v>0</v>
      </c>
      <c r="TRQ23" s="1902">
        <f t="shared" si="478"/>
        <v>0</v>
      </c>
      <c r="TRR23" s="1902">
        <f t="shared" si="478"/>
        <v>0</v>
      </c>
      <c r="TRS23" s="1902">
        <f t="shared" si="478"/>
        <v>0</v>
      </c>
      <c r="TRT23" s="1902">
        <f t="shared" si="478"/>
        <v>0</v>
      </c>
      <c r="TRU23" s="1902">
        <f t="shared" si="478"/>
        <v>0</v>
      </c>
      <c r="TRV23" s="1902">
        <f t="shared" si="478"/>
        <v>0</v>
      </c>
      <c r="TRW23" s="1902">
        <f t="shared" si="478"/>
        <v>0</v>
      </c>
      <c r="TRX23" s="1902">
        <f t="shared" si="478"/>
        <v>0</v>
      </c>
      <c r="TRY23" s="1902">
        <f t="shared" si="478"/>
        <v>0</v>
      </c>
      <c r="TRZ23" s="1902">
        <f t="shared" si="478"/>
        <v>0</v>
      </c>
      <c r="TSA23" s="1902">
        <f t="shared" si="478"/>
        <v>0</v>
      </c>
      <c r="TSB23" s="1902">
        <f t="shared" si="478"/>
        <v>0</v>
      </c>
      <c r="TSC23" s="1902">
        <f t="shared" si="478"/>
        <v>0</v>
      </c>
      <c r="TSD23" s="1902">
        <f t="shared" si="478"/>
        <v>0</v>
      </c>
      <c r="TSE23" s="1902">
        <f t="shared" si="478"/>
        <v>0</v>
      </c>
      <c r="TSF23" s="1902">
        <f t="shared" si="478"/>
        <v>0</v>
      </c>
      <c r="TSG23" s="1902">
        <f t="shared" si="478"/>
        <v>0</v>
      </c>
      <c r="TSH23" s="1902">
        <f t="shared" si="478"/>
        <v>0</v>
      </c>
      <c r="TSI23" s="1902">
        <f t="shared" si="478"/>
        <v>0</v>
      </c>
      <c r="TSJ23" s="1902">
        <f t="shared" si="478"/>
        <v>0</v>
      </c>
      <c r="TSK23" s="1902">
        <f t="shared" si="478"/>
        <v>0</v>
      </c>
      <c r="TSL23" s="1902">
        <f t="shared" si="478"/>
        <v>0</v>
      </c>
      <c r="TSM23" s="1902">
        <f t="shared" ref="TSM23:TUX23" si="479">IF(AND(TSM$26="End of period",TSM$25="Revenue"),TSM10,0)</f>
        <v>0</v>
      </c>
      <c r="TSN23" s="1902">
        <f t="shared" si="479"/>
        <v>0</v>
      </c>
      <c r="TSO23" s="1902">
        <f t="shared" si="479"/>
        <v>0</v>
      </c>
      <c r="TSP23" s="1902">
        <f t="shared" si="479"/>
        <v>0</v>
      </c>
      <c r="TSQ23" s="1902">
        <f t="shared" si="479"/>
        <v>0</v>
      </c>
      <c r="TSR23" s="1902">
        <f t="shared" si="479"/>
        <v>0</v>
      </c>
      <c r="TSS23" s="1902">
        <f t="shared" si="479"/>
        <v>0</v>
      </c>
      <c r="TST23" s="1902">
        <f t="shared" si="479"/>
        <v>0</v>
      </c>
      <c r="TSU23" s="1902">
        <f t="shared" si="479"/>
        <v>0</v>
      </c>
      <c r="TSV23" s="1902">
        <f t="shared" si="479"/>
        <v>0</v>
      </c>
      <c r="TSW23" s="1902">
        <f t="shared" si="479"/>
        <v>0</v>
      </c>
      <c r="TSX23" s="1902">
        <f t="shared" si="479"/>
        <v>0</v>
      </c>
      <c r="TSY23" s="1902">
        <f t="shared" si="479"/>
        <v>0</v>
      </c>
      <c r="TSZ23" s="1902">
        <f t="shared" si="479"/>
        <v>0</v>
      </c>
      <c r="TTA23" s="1902">
        <f t="shared" si="479"/>
        <v>0</v>
      </c>
      <c r="TTB23" s="1902">
        <f t="shared" si="479"/>
        <v>0</v>
      </c>
      <c r="TTC23" s="1902">
        <f t="shared" si="479"/>
        <v>0</v>
      </c>
      <c r="TTD23" s="1902">
        <f t="shared" si="479"/>
        <v>0</v>
      </c>
      <c r="TTE23" s="1902">
        <f t="shared" si="479"/>
        <v>0</v>
      </c>
      <c r="TTF23" s="1902">
        <f t="shared" si="479"/>
        <v>0</v>
      </c>
      <c r="TTG23" s="1902">
        <f t="shared" si="479"/>
        <v>0</v>
      </c>
      <c r="TTH23" s="1902">
        <f t="shared" si="479"/>
        <v>0</v>
      </c>
      <c r="TTI23" s="1902">
        <f t="shared" si="479"/>
        <v>0</v>
      </c>
      <c r="TTJ23" s="1902">
        <f t="shared" si="479"/>
        <v>0</v>
      </c>
      <c r="TTK23" s="1902">
        <f t="shared" si="479"/>
        <v>0</v>
      </c>
      <c r="TTL23" s="1902">
        <f t="shared" si="479"/>
        <v>0</v>
      </c>
      <c r="TTM23" s="1902">
        <f t="shared" si="479"/>
        <v>0</v>
      </c>
      <c r="TTN23" s="1902">
        <f t="shared" si="479"/>
        <v>0</v>
      </c>
      <c r="TTO23" s="1902">
        <f t="shared" si="479"/>
        <v>0</v>
      </c>
      <c r="TTP23" s="1902">
        <f t="shared" si="479"/>
        <v>0</v>
      </c>
      <c r="TTQ23" s="1902">
        <f t="shared" si="479"/>
        <v>0</v>
      </c>
      <c r="TTR23" s="1902">
        <f t="shared" si="479"/>
        <v>0</v>
      </c>
      <c r="TTS23" s="1902">
        <f t="shared" si="479"/>
        <v>0</v>
      </c>
      <c r="TTT23" s="1902">
        <f t="shared" si="479"/>
        <v>0</v>
      </c>
      <c r="TTU23" s="1902">
        <f t="shared" si="479"/>
        <v>0</v>
      </c>
      <c r="TTV23" s="1902">
        <f t="shared" si="479"/>
        <v>0</v>
      </c>
      <c r="TTW23" s="1902">
        <f t="shared" si="479"/>
        <v>0</v>
      </c>
      <c r="TTX23" s="1902">
        <f t="shared" si="479"/>
        <v>0</v>
      </c>
      <c r="TTY23" s="1902">
        <f t="shared" si="479"/>
        <v>0</v>
      </c>
      <c r="TTZ23" s="1902">
        <f t="shared" si="479"/>
        <v>0</v>
      </c>
      <c r="TUA23" s="1902">
        <f t="shared" si="479"/>
        <v>0</v>
      </c>
      <c r="TUB23" s="1902">
        <f t="shared" si="479"/>
        <v>0</v>
      </c>
      <c r="TUC23" s="1902">
        <f t="shared" si="479"/>
        <v>0</v>
      </c>
      <c r="TUD23" s="1902">
        <f t="shared" si="479"/>
        <v>0</v>
      </c>
      <c r="TUE23" s="1902">
        <f t="shared" si="479"/>
        <v>0</v>
      </c>
      <c r="TUF23" s="1902">
        <f t="shared" si="479"/>
        <v>0</v>
      </c>
      <c r="TUG23" s="1902">
        <f t="shared" si="479"/>
        <v>0</v>
      </c>
      <c r="TUH23" s="1902">
        <f t="shared" si="479"/>
        <v>0</v>
      </c>
      <c r="TUI23" s="1902">
        <f t="shared" si="479"/>
        <v>0</v>
      </c>
      <c r="TUJ23" s="1902">
        <f t="shared" si="479"/>
        <v>0</v>
      </c>
      <c r="TUK23" s="1902">
        <f t="shared" si="479"/>
        <v>0</v>
      </c>
      <c r="TUL23" s="1902">
        <f t="shared" si="479"/>
        <v>0</v>
      </c>
      <c r="TUM23" s="1902">
        <f t="shared" si="479"/>
        <v>0</v>
      </c>
      <c r="TUN23" s="1902">
        <f t="shared" si="479"/>
        <v>0</v>
      </c>
      <c r="TUO23" s="1902">
        <f t="shared" si="479"/>
        <v>0</v>
      </c>
      <c r="TUP23" s="1902">
        <f t="shared" si="479"/>
        <v>0</v>
      </c>
      <c r="TUQ23" s="1902">
        <f t="shared" si="479"/>
        <v>0</v>
      </c>
      <c r="TUR23" s="1902">
        <f t="shared" si="479"/>
        <v>0</v>
      </c>
      <c r="TUS23" s="1902">
        <f t="shared" si="479"/>
        <v>0</v>
      </c>
      <c r="TUT23" s="1902">
        <f t="shared" si="479"/>
        <v>0</v>
      </c>
      <c r="TUU23" s="1902">
        <f t="shared" si="479"/>
        <v>0</v>
      </c>
      <c r="TUV23" s="1902">
        <f t="shared" si="479"/>
        <v>0</v>
      </c>
      <c r="TUW23" s="1902">
        <f t="shared" si="479"/>
        <v>0</v>
      </c>
      <c r="TUX23" s="1902">
        <f t="shared" si="479"/>
        <v>0</v>
      </c>
      <c r="TUY23" s="1902">
        <f t="shared" ref="TUY23:TXJ23" si="480">IF(AND(TUY$26="End of period",TUY$25="Revenue"),TUY10,0)</f>
        <v>0</v>
      </c>
      <c r="TUZ23" s="1902">
        <f t="shared" si="480"/>
        <v>0</v>
      </c>
      <c r="TVA23" s="1902">
        <f t="shared" si="480"/>
        <v>0</v>
      </c>
      <c r="TVB23" s="1902">
        <f t="shared" si="480"/>
        <v>0</v>
      </c>
      <c r="TVC23" s="1902">
        <f t="shared" si="480"/>
        <v>0</v>
      </c>
      <c r="TVD23" s="1902">
        <f t="shared" si="480"/>
        <v>0</v>
      </c>
      <c r="TVE23" s="1902">
        <f t="shared" si="480"/>
        <v>0</v>
      </c>
      <c r="TVF23" s="1902">
        <f t="shared" si="480"/>
        <v>0</v>
      </c>
      <c r="TVG23" s="1902">
        <f t="shared" si="480"/>
        <v>0</v>
      </c>
      <c r="TVH23" s="1902">
        <f t="shared" si="480"/>
        <v>0</v>
      </c>
      <c r="TVI23" s="1902">
        <f t="shared" si="480"/>
        <v>0</v>
      </c>
      <c r="TVJ23" s="1902">
        <f t="shared" si="480"/>
        <v>0</v>
      </c>
      <c r="TVK23" s="1902">
        <f t="shared" si="480"/>
        <v>0</v>
      </c>
      <c r="TVL23" s="1902">
        <f t="shared" si="480"/>
        <v>0</v>
      </c>
      <c r="TVM23" s="1902">
        <f t="shared" si="480"/>
        <v>0</v>
      </c>
      <c r="TVN23" s="1902">
        <f t="shared" si="480"/>
        <v>0</v>
      </c>
      <c r="TVO23" s="1902">
        <f t="shared" si="480"/>
        <v>0</v>
      </c>
      <c r="TVP23" s="1902">
        <f t="shared" si="480"/>
        <v>0</v>
      </c>
      <c r="TVQ23" s="1902">
        <f t="shared" si="480"/>
        <v>0</v>
      </c>
      <c r="TVR23" s="1902">
        <f t="shared" si="480"/>
        <v>0</v>
      </c>
      <c r="TVS23" s="1902">
        <f t="shared" si="480"/>
        <v>0</v>
      </c>
      <c r="TVT23" s="1902">
        <f t="shared" si="480"/>
        <v>0</v>
      </c>
      <c r="TVU23" s="1902">
        <f t="shared" si="480"/>
        <v>0</v>
      </c>
      <c r="TVV23" s="1902">
        <f t="shared" si="480"/>
        <v>0</v>
      </c>
      <c r="TVW23" s="1902">
        <f t="shared" si="480"/>
        <v>0</v>
      </c>
      <c r="TVX23" s="1902">
        <f t="shared" si="480"/>
        <v>0</v>
      </c>
      <c r="TVY23" s="1902">
        <f t="shared" si="480"/>
        <v>0</v>
      </c>
      <c r="TVZ23" s="1902">
        <f t="shared" si="480"/>
        <v>0</v>
      </c>
      <c r="TWA23" s="1902">
        <f t="shared" si="480"/>
        <v>0</v>
      </c>
      <c r="TWB23" s="1902">
        <f t="shared" si="480"/>
        <v>0</v>
      </c>
      <c r="TWC23" s="1902">
        <f t="shared" si="480"/>
        <v>0</v>
      </c>
      <c r="TWD23" s="1902">
        <f t="shared" si="480"/>
        <v>0</v>
      </c>
      <c r="TWE23" s="1902">
        <f t="shared" si="480"/>
        <v>0</v>
      </c>
      <c r="TWF23" s="1902">
        <f t="shared" si="480"/>
        <v>0</v>
      </c>
      <c r="TWG23" s="1902">
        <f t="shared" si="480"/>
        <v>0</v>
      </c>
      <c r="TWH23" s="1902">
        <f t="shared" si="480"/>
        <v>0</v>
      </c>
      <c r="TWI23" s="1902">
        <f t="shared" si="480"/>
        <v>0</v>
      </c>
      <c r="TWJ23" s="1902">
        <f t="shared" si="480"/>
        <v>0</v>
      </c>
      <c r="TWK23" s="1902">
        <f t="shared" si="480"/>
        <v>0</v>
      </c>
      <c r="TWL23" s="1902">
        <f t="shared" si="480"/>
        <v>0</v>
      </c>
      <c r="TWM23" s="1902">
        <f t="shared" si="480"/>
        <v>0</v>
      </c>
      <c r="TWN23" s="1902">
        <f t="shared" si="480"/>
        <v>0</v>
      </c>
      <c r="TWO23" s="1902">
        <f t="shared" si="480"/>
        <v>0</v>
      </c>
      <c r="TWP23" s="1902">
        <f t="shared" si="480"/>
        <v>0</v>
      </c>
      <c r="TWQ23" s="1902">
        <f t="shared" si="480"/>
        <v>0</v>
      </c>
      <c r="TWR23" s="1902">
        <f t="shared" si="480"/>
        <v>0</v>
      </c>
      <c r="TWS23" s="1902">
        <f t="shared" si="480"/>
        <v>0</v>
      </c>
      <c r="TWT23" s="1902">
        <f t="shared" si="480"/>
        <v>0</v>
      </c>
      <c r="TWU23" s="1902">
        <f t="shared" si="480"/>
        <v>0</v>
      </c>
      <c r="TWV23" s="1902">
        <f t="shared" si="480"/>
        <v>0</v>
      </c>
      <c r="TWW23" s="1902">
        <f t="shared" si="480"/>
        <v>0</v>
      </c>
      <c r="TWX23" s="1902">
        <f t="shared" si="480"/>
        <v>0</v>
      </c>
      <c r="TWY23" s="1902">
        <f t="shared" si="480"/>
        <v>0</v>
      </c>
      <c r="TWZ23" s="1902">
        <f t="shared" si="480"/>
        <v>0</v>
      </c>
      <c r="TXA23" s="1902">
        <f t="shared" si="480"/>
        <v>0</v>
      </c>
      <c r="TXB23" s="1902">
        <f t="shared" si="480"/>
        <v>0</v>
      </c>
      <c r="TXC23" s="1902">
        <f t="shared" si="480"/>
        <v>0</v>
      </c>
      <c r="TXD23" s="1902">
        <f t="shared" si="480"/>
        <v>0</v>
      </c>
      <c r="TXE23" s="1902">
        <f t="shared" si="480"/>
        <v>0</v>
      </c>
      <c r="TXF23" s="1902">
        <f t="shared" si="480"/>
        <v>0</v>
      </c>
      <c r="TXG23" s="1902">
        <f t="shared" si="480"/>
        <v>0</v>
      </c>
      <c r="TXH23" s="1902">
        <f t="shared" si="480"/>
        <v>0</v>
      </c>
      <c r="TXI23" s="1902">
        <f t="shared" si="480"/>
        <v>0</v>
      </c>
      <c r="TXJ23" s="1902">
        <f t="shared" si="480"/>
        <v>0</v>
      </c>
      <c r="TXK23" s="1902">
        <f t="shared" ref="TXK23:TZV23" si="481">IF(AND(TXK$26="End of period",TXK$25="Revenue"),TXK10,0)</f>
        <v>0</v>
      </c>
      <c r="TXL23" s="1902">
        <f t="shared" si="481"/>
        <v>0</v>
      </c>
      <c r="TXM23" s="1902">
        <f t="shared" si="481"/>
        <v>0</v>
      </c>
      <c r="TXN23" s="1902">
        <f t="shared" si="481"/>
        <v>0</v>
      </c>
      <c r="TXO23" s="1902">
        <f t="shared" si="481"/>
        <v>0</v>
      </c>
      <c r="TXP23" s="1902">
        <f t="shared" si="481"/>
        <v>0</v>
      </c>
      <c r="TXQ23" s="1902">
        <f t="shared" si="481"/>
        <v>0</v>
      </c>
      <c r="TXR23" s="1902">
        <f t="shared" si="481"/>
        <v>0</v>
      </c>
      <c r="TXS23" s="1902">
        <f t="shared" si="481"/>
        <v>0</v>
      </c>
      <c r="TXT23" s="1902">
        <f t="shared" si="481"/>
        <v>0</v>
      </c>
      <c r="TXU23" s="1902">
        <f t="shared" si="481"/>
        <v>0</v>
      </c>
      <c r="TXV23" s="1902">
        <f t="shared" si="481"/>
        <v>0</v>
      </c>
      <c r="TXW23" s="1902">
        <f t="shared" si="481"/>
        <v>0</v>
      </c>
      <c r="TXX23" s="1902">
        <f t="shared" si="481"/>
        <v>0</v>
      </c>
      <c r="TXY23" s="1902">
        <f t="shared" si="481"/>
        <v>0</v>
      </c>
      <c r="TXZ23" s="1902">
        <f t="shared" si="481"/>
        <v>0</v>
      </c>
      <c r="TYA23" s="1902">
        <f t="shared" si="481"/>
        <v>0</v>
      </c>
      <c r="TYB23" s="1902">
        <f t="shared" si="481"/>
        <v>0</v>
      </c>
      <c r="TYC23" s="1902">
        <f t="shared" si="481"/>
        <v>0</v>
      </c>
      <c r="TYD23" s="1902">
        <f t="shared" si="481"/>
        <v>0</v>
      </c>
      <c r="TYE23" s="1902">
        <f t="shared" si="481"/>
        <v>0</v>
      </c>
      <c r="TYF23" s="1902">
        <f t="shared" si="481"/>
        <v>0</v>
      </c>
      <c r="TYG23" s="1902">
        <f t="shared" si="481"/>
        <v>0</v>
      </c>
      <c r="TYH23" s="1902">
        <f t="shared" si="481"/>
        <v>0</v>
      </c>
      <c r="TYI23" s="1902">
        <f t="shared" si="481"/>
        <v>0</v>
      </c>
      <c r="TYJ23" s="1902">
        <f t="shared" si="481"/>
        <v>0</v>
      </c>
      <c r="TYK23" s="1902">
        <f t="shared" si="481"/>
        <v>0</v>
      </c>
      <c r="TYL23" s="1902">
        <f t="shared" si="481"/>
        <v>0</v>
      </c>
      <c r="TYM23" s="1902">
        <f t="shared" si="481"/>
        <v>0</v>
      </c>
      <c r="TYN23" s="1902">
        <f t="shared" si="481"/>
        <v>0</v>
      </c>
      <c r="TYO23" s="1902">
        <f t="shared" si="481"/>
        <v>0</v>
      </c>
      <c r="TYP23" s="1902">
        <f t="shared" si="481"/>
        <v>0</v>
      </c>
      <c r="TYQ23" s="1902">
        <f t="shared" si="481"/>
        <v>0</v>
      </c>
      <c r="TYR23" s="1902">
        <f t="shared" si="481"/>
        <v>0</v>
      </c>
      <c r="TYS23" s="1902">
        <f t="shared" si="481"/>
        <v>0</v>
      </c>
      <c r="TYT23" s="1902">
        <f t="shared" si="481"/>
        <v>0</v>
      </c>
      <c r="TYU23" s="1902">
        <f t="shared" si="481"/>
        <v>0</v>
      </c>
      <c r="TYV23" s="1902">
        <f t="shared" si="481"/>
        <v>0</v>
      </c>
      <c r="TYW23" s="1902">
        <f t="shared" si="481"/>
        <v>0</v>
      </c>
      <c r="TYX23" s="1902">
        <f t="shared" si="481"/>
        <v>0</v>
      </c>
      <c r="TYY23" s="1902">
        <f t="shared" si="481"/>
        <v>0</v>
      </c>
      <c r="TYZ23" s="1902">
        <f t="shared" si="481"/>
        <v>0</v>
      </c>
      <c r="TZA23" s="1902">
        <f t="shared" si="481"/>
        <v>0</v>
      </c>
      <c r="TZB23" s="1902">
        <f t="shared" si="481"/>
        <v>0</v>
      </c>
      <c r="TZC23" s="1902">
        <f t="shared" si="481"/>
        <v>0</v>
      </c>
      <c r="TZD23" s="1902">
        <f t="shared" si="481"/>
        <v>0</v>
      </c>
      <c r="TZE23" s="1902">
        <f t="shared" si="481"/>
        <v>0</v>
      </c>
      <c r="TZF23" s="1902">
        <f t="shared" si="481"/>
        <v>0</v>
      </c>
      <c r="TZG23" s="1902">
        <f t="shared" si="481"/>
        <v>0</v>
      </c>
      <c r="TZH23" s="1902">
        <f t="shared" si="481"/>
        <v>0</v>
      </c>
      <c r="TZI23" s="1902">
        <f t="shared" si="481"/>
        <v>0</v>
      </c>
      <c r="TZJ23" s="1902">
        <f t="shared" si="481"/>
        <v>0</v>
      </c>
      <c r="TZK23" s="1902">
        <f t="shared" si="481"/>
        <v>0</v>
      </c>
      <c r="TZL23" s="1902">
        <f t="shared" si="481"/>
        <v>0</v>
      </c>
      <c r="TZM23" s="1902">
        <f t="shared" si="481"/>
        <v>0</v>
      </c>
      <c r="TZN23" s="1902">
        <f t="shared" si="481"/>
        <v>0</v>
      </c>
      <c r="TZO23" s="1902">
        <f t="shared" si="481"/>
        <v>0</v>
      </c>
      <c r="TZP23" s="1902">
        <f t="shared" si="481"/>
        <v>0</v>
      </c>
      <c r="TZQ23" s="1902">
        <f t="shared" si="481"/>
        <v>0</v>
      </c>
      <c r="TZR23" s="1902">
        <f t="shared" si="481"/>
        <v>0</v>
      </c>
      <c r="TZS23" s="1902">
        <f t="shared" si="481"/>
        <v>0</v>
      </c>
      <c r="TZT23" s="1902">
        <f t="shared" si="481"/>
        <v>0</v>
      </c>
      <c r="TZU23" s="1902">
        <f t="shared" si="481"/>
        <v>0</v>
      </c>
      <c r="TZV23" s="1902">
        <f t="shared" si="481"/>
        <v>0</v>
      </c>
      <c r="TZW23" s="1902">
        <f t="shared" ref="TZW23:UCH23" si="482">IF(AND(TZW$26="End of period",TZW$25="Revenue"),TZW10,0)</f>
        <v>0</v>
      </c>
      <c r="TZX23" s="1902">
        <f t="shared" si="482"/>
        <v>0</v>
      </c>
      <c r="TZY23" s="1902">
        <f t="shared" si="482"/>
        <v>0</v>
      </c>
      <c r="TZZ23" s="1902">
        <f t="shared" si="482"/>
        <v>0</v>
      </c>
      <c r="UAA23" s="1902">
        <f t="shared" si="482"/>
        <v>0</v>
      </c>
      <c r="UAB23" s="1902">
        <f t="shared" si="482"/>
        <v>0</v>
      </c>
      <c r="UAC23" s="1902">
        <f t="shared" si="482"/>
        <v>0</v>
      </c>
      <c r="UAD23" s="1902">
        <f t="shared" si="482"/>
        <v>0</v>
      </c>
      <c r="UAE23" s="1902">
        <f t="shared" si="482"/>
        <v>0</v>
      </c>
      <c r="UAF23" s="1902">
        <f t="shared" si="482"/>
        <v>0</v>
      </c>
      <c r="UAG23" s="1902">
        <f t="shared" si="482"/>
        <v>0</v>
      </c>
      <c r="UAH23" s="1902">
        <f t="shared" si="482"/>
        <v>0</v>
      </c>
      <c r="UAI23" s="1902">
        <f t="shared" si="482"/>
        <v>0</v>
      </c>
      <c r="UAJ23" s="1902">
        <f t="shared" si="482"/>
        <v>0</v>
      </c>
      <c r="UAK23" s="1902">
        <f t="shared" si="482"/>
        <v>0</v>
      </c>
      <c r="UAL23" s="1902">
        <f t="shared" si="482"/>
        <v>0</v>
      </c>
      <c r="UAM23" s="1902">
        <f t="shared" si="482"/>
        <v>0</v>
      </c>
      <c r="UAN23" s="1902">
        <f t="shared" si="482"/>
        <v>0</v>
      </c>
      <c r="UAO23" s="1902">
        <f t="shared" si="482"/>
        <v>0</v>
      </c>
      <c r="UAP23" s="1902">
        <f t="shared" si="482"/>
        <v>0</v>
      </c>
      <c r="UAQ23" s="1902">
        <f t="shared" si="482"/>
        <v>0</v>
      </c>
      <c r="UAR23" s="1902">
        <f t="shared" si="482"/>
        <v>0</v>
      </c>
      <c r="UAS23" s="1902">
        <f t="shared" si="482"/>
        <v>0</v>
      </c>
      <c r="UAT23" s="1902">
        <f t="shared" si="482"/>
        <v>0</v>
      </c>
      <c r="UAU23" s="1902">
        <f t="shared" si="482"/>
        <v>0</v>
      </c>
      <c r="UAV23" s="1902">
        <f t="shared" si="482"/>
        <v>0</v>
      </c>
      <c r="UAW23" s="1902">
        <f t="shared" si="482"/>
        <v>0</v>
      </c>
      <c r="UAX23" s="1902">
        <f t="shared" si="482"/>
        <v>0</v>
      </c>
      <c r="UAY23" s="1902">
        <f t="shared" si="482"/>
        <v>0</v>
      </c>
      <c r="UAZ23" s="1902">
        <f t="shared" si="482"/>
        <v>0</v>
      </c>
      <c r="UBA23" s="1902">
        <f t="shared" si="482"/>
        <v>0</v>
      </c>
      <c r="UBB23" s="1902">
        <f t="shared" si="482"/>
        <v>0</v>
      </c>
      <c r="UBC23" s="1902">
        <f t="shared" si="482"/>
        <v>0</v>
      </c>
      <c r="UBD23" s="1902">
        <f t="shared" si="482"/>
        <v>0</v>
      </c>
      <c r="UBE23" s="1902">
        <f t="shared" si="482"/>
        <v>0</v>
      </c>
      <c r="UBF23" s="1902">
        <f t="shared" si="482"/>
        <v>0</v>
      </c>
      <c r="UBG23" s="1902">
        <f t="shared" si="482"/>
        <v>0</v>
      </c>
      <c r="UBH23" s="1902">
        <f t="shared" si="482"/>
        <v>0</v>
      </c>
      <c r="UBI23" s="1902">
        <f t="shared" si="482"/>
        <v>0</v>
      </c>
      <c r="UBJ23" s="1902">
        <f t="shared" si="482"/>
        <v>0</v>
      </c>
      <c r="UBK23" s="1902">
        <f t="shared" si="482"/>
        <v>0</v>
      </c>
      <c r="UBL23" s="1902">
        <f t="shared" si="482"/>
        <v>0</v>
      </c>
      <c r="UBM23" s="1902">
        <f t="shared" si="482"/>
        <v>0</v>
      </c>
      <c r="UBN23" s="1902">
        <f t="shared" si="482"/>
        <v>0</v>
      </c>
      <c r="UBO23" s="1902">
        <f t="shared" si="482"/>
        <v>0</v>
      </c>
      <c r="UBP23" s="1902">
        <f t="shared" si="482"/>
        <v>0</v>
      </c>
      <c r="UBQ23" s="1902">
        <f t="shared" si="482"/>
        <v>0</v>
      </c>
      <c r="UBR23" s="1902">
        <f t="shared" si="482"/>
        <v>0</v>
      </c>
      <c r="UBS23" s="1902">
        <f t="shared" si="482"/>
        <v>0</v>
      </c>
      <c r="UBT23" s="1902">
        <f t="shared" si="482"/>
        <v>0</v>
      </c>
      <c r="UBU23" s="1902">
        <f t="shared" si="482"/>
        <v>0</v>
      </c>
      <c r="UBV23" s="1902">
        <f t="shared" si="482"/>
        <v>0</v>
      </c>
      <c r="UBW23" s="1902">
        <f t="shared" si="482"/>
        <v>0</v>
      </c>
      <c r="UBX23" s="1902">
        <f t="shared" si="482"/>
        <v>0</v>
      </c>
      <c r="UBY23" s="1902">
        <f t="shared" si="482"/>
        <v>0</v>
      </c>
      <c r="UBZ23" s="1902">
        <f t="shared" si="482"/>
        <v>0</v>
      </c>
      <c r="UCA23" s="1902">
        <f t="shared" si="482"/>
        <v>0</v>
      </c>
      <c r="UCB23" s="1902">
        <f t="shared" si="482"/>
        <v>0</v>
      </c>
      <c r="UCC23" s="1902">
        <f t="shared" si="482"/>
        <v>0</v>
      </c>
      <c r="UCD23" s="1902">
        <f t="shared" si="482"/>
        <v>0</v>
      </c>
      <c r="UCE23" s="1902">
        <f t="shared" si="482"/>
        <v>0</v>
      </c>
      <c r="UCF23" s="1902">
        <f t="shared" si="482"/>
        <v>0</v>
      </c>
      <c r="UCG23" s="1902">
        <f t="shared" si="482"/>
        <v>0</v>
      </c>
      <c r="UCH23" s="1902">
        <f t="shared" si="482"/>
        <v>0</v>
      </c>
      <c r="UCI23" s="1902">
        <f t="shared" ref="UCI23:UET23" si="483">IF(AND(UCI$26="End of period",UCI$25="Revenue"),UCI10,0)</f>
        <v>0</v>
      </c>
      <c r="UCJ23" s="1902">
        <f t="shared" si="483"/>
        <v>0</v>
      </c>
      <c r="UCK23" s="1902">
        <f t="shared" si="483"/>
        <v>0</v>
      </c>
      <c r="UCL23" s="1902">
        <f t="shared" si="483"/>
        <v>0</v>
      </c>
      <c r="UCM23" s="1902">
        <f t="shared" si="483"/>
        <v>0</v>
      </c>
      <c r="UCN23" s="1902">
        <f t="shared" si="483"/>
        <v>0</v>
      </c>
      <c r="UCO23" s="1902">
        <f t="shared" si="483"/>
        <v>0</v>
      </c>
      <c r="UCP23" s="1902">
        <f t="shared" si="483"/>
        <v>0</v>
      </c>
      <c r="UCQ23" s="1902">
        <f t="shared" si="483"/>
        <v>0</v>
      </c>
      <c r="UCR23" s="1902">
        <f t="shared" si="483"/>
        <v>0</v>
      </c>
      <c r="UCS23" s="1902">
        <f t="shared" si="483"/>
        <v>0</v>
      </c>
      <c r="UCT23" s="1902">
        <f t="shared" si="483"/>
        <v>0</v>
      </c>
      <c r="UCU23" s="1902">
        <f t="shared" si="483"/>
        <v>0</v>
      </c>
      <c r="UCV23" s="1902">
        <f t="shared" si="483"/>
        <v>0</v>
      </c>
      <c r="UCW23" s="1902">
        <f t="shared" si="483"/>
        <v>0</v>
      </c>
      <c r="UCX23" s="1902">
        <f t="shared" si="483"/>
        <v>0</v>
      </c>
      <c r="UCY23" s="1902">
        <f t="shared" si="483"/>
        <v>0</v>
      </c>
      <c r="UCZ23" s="1902">
        <f t="shared" si="483"/>
        <v>0</v>
      </c>
      <c r="UDA23" s="1902">
        <f t="shared" si="483"/>
        <v>0</v>
      </c>
      <c r="UDB23" s="1902">
        <f t="shared" si="483"/>
        <v>0</v>
      </c>
      <c r="UDC23" s="1902">
        <f t="shared" si="483"/>
        <v>0</v>
      </c>
      <c r="UDD23" s="1902">
        <f t="shared" si="483"/>
        <v>0</v>
      </c>
      <c r="UDE23" s="1902">
        <f t="shared" si="483"/>
        <v>0</v>
      </c>
      <c r="UDF23" s="1902">
        <f t="shared" si="483"/>
        <v>0</v>
      </c>
      <c r="UDG23" s="1902">
        <f t="shared" si="483"/>
        <v>0</v>
      </c>
      <c r="UDH23" s="1902">
        <f t="shared" si="483"/>
        <v>0</v>
      </c>
      <c r="UDI23" s="1902">
        <f t="shared" si="483"/>
        <v>0</v>
      </c>
      <c r="UDJ23" s="1902">
        <f t="shared" si="483"/>
        <v>0</v>
      </c>
      <c r="UDK23" s="1902">
        <f t="shared" si="483"/>
        <v>0</v>
      </c>
      <c r="UDL23" s="1902">
        <f t="shared" si="483"/>
        <v>0</v>
      </c>
      <c r="UDM23" s="1902">
        <f t="shared" si="483"/>
        <v>0</v>
      </c>
      <c r="UDN23" s="1902">
        <f t="shared" si="483"/>
        <v>0</v>
      </c>
      <c r="UDO23" s="1902">
        <f t="shared" si="483"/>
        <v>0</v>
      </c>
      <c r="UDP23" s="1902">
        <f t="shared" si="483"/>
        <v>0</v>
      </c>
      <c r="UDQ23" s="1902">
        <f t="shared" si="483"/>
        <v>0</v>
      </c>
      <c r="UDR23" s="1902">
        <f t="shared" si="483"/>
        <v>0</v>
      </c>
      <c r="UDS23" s="1902">
        <f t="shared" si="483"/>
        <v>0</v>
      </c>
      <c r="UDT23" s="1902">
        <f t="shared" si="483"/>
        <v>0</v>
      </c>
      <c r="UDU23" s="1902">
        <f t="shared" si="483"/>
        <v>0</v>
      </c>
      <c r="UDV23" s="1902">
        <f t="shared" si="483"/>
        <v>0</v>
      </c>
      <c r="UDW23" s="1902">
        <f t="shared" si="483"/>
        <v>0</v>
      </c>
      <c r="UDX23" s="1902">
        <f t="shared" si="483"/>
        <v>0</v>
      </c>
      <c r="UDY23" s="1902">
        <f t="shared" si="483"/>
        <v>0</v>
      </c>
      <c r="UDZ23" s="1902">
        <f t="shared" si="483"/>
        <v>0</v>
      </c>
      <c r="UEA23" s="1902">
        <f t="shared" si="483"/>
        <v>0</v>
      </c>
      <c r="UEB23" s="1902">
        <f t="shared" si="483"/>
        <v>0</v>
      </c>
      <c r="UEC23" s="1902">
        <f t="shared" si="483"/>
        <v>0</v>
      </c>
      <c r="UED23" s="1902">
        <f t="shared" si="483"/>
        <v>0</v>
      </c>
      <c r="UEE23" s="1902">
        <f t="shared" si="483"/>
        <v>0</v>
      </c>
      <c r="UEF23" s="1902">
        <f t="shared" si="483"/>
        <v>0</v>
      </c>
      <c r="UEG23" s="1902">
        <f t="shared" si="483"/>
        <v>0</v>
      </c>
      <c r="UEH23" s="1902">
        <f t="shared" si="483"/>
        <v>0</v>
      </c>
      <c r="UEI23" s="1902">
        <f t="shared" si="483"/>
        <v>0</v>
      </c>
      <c r="UEJ23" s="1902">
        <f t="shared" si="483"/>
        <v>0</v>
      </c>
      <c r="UEK23" s="1902">
        <f t="shared" si="483"/>
        <v>0</v>
      </c>
      <c r="UEL23" s="1902">
        <f t="shared" si="483"/>
        <v>0</v>
      </c>
      <c r="UEM23" s="1902">
        <f t="shared" si="483"/>
        <v>0</v>
      </c>
      <c r="UEN23" s="1902">
        <f t="shared" si="483"/>
        <v>0</v>
      </c>
      <c r="UEO23" s="1902">
        <f t="shared" si="483"/>
        <v>0</v>
      </c>
      <c r="UEP23" s="1902">
        <f t="shared" si="483"/>
        <v>0</v>
      </c>
      <c r="UEQ23" s="1902">
        <f t="shared" si="483"/>
        <v>0</v>
      </c>
      <c r="UER23" s="1902">
        <f t="shared" si="483"/>
        <v>0</v>
      </c>
      <c r="UES23" s="1902">
        <f t="shared" si="483"/>
        <v>0</v>
      </c>
      <c r="UET23" s="1902">
        <f t="shared" si="483"/>
        <v>0</v>
      </c>
      <c r="UEU23" s="1902">
        <f t="shared" ref="UEU23:UHF23" si="484">IF(AND(UEU$26="End of period",UEU$25="Revenue"),UEU10,0)</f>
        <v>0</v>
      </c>
      <c r="UEV23" s="1902">
        <f t="shared" si="484"/>
        <v>0</v>
      </c>
      <c r="UEW23" s="1902">
        <f t="shared" si="484"/>
        <v>0</v>
      </c>
      <c r="UEX23" s="1902">
        <f t="shared" si="484"/>
        <v>0</v>
      </c>
      <c r="UEY23" s="1902">
        <f t="shared" si="484"/>
        <v>0</v>
      </c>
      <c r="UEZ23" s="1902">
        <f t="shared" si="484"/>
        <v>0</v>
      </c>
      <c r="UFA23" s="1902">
        <f t="shared" si="484"/>
        <v>0</v>
      </c>
      <c r="UFB23" s="1902">
        <f t="shared" si="484"/>
        <v>0</v>
      </c>
      <c r="UFC23" s="1902">
        <f t="shared" si="484"/>
        <v>0</v>
      </c>
      <c r="UFD23" s="1902">
        <f t="shared" si="484"/>
        <v>0</v>
      </c>
      <c r="UFE23" s="1902">
        <f t="shared" si="484"/>
        <v>0</v>
      </c>
      <c r="UFF23" s="1902">
        <f t="shared" si="484"/>
        <v>0</v>
      </c>
      <c r="UFG23" s="1902">
        <f t="shared" si="484"/>
        <v>0</v>
      </c>
      <c r="UFH23" s="1902">
        <f t="shared" si="484"/>
        <v>0</v>
      </c>
      <c r="UFI23" s="1902">
        <f t="shared" si="484"/>
        <v>0</v>
      </c>
      <c r="UFJ23" s="1902">
        <f t="shared" si="484"/>
        <v>0</v>
      </c>
      <c r="UFK23" s="1902">
        <f t="shared" si="484"/>
        <v>0</v>
      </c>
      <c r="UFL23" s="1902">
        <f t="shared" si="484"/>
        <v>0</v>
      </c>
      <c r="UFM23" s="1902">
        <f t="shared" si="484"/>
        <v>0</v>
      </c>
      <c r="UFN23" s="1902">
        <f t="shared" si="484"/>
        <v>0</v>
      </c>
      <c r="UFO23" s="1902">
        <f t="shared" si="484"/>
        <v>0</v>
      </c>
      <c r="UFP23" s="1902">
        <f t="shared" si="484"/>
        <v>0</v>
      </c>
      <c r="UFQ23" s="1902">
        <f t="shared" si="484"/>
        <v>0</v>
      </c>
      <c r="UFR23" s="1902">
        <f t="shared" si="484"/>
        <v>0</v>
      </c>
      <c r="UFS23" s="1902">
        <f t="shared" si="484"/>
        <v>0</v>
      </c>
      <c r="UFT23" s="1902">
        <f t="shared" si="484"/>
        <v>0</v>
      </c>
      <c r="UFU23" s="1902">
        <f t="shared" si="484"/>
        <v>0</v>
      </c>
      <c r="UFV23" s="1902">
        <f t="shared" si="484"/>
        <v>0</v>
      </c>
      <c r="UFW23" s="1902">
        <f t="shared" si="484"/>
        <v>0</v>
      </c>
      <c r="UFX23" s="1902">
        <f t="shared" si="484"/>
        <v>0</v>
      </c>
      <c r="UFY23" s="1902">
        <f t="shared" si="484"/>
        <v>0</v>
      </c>
      <c r="UFZ23" s="1902">
        <f t="shared" si="484"/>
        <v>0</v>
      </c>
      <c r="UGA23" s="1902">
        <f t="shared" si="484"/>
        <v>0</v>
      </c>
      <c r="UGB23" s="1902">
        <f t="shared" si="484"/>
        <v>0</v>
      </c>
      <c r="UGC23" s="1902">
        <f t="shared" si="484"/>
        <v>0</v>
      </c>
      <c r="UGD23" s="1902">
        <f t="shared" si="484"/>
        <v>0</v>
      </c>
      <c r="UGE23" s="1902">
        <f t="shared" si="484"/>
        <v>0</v>
      </c>
      <c r="UGF23" s="1902">
        <f t="shared" si="484"/>
        <v>0</v>
      </c>
      <c r="UGG23" s="1902">
        <f t="shared" si="484"/>
        <v>0</v>
      </c>
      <c r="UGH23" s="1902">
        <f t="shared" si="484"/>
        <v>0</v>
      </c>
      <c r="UGI23" s="1902">
        <f t="shared" si="484"/>
        <v>0</v>
      </c>
      <c r="UGJ23" s="1902">
        <f t="shared" si="484"/>
        <v>0</v>
      </c>
      <c r="UGK23" s="1902">
        <f t="shared" si="484"/>
        <v>0</v>
      </c>
      <c r="UGL23" s="1902">
        <f t="shared" si="484"/>
        <v>0</v>
      </c>
      <c r="UGM23" s="1902">
        <f t="shared" si="484"/>
        <v>0</v>
      </c>
      <c r="UGN23" s="1902">
        <f t="shared" si="484"/>
        <v>0</v>
      </c>
      <c r="UGO23" s="1902">
        <f t="shared" si="484"/>
        <v>0</v>
      </c>
      <c r="UGP23" s="1902">
        <f t="shared" si="484"/>
        <v>0</v>
      </c>
      <c r="UGQ23" s="1902">
        <f t="shared" si="484"/>
        <v>0</v>
      </c>
      <c r="UGR23" s="1902">
        <f t="shared" si="484"/>
        <v>0</v>
      </c>
      <c r="UGS23" s="1902">
        <f t="shared" si="484"/>
        <v>0</v>
      </c>
      <c r="UGT23" s="1902">
        <f t="shared" si="484"/>
        <v>0</v>
      </c>
      <c r="UGU23" s="1902">
        <f t="shared" si="484"/>
        <v>0</v>
      </c>
      <c r="UGV23" s="1902">
        <f t="shared" si="484"/>
        <v>0</v>
      </c>
      <c r="UGW23" s="1902">
        <f t="shared" si="484"/>
        <v>0</v>
      </c>
      <c r="UGX23" s="1902">
        <f t="shared" si="484"/>
        <v>0</v>
      </c>
      <c r="UGY23" s="1902">
        <f t="shared" si="484"/>
        <v>0</v>
      </c>
      <c r="UGZ23" s="1902">
        <f t="shared" si="484"/>
        <v>0</v>
      </c>
      <c r="UHA23" s="1902">
        <f t="shared" si="484"/>
        <v>0</v>
      </c>
      <c r="UHB23" s="1902">
        <f t="shared" si="484"/>
        <v>0</v>
      </c>
      <c r="UHC23" s="1902">
        <f t="shared" si="484"/>
        <v>0</v>
      </c>
      <c r="UHD23" s="1902">
        <f t="shared" si="484"/>
        <v>0</v>
      </c>
      <c r="UHE23" s="1902">
        <f t="shared" si="484"/>
        <v>0</v>
      </c>
      <c r="UHF23" s="1902">
        <f t="shared" si="484"/>
        <v>0</v>
      </c>
      <c r="UHG23" s="1902">
        <f t="shared" ref="UHG23:UJR23" si="485">IF(AND(UHG$26="End of period",UHG$25="Revenue"),UHG10,0)</f>
        <v>0</v>
      </c>
      <c r="UHH23" s="1902">
        <f t="shared" si="485"/>
        <v>0</v>
      </c>
      <c r="UHI23" s="1902">
        <f t="shared" si="485"/>
        <v>0</v>
      </c>
      <c r="UHJ23" s="1902">
        <f t="shared" si="485"/>
        <v>0</v>
      </c>
      <c r="UHK23" s="1902">
        <f t="shared" si="485"/>
        <v>0</v>
      </c>
      <c r="UHL23" s="1902">
        <f t="shared" si="485"/>
        <v>0</v>
      </c>
      <c r="UHM23" s="1902">
        <f t="shared" si="485"/>
        <v>0</v>
      </c>
      <c r="UHN23" s="1902">
        <f t="shared" si="485"/>
        <v>0</v>
      </c>
      <c r="UHO23" s="1902">
        <f t="shared" si="485"/>
        <v>0</v>
      </c>
      <c r="UHP23" s="1902">
        <f t="shared" si="485"/>
        <v>0</v>
      </c>
      <c r="UHQ23" s="1902">
        <f t="shared" si="485"/>
        <v>0</v>
      </c>
      <c r="UHR23" s="1902">
        <f t="shared" si="485"/>
        <v>0</v>
      </c>
      <c r="UHS23" s="1902">
        <f t="shared" si="485"/>
        <v>0</v>
      </c>
      <c r="UHT23" s="1902">
        <f t="shared" si="485"/>
        <v>0</v>
      </c>
      <c r="UHU23" s="1902">
        <f t="shared" si="485"/>
        <v>0</v>
      </c>
      <c r="UHV23" s="1902">
        <f t="shared" si="485"/>
        <v>0</v>
      </c>
      <c r="UHW23" s="1902">
        <f t="shared" si="485"/>
        <v>0</v>
      </c>
      <c r="UHX23" s="1902">
        <f t="shared" si="485"/>
        <v>0</v>
      </c>
      <c r="UHY23" s="1902">
        <f t="shared" si="485"/>
        <v>0</v>
      </c>
      <c r="UHZ23" s="1902">
        <f t="shared" si="485"/>
        <v>0</v>
      </c>
      <c r="UIA23" s="1902">
        <f t="shared" si="485"/>
        <v>0</v>
      </c>
      <c r="UIB23" s="1902">
        <f t="shared" si="485"/>
        <v>0</v>
      </c>
      <c r="UIC23" s="1902">
        <f t="shared" si="485"/>
        <v>0</v>
      </c>
      <c r="UID23" s="1902">
        <f t="shared" si="485"/>
        <v>0</v>
      </c>
      <c r="UIE23" s="1902">
        <f t="shared" si="485"/>
        <v>0</v>
      </c>
      <c r="UIF23" s="1902">
        <f t="shared" si="485"/>
        <v>0</v>
      </c>
      <c r="UIG23" s="1902">
        <f t="shared" si="485"/>
        <v>0</v>
      </c>
      <c r="UIH23" s="1902">
        <f t="shared" si="485"/>
        <v>0</v>
      </c>
      <c r="UII23" s="1902">
        <f t="shared" si="485"/>
        <v>0</v>
      </c>
      <c r="UIJ23" s="1902">
        <f t="shared" si="485"/>
        <v>0</v>
      </c>
      <c r="UIK23" s="1902">
        <f t="shared" si="485"/>
        <v>0</v>
      </c>
      <c r="UIL23" s="1902">
        <f t="shared" si="485"/>
        <v>0</v>
      </c>
      <c r="UIM23" s="1902">
        <f t="shared" si="485"/>
        <v>0</v>
      </c>
      <c r="UIN23" s="1902">
        <f t="shared" si="485"/>
        <v>0</v>
      </c>
      <c r="UIO23" s="1902">
        <f t="shared" si="485"/>
        <v>0</v>
      </c>
      <c r="UIP23" s="1902">
        <f t="shared" si="485"/>
        <v>0</v>
      </c>
      <c r="UIQ23" s="1902">
        <f t="shared" si="485"/>
        <v>0</v>
      </c>
      <c r="UIR23" s="1902">
        <f t="shared" si="485"/>
        <v>0</v>
      </c>
      <c r="UIS23" s="1902">
        <f t="shared" si="485"/>
        <v>0</v>
      </c>
      <c r="UIT23" s="1902">
        <f t="shared" si="485"/>
        <v>0</v>
      </c>
      <c r="UIU23" s="1902">
        <f t="shared" si="485"/>
        <v>0</v>
      </c>
      <c r="UIV23" s="1902">
        <f t="shared" si="485"/>
        <v>0</v>
      </c>
      <c r="UIW23" s="1902">
        <f t="shared" si="485"/>
        <v>0</v>
      </c>
      <c r="UIX23" s="1902">
        <f t="shared" si="485"/>
        <v>0</v>
      </c>
      <c r="UIY23" s="1902">
        <f t="shared" si="485"/>
        <v>0</v>
      </c>
      <c r="UIZ23" s="1902">
        <f t="shared" si="485"/>
        <v>0</v>
      </c>
      <c r="UJA23" s="1902">
        <f t="shared" si="485"/>
        <v>0</v>
      </c>
      <c r="UJB23" s="1902">
        <f t="shared" si="485"/>
        <v>0</v>
      </c>
      <c r="UJC23" s="1902">
        <f t="shared" si="485"/>
        <v>0</v>
      </c>
      <c r="UJD23" s="1902">
        <f t="shared" si="485"/>
        <v>0</v>
      </c>
      <c r="UJE23" s="1902">
        <f t="shared" si="485"/>
        <v>0</v>
      </c>
      <c r="UJF23" s="1902">
        <f t="shared" si="485"/>
        <v>0</v>
      </c>
      <c r="UJG23" s="1902">
        <f t="shared" si="485"/>
        <v>0</v>
      </c>
      <c r="UJH23" s="1902">
        <f t="shared" si="485"/>
        <v>0</v>
      </c>
      <c r="UJI23" s="1902">
        <f t="shared" si="485"/>
        <v>0</v>
      </c>
      <c r="UJJ23" s="1902">
        <f t="shared" si="485"/>
        <v>0</v>
      </c>
      <c r="UJK23" s="1902">
        <f t="shared" si="485"/>
        <v>0</v>
      </c>
      <c r="UJL23" s="1902">
        <f t="shared" si="485"/>
        <v>0</v>
      </c>
      <c r="UJM23" s="1902">
        <f t="shared" si="485"/>
        <v>0</v>
      </c>
      <c r="UJN23" s="1902">
        <f t="shared" si="485"/>
        <v>0</v>
      </c>
      <c r="UJO23" s="1902">
        <f t="shared" si="485"/>
        <v>0</v>
      </c>
      <c r="UJP23" s="1902">
        <f t="shared" si="485"/>
        <v>0</v>
      </c>
      <c r="UJQ23" s="1902">
        <f t="shared" si="485"/>
        <v>0</v>
      </c>
      <c r="UJR23" s="1902">
        <f t="shared" si="485"/>
        <v>0</v>
      </c>
      <c r="UJS23" s="1902">
        <f t="shared" ref="UJS23:UMD23" si="486">IF(AND(UJS$26="End of period",UJS$25="Revenue"),UJS10,0)</f>
        <v>0</v>
      </c>
      <c r="UJT23" s="1902">
        <f t="shared" si="486"/>
        <v>0</v>
      </c>
      <c r="UJU23" s="1902">
        <f t="shared" si="486"/>
        <v>0</v>
      </c>
      <c r="UJV23" s="1902">
        <f t="shared" si="486"/>
        <v>0</v>
      </c>
      <c r="UJW23" s="1902">
        <f t="shared" si="486"/>
        <v>0</v>
      </c>
      <c r="UJX23" s="1902">
        <f t="shared" si="486"/>
        <v>0</v>
      </c>
      <c r="UJY23" s="1902">
        <f t="shared" si="486"/>
        <v>0</v>
      </c>
      <c r="UJZ23" s="1902">
        <f t="shared" si="486"/>
        <v>0</v>
      </c>
      <c r="UKA23" s="1902">
        <f t="shared" si="486"/>
        <v>0</v>
      </c>
      <c r="UKB23" s="1902">
        <f t="shared" si="486"/>
        <v>0</v>
      </c>
      <c r="UKC23" s="1902">
        <f t="shared" si="486"/>
        <v>0</v>
      </c>
      <c r="UKD23" s="1902">
        <f t="shared" si="486"/>
        <v>0</v>
      </c>
      <c r="UKE23" s="1902">
        <f t="shared" si="486"/>
        <v>0</v>
      </c>
      <c r="UKF23" s="1902">
        <f t="shared" si="486"/>
        <v>0</v>
      </c>
      <c r="UKG23" s="1902">
        <f t="shared" si="486"/>
        <v>0</v>
      </c>
      <c r="UKH23" s="1902">
        <f t="shared" si="486"/>
        <v>0</v>
      </c>
      <c r="UKI23" s="1902">
        <f t="shared" si="486"/>
        <v>0</v>
      </c>
      <c r="UKJ23" s="1902">
        <f t="shared" si="486"/>
        <v>0</v>
      </c>
      <c r="UKK23" s="1902">
        <f t="shared" si="486"/>
        <v>0</v>
      </c>
      <c r="UKL23" s="1902">
        <f t="shared" si="486"/>
        <v>0</v>
      </c>
      <c r="UKM23" s="1902">
        <f t="shared" si="486"/>
        <v>0</v>
      </c>
      <c r="UKN23" s="1902">
        <f t="shared" si="486"/>
        <v>0</v>
      </c>
      <c r="UKO23" s="1902">
        <f t="shared" si="486"/>
        <v>0</v>
      </c>
      <c r="UKP23" s="1902">
        <f t="shared" si="486"/>
        <v>0</v>
      </c>
      <c r="UKQ23" s="1902">
        <f t="shared" si="486"/>
        <v>0</v>
      </c>
      <c r="UKR23" s="1902">
        <f t="shared" si="486"/>
        <v>0</v>
      </c>
      <c r="UKS23" s="1902">
        <f t="shared" si="486"/>
        <v>0</v>
      </c>
      <c r="UKT23" s="1902">
        <f t="shared" si="486"/>
        <v>0</v>
      </c>
      <c r="UKU23" s="1902">
        <f t="shared" si="486"/>
        <v>0</v>
      </c>
      <c r="UKV23" s="1902">
        <f t="shared" si="486"/>
        <v>0</v>
      </c>
      <c r="UKW23" s="1902">
        <f t="shared" si="486"/>
        <v>0</v>
      </c>
      <c r="UKX23" s="1902">
        <f t="shared" si="486"/>
        <v>0</v>
      </c>
      <c r="UKY23" s="1902">
        <f t="shared" si="486"/>
        <v>0</v>
      </c>
      <c r="UKZ23" s="1902">
        <f t="shared" si="486"/>
        <v>0</v>
      </c>
      <c r="ULA23" s="1902">
        <f t="shared" si="486"/>
        <v>0</v>
      </c>
      <c r="ULB23" s="1902">
        <f t="shared" si="486"/>
        <v>0</v>
      </c>
      <c r="ULC23" s="1902">
        <f t="shared" si="486"/>
        <v>0</v>
      </c>
      <c r="ULD23" s="1902">
        <f t="shared" si="486"/>
        <v>0</v>
      </c>
      <c r="ULE23" s="1902">
        <f t="shared" si="486"/>
        <v>0</v>
      </c>
      <c r="ULF23" s="1902">
        <f t="shared" si="486"/>
        <v>0</v>
      </c>
      <c r="ULG23" s="1902">
        <f t="shared" si="486"/>
        <v>0</v>
      </c>
      <c r="ULH23" s="1902">
        <f t="shared" si="486"/>
        <v>0</v>
      </c>
      <c r="ULI23" s="1902">
        <f t="shared" si="486"/>
        <v>0</v>
      </c>
      <c r="ULJ23" s="1902">
        <f t="shared" si="486"/>
        <v>0</v>
      </c>
      <c r="ULK23" s="1902">
        <f t="shared" si="486"/>
        <v>0</v>
      </c>
      <c r="ULL23" s="1902">
        <f t="shared" si="486"/>
        <v>0</v>
      </c>
      <c r="ULM23" s="1902">
        <f t="shared" si="486"/>
        <v>0</v>
      </c>
      <c r="ULN23" s="1902">
        <f t="shared" si="486"/>
        <v>0</v>
      </c>
      <c r="ULO23" s="1902">
        <f t="shared" si="486"/>
        <v>0</v>
      </c>
      <c r="ULP23" s="1902">
        <f t="shared" si="486"/>
        <v>0</v>
      </c>
      <c r="ULQ23" s="1902">
        <f t="shared" si="486"/>
        <v>0</v>
      </c>
      <c r="ULR23" s="1902">
        <f t="shared" si="486"/>
        <v>0</v>
      </c>
      <c r="ULS23" s="1902">
        <f t="shared" si="486"/>
        <v>0</v>
      </c>
      <c r="ULT23" s="1902">
        <f t="shared" si="486"/>
        <v>0</v>
      </c>
      <c r="ULU23" s="1902">
        <f t="shared" si="486"/>
        <v>0</v>
      </c>
      <c r="ULV23" s="1902">
        <f t="shared" si="486"/>
        <v>0</v>
      </c>
      <c r="ULW23" s="1902">
        <f t="shared" si="486"/>
        <v>0</v>
      </c>
      <c r="ULX23" s="1902">
        <f t="shared" si="486"/>
        <v>0</v>
      </c>
      <c r="ULY23" s="1902">
        <f t="shared" si="486"/>
        <v>0</v>
      </c>
      <c r="ULZ23" s="1902">
        <f t="shared" si="486"/>
        <v>0</v>
      </c>
      <c r="UMA23" s="1902">
        <f t="shared" si="486"/>
        <v>0</v>
      </c>
      <c r="UMB23" s="1902">
        <f t="shared" si="486"/>
        <v>0</v>
      </c>
      <c r="UMC23" s="1902">
        <f t="shared" si="486"/>
        <v>0</v>
      </c>
      <c r="UMD23" s="1902">
        <f t="shared" si="486"/>
        <v>0</v>
      </c>
      <c r="UME23" s="1902">
        <f t="shared" ref="UME23:UOP23" si="487">IF(AND(UME$26="End of period",UME$25="Revenue"),UME10,0)</f>
        <v>0</v>
      </c>
      <c r="UMF23" s="1902">
        <f t="shared" si="487"/>
        <v>0</v>
      </c>
      <c r="UMG23" s="1902">
        <f t="shared" si="487"/>
        <v>0</v>
      </c>
      <c r="UMH23" s="1902">
        <f t="shared" si="487"/>
        <v>0</v>
      </c>
      <c r="UMI23" s="1902">
        <f t="shared" si="487"/>
        <v>0</v>
      </c>
      <c r="UMJ23" s="1902">
        <f t="shared" si="487"/>
        <v>0</v>
      </c>
      <c r="UMK23" s="1902">
        <f t="shared" si="487"/>
        <v>0</v>
      </c>
      <c r="UML23" s="1902">
        <f t="shared" si="487"/>
        <v>0</v>
      </c>
      <c r="UMM23" s="1902">
        <f t="shared" si="487"/>
        <v>0</v>
      </c>
      <c r="UMN23" s="1902">
        <f t="shared" si="487"/>
        <v>0</v>
      </c>
      <c r="UMO23" s="1902">
        <f t="shared" si="487"/>
        <v>0</v>
      </c>
      <c r="UMP23" s="1902">
        <f t="shared" si="487"/>
        <v>0</v>
      </c>
      <c r="UMQ23" s="1902">
        <f t="shared" si="487"/>
        <v>0</v>
      </c>
      <c r="UMR23" s="1902">
        <f t="shared" si="487"/>
        <v>0</v>
      </c>
      <c r="UMS23" s="1902">
        <f t="shared" si="487"/>
        <v>0</v>
      </c>
      <c r="UMT23" s="1902">
        <f t="shared" si="487"/>
        <v>0</v>
      </c>
      <c r="UMU23" s="1902">
        <f t="shared" si="487"/>
        <v>0</v>
      </c>
      <c r="UMV23" s="1902">
        <f t="shared" si="487"/>
        <v>0</v>
      </c>
      <c r="UMW23" s="1902">
        <f t="shared" si="487"/>
        <v>0</v>
      </c>
      <c r="UMX23" s="1902">
        <f t="shared" si="487"/>
        <v>0</v>
      </c>
      <c r="UMY23" s="1902">
        <f t="shared" si="487"/>
        <v>0</v>
      </c>
      <c r="UMZ23" s="1902">
        <f t="shared" si="487"/>
        <v>0</v>
      </c>
      <c r="UNA23" s="1902">
        <f t="shared" si="487"/>
        <v>0</v>
      </c>
      <c r="UNB23" s="1902">
        <f t="shared" si="487"/>
        <v>0</v>
      </c>
      <c r="UNC23" s="1902">
        <f t="shared" si="487"/>
        <v>0</v>
      </c>
      <c r="UND23" s="1902">
        <f t="shared" si="487"/>
        <v>0</v>
      </c>
      <c r="UNE23" s="1902">
        <f t="shared" si="487"/>
        <v>0</v>
      </c>
      <c r="UNF23" s="1902">
        <f t="shared" si="487"/>
        <v>0</v>
      </c>
      <c r="UNG23" s="1902">
        <f t="shared" si="487"/>
        <v>0</v>
      </c>
      <c r="UNH23" s="1902">
        <f t="shared" si="487"/>
        <v>0</v>
      </c>
      <c r="UNI23" s="1902">
        <f t="shared" si="487"/>
        <v>0</v>
      </c>
      <c r="UNJ23" s="1902">
        <f t="shared" si="487"/>
        <v>0</v>
      </c>
      <c r="UNK23" s="1902">
        <f t="shared" si="487"/>
        <v>0</v>
      </c>
      <c r="UNL23" s="1902">
        <f t="shared" si="487"/>
        <v>0</v>
      </c>
      <c r="UNM23" s="1902">
        <f t="shared" si="487"/>
        <v>0</v>
      </c>
      <c r="UNN23" s="1902">
        <f t="shared" si="487"/>
        <v>0</v>
      </c>
      <c r="UNO23" s="1902">
        <f t="shared" si="487"/>
        <v>0</v>
      </c>
      <c r="UNP23" s="1902">
        <f t="shared" si="487"/>
        <v>0</v>
      </c>
      <c r="UNQ23" s="1902">
        <f t="shared" si="487"/>
        <v>0</v>
      </c>
      <c r="UNR23" s="1902">
        <f t="shared" si="487"/>
        <v>0</v>
      </c>
      <c r="UNS23" s="1902">
        <f t="shared" si="487"/>
        <v>0</v>
      </c>
      <c r="UNT23" s="1902">
        <f t="shared" si="487"/>
        <v>0</v>
      </c>
      <c r="UNU23" s="1902">
        <f t="shared" si="487"/>
        <v>0</v>
      </c>
      <c r="UNV23" s="1902">
        <f t="shared" si="487"/>
        <v>0</v>
      </c>
      <c r="UNW23" s="1902">
        <f t="shared" si="487"/>
        <v>0</v>
      </c>
      <c r="UNX23" s="1902">
        <f t="shared" si="487"/>
        <v>0</v>
      </c>
      <c r="UNY23" s="1902">
        <f t="shared" si="487"/>
        <v>0</v>
      </c>
      <c r="UNZ23" s="1902">
        <f t="shared" si="487"/>
        <v>0</v>
      </c>
      <c r="UOA23" s="1902">
        <f t="shared" si="487"/>
        <v>0</v>
      </c>
      <c r="UOB23" s="1902">
        <f t="shared" si="487"/>
        <v>0</v>
      </c>
      <c r="UOC23" s="1902">
        <f t="shared" si="487"/>
        <v>0</v>
      </c>
      <c r="UOD23" s="1902">
        <f t="shared" si="487"/>
        <v>0</v>
      </c>
      <c r="UOE23" s="1902">
        <f t="shared" si="487"/>
        <v>0</v>
      </c>
      <c r="UOF23" s="1902">
        <f t="shared" si="487"/>
        <v>0</v>
      </c>
      <c r="UOG23" s="1902">
        <f t="shared" si="487"/>
        <v>0</v>
      </c>
      <c r="UOH23" s="1902">
        <f t="shared" si="487"/>
        <v>0</v>
      </c>
      <c r="UOI23" s="1902">
        <f t="shared" si="487"/>
        <v>0</v>
      </c>
      <c r="UOJ23" s="1902">
        <f t="shared" si="487"/>
        <v>0</v>
      </c>
      <c r="UOK23" s="1902">
        <f t="shared" si="487"/>
        <v>0</v>
      </c>
      <c r="UOL23" s="1902">
        <f t="shared" si="487"/>
        <v>0</v>
      </c>
      <c r="UOM23" s="1902">
        <f t="shared" si="487"/>
        <v>0</v>
      </c>
      <c r="UON23" s="1902">
        <f t="shared" si="487"/>
        <v>0</v>
      </c>
      <c r="UOO23" s="1902">
        <f t="shared" si="487"/>
        <v>0</v>
      </c>
      <c r="UOP23" s="1902">
        <f t="shared" si="487"/>
        <v>0</v>
      </c>
      <c r="UOQ23" s="1902">
        <f t="shared" ref="UOQ23:URB23" si="488">IF(AND(UOQ$26="End of period",UOQ$25="Revenue"),UOQ10,0)</f>
        <v>0</v>
      </c>
      <c r="UOR23" s="1902">
        <f t="shared" si="488"/>
        <v>0</v>
      </c>
      <c r="UOS23" s="1902">
        <f t="shared" si="488"/>
        <v>0</v>
      </c>
      <c r="UOT23" s="1902">
        <f t="shared" si="488"/>
        <v>0</v>
      </c>
      <c r="UOU23" s="1902">
        <f t="shared" si="488"/>
        <v>0</v>
      </c>
      <c r="UOV23" s="1902">
        <f t="shared" si="488"/>
        <v>0</v>
      </c>
      <c r="UOW23" s="1902">
        <f t="shared" si="488"/>
        <v>0</v>
      </c>
      <c r="UOX23" s="1902">
        <f t="shared" si="488"/>
        <v>0</v>
      </c>
      <c r="UOY23" s="1902">
        <f t="shared" si="488"/>
        <v>0</v>
      </c>
      <c r="UOZ23" s="1902">
        <f t="shared" si="488"/>
        <v>0</v>
      </c>
      <c r="UPA23" s="1902">
        <f t="shared" si="488"/>
        <v>0</v>
      </c>
      <c r="UPB23" s="1902">
        <f t="shared" si="488"/>
        <v>0</v>
      </c>
      <c r="UPC23" s="1902">
        <f t="shared" si="488"/>
        <v>0</v>
      </c>
      <c r="UPD23" s="1902">
        <f t="shared" si="488"/>
        <v>0</v>
      </c>
      <c r="UPE23" s="1902">
        <f t="shared" si="488"/>
        <v>0</v>
      </c>
      <c r="UPF23" s="1902">
        <f t="shared" si="488"/>
        <v>0</v>
      </c>
      <c r="UPG23" s="1902">
        <f t="shared" si="488"/>
        <v>0</v>
      </c>
      <c r="UPH23" s="1902">
        <f t="shared" si="488"/>
        <v>0</v>
      </c>
      <c r="UPI23" s="1902">
        <f t="shared" si="488"/>
        <v>0</v>
      </c>
      <c r="UPJ23" s="1902">
        <f t="shared" si="488"/>
        <v>0</v>
      </c>
      <c r="UPK23" s="1902">
        <f t="shared" si="488"/>
        <v>0</v>
      </c>
      <c r="UPL23" s="1902">
        <f t="shared" si="488"/>
        <v>0</v>
      </c>
      <c r="UPM23" s="1902">
        <f t="shared" si="488"/>
        <v>0</v>
      </c>
      <c r="UPN23" s="1902">
        <f t="shared" si="488"/>
        <v>0</v>
      </c>
      <c r="UPO23" s="1902">
        <f t="shared" si="488"/>
        <v>0</v>
      </c>
      <c r="UPP23" s="1902">
        <f t="shared" si="488"/>
        <v>0</v>
      </c>
      <c r="UPQ23" s="1902">
        <f t="shared" si="488"/>
        <v>0</v>
      </c>
      <c r="UPR23" s="1902">
        <f t="shared" si="488"/>
        <v>0</v>
      </c>
      <c r="UPS23" s="1902">
        <f t="shared" si="488"/>
        <v>0</v>
      </c>
      <c r="UPT23" s="1902">
        <f t="shared" si="488"/>
        <v>0</v>
      </c>
      <c r="UPU23" s="1902">
        <f t="shared" si="488"/>
        <v>0</v>
      </c>
      <c r="UPV23" s="1902">
        <f t="shared" si="488"/>
        <v>0</v>
      </c>
      <c r="UPW23" s="1902">
        <f t="shared" si="488"/>
        <v>0</v>
      </c>
      <c r="UPX23" s="1902">
        <f t="shared" si="488"/>
        <v>0</v>
      </c>
      <c r="UPY23" s="1902">
        <f t="shared" si="488"/>
        <v>0</v>
      </c>
      <c r="UPZ23" s="1902">
        <f t="shared" si="488"/>
        <v>0</v>
      </c>
      <c r="UQA23" s="1902">
        <f t="shared" si="488"/>
        <v>0</v>
      </c>
      <c r="UQB23" s="1902">
        <f t="shared" si="488"/>
        <v>0</v>
      </c>
      <c r="UQC23" s="1902">
        <f t="shared" si="488"/>
        <v>0</v>
      </c>
      <c r="UQD23" s="1902">
        <f t="shared" si="488"/>
        <v>0</v>
      </c>
      <c r="UQE23" s="1902">
        <f t="shared" si="488"/>
        <v>0</v>
      </c>
      <c r="UQF23" s="1902">
        <f t="shared" si="488"/>
        <v>0</v>
      </c>
      <c r="UQG23" s="1902">
        <f t="shared" si="488"/>
        <v>0</v>
      </c>
      <c r="UQH23" s="1902">
        <f t="shared" si="488"/>
        <v>0</v>
      </c>
      <c r="UQI23" s="1902">
        <f t="shared" si="488"/>
        <v>0</v>
      </c>
      <c r="UQJ23" s="1902">
        <f t="shared" si="488"/>
        <v>0</v>
      </c>
      <c r="UQK23" s="1902">
        <f t="shared" si="488"/>
        <v>0</v>
      </c>
      <c r="UQL23" s="1902">
        <f t="shared" si="488"/>
        <v>0</v>
      </c>
      <c r="UQM23" s="1902">
        <f t="shared" si="488"/>
        <v>0</v>
      </c>
      <c r="UQN23" s="1902">
        <f t="shared" si="488"/>
        <v>0</v>
      </c>
      <c r="UQO23" s="1902">
        <f t="shared" si="488"/>
        <v>0</v>
      </c>
      <c r="UQP23" s="1902">
        <f t="shared" si="488"/>
        <v>0</v>
      </c>
      <c r="UQQ23" s="1902">
        <f t="shared" si="488"/>
        <v>0</v>
      </c>
      <c r="UQR23" s="1902">
        <f t="shared" si="488"/>
        <v>0</v>
      </c>
      <c r="UQS23" s="1902">
        <f t="shared" si="488"/>
        <v>0</v>
      </c>
      <c r="UQT23" s="1902">
        <f t="shared" si="488"/>
        <v>0</v>
      </c>
      <c r="UQU23" s="1902">
        <f t="shared" si="488"/>
        <v>0</v>
      </c>
      <c r="UQV23" s="1902">
        <f t="shared" si="488"/>
        <v>0</v>
      </c>
      <c r="UQW23" s="1902">
        <f t="shared" si="488"/>
        <v>0</v>
      </c>
      <c r="UQX23" s="1902">
        <f t="shared" si="488"/>
        <v>0</v>
      </c>
      <c r="UQY23" s="1902">
        <f t="shared" si="488"/>
        <v>0</v>
      </c>
      <c r="UQZ23" s="1902">
        <f t="shared" si="488"/>
        <v>0</v>
      </c>
      <c r="URA23" s="1902">
        <f t="shared" si="488"/>
        <v>0</v>
      </c>
      <c r="URB23" s="1902">
        <f t="shared" si="488"/>
        <v>0</v>
      </c>
      <c r="URC23" s="1902">
        <f t="shared" ref="URC23:UTN23" si="489">IF(AND(URC$26="End of period",URC$25="Revenue"),URC10,0)</f>
        <v>0</v>
      </c>
      <c r="URD23" s="1902">
        <f t="shared" si="489"/>
        <v>0</v>
      </c>
      <c r="URE23" s="1902">
        <f t="shared" si="489"/>
        <v>0</v>
      </c>
      <c r="URF23" s="1902">
        <f t="shared" si="489"/>
        <v>0</v>
      </c>
      <c r="URG23" s="1902">
        <f t="shared" si="489"/>
        <v>0</v>
      </c>
      <c r="URH23" s="1902">
        <f t="shared" si="489"/>
        <v>0</v>
      </c>
      <c r="URI23" s="1902">
        <f t="shared" si="489"/>
        <v>0</v>
      </c>
      <c r="URJ23" s="1902">
        <f t="shared" si="489"/>
        <v>0</v>
      </c>
      <c r="URK23" s="1902">
        <f t="shared" si="489"/>
        <v>0</v>
      </c>
      <c r="URL23" s="1902">
        <f t="shared" si="489"/>
        <v>0</v>
      </c>
      <c r="URM23" s="1902">
        <f t="shared" si="489"/>
        <v>0</v>
      </c>
      <c r="URN23" s="1902">
        <f t="shared" si="489"/>
        <v>0</v>
      </c>
      <c r="URO23" s="1902">
        <f t="shared" si="489"/>
        <v>0</v>
      </c>
      <c r="URP23" s="1902">
        <f t="shared" si="489"/>
        <v>0</v>
      </c>
      <c r="URQ23" s="1902">
        <f t="shared" si="489"/>
        <v>0</v>
      </c>
      <c r="URR23" s="1902">
        <f t="shared" si="489"/>
        <v>0</v>
      </c>
      <c r="URS23" s="1902">
        <f t="shared" si="489"/>
        <v>0</v>
      </c>
      <c r="URT23" s="1902">
        <f t="shared" si="489"/>
        <v>0</v>
      </c>
      <c r="URU23" s="1902">
        <f t="shared" si="489"/>
        <v>0</v>
      </c>
      <c r="URV23" s="1902">
        <f t="shared" si="489"/>
        <v>0</v>
      </c>
      <c r="URW23" s="1902">
        <f t="shared" si="489"/>
        <v>0</v>
      </c>
      <c r="URX23" s="1902">
        <f t="shared" si="489"/>
        <v>0</v>
      </c>
      <c r="URY23" s="1902">
        <f t="shared" si="489"/>
        <v>0</v>
      </c>
      <c r="URZ23" s="1902">
        <f t="shared" si="489"/>
        <v>0</v>
      </c>
      <c r="USA23" s="1902">
        <f t="shared" si="489"/>
        <v>0</v>
      </c>
      <c r="USB23" s="1902">
        <f t="shared" si="489"/>
        <v>0</v>
      </c>
      <c r="USC23" s="1902">
        <f t="shared" si="489"/>
        <v>0</v>
      </c>
      <c r="USD23" s="1902">
        <f t="shared" si="489"/>
        <v>0</v>
      </c>
      <c r="USE23" s="1902">
        <f t="shared" si="489"/>
        <v>0</v>
      </c>
      <c r="USF23" s="1902">
        <f t="shared" si="489"/>
        <v>0</v>
      </c>
      <c r="USG23" s="1902">
        <f t="shared" si="489"/>
        <v>0</v>
      </c>
      <c r="USH23" s="1902">
        <f t="shared" si="489"/>
        <v>0</v>
      </c>
      <c r="USI23" s="1902">
        <f t="shared" si="489"/>
        <v>0</v>
      </c>
      <c r="USJ23" s="1902">
        <f t="shared" si="489"/>
        <v>0</v>
      </c>
      <c r="USK23" s="1902">
        <f t="shared" si="489"/>
        <v>0</v>
      </c>
      <c r="USL23" s="1902">
        <f t="shared" si="489"/>
        <v>0</v>
      </c>
      <c r="USM23" s="1902">
        <f t="shared" si="489"/>
        <v>0</v>
      </c>
      <c r="USN23" s="1902">
        <f t="shared" si="489"/>
        <v>0</v>
      </c>
      <c r="USO23" s="1902">
        <f t="shared" si="489"/>
        <v>0</v>
      </c>
      <c r="USP23" s="1902">
        <f t="shared" si="489"/>
        <v>0</v>
      </c>
      <c r="USQ23" s="1902">
        <f t="shared" si="489"/>
        <v>0</v>
      </c>
      <c r="USR23" s="1902">
        <f t="shared" si="489"/>
        <v>0</v>
      </c>
      <c r="USS23" s="1902">
        <f t="shared" si="489"/>
        <v>0</v>
      </c>
      <c r="UST23" s="1902">
        <f t="shared" si="489"/>
        <v>0</v>
      </c>
      <c r="USU23" s="1902">
        <f t="shared" si="489"/>
        <v>0</v>
      </c>
      <c r="USV23" s="1902">
        <f t="shared" si="489"/>
        <v>0</v>
      </c>
      <c r="USW23" s="1902">
        <f t="shared" si="489"/>
        <v>0</v>
      </c>
      <c r="USX23" s="1902">
        <f t="shared" si="489"/>
        <v>0</v>
      </c>
      <c r="USY23" s="1902">
        <f t="shared" si="489"/>
        <v>0</v>
      </c>
      <c r="USZ23" s="1902">
        <f t="shared" si="489"/>
        <v>0</v>
      </c>
      <c r="UTA23" s="1902">
        <f t="shared" si="489"/>
        <v>0</v>
      </c>
      <c r="UTB23" s="1902">
        <f t="shared" si="489"/>
        <v>0</v>
      </c>
      <c r="UTC23" s="1902">
        <f t="shared" si="489"/>
        <v>0</v>
      </c>
      <c r="UTD23" s="1902">
        <f t="shared" si="489"/>
        <v>0</v>
      </c>
      <c r="UTE23" s="1902">
        <f t="shared" si="489"/>
        <v>0</v>
      </c>
      <c r="UTF23" s="1902">
        <f t="shared" si="489"/>
        <v>0</v>
      </c>
      <c r="UTG23" s="1902">
        <f t="shared" si="489"/>
        <v>0</v>
      </c>
      <c r="UTH23" s="1902">
        <f t="shared" si="489"/>
        <v>0</v>
      </c>
      <c r="UTI23" s="1902">
        <f t="shared" si="489"/>
        <v>0</v>
      </c>
      <c r="UTJ23" s="1902">
        <f t="shared" si="489"/>
        <v>0</v>
      </c>
      <c r="UTK23" s="1902">
        <f t="shared" si="489"/>
        <v>0</v>
      </c>
      <c r="UTL23" s="1902">
        <f t="shared" si="489"/>
        <v>0</v>
      </c>
      <c r="UTM23" s="1902">
        <f t="shared" si="489"/>
        <v>0</v>
      </c>
      <c r="UTN23" s="1902">
        <f t="shared" si="489"/>
        <v>0</v>
      </c>
      <c r="UTO23" s="1902">
        <f t="shared" ref="UTO23:UVZ23" si="490">IF(AND(UTO$26="End of period",UTO$25="Revenue"),UTO10,0)</f>
        <v>0</v>
      </c>
      <c r="UTP23" s="1902">
        <f t="shared" si="490"/>
        <v>0</v>
      </c>
      <c r="UTQ23" s="1902">
        <f t="shared" si="490"/>
        <v>0</v>
      </c>
      <c r="UTR23" s="1902">
        <f t="shared" si="490"/>
        <v>0</v>
      </c>
      <c r="UTS23" s="1902">
        <f t="shared" si="490"/>
        <v>0</v>
      </c>
      <c r="UTT23" s="1902">
        <f t="shared" si="490"/>
        <v>0</v>
      </c>
      <c r="UTU23" s="1902">
        <f t="shared" si="490"/>
        <v>0</v>
      </c>
      <c r="UTV23" s="1902">
        <f t="shared" si="490"/>
        <v>0</v>
      </c>
      <c r="UTW23" s="1902">
        <f t="shared" si="490"/>
        <v>0</v>
      </c>
      <c r="UTX23" s="1902">
        <f t="shared" si="490"/>
        <v>0</v>
      </c>
      <c r="UTY23" s="1902">
        <f t="shared" si="490"/>
        <v>0</v>
      </c>
      <c r="UTZ23" s="1902">
        <f t="shared" si="490"/>
        <v>0</v>
      </c>
      <c r="UUA23" s="1902">
        <f t="shared" si="490"/>
        <v>0</v>
      </c>
      <c r="UUB23" s="1902">
        <f t="shared" si="490"/>
        <v>0</v>
      </c>
      <c r="UUC23" s="1902">
        <f t="shared" si="490"/>
        <v>0</v>
      </c>
      <c r="UUD23" s="1902">
        <f t="shared" si="490"/>
        <v>0</v>
      </c>
      <c r="UUE23" s="1902">
        <f t="shared" si="490"/>
        <v>0</v>
      </c>
      <c r="UUF23" s="1902">
        <f t="shared" si="490"/>
        <v>0</v>
      </c>
      <c r="UUG23" s="1902">
        <f t="shared" si="490"/>
        <v>0</v>
      </c>
      <c r="UUH23" s="1902">
        <f t="shared" si="490"/>
        <v>0</v>
      </c>
      <c r="UUI23" s="1902">
        <f t="shared" si="490"/>
        <v>0</v>
      </c>
      <c r="UUJ23" s="1902">
        <f t="shared" si="490"/>
        <v>0</v>
      </c>
      <c r="UUK23" s="1902">
        <f t="shared" si="490"/>
        <v>0</v>
      </c>
      <c r="UUL23" s="1902">
        <f t="shared" si="490"/>
        <v>0</v>
      </c>
      <c r="UUM23" s="1902">
        <f t="shared" si="490"/>
        <v>0</v>
      </c>
      <c r="UUN23" s="1902">
        <f t="shared" si="490"/>
        <v>0</v>
      </c>
      <c r="UUO23" s="1902">
        <f t="shared" si="490"/>
        <v>0</v>
      </c>
      <c r="UUP23" s="1902">
        <f t="shared" si="490"/>
        <v>0</v>
      </c>
      <c r="UUQ23" s="1902">
        <f t="shared" si="490"/>
        <v>0</v>
      </c>
      <c r="UUR23" s="1902">
        <f t="shared" si="490"/>
        <v>0</v>
      </c>
      <c r="UUS23" s="1902">
        <f t="shared" si="490"/>
        <v>0</v>
      </c>
      <c r="UUT23" s="1902">
        <f t="shared" si="490"/>
        <v>0</v>
      </c>
      <c r="UUU23" s="1902">
        <f t="shared" si="490"/>
        <v>0</v>
      </c>
      <c r="UUV23" s="1902">
        <f t="shared" si="490"/>
        <v>0</v>
      </c>
      <c r="UUW23" s="1902">
        <f t="shared" si="490"/>
        <v>0</v>
      </c>
      <c r="UUX23" s="1902">
        <f t="shared" si="490"/>
        <v>0</v>
      </c>
      <c r="UUY23" s="1902">
        <f t="shared" si="490"/>
        <v>0</v>
      </c>
      <c r="UUZ23" s="1902">
        <f t="shared" si="490"/>
        <v>0</v>
      </c>
      <c r="UVA23" s="1902">
        <f t="shared" si="490"/>
        <v>0</v>
      </c>
      <c r="UVB23" s="1902">
        <f t="shared" si="490"/>
        <v>0</v>
      </c>
      <c r="UVC23" s="1902">
        <f t="shared" si="490"/>
        <v>0</v>
      </c>
      <c r="UVD23" s="1902">
        <f t="shared" si="490"/>
        <v>0</v>
      </c>
      <c r="UVE23" s="1902">
        <f t="shared" si="490"/>
        <v>0</v>
      </c>
      <c r="UVF23" s="1902">
        <f t="shared" si="490"/>
        <v>0</v>
      </c>
      <c r="UVG23" s="1902">
        <f t="shared" si="490"/>
        <v>0</v>
      </c>
      <c r="UVH23" s="1902">
        <f t="shared" si="490"/>
        <v>0</v>
      </c>
      <c r="UVI23" s="1902">
        <f t="shared" si="490"/>
        <v>0</v>
      </c>
      <c r="UVJ23" s="1902">
        <f t="shared" si="490"/>
        <v>0</v>
      </c>
      <c r="UVK23" s="1902">
        <f t="shared" si="490"/>
        <v>0</v>
      </c>
      <c r="UVL23" s="1902">
        <f t="shared" si="490"/>
        <v>0</v>
      </c>
      <c r="UVM23" s="1902">
        <f t="shared" si="490"/>
        <v>0</v>
      </c>
      <c r="UVN23" s="1902">
        <f t="shared" si="490"/>
        <v>0</v>
      </c>
      <c r="UVO23" s="1902">
        <f t="shared" si="490"/>
        <v>0</v>
      </c>
      <c r="UVP23" s="1902">
        <f t="shared" si="490"/>
        <v>0</v>
      </c>
      <c r="UVQ23" s="1902">
        <f t="shared" si="490"/>
        <v>0</v>
      </c>
      <c r="UVR23" s="1902">
        <f t="shared" si="490"/>
        <v>0</v>
      </c>
      <c r="UVS23" s="1902">
        <f t="shared" si="490"/>
        <v>0</v>
      </c>
      <c r="UVT23" s="1902">
        <f t="shared" si="490"/>
        <v>0</v>
      </c>
      <c r="UVU23" s="1902">
        <f t="shared" si="490"/>
        <v>0</v>
      </c>
      <c r="UVV23" s="1902">
        <f t="shared" si="490"/>
        <v>0</v>
      </c>
      <c r="UVW23" s="1902">
        <f t="shared" si="490"/>
        <v>0</v>
      </c>
      <c r="UVX23" s="1902">
        <f t="shared" si="490"/>
        <v>0</v>
      </c>
      <c r="UVY23" s="1902">
        <f t="shared" si="490"/>
        <v>0</v>
      </c>
      <c r="UVZ23" s="1902">
        <f t="shared" si="490"/>
        <v>0</v>
      </c>
      <c r="UWA23" s="1902">
        <f t="shared" ref="UWA23:UYL23" si="491">IF(AND(UWA$26="End of period",UWA$25="Revenue"),UWA10,0)</f>
        <v>0</v>
      </c>
      <c r="UWB23" s="1902">
        <f t="shared" si="491"/>
        <v>0</v>
      </c>
      <c r="UWC23" s="1902">
        <f t="shared" si="491"/>
        <v>0</v>
      </c>
      <c r="UWD23" s="1902">
        <f t="shared" si="491"/>
        <v>0</v>
      </c>
      <c r="UWE23" s="1902">
        <f t="shared" si="491"/>
        <v>0</v>
      </c>
      <c r="UWF23" s="1902">
        <f t="shared" si="491"/>
        <v>0</v>
      </c>
      <c r="UWG23" s="1902">
        <f t="shared" si="491"/>
        <v>0</v>
      </c>
      <c r="UWH23" s="1902">
        <f t="shared" si="491"/>
        <v>0</v>
      </c>
      <c r="UWI23" s="1902">
        <f t="shared" si="491"/>
        <v>0</v>
      </c>
      <c r="UWJ23" s="1902">
        <f t="shared" si="491"/>
        <v>0</v>
      </c>
      <c r="UWK23" s="1902">
        <f t="shared" si="491"/>
        <v>0</v>
      </c>
      <c r="UWL23" s="1902">
        <f t="shared" si="491"/>
        <v>0</v>
      </c>
      <c r="UWM23" s="1902">
        <f t="shared" si="491"/>
        <v>0</v>
      </c>
      <c r="UWN23" s="1902">
        <f t="shared" si="491"/>
        <v>0</v>
      </c>
      <c r="UWO23" s="1902">
        <f t="shared" si="491"/>
        <v>0</v>
      </c>
      <c r="UWP23" s="1902">
        <f t="shared" si="491"/>
        <v>0</v>
      </c>
      <c r="UWQ23" s="1902">
        <f t="shared" si="491"/>
        <v>0</v>
      </c>
      <c r="UWR23" s="1902">
        <f t="shared" si="491"/>
        <v>0</v>
      </c>
      <c r="UWS23" s="1902">
        <f t="shared" si="491"/>
        <v>0</v>
      </c>
      <c r="UWT23" s="1902">
        <f t="shared" si="491"/>
        <v>0</v>
      </c>
      <c r="UWU23" s="1902">
        <f t="shared" si="491"/>
        <v>0</v>
      </c>
      <c r="UWV23" s="1902">
        <f t="shared" si="491"/>
        <v>0</v>
      </c>
      <c r="UWW23" s="1902">
        <f t="shared" si="491"/>
        <v>0</v>
      </c>
      <c r="UWX23" s="1902">
        <f t="shared" si="491"/>
        <v>0</v>
      </c>
      <c r="UWY23" s="1902">
        <f t="shared" si="491"/>
        <v>0</v>
      </c>
      <c r="UWZ23" s="1902">
        <f t="shared" si="491"/>
        <v>0</v>
      </c>
      <c r="UXA23" s="1902">
        <f t="shared" si="491"/>
        <v>0</v>
      </c>
      <c r="UXB23" s="1902">
        <f t="shared" si="491"/>
        <v>0</v>
      </c>
      <c r="UXC23" s="1902">
        <f t="shared" si="491"/>
        <v>0</v>
      </c>
      <c r="UXD23" s="1902">
        <f t="shared" si="491"/>
        <v>0</v>
      </c>
      <c r="UXE23" s="1902">
        <f t="shared" si="491"/>
        <v>0</v>
      </c>
      <c r="UXF23" s="1902">
        <f t="shared" si="491"/>
        <v>0</v>
      </c>
      <c r="UXG23" s="1902">
        <f t="shared" si="491"/>
        <v>0</v>
      </c>
      <c r="UXH23" s="1902">
        <f t="shared" si="491"/>
        <v>0</v>
      </c>
      <c r="UXI23" s="1902">
        <f t="shared" si="491"/>
        <v>0</v>
      </c>
      <c r="UXJ23" s="1902">
        <f t="shared" si="491"/>
        <v>0</v>
      </c>
      <c r="UXK23" s="1902">
        <f t="shared" si="491"/>
        <v>0</v>
      </c>
      <c r="UXL23" s="1902">
        <f t="shared" si="491"/>
        <v>0</v>
      </c>
      <c r="UXM23" s="1902">
        <f t="shared" si="491"/>
        <v>0</v>
      </c>
      <c r="UXN23" s="1902">
        <f t="shared" si="491"/>
        <v>0</v>
      </c>
      <c r="UXO23" s="1902">
        <f t="shared" si="491"/>
        <v>0</v>
      </c>
      <c r="UXP23" s="1902">
        <f t="shared" si="491"/>
        <v>0</v>
      </c>
      <c r="UXQ23" s="1902">
        <f t="shared" si="491"/>
        <v>0</v>
      </c>
      <c r="UXR23" s="1902">
        <f t="shared" si="491"/>
        <v>0</v>
      </c>
      <c r="UXS23" s="1902">
        <f t="shared" si="491"/>
        <v>0</v>
      </c>
      <c r="UXT23" s="1902">
        <f t="shared" si="491"/>
        <v>0</v>
      </c>
      <c r="UXU23" s="1902">
        <f t="shared" si="491"/>
        <v>0</v>
      </c>
      <c r="UXV23" s="1902">
        <f t="shared" si="491"/>
        <v>0</v>
      </c>
      <c r="UXW23" s="1902">
        <f t="shared" si="491"/>
        <v>0</v>
      </c>
      <c r="UXX23" s="1902">
        <f t="shared" si="491"/>
        <v>0</v>
      </c>
      <c r="UXY23" s="1902">
        <f t="shared" si="491"/>
        <v>0</v>
      </c>
      <c r="UXZ23" s="1902">
        <f t="shared" si="491"/>
        <v>0</v>
      </c>
      <c r="UYA23" s="1902">
        <f t="shared" si="491"/>
        <v>0</v>
      </c>
      <c r="UYB23" s="1902">
        <f t="shared" si="491"/>
        <v>0</v>
      </c>
      <c r="UYC23" s="1902">
        <f t="shared" si="491"/>
        <v>0</v>
      </c>
      <c r="UYD23" s="1902">
        <f t="shared" si="491"/>
        <v>0</v>
      </c>
      <c r="UYE23" s="1902">
        <f t="shared" si="491"/>
        <v>0</v>
      </c>
      <c r="UYF23" s="1902">
        <f t="shared" si="491"/>
        <v>0</v>
      </c>
      <c r="UYG23" s="1902">
        <f t="shared" si="491"/>
        <v>0</v>
      </c>
      <c r="UYH23" s="1902">
        <f t="shared" si="491"/>
        <v>0</v>
      </c>
      <c r="UYI23" s="1902">
        <f t="shared" si="491"/>
        <v>0</v>
      </c>
      <c r="UYJ23" s="1902">
        <f t="shared" si="491"/>
        <v>0</v>
      </c>
      <c r="UYK23" s="1902">
        <f t="shared" si="491"/>
        <v>0</v>
      </c>
      <c r="UYL23" s="1902">
        <f t="shared" si="491"/>
        <v>0</v>
      </c>
      <c r="UYM23" s="1902">
        <f t="shared" ref="UYM23:VAX23" si="492">IF(AND(UYM$26="End of period",UYM$25="Revenue"),UYM10,0)</f>
        <v>0</v>
      </c>
      <c r="UYN23" s="1902">
        <f t="shared" si="492"/>
        <v>0</v>
      </c>
      <c r="UYO23" s="1902">
        <f t="shared" si="492"/>
        <v>0</v>
      </c>
      <c r="UYP23" s="1902">
        <f t="shared" si="492"/>
        <v>0</v>
      </c>
      <c r="UYQ23" s="1902">
        <f t="shared" si="492"/>
        <v>0</v>
      </c>
      <c r="UYR23" s="1902">
        <f t="shared" si="492"/>
        <v>0</v>
      </c>
      <c r="UYS23" s="1902">
        <f t="shared" si="492"/>
        <v>0</v>
      </c>
      <c r="UYT23" s="1902">
        <f t="shared" si="492"/>
        <v>0</v>
      </c>
      <c r="UYU23" s="1902">
        <f t="shared" si="492"/>
        <v>0</v>
      </c>
      <c r="UYV23" s="1902">
        <f t="shared" si="492"/>
        <v>0</v>
      </c>
      <c r="UYW23" s="1902">
        <f t="shared" si="492"/>
        <v>0</v>
      </c>
      <c r="UYX23" s="1902">
        <f t="shared" si="492"/>
        <v>0</v>
      </c>
      <c r="UYY23" s="1902">
        <f t="shared" si="492"/>
        <v>0</v>
      </c>
      <c r="UYZ23" s="1902">
        <f t="shared" si="492"/>
        <v>0</v>
      </c>
      <c r="UZA23" s="1902">
        <f t="shared" si="492"/>
        <v>0</v>
      </c>
      <c r="UZB23" s="1902">
        <f t="shared" si="492"/>
        <v>0</v>
      </c>
      <c r="UZC23" s="1902">
        <f t="shared" si="492"/>
        <v>0</v>
      </c>
      <c r="UZD23" s="1902">
        <f t="shared" si="492"/>
        <v>0</v>
      </c>
      <c r="UZE23" s="1902">
        <f t="shared" si="492"/>
        <v>0</v>
      </c>
      <c r="UZF23" s="1902">
        <f t="shared" si="492"/>
        <v>0</v>
      </c>
      <c r="UZG23" s="1902">
        <f t="shared" si="492"/>
        <v>0</v>
      </c>
      <c r="UZH23" s="1902">
        <f t="shared" si="492"/>
        <v>0</v>
      </c>
      <c r="UZI23" s="1902">
        <f t="shared" si="492"/>
        <v>0</v>
      </c>
      <c r="UZJ23" s="1902">
        <f t="shared" si="492"/>
        <v>0</v>
      </c>
      <c r="UZK23" s="1902">
        <f t="shared" si="492"/>
        <v>0</v>
      </c>
      <c r="UZL23" s="1902">
        <f t="shared" si="492"/>
        <v>0</v>
      </c>
      <c r="UZM23" s="1902">
        <f t="shared" si="492"/>
        <v>0</v>
      </c>
      <c r="UZN23" s="1902">
        <f t="shared" si="492"/>
        <v>0</v>
      </c>
      <c r="UZO23" s="1902">
        <f t="shared" si="492"/>
        <v>0</v>
      </c>
      <c r="UZP23" s="1902">
        <f t="shared" si="492"/>
        <v>0</v>
      </c>
      <c r="UZQ23" s="1902">
        <f t="shared" si="492"/>
        <v>0</v>
      </c>
      <c r="UZR23" s="1902">
        <f t="shared" si="492"/>
        <v>0</v>
      </c>
      <c r="UZS23" s="1902">
        <f t="shared" si="492"/>
        <v>0</v>
      </c>
      <c r="UZT23" s="1902">
        <f t="shared" si="492"/>
        <v>0</v>
      </c>
      <c r="UZU23" s="1902">
        <f t="shared" si="492"/>
        <v>0</v>
      </c>
      <c r="UZV23" s="1902">
        <f t="shared" si="492"/>
        <v>0</v>
      </c>
      <c r="UZW23" s="1902">
        <f t="shared" si="492"/>
        <v>0</v>
      </c>
      <c r="UZX23" s="1902">
        <f t="shared" si="492"/>
        <v>0</v>
      </c>
      <c r="UZY23" s="1902">
        <f t="shared" si="492"/>
        <v>0</v>
      </c>
      <c r="UZZ23" s="1902">
        <f t="shared" si="492"/>
        <v>0</v>
      </c>
      <c r="VAA23" s="1902">
        <f t="shared" si="492"/>
        <v>0</v>
      </c>
      <c r="VAB23" s="1902">
        <f t="shared" si="492"/>
        <v>0</v>
      </c>
      <c r="VAC23" s="1902">
        <f t="shared" si="492"/>
        <v>0</v>
      </c>
      <c r="VAD23" s="1902">
        <f t="shared" si="492"/>
        <v>0</v>
      </c>
      <c r="VAE23" s="1902">
        <f t="shared" si="492"/>
        <v>0</v>
      </c>
      <c r="VAF23" s="1902">
        <f t="shared" si="492"/>
        <v>0</v>
      </c>
      <c r="VAG23" s="1902">
        <f t="shared" si="492"/>
        <v>0</v>
      </c>
      <c r="VAH23" s="1902">
        <f t="shared" si="492"/>
        <v>0</v>
      </c>
      <c r="VAI23" s="1902">
        <f t="shared" si="492"/>
        <v>0</v>
      </c>
      <c r="VAJ23" s="1902">
        <f t="shared" si="492"/>
        <v>0</v>
      </c>
      <c r="VAK23" s="1902">
        <f t="shared" si="492"/>
        <v>0</v>
      </c>
      <c r="VAL23" s="1902">
        <f t="shared" si="492"/>
        <v>0</v>
      </c>
      <c r="VAM23" s="1902">
        <f t="shared" si="492"/>
        <v>0</v>
      </c>
      <c r="VAN23" s="1902">
        <f t="shared" si="492"/>
        <v>0</v>
      </c>
      <c r="VAO23" s="1902">
        <f t="shared" si="492"/>
        <v>0</v>
      </c>
      <c r="VAP23" s="1902">
        <f t="shared" si="492"/>
        <v>0</v>
      </c>
      <c r="VAQ23" s="1902">
        <f t="shared" si="492"/>
        <v>0</v>
      </c>
      <c r="VAR23" s="1902">
        <f t="shared" si="492"/>
        <v>0</v>
      </c>
      <c r="VAS23" s="1902">
        <f t="shared" si="492"/>
        <v>0</v>
      </c>
      <c r="VAT23" s="1902">
        <f t="shared" si="492"/>
        <v>0</v>
      </c>
      <c r="VAU23" s="1902">
        <f t="shared" si="492"/>
        <v>0</v>
      </c>
      <c r="VAV23" s="1902">
        <f t="shared" si="492"/>
        <v>0</v>
      </c>
      <c r="VAW23" s="1902">
        <f t="shared" si="492"/>
        <v>0</v>
      </c>
      <c r="VAX23" s="1902">
        <f t="shared" si="492"/>
        <v>0</v>
      </c>
      <c r="VAY23" s="1902">
        <f t="shared" ref="VAY23:VDJ23" si="493">IF(AND(VAY$26="End of period",VAY$25="Revenue"),VAY10,0)</f>
        <v>0</v>
      </c>
      <c r="VAZ23" s="1902">
        <f t="shared" si="493"/>
        <v>0</v>
      </c>
      <c r="VBA23" s="1902">
        <f t="shared" si="493"/>
        <v>0</v>
      </c>
      <c r="VBB23" s="1902">
        <f t="shared" si="493"/>
        <v>0</v>
      </c>
      <c r="VBC23" s="1902">
        <f t="shared" si="493"/>
        <v>0</v>
      </c>
      <c r="VBD23" s="1902">
        <f t="shared" si="493"/>
        <v>0</v>
      </c>
      <c r="VBE23" s="1902">
        <f t="shared" si="493"/>
        <v>0</v>
      </c>
      <c r="VBF23" s="1902">
        <f t="shared" si="493"/>
        <v>0</v>
      </c>
      <c r="VBG23" s="1902">
        <f t="shared" si="493"/>
        <v>0</v>
      </c>
      <c r="VBH23" s="1902">
        <f t="shared" si="493"/>
        <v>0</v>
      </c>
      <c r="VBI23" s="1902">
        <f t="shared" si="493"/>
        <v>0</v>
      </c>
      <c r="VBJ23" s="1902">
        <f t="shared" si="493"/>
        <v>0</v>
      </c>
      <c r="VBK23" s="1902">
        <f t="shared" si="493"/>
        <v>0</v>
      </c>
      <c r="VBL23" s="1902">
        <f t="shared" si="493"/>
        <v>0</v>
      </c>
      <c r="VBM23" s="1902">
        <f t="shared" si="493"/>
        <v>0</v>
      </c>
      <c r="VBN23" s="1902">
        <f t="shared" si="493"/>
        <v>0</v>
      </c>
      <c r="VBO23" s="1902">
        <f t="shared" si="493"/>
        <v>0</v>
      </c>
      <c r="VBP23" s="1902">
        <f t="shared" si="493"/>
        <v>0</v>
      </c>
      <c r="VBQ23" s="1902">
        <f t="shared" si="493"/>
        <v>0</v>
      </c>
      <c r="VBR23" s="1902">
        <f t="shared" si="493"/>
        <v>0</v>
      </c>
      <c r="VBS23" s="1902">
        <f t="shared" si="493"/>
        <v>0</v>
      </c>
      <c r="VBT23" s="1902">
        <f t="shared" si="493"/>
        <v>0</v>
      </c>
      <c r="VBU23" s="1902">
        <f t="shared" si="493"/>
        <v>0</v>
      </c>
      <c r="VBV23" s="1902">
        <f t="shared" si="493"/>
        <v>0</v>
      </c>
      <c r="VBW23" s="1902">
        <f t="shared" si="493"/>
        <v>0</v>
      </c>
      <c r="VBX23" s="1902">
        <f t="shared" si="493"/>
        <v>0</v>
      </c>
      <c r="VBY23" s="1902">
        <f t="shared" si="493"/>
        <v>0</v>
      </c>
      <c r="VBZ23" s="1902">
        <f t="shared" si="493"/>
        <v>0</v>
      </c>
      <c r="VCA23" s="1902">
        <f t="shared" si="493"/>
        <v>0</v>
      </c>
      <c r="VCB23" s="1902">
        <f t="shared" si="493"/>
        <v>0</v>
      </c>
      <c r="VCC23" s="1902">
        <f t="shared" si="493"/>
        <v>0</v>
      </c>
      <c r="VCD23" s="1902">
        <f t="shared" si="493"/>
        <v>0</v>
      </c>
      <c r="VCE23" s="1902">
        <f t="shared" si="493"/>
        <v>0</v>
      </c>
      <c r="VCF23" s="1902">
        <f t="shared" si="493"/>
        <v>0</v>
      </c>
      <c r="VCG23" s="1902">
        <f t="shared" si="493"/>
        <v>0</v>
      </c>
      <c r="VCH23" s="1902">
        <f t="shared" si="493"/>
        <v>0</v>
      </c>
      <c r="VCI23" s="1902">
        <f t="shared" si="493"/>
        <v>0</v>
      </c>
      <c r="VCJ23" s="1902">
        <f t="shared" si="493"/>
        <v>0</v>
      </c>
      <c r="VCK23" s="1902">
        <f t="shared" si="493"/>
        <v>0</v>
      </c>
      <c r="VCL23" s="1902">
        <f t="shared" si="493"/>
        <v>0</v>
      </c>
      <c r="VCM23" s="1902">
        <f t="shared" si="493"/>
        <v>0</v>
      </c>
      <c r="VCN23" s="1902">
        <f t="shared" si="493"/>
        <v>0</v>
      </c>
      <c r="VCO23" s="1902">
        <f t="shared" si="493"/>
        <v>0</v>
      </c>
      <c r="VCP23" s="1902">
        <f t="shared" si="493"/>
        <v>0</v>
      </c>
      <c r="VCQ23" s="1902">
        <f t="shared" si="493"/>
        <v>0</v>
      </c>
      <c r="VCR23" s="1902">
        <f t="shared" si="493"/>
        <v>0</v>
      </c>
      <c r="VCS23" s="1902">
        <f t="shared" si="493"/>
        <v>0</v>
      </c>
      <c r="VCT23" s="1902">
        <f t="shared" si="493"/>
        <v>0</v>
      </c>
      <c r="VCU23" s="1902">
        <f t="shared" si="493"/>
        <v>0</v>
      </c>
      <c r="VCV23" s="1902">
        <f t="shared" si="493"/>
        <v>0</v>
      </c>
      <c r="VCW23" s="1902">
        <f t="shared" si="493"/>
        <v>0</v>
      </c>
      <c r="VCX23" s="1902">
        <f t="shared" si="493"/>
        <v>0</v>
      </c>
      <c r="VCY23" s="1902">
        <f t="shared" si="493"/>
        <v>0</v>
      </c>
      <c r="VCZ23" s="1902">
        <f t="shared" si="493"/>
        <v>0</v>
      </c>
      <c r="VDA23" s="1902">
        <f t="shared" si="493"/>
        <v>0</v>
      </c>
      <c r="VDB23" s="1902">
        <f t="shared" si="493"/>
        <v>0</v>
      </c>
      <c r="VDC23" s="1902">
        <f t="shared" si="493"/>
        <v>0</v>
      </c>
      <c r="VDD23" s="1902">
        <f t="shared" si="493"/>
        <v>0</v>
      </c>
      <c r="VDE23" s="1902">
        <f t="shared" si="493"/>
        <v>0</v>
      </c>
      <c r="VDF23" s="1902">
        <f t="shared" si="493"/>
        <v>0</v>
      </c>
      <c r="VDG23" s="1902">
        <f t="shared" si="493"/>
        <v>0</v>
      </c>
      <c r="VDH23" s="1902">
        <f t="shared" si="493"/>
        <v>0</v>
      </c>
      <c r="VDI23" s="1902">
        <f t="shared" si="493"/>
        <v>0</v>
      </c>
      <c r="VDJ23" s="1902">
        <f t="shared" si="493"/>
        <v>0</v>
      </c>
      <c r="VDK23" s="1902">
        <f t="shared" ref="VDK23:VFV23" si="494">IF(AND(VDK$26="End of period",VDK$25="Revenue"),VDK10,0)</f>
        <v>0</v>
      </c>
      <c r="VDL23" s="1902">
        <f t="shared" si="494"/>
        <v>0</v>
      </c>
      <c r="VDM23" s="1902">
        <f t="shared" si="494"/>
        <v>0</v>
      </c>
      <c r="VDN23" s="1902">
        <f t="shared" si="494"/>
        <v>0</v>
      </c>
      <c r="VDO23" s="1902">
        <f t="shared" si="494"/>
        <v>0</v>
      </c>
      <c r="VDP23" s="1902">
        <f t="shared" si="494"/>
        <v>0</v>
      </c>
      <c r="VDQ23" s="1902">
        <f t="shared" si="494"/>
        <v>0</v>
      </c>
      <c r="VDR23" s="1902">
        <f t="shared" si="494"/>
        <v>0</v>
      </c>
      <c r="VDS23" s="1902">
        <f t="shared" si="494"/>
        <v>0</v>
      </c>
      <c r="VDT23" s="1902">
        <f t="shared" si="494"/>
        <v>0</v>
      </c>
      <c r="VDU23" s="1902">
        <f t="shared" si="494"/>
        <v>0</v>
      </c>
      <c r="VDV23" s="1902">
        <f t="shared" si="494"/>
        <v>0</v>
      </c>
      <c r="VDW23" s="1902">
        <f t="shared" si="494"/>
        <v>0</v>
      </c>
      <c r="VDX23" s="1902">
        <f t="shared" si="494"/>
        <v>0</v>
      </c>
      <c r="VDY23" s="1902">
        <f t="shared" si="494"/>
        <v>0</v>
      </c>
      <c r="VDZ23" s="1902">
        <f t="shared" si="494"/>
        <v>0</v>
      </c>
      <c r="VEA23" s="1902">
        <f t="shared" si="494"/>
        <v>0</v>
      </c>
      <c r="VEB23" s="1902">
        <f t="shared" si="494"/>
        <v>0</v>
      </c>
      <c r="VEC23" s="1902">
        <f t="shared" si="494"/>
        <v>0</v>
      </c>
      <c r="VED23" s="1902">
        <f t="shared" si="494"/>
        <v>0</v>
      </c>
      <c r="VEE23" s="1902">
        <f t="shared" si="494"/>
        <v>0</v>
      </c>
      <c r="VEF23" s="1902">
        <f t="shared" si="494"/>
        <v>0</v>
      </c>
      <c r="VEG23" s="1902">
        <f t="shared" si="494"/>
        <v>0</v>
      </c>
      <c r="VEH23" s="1902">
        <f t="shared" si="494"/>
        <v>0</v>
      </c>
      <c r="VEI23" s="1902">
        <f t="shared" si="494"/>
        <v>0</v>
      </c>
      <c r="VEJ23" s="1902">
        <f t="shared" si="494"/>
        <v>0</v>
      </c>
      <c r="VEK23" s="1902">
        <f t="shared" si="494"/>
        <v>0</v>
      </c>
      <c r="VEL23" s="1902">
        <f t="shared" si="494"/>
        <v>0</v>
      </c>
      <c r="VEM23" s="1902">
        <f t="shared" si="494"/>
        <v>0</v>
      </c>
      <c r="VEN23" s="1902">
        <f t="shared" si="494"/>
        <v>0</v>
      </c>
      <c r="VEO23" s="1902">
        <f t="shared" si="494"/>
        <v>0</v>
      </c>
      <c r="VEP23" s="1902">
        <f t="shared" si="494"/>
        <v>0</v>
      </c>
      <c r="VEQ23" s="1902">
        <f t="shared" si="494"/>
        <v>0</v>
      </c>
      <c r="VER23" s="1902">
        <f t="shared" si="494"/>
        <v>0</v>
      </c>
      <c r="VES23" s="1902">
        <f t="shared" si="494"/>
        <v>0</v>
      </c>
      <c r="VET23" s="1902">
        <f t="shared" si="494"/>
        <v>0</v>
      </c>
      <c r="VEU23" s="1902">
        <f t="shared" si="494"/>
        <v>0</v>
      </c>
      <c r="VEV23" s="1902">
        <f t="shared" si="494"/>
        <v>0</v>
      </c>
      <c r="VEW23" s="1902">
        <f t="shared" si="494"/>
        <v>0</v>
      </c>
      <c r="VEX23" s="1902">
        <f t="shared" si="494"/>
        <v>0</v>
      </c>
      <c r="VEY23" s="1902">
        <f t="shared" si="494"/>
        <v>0</v>
      </c>
      <c r="VEZ23" s="1902">
        <f t="shared" si="494"/>
        <v>0</v>
      </c>
      <c r="VFA23" s="1902">
        <f t="shared" si="494"/>
        <v>0</v>
      </c>
      <c r="VFB23" s="1902">
        <f t="shared" si="494"/>
        <v>0</v>
      </c>
      <c r="VFC23" s="1902">
        <f t="shared" si="494"/>
        <v>0</v>
      </c>
      <c r="VFD23" s="1902">
        <f t="shared" si="494"/>
        <v>0</v>
      </c>
      <c r="VFE23" s="1902">
        <f t="shared" si="494"/>
        <v>0</v>
      </c>
      <c r="VFF23" s="1902">
        <f t="shared" si="494"/>
        <v>0</v>
      </c>
      <c r="VFG23" s="1902">
        <f t="shared" si="494"/>
        <v>0</v>
      </c>
      <c r="VFH23" s="1902">
        <f t="shared" si="494"/>
        <v>0</v>
      </c>
      <c r="VFI23" s="1902">
        <f t="shared" si="494"/>
        <v>0</v>
      </c>
      <c r="VFJ23" s="1902">
        <f t="shared" si="494"/>
        <v>0</v>
      </c>
      <c r="VFK23" s="1902">
        <f t="shared" si="494"/>
        <v>0</v>
      </c>
      <c r="VFL23" s="1902">
        <f t="shared" si="494"/>
        <v>0</v>
      </c>
      <c r="VFM23" s="1902">
        <f t="shared" si="494"/>
        <v>0</v>
      </c>
      <c r="VFN23" s="1902">
        <f t="shared" si="494"/>
        <v>0</v>
      </c>
      <c r="VFO23" s="1902">
        <f t="shared" si="494"/>
        <v>0</v>
      </c>
      <c r="VFP23" s="1902">
        <f t="shared" si="494"/>
        <v>0</v>
      </c>
      <c r="VFQ23" s="1902">
        <f t="shared" si="494"/>
        <v>0</v>
      </c>
      <c r="VFR23" s="1902">
        <f t="shared" si="494"/>
        <v>0</v>
      </c>
      <c r="VFS23" s="1902">
        <f t="shared" si="494"/>
        <v>0</v>
      </c>
      <c r="VFT23" s="1902">
        <f t="shared" si="494"/>
        <v>0</v>
      </c>
      <c r="VFU23" s="1902">
        <f t="shared" si="494"/>
        <v>0</v>
      </c>
      <c r="VFV23" s="1902">
        <f t="shared" si="494"/>
        <v>0</v>
      </c>
      <c r="VFW23" s="1902">
        <f t="shared" ref="VFW23:VIH23" si="495">IF(AND(VFW$26="End of period",VFW$25="Revenue"),VFW10,0)</f>
        <v>0</v>
      </c>
      <c r="VFX23" s="1902">
        <f t="shared" si="495"/>
        <v>0</v>
      </c>
      <c r="VFY23" s="1902">
        <f t="shared" si="495"/>
        <v>0</v>
      </c>
      <c r="VFZ23" s="1902">
        <f t="shared" si="495"/>
        <v>0</v>
      </c>
      <c r="VGA23" s="1902">
        <f t="shared" si="495"/>
        <v>0</v>
      </c>
      <c r="VGB23" s="1902">
        <f t="shared" si="495"/>
        <v>0</v>
      </c>
      <c r="VGC23" s="1902">
        <f t="shared" si="495"/>
        <v>0</v>
      </c>
      <c r="VGD23" s="1902">
        <f t="shared" si="495"/>
        <v>0</v>
      </c>
      <c r="VGE23" s="1902">
        <f t="shared" si="495"/>
        <v>0</v>
      </c>
      <c r="VGF23" s="1902">
        <f t="shared" si="495"/>
        <v>0</v>
      </c>
      <c r="VGG23" s="1902">
        <f t="shared" si="495"/>
        <v>0</v>
      </c>
      <c r="VGH23" s="1902">
        <f t="shared" si="495"/>
        <v>0</v>
      </c>
      <c r="VGI23" s="1902">
        <f t="shared" si="495"/>
        <v>0</v>
      </c>
      <c r="VGJ23" s="1902">
        <f t="shared" si="495"/>
        <v>0</v>
      </c>
      <c r="VGK23" s="1902">
        <f t="shared" si="495"/>
        <v>0</v>
      </c>
      <c r="VGL23" s="1902">
        <f t="shared" si="495"/>
        <v>0</v>
      </c>
      <c r="VGM23" s="1902">
        <f t="shared" si="495"/>
        <v>0</v>
      </c>
      <c r="VGN23" s="1902">
        <f t="shared" si="495"/>
        <v>0</v>
      </c>
      <c r="VGO23" s="1902">
        <f t="shared" si="495"/>
        <v>0</v>
      </c>
      <c r="VGP23" s="1902">
        <f t="shared" si="495"/>
        <v>0</v>
      </c>
      <c r="VGQ23" s="1902">
        <f t="shared" si="495"/>
        <v>0</v>
      </c>
      <c r="VGR23" s="1902">
        <f t="shared" si="495"/>
        <v>0</v>
      </c>
      <c r="VGS23" s="1902">
        <f t="shared" si="495"/>
        <v>0</v>
      </c>
      <c r="VGT23" s="1902">
        <f t="shared" si="495"/>
        <v>0</v>
      </c>
      <c r="VGU23" s="1902">
        <f t="shared" si="495"/>
        <v>0</v>
      </c>
      <c r="VGV23" s="1902">
        <f t="shared" si="495"/>
        <v>0</v>
      </c>
      <c r="VGW23" s="1902">
        <f t="shared" si="495"/>
        <v>0</v>
      </c>
      <c r="VGX23" s="1902">
        <f t="shared" si="495"/>
        <v>0</v>
      </c>
      <c r="VGY23" s="1902">
        <f t="shared" si="495"/>
        <v>0</v>
      </c>
      <c r="VGZ23" s="1902">
        <f t="shared" si="495"/>
        <v>0</v>
      </c>
      <c r="VHA23" s="1902">
        <f t="shared" si="495"/>
        <v>0</v>
      </c>
      <c r="VHB23" s="1902">
        <f t="shared" si="495"/>
        <v>0</v>
      </c>
      <c r="VHC23" s="1902">
        <f t="shared" si="495"/>
        <v>0</v>
      </c>
      <c r="VHD23" s="1902">
        <f t="shared" si="495"/>
        <v>0</v>
      </c>
      <c r="VHE23" s="1902">
        <f t="shared" si="495"/>
        <v>0</v>
      </c>
      <c r="VHF23" s="1902">
        <f t="shared" si="495"/>
        <v>0</v>
      </c>
      <c r="VHG23" s="1902">
        <f t="shared" si="495"/>
        <v>0</v>
      </c>
      <c r="VHH23" s="1902">
        <f t="shared" si="495"/>
        <v>0</v>
      </c>
      <c r="VHI23" s="1902">
        <f t="shared" si="495"/>
        <v>0</v>
      </c>
      <c r="VHJ23" s="1902">
        <f t="shared" si="495"/>
        <v>0</v>
      </c>
      <c r="VHK23" s="1902">
        <f t="shared" si="495"/>
        <v>0</v>
      </c>
      <c r="VHL23" s="1902">
        <f t="shared" si="495"/>
        <v>0</v>
      </c>
      <c r="VHM23" s="1902">
        <f t="shared" si="495"/>
        <v>0</v>
      </c>
      <c r="VHN23" s="1902">
        <f t="shared" si="495"/>
        <v>0</v>
      </c>
      <c r="VHO23" s="1902">
        <f t="shared" si="495"/>
        <v>0</v>
      </c>
      <c r="VHP23" s="1902">
        <f t="shared" si="495"/>
        <v>0</v>
      </c>
      <c r="VHQ23" s="1902">
        <f t="shared" si="495"/>
        <v>0</v>
      </c>
      <c r="VHR23" s="1902">
        <f t="shared" si="495"/>
        <v>0</v>
      </c>
      <c r="VHS23" s="1902">
        <f t="shared" si="495"/>
        <v>0</v>
      </c>
      <c r="VHT23" s="1902">
        <f t="shared" si="495"/>
        <v>0</v>
      </c>
      <c r="VHU23" s="1902">
        <f t="shared" si="495"/>
        <v>0</v>
      </c>
      <c r="VHV23" s="1902">
        <f t="shared" si="495"/>
        <v>0</v>
      </c>
      <c r="VHW23" s="1902">
        <f t="shared" si="495"/>
        <v>0</v>
      </c>
      <c r="VHX23" s="1902">
        <f t="shared" si="495"/>
        <v>0</v>
      </c>
      <c r="VHY23" s="1902">
        <f t="shared" si="495"/>
        <v>0</v>
      </c>
      <c r="VHZ23" s="1902">
        <f t="shared" si="495"/>
        <v>0</v>
      </c>
      <c r="VIA23" s="1902">
        <f t="shared" si="495"/>
        <v>0</v>
      </c>
      <c r="VIB23" s="1902">
        <f t="shared" si="495"/>
        <v>0</v>
      </c>
      <c r="VIC23" s="1902">
        <f t="shared" si="495"/>
        <v>0</v>
      </c>
      <c r="VID23" s="1902">
        <f t="shared" si="495"/>
        <v>0</v>
      </c>
      <c r="VIE23" s="1902">
        <f t="shared" si="495"/>
        <v>0</v>
      </c>
      <c r="VIF23" s="1902">
        <f t="shared" si="495"/>
        <v>0</v>
      </c>
      <c r="VIG23" s="1902">
        <f t="shared" si="495"/>
        <v>0</v>
      </c>
      <c r="VIH23" s="1902">
        <f t="shared" si="495"/>
        <v>0</v>
      </c>
      <c r="VII23" s="1902">
        <f t="shared" ref="VII23:VKT23" si="496">IF(AND(VII$26="End of period",VII$25="Revenue"),VII10,0)</f>
        <v>0</v>
      </c>
      <c r="VIJ23" s="1902">
        <f t="shared" si="496"/>
        <v>0</v>
      </c>
      <c r="VIK23" s="1902">
        <f t="shared" si="496"/>
        <v>0</v>
      </c>
      <c r="VIL23" s="1902">
        <f t="shared" si="496"/>
        <v>0</v>
      </c>
      <c r="VIM23" s="1902">
        <f t="shared" si="496"/>
        <v>0</v>
      </c>
      <c r="VIN23" s="1902">
        <f t="shared" si="496"/>
        <v>0</v>
      </c>
      <c r="VIO23" s="1902">
        <f t="shared" si="496"/>
        <v>0</v>
      </c>
      <c r="VIP23" s="1902">
        <f t="shared" si="496"/>
        <v>0</v>
      </c>
      <c r="VIQ23" s="1902">
        <f t="shared" si="496"/>
        <v>0</v>
      </c>
      <c r="VIR23" s="1902">
        <f t="shared" si="496"/>
        <v>0</v>
      </c>
      <c r="VIS23" s="1902">
        <f t="shared" si="496"/>
        <v>0</v>
      </c>
      <c r="VIT23" s="1902">
        <f t="shared" si="496"/>
        <v>0</v>
      </c>
      <c r="VIU23" s="1902">
        <f t="shared" si="496"/>
        <v>0</v>
      </c>
      <c r="VIV23" s="1902">
        <f t="shared" si="496"/>
        <v>0</v>
      </c>
      <c r="VIW23" s="1902">
        <f t="shared" si="496"/>
        <v>0</v>
      </c>
      <c r="VIX23" s="1902">
        <f t="shared" si="496"/>
        <v>0</v>
      </c>
      <c r="VIY23" s="1902">
        <f t="shared" si="496"/>
        <v>0</v>
      </c>
      <c r="VIZ23" s="1902">
        <f t="shared" si="496"/>
        <v>0</v>
      </c>
      <c r="VJA23" s="1902">
        <f t="shared" si="496"/>
        <v>0</v>
      </c>
      <c r="VJB23" s="1902">
        <f t="shared" si="496"/>
        <v>0</v>
      </c>
      <c r="VJC23" s="1902">
        <f t="shared" si="496"/>
        <v>0</v>
      </c>
      <c r="VJD23" s="1902">
        <f t="shared" si="496"/>
        <v>0</v>
      </c>
      <c r="VJE23" s="1902">
        <f t="shared" si="496"/>
        <v>0</v>
      </c>
      <c r="VJF23" s="1902">
        <f t="shared" si="496"/>
        <v>0</v>
      </c>
      <c r="VJG23" s="1902">
        <f t="shared" si="496"/>
        <v>0</v>
      </c>
      <c r="VJH23" s="1902">
        <f t="shared" si="496"/>
        <v>0</v>
      </c>
      <c r="VJI23" s="1902">
        <f t="shared" si="496"/>
        <v>0</v>
      </c>
      <c r="VJJ23" s="1902">
        <f t="shared" si="496"/>
        <v>0</v>
      </c>
      <c r="VJK23" s="1902">
        <f t="shared" si="496"/>
        <v>0</v>
      </c>
      <c r="VJL23" s="1902">
        <f t="shared" si="496"/>
        <v>0</v>
      </c>
      <c r="VJM23" s="1902">
        <f t="shared" si="496"/>
        <v>0</v>
      </c>
      <c r="VJN23" s="1902">
        <f t="shared" si="496"/>
        <v>0</v>
      </c>
      <c r="VJO23" s="1902">
        <f t="shared" si="496"/>
        <v>0</v>
      </c>
      <c r="VJP23" s="1902">
        <f t="shared" si="496"/>
        <v>0</v>
      </c>
      <c r="VJQ23" s="1902">
        <f t="shared" si="496"/>
        <v>0</v>
      </c>
      <c r="VJR23" s="1902">
        <f t="shared" si="496"/>
        <v>0</v>
      </c>
      <c r="VJS23" s="1902">
        <f t="shared" si="496"/>
        <v>0</v>
      </c>
      <c r="VJT23" s="1902">
        <f t="shared" si="496"/>
        <v>0</v>
      </c>
      <c r="VJU23" s="1902">
        <f t="shared" si="496"/>
        <v>0</v>
      </c>
      <c r="VJV23" s="1902">
        <f t="shared" si="496"/>
        <v>0</v>
      </c>
      <c r="VJW23" s="1902">
        <f t="shared" si="496"/>
        <v>0</v>
      </c>
      <c r="VJX23" s="1902">
        <f t="shared" si="496"/>
        <v>0</v>
      </c>
      <c r="VJY23" s="1902">
        <f t="shared" si="496"/>
        <v>0</v>
      </c>
      <c r="VJZ23" s="1902">
        <f t="shared" si="496"/>
        <v>0</v>
      </c>
      <c r="VKA23" s="1902">
        <f t="shared" si="496"/>
        <v>0</v>
      </c>
      <c r="VKB23" s="1902">
        <f t="shared" si="496"/>
        <v>0</v>
      </c>
      <c r="VKC23" s="1902">
        <f t="shared" si="496"/>
        <v>0</v>
      </c>
      <c r="VKD23" s="1902">
        <f t="shared" si="496"/>
        <v>0</v>
      </c>
      <c r="VKE23" s="1902">
        <f t="shared" si="496"/>
        <v>0</v>
      </c>
      <c r="VKF23" s="1902">
        <f t="shared" si="496"/>
        <v>0</v>
      </c>
      <c r="VKG23" s="1902">
        <f t="shared" si="496"/>
        <v>0</v>
      </c>
      <c r="VKH23" s="1902">
        <f t="shared" si="496"/>
        <v>0</v>
      </c>
      <c r="VKI23" s="1902">
        <f t="shared" si="496"/>
        <v>0</v>
      </c>
      <c r="VKJ23" s="1902">
        <f t="shared" si="496"/>
        <v>0</v>
      </c>
      <c r="VKK23" s="1902">
        <f t="shared" si="496"/>
        <v>0</v>
      </c>
      <c r="VKL23" s="1902">
        <f t="shared" si="496"/>
        <v>0</v>
      </c>
      <c r="VKM23" s="1902">
        <f t="shared" si="496"/>
        <v>0</v>
      </c>
      <c r="VKN23" s="1902">
        <f t="shared" si="496"/>
        <v>0</v>
      </c>
      <c r="VKO23" s="1902">
        <f t="shared" si="496"/>
        <v>0</v>
      </c>
      <c r="VKP23" s="1902">
        <f t="shared" si="496"/>
        <v>0</v>
      </c>
      <c r="VKQ23" s="1902">
        <f t="shared" si="496"/>
        <v>0</v>
      </c>
      <c r="VKR23" s="1902">
        <f t="shared" si="496"/>
        <v>0</v>
      </c>
      <c r="VKS23" s="1902">
        <f t="shared" si="496"/>
        <v>0</v>
      </c>
      <c r="VKT23" s="1902">
        <f t="shared" si="496"/>
        <v>0</v>
      </c>
      <c r="VKU23" s="1902">
        <f t="shared" ref="VKU23:VNF23" si="497">IF(AND(VKU$26="End of period",VKU$25="Revenue"),VKU10,0)</f>
        <v>0</v>
      </c>
      <c r="VKV23" s="1902">
        <f t="shared" si="497"/>
        <v>0</v>
      </c>
      <c r="VKW23" s="1902">
        <f t="shared" si="497"/>
        <v>0</v>
      </c>
      <c r="VKX23" s="1902">
        <f t="shared" si="497"/>
        <v>0</v>
      </c>
      <c r="VKY23" s="1902">
        <f t="shared" si="497"/>
        <v>0</v>
      </c>
      <c r="VKZ23" s="1902">
        <f t="shared" si="497"/>
        <v>0</v>
      </c>
      <c r="VLA23" s="1902">
        <f t="shared" si="497"/>
        <v>0</v>
      </c>
      <c r="VLB23" s="1902">
        <f t="shared" si="497"/>
        <v>0</v>
      </c>
      <c r="VLC23" s="1902">
        <f t="shared" si="497"/>
        <v>0</v>
      </c>
      <c r="VLD23" s="1902">
        <f t="shared" si="497"/>
        <v>0</v>
      </c>
      <c r="VLE23" s="1902">
        <f t="shared" si="497"/>
        <v>0</v>
      </c>
      <c r="VLF23" s="1902">
        <f t="shared" si="497"/>
        <v>0</v>
      </c>
      <c r="VLG23" s="1902">
        <f t="shared" si="497"/>
        <v>0</v>
      </c>
      <c r="VLH23" s="1902">
        <f t="shared" si="497"/>
        <v>0</v>
      </c>
      <c r="VLI23" s="1902">
        <f t="shared" si="497"/>
        <v>0</v>
      </c>
      <c r="VLJ23" s="1902">
        <f t="shared" si="497"/>
        <v>0</v>
      </c>
      <c r="VLK23" s="1902">
        <f t="shared" si="497"/>
        <v>0</v>
      </c>
      <c r="VLL23" s="1902">
        <f t="shared" si="497"/>
        <v>0</v>
      </c>
      <c r="VLM23" s="1902">
        <f t="shared" si="497"/>
        <v>0</v>
      </c>
      <c r="VLN23" s="1902">
        <f t="shared" si="497"/>
        <v>0</v>
      </c>
      <c r="VLO23" s="1902">
        <f t="shared" si="497"/>
        <v>0</v>
      </c>
      <c r="VLP23" s="1902">
        <f t="shared" si="497"/>
        <v>0</v>
      </c>
      <c r="VLQ23" s="1902">
        <f t="shared" si="497"/>
        <v>0</v>
      </c>
      <c r="VLR23" s="1902">
        <f t="shared" si="497"/>
        <v>0</v>
      </c>
      <c r="VLS23" s="1902">
        <f t="shared" si="497"/>
        <v>0</v>
      </c>
      <c r="VLT23" s="1902">
        <f t="shared" si="497"/>
        <v>0</v>
      </c>
      <c r="VLU23" s="1902">
        <f t="shared" si="497"/>
        <v>0</v>
      </c>
      <c r="VLV23" s="1902">
        <f t="shared" si="497"/>
        <v>0</v>
      </c>
      <c r="VLW23" s="1902">
        <f t="shared" si="497"/>
        <v>0</v>
      </c>
      <c r="VLX23" s="1902">
        <f t="shared" si="497"/>
        <v>0</v>
      </c>
      <c r="VLY23" s="1902">
        <f t="shared" si="497"/>
        <v>0</v>
      </c>
      <c r="VLZ23" s="1902">
        <f t="shared" si="497"/>
        <v>0</v>
      </c>
      <c r="VMA23" s="1902">
        <f t="shared" si="497"/>
        <v>0</v>
      </c>
      <c r="VMB23" s="1902">
        <f t="shared" si="497"/>
        <v>0</v>
      </c>
      <c r="VMC23" s="1902">
        <f t="shared" si="497"/>
        <v>0</v>
      </c>
      <c r="VMD23" s="1902">
        <f t="shared" si="497"/>
        <v>0</v>
      </c>
      <c r="VME23" s="1902">
        <f t="shared" si="497"/>
        <v>0</v>
      </c>
      <c r="VMF23" s="1902">
        <f t="shared" si="497"/>
        <v>0</v>
      </c>
      <c r="VMG23" s="1902">
        <f t="shared" si="497"/>
        <v>0</v>
      </c>
      <c r="VMH23" s="1902">
        <f t="shared" si="497"/>
        <v>0</v>
      </c>
      <c r="VMI23" s="1902">
        <f t="shared" si="497"/>
        <v>0</v>
      </c>
      <c r="VMJ23" s="1902">
        <f t="shared" si="497"/>
        <v>0</v>
      </c>
      <c r="VMK23" s="1902">
        <f t="shared" si="497"/>
        <v>0</v>
      </c>
      <c r="VML23" s="1902">
        <f t="shared" si="497"/>
        <v>0</v>
      </c>
      <c r="VMM23" s="1902">
        <f t="shared" si="497"/>
        <v>0</v>
      </c>
      <c r="VMN23" s="1902">
        <f t="shared" si="497"/>
        <v>0</v>
      </c>
      <c r="VMO23" s="1902">
        <f t="shared" si="497"/>
        <v>0</v>
      </c>
      <c r="VMP23" s="1902">
        <f t="shared" si="497"/>
        <v>0</v>
      </c>
      <c r="VMQ23" s="1902">
        <f t="shared" si="497"/>
        <v>0</v>
      </c>
      <c r="VMR23" s="1902">
        <f t="shared" si="497"/>
        <v>0</v>
      </c>
      <c r="VMS23" s="1902">
        <f t="shared" si="497"/>
        <v>0</v>
      </c>
      <c r="VMT23" s="1902">
        <f t="shared" si="497"/>
        <v>0</v>
      </c>
      <c r="VMU23" s="1902">
        <f t="shared" si="497"/>
        <v>0</v>
      </c>
      <c r="VMV23" s="1902">
        <f t="shared" si="497"/>
        <v>0</v>
      </c>
      <c r="VMW23" s="1902">
        <f t="shared" si="497"/>
        <v>0</v>
      </c>
      <c r="VMX23" s="1902">
        <f t="shared" si="497"/>
        <v>0</v>
      </c>
      <c r="VMY23" s="1902">
        <f t="shared" si="497"/>
        <v>0</v>
      </c>
      <c r="VMZ23" s="1902">
        <f t="shared" si="497"/>
        <v>0</v>
      </c>
      <c r="VNA23" s="1902">
        <f t="shared" si="497"/>
        <v>0</v>
      </c>
      <c r="VNB23" s="1902">
        <f t="shared" si="497"/>
        <v>0</v>
      </c>
      <c r="VNC23" s="1902">
        <f t="shared" si="497"/>
        <v>0</v>
      </c>
      <c r="VND23" s="1902">
        <f t="shared" si="497"/>
        <v>0</v>
      </c>
      <c r="VNE23" s="1902">
        <f t="shared" si="497"/>
        <v>0</v>
      </c>
      <c r="VNF23" s="1902">
        <f t="shared" si="497"/>
        <v>0</v>
      </c>
      <c r="VNG23" s="1902">
        <f t="shared" ref="VNG23:VPR23" si="498">IF(AND(VNG$26="End of period",VNG$25="Revenue"),VNG10,0)</f>
        <v>0</v>
      </c>
      <c r="VNH23" s="1902">
        <f t="shared" si="498"/>
        <v>0</v>
      </c>
      <c r="VNI23" s="1902">
        <f t="shared" si="498"/>
        <v>0</v>
      </c>
      <c r="VNJ23" s="1902">
        <f t="shared" si="498"/>
        <v>0</v>
      </c>
      <c r="VNK23" s="1902">
        <f t="shared" si="498"/>
        <v>0</v>
      </c>
      <c r="VNL23" s="1902">
        <f t="shared" si="498"/>
        <v>0</v>
      </c>
      <c r="VNM23" s="1902">
        <f t="shared" si="498"/>
        <v>0</v>
      </c>
      <c r="VNN23" s="1902">
        <f t="shared" si="498"/>
        <v>0</v>
      </c>
      <c r="VNO23" s="1902">
        <f t="shared" si="498"/>
        <v>0</v>
      </c>
      <c r="VNP23" s="1902">
        <f t="shared" si="498"/>
        <v>0</v>
      </c>
      <c r="VNQ23" s="1902">
        <f t="shared" si="498"/>
        <v>0</v>
      </c>
      <c r="VNR23" s="1902">
        <f t="shared" si="498"/>
        <v>0</v>
      </c>
      <c r="VNS23" s="1902">
        <f t="shared" si="498"/>
        <v>0</v>
      </c>
      <c r="VNT23" s="1902">
        <f t="shared" si="498"/>
        <v>0</v>
      </c>
      <c r="VNU23" s="1902">
        <f t="shared" si="498"/>
        <v>0</v>
      </c>
      <c r="VNV23" s="1902">
        <f t="shared" si="498"/>
        <v>0</v>
      </c>
      <c r="VNW23" s="1902">
        <f t="shared" si="498"/>
        <v>0</v>
      </c>
      <c r="VNX23" s="1902">
        <f t="shared" si="498"/>
        <v>0</v>
      </c>
      <c r="VNY23" s="1902">
        <f t="shared" si="498"/>
        <v>0</v>
      </c>
      <c r="VNZ23" s="1902">
        <f t="shared" si="498"/>
        <v>0</v>
      </c>
      <c r="VOA23" s="1902">
        <f t="shared" si="498"/>
        <v>0</v>
      </c>
      <c r="VOB23" s="1902">
        <f t="shared" si="498"/>
        <v>0</v>
      </c>
      <c r="VOC23" s="1902">
        <f t="shared" si="498"/>
        <v>0</v>
      </c>
      <c r="VOD23" s="1902">
        <f t="shared" si="498"/>
        <v>0</v>
      </c>
      <c r="VOE23" s="1902">
        <f t="shared" si="498"/>
        <v>0</v>
      </c>
      <c r="VOF23" s="1902">
        <f t="shared" si="498"/>
        <v>0</v>
      </c>
      <c r="VOG23" s="1902">
        <f t="shared" si="498"/>
        <v>0</v>
      </c>
      <c r="VOH23" s="1902">
        <f t="shared" si="498"/>
        <v>0</v>
      </c>
      <c r="VOI23" s="1902">
        <f t="shared" si="498"/>
        <v>0</v>
      </c>
      <c r="VOJ23" s="1902">
        <f t="shared" si="498"/>
        <v>0</v>
      </c>
      <c r="VOK23" s="1902">
        <f t="shared" si="498"/>
        <v>0</v>
      </c>
      <c r="VOL23" s="1902">
        <f t="shared" si="498"/>
        <v>0</v>
      </c>
      <c r="VOM23" s="1902">
        <f t="shared" si="498"/>
        <v>0</v>
      </c>
      <c r="VON23" s="1902">
        <f t="shared" si="498"/>
        <v>0</v>
      </c>
      <c r="VOO23" s="1902">
        <f t="shared" si="498"/>
        <v>0</v>
      </c>
      <c r="VOP23" s="1902">
        <f t="shared" si="498"/>
        <v>0</v>
      </c>
      <c r="VOQ23" s="1902">
        <f t="shared" si="498"/>
        <v>0</v>
      </c>
      <c r="VOR23" s="1902">
        <f t="shared" si="498"/>
        <v>0</v>
      </c>
      <c r="VOS23" s="1902">
        <f t="shared" si="498"/>
        <v>0</v>
      </c>
      <c r="VOT23" s="1902">
        <f t="shared" si="498"/>
        <v>0</v>
      </c>
      <c r="VOU23" s="1902">
        <f t="shared" si="498"/>
        <v>0</v>
      </c>
      <c r="VOV23" s="1902">
        <f t="shared" si="498"/>
        <v>0</v>
      </c>
      <c r="VOW23" s="1902">
        <f t="shared" si="498"/>
        <v>0</v>
      </c>
      <c r="VOX23" s="1902">
        <f t="shared" si="498"/>
        <v>0</v>
      </c>
      <c r="VOY23" s="1902">
        <f t="shared" si="498"/>
        <v>0</v>
      </c>
      <c r="VOZ23" s="1902">
        <f t="shared" si="498"/>
        <v>0</v>
      </c>
      <c r="VPA23" s="1902">
        <f t="shared" si="498"/>
        <v>0</v>
      </c>
      <c r="VPB23" s="1902">
        <f t="shared" si="498"/>
        <v>0</v>
      </c>
      <c r="VPC23" s="1902">
        <f t="shared" si="498"/>
        <v>0</v>
      </c>
      <c r="VPD23" s="1902">
        <f t="shared" si="498"/>
        <v>0</v>
      </c>
      <c r="VPE23" s="1902">
        <f t="shared" si="498"/>
        <v>0</v>
      </c>
      <c r="VPF23" s="1902">
        <f t="shared" si="498"/>
        <v>0</v>
      </c>
      <c r="VPG23" s="1902">
        <f t="shared" si="498"/>
        <v>0</v>
      </c>
      <c r="VPH23" s="1902">
        <f t="shared" si="498"/>
        <v>0</v>
      </c>
      <c r="VPI23" s="1902">
        <f t="shared" si="498"/>
        <v>0</v>
      </c>
      <c r="VPJ23" s="1902">
        <f t="shared" si="498"/>
        <v>0</v>
      </c>
      <c r="VPK23" s="1902">
        <f t="shared" si="498"/>
        <v>0</v>
      </c>
      <c r="VPL23" s="1902">
        <f t="shared" si="498"/>
        <v>0</v>
      </c>
      <c r="VPM23" s="1902">
        <f t="shared" si="498"/>
        <v>0</v>
      </c>
      <c r="VPN23" s="1902">
        <f t="shared" si="498"/>
        <v>0</v>
      </c>
      <c r="VPO23" s="1902">
        <f t="shared" si="498"/>
        <v>0</v>
      </c>
      <c r="VPP23" s="1902">
        <f t="shared" si="498"/>
        <v>0</v>
      </c>
      <c r="VPQ23" s="1902">
        <f t="shared" si="498"/>
        <v>0</v>
      </c>
      <c r="VPR23" s="1902">
        <f t="shared" si="498"/>
        <v>0</v>
      </c>
      <c r="VPS23" s="1902">
        <f t="shared" ref="VPS23:VSD23" si="499">IF(AND(VPS$26="End of period",VPS$25="Revenue"),VPS10,0)</f>
        <v>0</v>
      </c>
      <c r="VPT23" s="1902">
        <f t="shared" si="499"/>
        <v>0</v>
      </c>
      <c r="VPU23" s="1902">
        <f t="shared" si="499"/>
        <v>0</v>
      </c>
      <c r="VPV23" s="1902">
        <f t="shared" si="499"/>
        <v>0</v>
      </c>
      <c r="VPW23" s="1902">
        <f t="shared" si="499"/>
        <v>0</v>
      </c>
      <c r="VPX23" s="1902">
        <f t="shared" si="499"/>
        <v>0</v>
      </c>
      <c r="VPY23" s="1902">
        <f t="shared" si="499"/>
        <v>0</v>
      </c>
      <c r="VPZ23" s="1902">
        <f t="shared" si="499"/>
        <v>0</v>
      </c>
      <c r="VQA23" s="1902">
        <f t="shared" si="499"/>
        <v>0</v>
      </c>
      <c r="VQB23" s="1902">
        <f t="shared" si="499"/>
        <v>0</v>
      </c>
      <c r="VQC23" s="1902">
        <f t="shared" si="499"/>
        <v>0</v>
      </c>
      <c r="VQD23" s="1902">
        <f t="shared" si="499"/>
        <v>0</v>
      </c>
      <c r="VQE23" s="1902">
        <f t="shared" si="499"/>
        <v>0</v>
      </c>
      <c r="VQF23" s="1902">
        <f t="shared" si="499"/>
        <v>0</v>
      </c>
      <c r="VQG23" s="1902">
        <f t="shared" si="499"/>
        <v>0</v>
      </c>
      <c r="VQH23" s="1902">
        <f t="shared" si="499"/>
        <v>0</v>
      </c>
      <c r="VQI23" s="1902">
        <f t="shared" si="499"/>
        <v>0</v>
      </c>
      <c r="VQJ23" s="1902">
        <f t="shared" si="499"/>
        <v>0</v>
      </c>
      <c r="VQK23" s="1902">
        <f t="shared" si="499"/>
        <v>0</v>
      </c>
      <c r="VQL23" s="1902">
        <f t="shared" si="499"/>
        <v>0</v>
      </c>
      <c r="VQM23" s="1902">
        <f t="shared" si="499"/>
        <v>0</v>
      </c>
      <c r="VQN23" s="1902">
        <f t="shared" si="499"/>
        <v>0</v>
      </c>
      <c r="VQO23" s="1902">
        <f t="shared" si="499"/>
        <v>0</v>
      </c>
      <c r="VQP23" s="1902">
        <f t="shared" si="499"/>
        <v>0</v>
      </c>
      <c r="VQQ23" s="1902">
        <f t="shared" si="499"/>
        <v>0</v>
      </c>
      <c r="VQR23" s="1902">
        <f t="shared" si="499"/>
        <v>0</v>
      </c>
      <c r="VQS23" s="1902">
        <f t="shared" si="499"/>
        <v>0</v>
      </c>
      <c r="VQT23" s="1902">
        <f t="shared" si="499"/>
        <v>0</v>
      </c>
      <c r="VQU23" s="1902">
        <f t="shared" si="499"/>
        <v>0</v>
      </c>
      <c r="VQV23" s="1902">
        <f t="shared" si="499"/>
        <v>0</v>
      </c>
      <c r="VQW23" s="1902">
        <f t="shared" si="499"/>
        <v>0</v>
      </c>
      <c r="VQX23" s="1902">
        <f t="shared" si="499"/>
        <v>0</v>
      </c>
      <c r="VQY23" s="1902">
        <f t="shared" si="499"/>
        <v>0</v>
      </c>
      <c r="VQZ23" s="1902">
        <f t="shared" si="499"/>
        <v>0</v>
      </c>
      <c r="VRA23" s="1902">
        <f t="shared" si="499"/>
        <v>0</v>
      </c>
      <c r="VRB23" s="1902">
        <f t="shared" si="499"/>
        <v>0</v>
      </c>
      <c r="VRC23" s="1902">
        <f t="shared" si="499"/>
        <v>0</v>
      </c>
      <c r="VRD23" s="1902">
        <f t="shared" si="499"/>
        <v>0</v>
      </c>
      <c r="VRE23" s="1902">
        <f t="shared" si="499"/>
        <v>0</v>
      </c>
      <c r="VRF23" s="1902">
        <f t="shared" si="499"/>
        <v>0</v>
      </c>
      <c r="VRG23" s="1902">
        <f t="shared" si="499"/>
        <v>0</v>
      </c>
      <c r="VRH23" s="1902">
        <f t="shared" si="499"/>
        <v>0</v>
      </c>
      <c r="VRI23" s="1902">
        <f t="shared" si="499"/>
        <v>0</v>
      </c>
      <c r="VRJ23" s="1902">
        <f t="shared" si="499"/>
        <v>0</v>
      </c>
      <c r="VRK23" s="1902">
        <f t="shared" si="499"/>
        <v>0</v>
      </c>
      <c r="VRL23" s="1902">
        <f t="shared" si="499"/>
        <v>0</v>
      </c>
      <c r="VRM23" s="1902">
        <f t="shared" si="499"/>
        <v>0</v>
      </c>
      <c r="VRN23" s="1902">
        <f t="shared" si="499"/>
        <v>0</v>
      </c>
      <c r="VRO23" s="1902">
        <f t="shared" si="499"/>
        <v>0</v>
      </c>
      <c r="VRP23" s="1902">
        <f t="shared" si="499"/>
        <v>0</v>
      </c>
      <c r="VRQ23" s="1902">
        <f t="shared" si="499"/>
        <v>0</v>
      </c>
      <c r="VRR23" s="1902">
        <f t="shared" si="499"/>
        <v>0</v>
      </c>
      <c r="VRS23" s="1902">
        <f t="shared" si="499"/>
        <v>0</v>
      </c>
      <c r="VRT23" s="1902">
        <f t="shared" si="499"/>
        <v>0</v>
      </c>
      <c r="VRU23" s="1902">
        <f t="shared" si="499"/>
        <v>0</v>
      </c>
      <c r="VRV23" s="1902">
        <f t="shared" si="499"/>
        <v>0</v>
      </c>
      <c r="VRW23" s="1902">
        <f t="shared" si="499"/>
        <v>0</v>
      </c>
      <c r="VRX23" s="1902">
        <f t="shared" si="499"/>
        <v>0</v>
      </c>
      <c r="VRY23" s="1902">
        <f t="shared" si="499"/>
        <v>0</v>
      </c>
      <c r="VRZ23" s="1902">
        <f t="shared" si="499"/>
        <v>0</v>
      </c>
      <c r="VSA23" s="1902">
        <f t="shared" si="499"/>
        <v>0</v>
      </c>
      <c r="VSB23" s="1902">
        <f t="shared" si="499"/>
        <v>0</v>
      </c>
      <c r="VSC23" s="1902">
        <f t="shared" si="499"/>
        <v>0</v>
      </c>
      <c r="VSD23" s="1902">
        <f t="shared" si="499"/>
        <v>0</v>
      </c>
      <c r="VSE23" s="1902">
        <f t="shared" ref="VSE23:VUP23" si="500">IF(AND(VSE$26="End of period",VSE$25="Revenue"),VSE10,0)</f>
        <v>0</v>
      </c>
      <c r="VSF23" s="1902">
        <f t="shared" si="500"/>
        <v>0</v>
      </c>
      <c r="VSG23" s="1902">
        <f t="shared" si="500"/>
        <v>0</v>
      </c>
      <c r="VSH23" s="1902">
        <f t="shared" si="500"/>
        <v>0</v>
      </c>
      <c r="VSI23" s="1902">
        <f t="shared" si="500"/>
        <v>0</v>
      </c>
      <c r="VSJ23" s="1902">
        <f t="shared" si="500"/>
        <v>0</v>
      </c>
      <c r="VSK23" s="1902">
        <f t="shared" si="500"/>
        <v>0</v>
      </c>
      <c r="VSL23" s="1902">
        <f t="shared" si="500"/>
        <v>0</v>
      </c>
      <c r="VSM23" s="1902">
        <f t="shared" si="500"/>
        <v>0</v>
      </c>
      <c r="VSN23" s="1902">
        <f t="shared" si="500"/>
        <v>0</v>
      </c>
      <c r="VSO23" s="1902">
        <f t="shared" si="500"/>
        <v>0</v>
      </c>
      <c r="VSP23" s="1902">
        <f t="shared" si="500"/>
        <v>0</v>
      </c>
      <c r="VSQ23" s="1902">
        <f t="shared" si="500"/>
        <v>0</v>
      </c>
      <c r="VSR23" s="1902">
        <f t="shared" si="500"/>
        <v>0</v>
      </c>
      <c r="VSS23" s="1902">
        <f t="shared" si="500"/>
        <v>0</v>
      </c>
      <c r="VST23" s="1902">
        <f t="shared" si="500"/>
        <v>0</v>
      </c>
      <c r="VSU23" s="1902">
        <f t="shared" si="500"/>
        <v>0</v>
      </c>
      <c r="VSV23" s="1902">
        <f t="shared" si="500"/>
        <v>0</v>
      </c>
      <c r="VSW23" s="1902">
        <f t="shared" si="500"/>
        <v>0</v>
      </c>
      <c r="VSX23" s="1902">
        <f t="shared" si="500"/>
        <v>0</v>
      </c>
      <c r="VSY23" s="1902">
        <f t="shared" si="500"/>
        <v>0</v>
      </c>
      <c r="VSZ23" s="1902">
        <f t="shared" si="500"/>
        <v>0</v>
      </c>
      <c r="VTA23" s="1902">
        <f t="shared" si="500"/>
        <v>0</v>
      </c>
      <c r="VTB23" s="1902">
        <f t="shared" si="500"/>
        <v>0</v>
      </c>
      <c r="VTC23" s="1902">
        <f t="shared" si="500"/>
        <v>0</v>
      </c>
      <c r="VTD23" s="1902">
        <f t="shared" si="500"/>
        <v>0</v>
      </c>
      <c r="VTE23" s="1902">
        <f t="shared" si="500"/>
        <v>0</v>
      </c>
      <c r="VTF23" s="1902">
        <f t="shared" si="500"/>
        <v>0</v>
      </c>
      <c r="VTG23" s="1902">
        <f t="shared" si="500"/>
        <v>0</v>
      </c>
      <c r="VTH23" s="1902">
        <f t="shared" si="500"/>
        <v>0</v>
      </c>
      <c r="VTI23" s="1902">
        <f t="shared" si="500"/>
        <v>0</v>
      </c>
      <c r="VTJ23" s="1902">
        <f t="shared" si="500"/>
        <v>0</v>
      </c>
      <c r="VTK23" s="1902">
        <f t="shared" si="500"/>
        <v>0</v>
      </c>
      <c r="VTL23" s="1902">
        <f t="shared" si="500"/>
        <v>0</v>
      </c>
      <c r="VTM23" s="1902">
        <f t="shared" si="500"/>
        <v>0</v>
      </c>
      <c r="VTN23" s="1902">
        <f t="shared" si="500"/>
        <v>0</v>
      </c>
      <c r="VTO23" s="1902">
        <f t="shared" si="500"/>
        <v>0</v>
      </c>
      <c r="VTP23" s="1902">
        <f t="shared" si="500"/>
        <v>0</v>
      </c>
      <c r="VTQ23" s="1902">
        <f t="shared" si="500"/>
        <v>0</v>
      </c>
      <c r="VTR23" s="1902">
        <f t="shared" si="500"/>
        <v>0</v>
      </c>
      <c r="VTS23" s="1902">
        <f t="shared" si="500"/>
        <v>0</v>
      </c>
      <c r="VTT23" s="1902">
        <f t="shared" si="500"/>
        <v>0</v>
      </c>
      <c r="VTU23" s="1902">
        <f t="shared" si="500"/>
        <v>0</v>
      </c>
      <c r="VTV23" s="1902">
        <f t="shared" si="500"/>
        <v>0</v>
      </c>
      <c r="VTW23" s="1902">
        <f t="shared" si="500"/>
        <v>0</v>
      </c>
      <c r="VTX23" s="1902">
        <f t="shared" si="500"/>
        <v>0</v>
      </c>
      <c r="VTY23" s="1902">
        <f t="shared" si="500"/>
        <v>0</v>
      </c>
      <c r="VTZ23" s="1902">
        <f t="shared" si="500"/>
        <v>0</v>
      </c>
      <c r="VUA23" s="1902">
        <f t="shared" si="500"/>
        <v>0</v>
      </c>
      <c r="VUB23" s="1902">
        <f t="shared" si="500"/>
        <v>0</v>
      </c>
      <c r="VUC23" s="1902">
        <f t="shared" si="500"/>
        <v>0</v>
      </c>
      <c r="VUD23" s="1902">
        <f t="shared" si="500"/>
        <v>0</v>
      </c>
      <c r="VUE23" s="1902">
        <f t="shared" si="500"/>
        <v>0</v>
      </c>
      <c r="VUF23" s="1902">
        <f t="shared" si="500"/>
        <v>0</v>
      </c>
      <c r="VUG23" s="1902">
        <f t="shared" si="500"/>
        <v>0</v>
      </c>
      <c r="VUH23" s="1902">
        <f t="shared" si="500"/>
        <v>0</v>
      </c>
      <c r="VUI23" s="1902">
        <f t="shared" si="500"/>
        <v>0</v>
      </c>
      <c r="VUJ23" s="1902">
        <f t="shared" si="500"/>
        <v>0</v>
      </c>
      <c r="VUK23" s="1902">
        <f t="shared" si="500"/>
        <v>0</v>
      </c>
      <c r="VUL23" s="1902">
        <f t="shared" si="500"/>
        <v>0</v>
      </c>
      <c r="VUM23" s="1902">
        <f t="shared" si="500"/>
        <v>0</v>
      </c>
      <c r="VUN23" s="1902">
        <f t="shared" si="500"/>
        <v>0</v>
      </c>
      <c r="VUO23" s="1902">
        <f t="shared" si="500"/>
        <v>0</v>
      </c>
      <c r="VUP23" s="1902">
        <f t="shared" si="500"/>
        <v>0</v>
      </c>
      <c r="VUQ23" s="1902">
        <f t="shared" ref="VUQ23:VXB23" si="501">IF(AND(VUQ$26="End of period",VUQ$25="Revenue"),VUQ10,0)</f>
        <v>0</v>
      </c>
      <c r="VUR23" s="1902">
        <f t="shared" si="501"/>
        <v>0</v>
      </c>
      <c r="VUS23" s="1902">
        <f t="shared" si="501"/>
        <v>0</v>
      </c>
      <c r="VUT23" s="1902">
        <f t="shared" si="501"/>
        <v>0</v>
      </c>
      <c r="VUU23" s="1902">
        <f t="shared" si="501"/>
        <v>0</v>
      </c>
      <c r="VUV23" s="1902">
        <f t="shared" si="501"/>
        <v>0</v>
      </c>
      <c r="VUW23" s="1902">
        <f t="shared" si="501"/>
        <v>0</v>
      </c>
      <c r="VUX23" s="1902">
        <f t="shared" si="501"/>
        <v>0</v>
      </c>
      <c r="VUY23" s="1902">
        <f t="shared" si="501"/>
        <v>0</v>
      </c>
      <c r="VUZ23" s="1902">
        <f t="shared" si="501"/>
        <v>0</v>
      </c>
      <c r="VVA23" s="1902">
        <f t="shared" si="501"/>
        <v>0</v>
      </c>
      <c r="VVB23" s="1902">
        <f t="shared" si="501"/>
        <v>0</v>
      </c>
      <c r="VVC23" s="1902">
        <f t="shared" si="501"/>
        <v>0</v>
      </c>
      <c r="VVD23" s="1902">
        <f t="shared" si="501"/>
        <v>0</v>
      </c>
      <c r="VVE23" s="1902">
        <f t="shared" si="501"/>
        <v>0</v>
      </c>
      <c r="VVF23" s="1902">
        <f t="shared" si="501"/>
        <v>0</v>
      </c>
      <c r="VVG23" s="1902">
        <f t="shared" si="501"/>
        <v>0</v>
      </c>
      <c r="VVH23" s="1902">
        <f t="shared" si="501"/>
        <v>0</v>
      </c>
      <c r="VVI23" s="1902">
        <f t="shared" si="501"/>
        <v>0</v>
      </c>
      <c r="VVJ23" s="1902">
        <f t="shared" si="501"/>
        <v>0</v>
      </c>
      <c r="VVK23" s="1902">
        <f t="shared" si="501"/>
        <v>0</v>
      </c>
      <c r="VVL23" s="1902">
        <f t="shared" si="501"/>
        <v>0</v>
      </c>
      <c r="VVM23" s="1902">
        <f t="shared" si="501"/>
        <v>0</v>
      </c>
      <c r="VVN23" s="1902">
        <f t="shared" si="501"/>
        <v>0</v>
      </c>
      <c r="VVO23" s="1902">
        <f t="shared" si="501"/>
        <v>0</v>
      </c>
      <c r="VVP23" s="1902">
        <f t="shared" si="501"/>
        <v>0</v>
      </c>
      <c r="VVQ23" s="1902">
        <f t="shared" si="501"/>
        <v>0</v>
      </c>
      <c r="VVR23" s="1902">
        <f t="shared" si="501"/>
        <v>0</v>
      </c>
      <c r="VVS23" s="1902">
        <f t="shared" si="501"/>
        <v>0</v>
      </c>
      <c r="VVT23" s="1902">
        <f t="shared" si="501"/>
        <v>0</v>
      </c>
      <c r="VVU23" s="1902">
        <f t="shared" si="501"/>
        <v>0</v>
      </c>
      <c r="VVV23" s="1902">
        <f t="shared" si="501"/>
        <v>0</v>
      </c>
      <c r="VVW23" s="1902">
        <f t="shared" si="501"/>
        <v>0</v>
      </c>
      <c r="VVX23" s="1902">
        <f t="shared" si="501"/>
        <v>0</v>
      </c>
      <c r="VVY23" s="1902">
        <f t="shared" si="501"/>
        <v>0</v>
      </c>
      <c r="VVZ23" s="1902">
        <f t="shared" si="501"/>
        <v>0</v>
      </c>
      <c r="VWA23" s="1902">
        <f t="shared" si="501"/>
        <v>0</v>
      </c>
      <c r="VWB23" s="1902">
        <f t="shared" si="501"/>
        <v>0</v>
      </c>
      <c r="VWC23" s="1902">
        <f t="shared" si="501"/>
        <v>0</v>
      </c>
      <c r="VWD23" s="1902">
        <f t="shared" si="501"/>
        <v>0</v>
      </c>
      <c r="VWE23" s="1902">
        <f t="shared" si="501"/>
        <v>0</v>
      </c>
      <c r="VWF23" s="1902">
        <f t="shared" si="501"/>
        <v>0</v>
      </c>
      <c r="VWG23" s="1902">
        <f t="shared" si="501"/>
        <v>0</v>
      </c>
      <c r="VWH23" s="1902">
        <f t="shared" si="501"/>
        <v>0</v>
      </c>
      <c r="VWI23" s="1902">
        <f t="shared" si="501"/>
        <v>0</v>
      </c>
      <c r="VWJ23" s="1902">
        <f t="shared" si="501"/>
        <v>0</v>
      </c>
      <c r="VWK23" s="1902">
        <f t="shared" si="501"/>
        <v>0</v>
      </c>
      <c r="VWL23" s="1902">
        <f t="shared" si="501"/>
        <v>0</v>
      </c>
      <c r="VWM23" s="1902">
        <f t="shared" si="501"/>
        <v>0</v>
      </c>
      <c r="VWN23" s="1902">
        <f t="shared" si="501"/>
        <v>0</v>
      </c>
      <c r="VWO23" s="1902">
        <f t="shared" si="501"/>
        <v>0</v>
      </c>
      <c r="VWP23" s="1902">
        <f t="shared" si="501"/>
        <v>0</v>
      </c>
      <c r="VWQ23" s="1902">
        <f t="shared" si="501"/>
        <v>0</v>
      </c>
      <c r="VWR23" s="1902">
        <f t="shared" si="501"/>
        <v>0</v>
      </c>
      <c r="VWS23" s="1902">
        <f t="shared" si="501"/>
        <v>0</v>
      </c>
      <c r="VWT23" s="1902">
        <f t="shared" si="501"/>
        <v>0</v>
      </c>
      <c r="VWU23" s="1902">
        <f t="shared" si="501"/>
        <v>0</v>
      </c>
      <c r="VWV23" s="1902">
        <f t="shared" si="501"/>
        <v>0</v>
      </c>
      <c r="VWW23" s="1902">
        <f t="shared" si="501"/>
        <v>0</v>
      </c>
      <c r="VWX23" s="1902">
        <f t="shared" si="501"/>
        <v>0</v>
      </c>
      <c r="VWY23" s="1902">
        <f t="shared" si="501"/>
        <v>0</v>
      </c>
      <c r="VWZ23" s="1902">
        <f t="shared" si="501"/>
        <v>0</v>
      </c>
      <c r="VXA23" s="1902">
        <f t="shared" si="501"/>
        <v>0</v>
      </c>
      <c r="VXB23" s="1902">
        <f t="shared" si="501"/>
        <v>0</v>
      </c>
      <c r="VXC23" s="1902">
        <f t="shared" ref="VXC23:VZN23" si="502">IF(AND(VXC$26="End of period",VXC$25="Revenue"),VXC10,0)</f>
        <v>0</v>
      </c>
      <c r="VXD23" s="1902">
        <f t="shared" si="502"/>
        <v>0</v>
      </c>
      <c r="VXE23" s="1902">
        <f t="shared" si="502"/>
        <v>0</v>
      </c>
      <c r="VXF23" s="1902">
        <f t="shared" si="502"/>
        <v>0</v>
      </c>
      <c r="VXG23" s="1902">
        <f t="shared" si="502"/>
        <v>0</v>
      </c>
      <c r="VXH23" s="1902">
        <f t="shared" si="502"/>
        <v>0</v>
      </c>
      <c r="VXI23" s="1902">
        <f t="shared" si="502"/>
        <v>0</v>
      </c>
      <c r="VXJ23" s="1902">
        <f t="shared" si="502"/>
        <v>0</v>
      </c>
      <c r="VXK23" s="1902">
        <f t="shared" si="502"/>
        <v>0</v>
      </c>
      <c r="VXL23" s="1902">
        <f t="shared" si="502"/>
        <v>0</v>
      </c>
      <c r="VXM23" s="1902">
        <f t="shared" si="502"/>
        <v>0</v>
      </c>
      <c r="VXN23" s="1902">
        <f t="shared" si="502"/>
        <v>0</v>
      </c>
      <c r="VXO23" s="1902">
        <f t="shared" si="502"/>
        <v>0</v>
      </c>
      <c r="VXP23" s="1902">
        <f t="shared" si="502"/>
        <v>0</v>
      </c>
      <c r="VXQ23" s="1902">
        <f t="shared" si="502"/>
        <v>0</v>
      </c>
      <c r="VXR23" s="1902">
        <f t="shared" si="502"/>
        <v>0</v>
      </c>
      <c r="VXS23" s="1902">
        <f t="shared" si="502"/>
        <v>0</v>
      </c>
      <c r="VXT23" s="1902">
        <f t="shared" si="502"/>
        <v>0</v>
      </c>
      <c r="VXU23" s="1902">
        <f t="shared" si="502"/>
        <v>0</v>
      </c>
      <c r="VXV23" s="1902">
        <f t="shared" si="502"/>
        <v>0</v>
      </c>
      <c r="VXW23" s="1902">
        <f t="shared" si="502"/>
        <v>0</v>
      </c>
      <c r="VXX23" s="1902">
        <f t="shared" si="502"/>
        <v>0</v>
      </c>
      <c r="VXY23" s="1902">
        <f t="shared" si="502"/>
        <v>0</v>
      </c>
      <c r="VXZ23" s="1902">
        <f t="shared" si="502"/>
        <v>0</v>
      </c>
      <c r="VYA23" s="1902">
        <f t="shared" si="502"/>
        <v>0</v>
      </c>
      <c r="VYB23" s="1902">
        <f t="shared" si="502"/>
        <v>0</v>
      </c>
      <c r="VYC23" s="1902">
        <f t="shared" si="502"/>
        <v>0</v>
      </c>
      <c r="VYD23" s="1902">
        <f t="shared" si="502"/>
        <v>0</v>
      </c>
      <c r="VYE23" s="1902">
        <f t="shared" si="502"/>
        <v>0</v>
      </c>
      <c r="VYF23" s="1902">
        <f t="shared" si="502"/>
        <v>0</v>
      </c>
      <c r="VYG23" s="1902">
        <f t="shared" si="502"/>
        <v>0</v>
      </c>
      <c r="VYH23" s="1902">
        <f t="shared" si="502"/>
        <v>0</v>
      </c>
      <c r="VYI23" s="1902">
        <f t="shared" si="502"/>
        <v>0</v>
      </c>
      <c r="VYJ23" s="1902">
        <f t="shared" si="502"/>
        <v>0</v>
      </c>
      <c r="VYK23" s="1902">
        <f t="shared" si="502"/>
        <v>0</v>
      </c>
      <c r="VYL23" s="1902">
        <f t="shared" si="502"/>
        <v>0</v>
      </c>
      <c r="VYM23" s="1902">
        <f t="shared" si="502"/>
        <v>0</v>
      </c>
      <c r="VYN23" s="1902">
        <f t="shared" si="502"/>
        <v>0</v>
      </c>
      <c r="VYO23" s="1902">
        <f t="shared" si="502"/>
        <v>0</v>
      </c>
      <c r="VYP23" s="1902">
        <f t="shared" si="502"/>
        <v>0</v>
      </c>
      <c r="VYQ23" s="1902">
        <f t="shared" si="502"/>
        <v>0</v>
      </c>
      <c r="VYR23" s="1902">
        <f t="shared" si="502"/>
        <v>0</v>
      </c>
      <c r="VYS23" s="1902">
        <f t="shared" si="502"/>
        <v>0</v>
      </c>
      <c r="VYT23" s="1902">
        <f t="shared" si="502"/>
        <v>0</v>
      </c>
      <c r="VYU23" s="1902">
        <f t="shared" si="502"/>
        <v>0</v>
      </c>
      <c r="VYV23" s="1902">
        <f t="shared" si="502"/>
        <v>0</v>
      </c>
      <c r="VYW23" s="1902">
        <f t="shared" si="502"/>
        <v>0</v>
      </c>
      <c r="VYX23" s="1902">
        <f t="shared" si="502"/>
        <v>0</v>
      </c>
      <c r="VYY23" s="1902">
        <f t="shared" si="502"/>
        <v>0</v>
      </c>
      <c r="VYZ23" s="1902">
        <f t="shared" si="502"/>
        <v>0</v>
      </c>
      <c r="VZA23" s="1902">
        <f t="shared" si="502"/>
        <v>0</v>
      </c>
      <c r="VZB23" s="1902">
        <f t="shared" si="502"/>
        <v>0</v>
      </c>
      <c r="VZC23" s="1902">
        <f t="shared" si="502"/>
        <v>0</v>
      </c>
      <c r="VZD23" s="1902">
        <f t="shared" si="502"/>
        <v>0</v>
      </c>
      <c r="VZE23" s="1902">
        <f t="shared" si="502"/>
        <v>0</v>
      </c>
      <c r="VZF23" s="1902">
        <f t="shared" si="502"/>
        <v>0</v>
      </c>
      <c r="VZG23" s="1902">
        <f t="shared" si="502"/>
        <v>0</v>
      </c>
      <c r="VZH23" s="1902">
        <f t="shared" si="502"/>
        <v>0</v>
      </c>
      <c r="VZI23" s="1902">
        <f t="shared" si="502"/>
        <v>0</v>
      </c>
      <c r="VZJ23" s="1902">
        <f t="shared" si="502"/>
        <v>0</v>
      </c>
      <c r="VZK23" s="1902">
        <f t="shared" si="502"/>
        <v>0</v>
      </c>
      <c r="VZL23" s="1902">
        <f t="shared" si="502"/>
        <v>0</v>
      </c>
      <c r="VZM23" s="1902">
        <f t="shared" si="502"/>
        <v>0</v>
      </c>
      <c r="VZN23" s="1902">
        <f t="shared" si="502"/>
        <v>0</v>
      </c>
      <c r="VZO23" s="1902">
        <f t="shared" ref="VZO23:WBZ23" si="503">IF(AND(VZO$26="End of period",VZO$25="Revenue"),VZO10,0)</f>
        <v>0</v>
      </c>
      <c r="VZP23" s="1902">
        <f t="shared" si="503"/>
        <v>0</v>
      </c>
      <c r="VZQ23" s="1902">
        <f t="shared" si="503"/>
        <v>0</v>
      </c>
      <c r="VZR23" s="1902">
        <f t="shared" si="503"/>
        <v>0</v>
      </c>
      <c r="VZS23" s="1902">
        <f t="shared" si="503"/>
        <v>0</v>
      </c>
      <c r="VZT23" s="1902">
        <f t="shared" si="503"/>
        <v>0</v>
      </c>
      <c r="VZU23" s="1902">
        <f t="shared" si="503"/>
        <v>0</v>
      </c>
      <c r="VZV23" s="1902">
        <f t="shared" si="503"/>
        <v>0</v>
      </c>
      <c r="VZW23" s="1902">
        <f t="shared" si="503"/>
        <v>0</v>
      </c>
      <c r="VZX23" s="1902">
        <f t="shared" si="503"/>
        <v>0</v>
      </c>
      <c r="VZY23" s="1902">
        <f t="shared" si="503"/>
        <v>0</v>
      </c>
      <c r="VZZ23" s="1902">
        <f t="shared" si="503"/>
        <v>0</v>
      </c>
      <c r="WAA23" s="1902">
        <f t="shared" si="503"/>
        <v>0</v>
      </c>
      <c r="WAB23" s="1902">
        <f t="shared" si="503"/>
        <v>0</v>
      </c>
      <c r="WAC23" s="1902">
        <f t="shared" si="503"/>
        <v>0</v>
      </c>
      <c r="WAD23" s="1902">
        <f t="shared" si="503"/>
        <v>0</v>
      </c>
      <c r="WAE23" s="1902">
        <f t="shared" si="503"/>
        <v>0</v>
      </c>
      <c r="WAF23" s="1902">
        <f t="shared" si="503"/>
        <v>0</v>
      </c>
      <c r="WAG23" s="1902">
        <f t="shared" si="503"/>
        <v>0</v>
      </c>
      <c r="WAH23" s="1902">
        <f t="shared" si="503"/>
        <v>0</v>
      </c>
      <c r="WAI23" s="1902">
        <f t="shared" si="503"/>
        <v>0</v>
      </c>
      <c r="WAJ23" s="1902">
        <f t="shared" si="503"/>
        <v>0</v>
      </c>
      <c r="WAK23" s="1902">
        <f t="shared" si="503"/>
        <v>0</v>
      </c>
      <c r="WAL23" s="1902">
        <f t="shared" si="503"/>
        <v>0</v>
      </c>
      <c r="WAM23" s="1902">
        <f t="shared" si="503"/>
        <v>0</v>
      </c>
      <c r="WAN23" s="1902">
        <f t="shared" si="503"/>
        <v>0</v>
      </c>
      <c r="WAO23" s="1902">
        <f t="shared" si="503"/>
        <v>0</v>
      </c>
      <c r="WAP23" s="1902">
        <f t="shared" si="503"/>
        <v>0</v>
      </c>
      <c r="WAQ23" s="1902">
        <f t="shared" si="503"/>
        <v>0</v>
      </c>
      <c r="WAR23" s="1902">
        <f t="shared" si="503"/>
        <v>0</v>
      </c>
      <c r="WAS23" s="1902">
        <f t="shared" si="503"/>
        <v>0</v>
      </c>
      <c r="WAT23" s="1902">
        <f t="shared" si="503"/>
        <v>0</v>
      </c>
      <c r="WAU23" s="1902">
        <f t="shared" si="503"/>
        <v>0</v>
      </c>
      <c r="WAV23" s="1902">
        <f t="shared" si="503"/>
        <v>0</v>
      </c>
      <c r="WAW23" s="1902">
        <f t="shared" si="503"/>
        <v>0</v>
      </c>
      <c r="WAX23" s="1902">
        <f t="shared" si="503"/>
        <v>0</v>
      </c>
      <c r="WAY23" s="1902">
        <f t="shared" si="503"/>
        <v>0</v>
      </c>
      <c r="WAZ23" s="1902">
        <f t="shared" si="503"/>
        <v>0</v>
      </c>
      <c r="WBA23" s="1902">
        <f t="shared" si="503"/>
        <v>0</v>
      </c>
      <c r="WBB23" s="1902">
        <f t="shared" si="503"/>
        <v>0</v>
      </c>
      <c r="WBC23" s="1902">
        <f t="shared" si="503"/>
        <v>0</v>
      </c>
      <c r="WBD23" s="1902">
        <f t="shared" si="503"/>
        <v>0</v>
      </c>
      <c r="WBE23" s="1902">
        <f t="shared" si="503"/>
        <v>0</v>
      </c>
      <c r="WBF23" s="1902">
        <f t="shared" si="503"/>
        <v>0</v>
      </c>
      <c r="WBG23" s="1902">
        <f t="shared" si="503"/>
        <v>0</v>
      </c>
      <c r="WBH23" s="1902">
        <f t="shared" si="503"/>
        <v>0</v>
      </c>
      <c r="WBI23" s="1902">
        <f t="shared" si="503"/>
        <v>0</v>
      </c>
      <c r="WBJ23" s="1902">
        <f t="shared" si="503"/>
        <v>0</v>
      </c>
      <c r="WBK23" s="1902">
        <f t="shared" si="503"/>
        <v>0</v>
      </c>
      <c r="WBL23" s="1902">
        <f t="shared" si="503"/>
        <v>0</v>
      </c>
      <c r="WBM23" s="1902">
        <f t="shared" si="503"/>
        <v>0</v>
      </c>
      <c r="WBN23" s="1902">
        <f t="shared" si="503"/>
        <v>0</v>
      </c>
      <c r="WBO23" s="1902">
        <f t="shared" si="503"/>
        <v>0</v>
      </c>
      <c r="WBP23" s="1902">
        <f t="shared" si="503"/>
        <v>0</v>
      </c>
      <c r="WBQ23" s="1902">
        <f t="shared" si="503"/>
        <v>0</v>
      </c>
      <c r="WBR23" s="1902">
        <f t="shared" si="503"/>
        <v>0</v>
      </c>
      <c r="WBS23" s="1902">
        <f t="shared" si="503"/>
        <v>0</v>
      </c>
      <c r="WBT23" s="1902">
        <f t="shared" si="503"/>
        <v>0</v>
      </c>
      <c r="WBU23" s="1902">
        <f t="shared" si="503"/>
        <v>0</v>
      </c>
      <c r="WBV23" s="1902">
        <f t="shared" si="503"/>
        <v>0</v>
      </c>
      <c r="WBW23" s="1902">
        <f t="shared" si="503"/>
        <v>0</v>
      </c>
      <c r="WBX23" s="1902">
        <f t="shared" si="503"/>
        <v>0</v>
      </c>
      <c r="WBY23" s="1902">
        <f t="shared" si="503"/>
        <v>0</v>
      </c>
      <c r="WBZ23" s="1902">
        <f t="shared" si="503"/>
        <v>0</v>
      </c>
      <c r="WCA23" s="1902">
        <f t="shared" ref="WCA23:WEL23" si="504">IF(AND(WCA$26="End of period",WCA$25="Revenue"),WCA10,0)</f>
        <v>0</v>
      </c>
      <c r="WCB23" s="1902">
        <f t="shared" si="504"/>
        <v>0</v>
      </c>
      <c r="WCC23" s="1902">
        <f t="shared" si="504"/>
        <v>0</v>
      </c>
      <c r="WCD23" s="1902">
        <f t="shared" si="504"/>
        <v>0</v>
      </c>
      <c r="WCE23" s="1902">
        <f t="shared" si="504"/>
        <v>0</v>
      </c>
      <c r="WCF23" s="1902">
        <f t="shared" si="504"/>
        <v>0</v>
      </c>
      <c r="WCG23" s="1902">
        <f t="shared" si="504"/>
        <v>0</v>
      </c>
      <c r="WCH23" s="1902">
        <f t="shared" si="504"/>
        <v>0</v>
      </c>
      <c r="WCI23" s="1902">
        <f t="shared" si="504"/>
        <v>0</v>
      </c>
      <c r="WCJ23" s="1902">
        <f t="shared" si="504"/>
        <v>0</v>
      </c>
      <c r="WCK23" s="1902">
        <f t="shared" si="504"/>
        <v>0</v>
      </c>
      <c r="WCL23" s="1902">
        <f t="shared" si="504"/>
        <v>0</v>
      </c>
      <c r="WCM23" s="1902">
        <f t="shared" si="504"/>
        <v>0</v>
      </c>
      <c r="WCN23" s="1902">
        <f t="shared" si="504"/>
        <v>0</v>
      </c>
      <c r="WCO23" s="1902">
        <f t="shared" si="504"/>
        <v>0</v>
      </c>
      <c r="WCP23" s="1902">
        <f t="shared" si="504"/>
        <v>0</v>
      </c>
      <c r="WCQ23" s="1902">
        <f t="shared" si="504"/>
        <v>0</v>
      </c>
      <c r="WCR23" s="1902">
        <f t="shared" si="504"/>
        <v>0</v>
      </c>
      <c r="WCS23" s="1902">
        <f t="shared" si="504"/>
        <v>0</v>
      </c>
      <c r="WCT23" s="1902">
        <f t="shared" si="504"/>
        <v>0</v>
      </c>
      <c r="WCU23" s="1902">
        <f t="shared" si="504"/>
        <v>0</v>
      </c>
      <c r="WCV23" s="1902">
        <f t="shared" si="504"/>
        <v>0</v>
      </c>
      <c r="WCW23" s="1902">
        <f t="shared" si="504"/>
        <v>0</v>
      </c>
      <c r="WCX23" s="1902">
        <f t="shared" si="504"/>
        <v>0</v>
      </c>
      <c r="WCY23" s="1902">
        <f t="shared" si="504"/>
        <v>0</v>
      </c>
      <c r="WCZ23" s="1902">
        <f t="shared" si="504"/>
        <v>0</v>
      </c>
      <c r="WDA23" s="1902">
        <f t="shared" si="504"/>
        <v>0</v>
      </c>
      <c r="WDB23" s="1902">
        <f t="shared" si="504"/>
        <v>0</v>
      </c>
      <c r="WDC23" s="1902">
        <f t="shared" si="504"/>
        <v>0</v>
      </c>
      <c r="WDD23" s="1902">
        <f t="shared" si="504"/>
        <v>0</v>
      </c>
      <c r="WDE23" s="1902">
        <f t="shared" si="504"/>
        <v>0</v>
      </c>
      <c r="WDF23" s="1902">
        <f t="shared" si="504"/>
        <v>0</v>
      </c>
      <c r="WDG23" s="1902">
        <f t="shared" si="504"/>
        <v>0</v>
      </c>
      <c r="WDH23" s="1902">
        <f t="shared" si="504"/>
        <v>0</v>
      </c>
      <c r="WDI23" s="1902">
        <f t="shared" si="504"/>
        <v>0</v>
      </c>
      <c r="WDJ23" s="1902">
        <f t="shared" si="504"/>
        <v>0</v>
      </c>
      <c r="WDK23" s="1902">
        <f t="shared" si="504"/>
        <v>0</v>
      </c>
      <c r="WDL23" s="1902">
        <f t="shared" si="504"/>
        <v>0</v>
      </c>
      <c r="WDM23" s="1902">
        <f t="shared" si="504"/>
        <v>0</v>
      </c>
      <c r="WDN23" s="1902">
        <f t="shared" si="504"/>
        <v>0</v>
      </c>
      <c r="WDO23" s="1902">
        <f t="shared" si="504"/>
        <v>0</v>
      </c>
      <c r="WDP23" s="1902">
        <f t="shared" si="504"/>
        <v>0</v>
      </c>
      <c r="WDQ23" s="1902">
        <f t="shared" si="504"/>
        <v>0</v>
      </c>
      <c r="WDR23" s="1902">
        <f t="shared" si="504"/>
        <v>0</v>
      </c>
      <c r="WDS23" s="1902">
        <f t="shared" si="504"/>
        <v>0</v>
      </c>
      <c r="WDT23" s="1902">
        <f t="shared" si="504"/>
        <v>0</v>
      </c>
      <c r="WDU23" s="1902">
        <f t="shared" si="504"/>
        <v>0</v>
      </c>
      <c r="WDV23" s="1902">
        <f t="shared" si="504"/>
        <v>0</v>
      </c>
      <c r="WDW23" s="1902">
        <f t="shared" si="504"/>
        <v>0</v>
      </c>
      <c r="WDX23" s="1902">
        <f t="shared" si="504"/>
        <v>0</v>
      </c>
      <c r="WDY23" s="1902">
        <f t="shared" si="504"/>
        <v>0</v>
      </c>
      <c r="WDZ23" s="1902">
        <f t="shared" si="504"/>
        <v>0</v>
      </c>
      <c r="WEA23" s="1902">
        <f t="shared" si="504"/>
        <v>0</v>
      </c>
      <c r="WEB23" s="1902">
        <f t="shared" si="504"/>
        <v>0</v>
      </c>
      <c r="WEC23" s="1902">
        <f t="shared" si="504"/>
        <v>0</v>
      </c>
      <c r="WED23" s="1902">
        <f t="shared" si="504"/>
        <v>0</v>
      </c>
      <c r="WEE23" s="1902">
        <f t="shared" si="504"/>
        <v>0</v>
      </c>
      <c r="WEF23" s="1902">
        <f t="shared" si="504"/>
        <v>0</v>
      </c>
      <c r="WEG23" s="1902">
        <f t="shared" si="504"/>
        <v>0</v>
      </c>
      <c r="WEH23" s="1902">
        <f t="shared" si="504"/>
        <v>0</v>
      </c>
      <c r="WEI23" s="1902">
        <f t="shared" si="504"/>
        <v>0</v>
      </c>
      <c r="WEJ23" s="1902">
        <f t="shared" si="504"/>
        <v>0</v>
      </c>
      <c r="WEK23" s="1902">
        <f t="shared" si="504"/>
        <v>0</v>
      </c>
      <c r="WEL23" s="1902">
        <f t="shared" si="504"/>
        <v>0</v>
      </c>
      <c r="WEM23" s="1902">
        <f t="shared" ref="WEM23:WGX23" si="505">IF(AND(WEM$26="End of period",WEM$25="Revenue"),WEM10,0)</f>
        <v>0</v>
      </c>
      <c r="WEN23" s="1902">
        <f t="shared" si="505"/>
        <v>0</v>
      </c>
      <c r="WEO23" s="1902">
        <f t="shared" si="505"/>
        <v>0</v>
      </c>
      <c r="WEP23" s="1902">
        <f t="shared" si="505"/>
        <v>0</v>
      </c>
      <c r="WEQ23" s="1902">
        <f t="shared" si="505"/>
        <v>0</v>
      </c>
      <c r="WER23" s="1902">
        <f t="shared" si="505"/>
        <v>0</v>
      </c>
      <c r="WES23" s="1902">
        <f t="shared" si="505"/>
        <v>0</v>
      </c>
      <c r="WET23" s="1902">
        <f t="shared" si="505"/>
        <v>0</v>
      </c>
      <c r="WEU23" s="1902">
        <f t="shared" si="505"/>
        <v>0</v>
      </c>
      <c r="WEV23" s="1902">
        <f t="shared" si="505"/>
        <v>0</v>
      </c>
      <c r="WEW23" s="1902">
        <f t="shared" si="505"/>
        <v>0</v>
      </c>
      <c r="WEX23" s="1902">
        <f t="shared" si="505"/>
        <v>0</v>
      </c>
      <c r="WEY23" s="1902">
        <f t="shared" si="505"/>
        <v>0</v>
      </c>
      <c r="WEZ23" s="1902">
        <f t="shared" si="505"/>
        <v>0</v>
      </c>
      <c r="WFA23" s="1902">
        <f t="shared" si="505"/>
        <v>0</v>
      </c>
      <c r="WFB23" s="1902">
        <f t="shared" si="505"/>
        <v>0</v>
      </c>
      <c r="WFC23" s="1902">
        <f t="shared" si="505"/>
        <v>0</v>
      </c>
      <c r="WFD23" s="1902">
        <f t="shared" si="505"/>
        <v>0</v>
      </c>
      <c r="WFE23" s="1902">
        <f t="shared" si="505"/>
        <v>0</v>
      </c>
      <c r="WFF23" s="1902">
        <f t="shared" si="505"/>
        <v>0</v>
      </c>
      <c r="WFG23" s="1902">
        <f t="shared" si="505"/>
        <v>0</v>
      </c>
      <c r="WFH23" s="1902">
        <f t="shared" si="505"/>
        <v>0</v>
      </c>
      <c r="WFI23" s="1902">
        <f t="shared" si="505"/>
        <v>0</v>
      </c>
      <c r="WFJ23" s="1902">
        <f t="shared" si="505"/>
        <v>0</v>
      </c>
      <c r="WFK23" s="1902">
        <f t="shared" si="505"/>
        <v>0</v>
      </c>
      <c r="WFL23" s="1902">
        <f t="shared" si="505"/>
        <v>0</v>
      </c>
      <c r="WFM23" s="1902">
        <f t="shared" si="505"/>
        <v>0</v>
      </c>
      <c r="WFN23" s="1902">
        <f t="shared" si="505"/>
        <v>0</v>
      </c>
      <c r="WFO23" s="1902">
        <f t="shared" si="505"/>
        <v>0</v>
      </c>
      <c r="WFP23" s="1902">
        <f t="shared" si="505"/>
        <v>0</v>
      </c>
      <c r="WFQ23" s="1902">
        <f t="shared" si="505"/>
        <v>0</v>
      </c>
      <c r="WFR23" s="1902">
        <f t="shared" si="505"/>
        <v>0</v>
      </c>
      <c r="WFS23" s="1902">
        <f t="shared" si="505"/>
        <v>0</v>
      </c>
      <c r="WFT23" s="1902">
        <f t="shared" si="505"/>
        <v>0</v>
      </c>
      <c r="WFU23" s="1902">
        <f t="shared" si="505"/>
        <v>0</v>
      </c>
      <c r="WFV23" s="1902">
        <f t="shared" si="505"/>
        <v>0</v>
      </c>
      <c r="WFW23" s="1902">
        <f t="shared" si="505"/>
        <v>0</v>
      </c>
      <c r="WFX23" s="1902">
        <f t="shared" si="505"/>
        <v>0</v>
      </c>
      <c r="WFY23" s="1902">
        <f t="shared" si="505"/>
        <v>0</v>
      </c>
      <c r="WFZ23" s="1902">
        <f t="shared" si="505"/>
        <v>0</v>
      </c>
      <c r="WGA23" s="1902">
        <f t="shared" si="505"/>
        <v>0</v>
      </c>
      <c r="WGB23" s="1902">
        <f t="shared" si="505"/>
        <v>0</v>
      </c>
      <c r="WGC23" s="1902">
        <f t="shared" si="505"/>
        <v>0</v>
      </c>
      <c r="WGD23" s="1902">
        <f t="shared" si="505"/>
        <v>0</v>
      </c>
      <c r="WGE23" s="1902">
        <f t="shared" si="505"/>
        <v>0</v>
      </c>
      <c r="WGF23" s="1902">
        <f t="shared" si="505"/>
        <v>0</v>
      </c>
      <c r="WGG23" s="1902">
        <f t="shared" si="505"/>
        <v>0</v>
      </c>
      <c r="WGH23" s="1902">
        <f t="shared" si="505"/>
        <v>0</v>
      </c>
      <c r="WGI23" s="1902">
        <f t="shared" si="505"/>
        <v>0</v>
      </c>
      <c r="WGJ23" s="1902">
        <f t="shared" si="505"/>
        <v>0</v>
      </c>
      <c r="WGK23" s="1902">
        <f t="shared" si="505"/>
        <v>0</v>
      </c>
      <c r="WGL23" s="1902">
        <f t="shared" si="505"/>
        <v>0</v>
      </c>
      <c r="WGM23" s="1902">
        <f t="shared" si="505"/>
        <v>0</v>
      </c>
      <c r="WGN23" s="1902">
        <f t="shared" si="505"/>
        <v>0</v>
      </c>
      <c r="WGO23" s="1902">
        <f t="shared" si="505"/>
        <v>0</v>
      </c>
      <c r="WGP23" s="1902">
        <f t="shared" si="505"/>
        <v>0</v>
      </c>
      <c r="WGQ23" s="1902">
        <f t="shared" si="505"/>
        <v>0</v>
      </c>
      <c r="WGR23" s="1902">
        <f t="shared" si="505"/>
        <v>0</v>
      </c>
      <c r="WGS23" s="1902">
        <f t="shared" si="505"/>
        <v>0</v>
      </c>
      <c r="WGT23" s="1902">
        <f t="shared" si="505"/>
        <v>0</v>
      </c>
      <c r="WGU23" s="1902">
        <f t="shared" si="505"/>
        <v>0</v>
      </c>
      <c r="WGV23" s="1902">
        <f t="shared" si="505"/>
        <v>0</v>
      </c>
      <c r="WGW23" s="1902">
        <f t="shared" si="505"/>
        <v>0</v>
      </c>
      <c r="WGX23" s="1902">
        <f t="shared" si="505"/>
        <v>0</v>
      </c>
      <c r="WGY23" s="1902">
        <f t="shared" ref="WGY23:WJJ23" si="506">IF(AND(WGY$26="End of period",WGY$25="Revenue"),WGY10,0)</f>
        <v>0</v>
      </c>
      <c r="WGZ23" s="1902">
        <f t="shared" si="506"/>
        <v>0</v>
      </c>
      <c r="WHA23" s="1902">
        <f t="shared" si="506"/>
        <v>0</v>
      </c>
      <c r="WHB23" s="1902">
        <f t="shared" si="506"/>
        <v>0</v>
      </c>
      <c r="WHC23" s="1902">
        <f t="shared" si="506"/>
        <v>0</v>
      </c>
      <c r="WHD23" s="1902">
        <f t="shared" si="506"/>
        <v>0</v>
      </c>
      <c r="WHE23" s="1902">
        <f t="shared" si="506"/>
        <v>0</v>
      </c>
      <c r="WHF23" s="1902">
        <f t="shared" si="506"/>
        <v>0</v>
      </c>
      <c r="WHG23" s="1902">
        <f t="shared" si="506"/>
        <v>0</v>
      </c>
      <c r="WHH23" s="1902">
        <f t="shared" si="506"/>
        <v>0</v>
      </c>
      <c r="WHI23" s="1902">
        <f t="shared" si="506"/>
        <v>0</v>
      </c>
      <c r="WHJ23" s="1902">
        <f t="shared" si="506"/>
        <v>0</v>
      </c>
      <c r="WHK23" s="1902">
        <f t="shared" si="506"/>
        <v>0</v>
      </c>
      <c r="WHL23" s="1902">
        <f t="shared" si="506"/>
        <v>0</v>
      </c>
      <c r="WHM23" s="1902">
        <f t="shared" si="506"/>
        <v>0</v>
      </c>
      <c r="WHN23" s="1902">
        <f t="shared" si="506"/>
        <v>0</v>
      </c>
      <c r="WHO23" s="1902">
        <f t="shared" si="506"/>
        <v>0</v>
      </c>
      <c r="WHP23" s="1902">
        <f t="shared" si="506"/>
        <v>0</v>
      </c>
      <c r="WHQ23" s="1902">
        <f t="shared" si="506"/>
        <v>0</v>
      </c>
      <c r="WHR23" s="1902">
        <f t="shared" si="506"/>
        <v>0</v>
      </c>
      <c r="WHS23" s="1902">
        <f t="shared" si="506"/>
        <v>0</v>
      </c>
      <c r="WHT23" s="1902">
        <f t="shared" si="506"/>
        <v>0</v>
      </c>
      <c r="WHU23" s="1902">
        <f t="shared" si="506"/>
        <v>0</v>
      </c>
      <c r="WHV23" s="1902">
        <f t="shared" si="506"/>
        <v>0</v>
      </c>
      <c r="WHW23" s="1902">
        <f t="shared" si="506"/>
        <v>0</v>
      </c>
      <c r="WHX23" s="1902">
        <f t="shared" si="506"/>
        <v>0</v>
      </c>
      <c r="WHY23" s="1902">
        <f t="shared" si="506"/>
        <v>0</v>
      </c>
      <c r="WHZ23" s="1902">
        <f t="shared" si="506"/>
        <v>0</v>
      </c>
      <c r="WIA23" s="1902">
        <f t="shared" si="506"/>
        <v>0</v>
      </c>
      <c r="WIB23" s="1902">
        <f t="shared" si="506"/>
        <v>0</v>
      </c>
      <c r="WIC23" s="1902">
        <f t="shared" si="506"/>
        <v>0</v>
      </c>
      <c r="WID23" s="1902">
        <f t="shared" si="506"/>
        <v>0</v>
      </c>
      <c r="WIE23" s="1902">
        <f t="shared" si="506"/>
        <v>0</v>
      </c>
      <c r="WIF23" s="1902">
        <f t="shared" si="506"/>
        <v>0</v>
      </c>
      <c r="WIG23" s="1902">
        <f t="shared" si="506"/>
        <v>0</v>
      </c>
      <c r="WIH23" s="1902">
        <f t="shared" si="506"/>
        <v>0</v>
      </c>
      <c r="WII23" s="1902">
        <f t="shared" si="506"/>
        <v>0</v>
      </c>
      <c r="WIJ23" s="1902">
        <f t="shared" si="506"/>
        <v>0</v>
      </c>
      <c r="WIK23" s="1902">
        <f t="shared" si="506"/>
        <v>0</v>
      </c>
      <c r="WIL23" s="1902">
        <f t="shared" si="506"/>
        <v>0</v>
      </c>
      <c r="WIM23" s="1902">
        <f t="shared" si="506"/>
        <v>0</v>
      </c>
      <c r="WIN23" s="1902">
        <f t="shared" si="506"/>
        <v>0</v>
      </c>
      <c r="WIO23" s="1902">
        <f t="shared" si="506"/>
        <v>0</v>
      </c>
      <c r="WIP23" s="1902">
        <f t="shared" si="506"/>
        <v>0</v>
      </c>
      <c r="WIQ23" s="1902">
        <f t="shared" si="506"/>
        <v>0</v>
      </c>
      <c r="WIR23" s="1902">
        <f t="shared" si="506"/>
        <v>0</v>
      </c>
      <c r="WIS23" s="1902">
        <f t="shared" si="506"/>
        <v>0</v>
      </c>
      <c r="WIT23" s="1902">
        <f t="shared" si="506"/>
        <v>0</v>
      </c>
      <c r="WIU23" s="1902">
        <f t="shared" si="506"/>
        <v>0</v>
      </c>
      <c r="WIV23" s="1902">
        <f t="shared" si="506"/>
        <v>0</v>
      </c>
      <c r="WIW23" s="1902">
        <f t="shared" si="506"/>
        <v>0</v>
      </c>
      <c r="WIX23" s="1902">
        <f t="shared" si="506"/>
        <v>0</v>
      </c>
      <c r="WIY23" s="1902">
        <f t="shared" si="506"/>
        <v>0</v>
      </c>
      <c r="WIZ23" s="1902">
        <f t="shared" si="506"/>
        <v>0</v>
      </c>
      <c r="WJA23" s="1902">
        <f t="shared" si="506"/>
        <v>0</v>
      </c>
      <c r="WJB23" s="1902">
        <f t="shared" si="506"/>
        <v>0</v>
      </c>
      <c r="WJC23" s="1902">
        <f t="shared" si="506"/>
        <v>0</v>
      </c>
      <c r="WJD23" s="1902">
        <f t="shared" si="506"/>
        <v>0</v>
      </c>
      <c r="WJE23" s="1902">
        <f t="shared" si="506"/>
        <v>0</v>
      </c>
      <c r="WJF23" s="1902">
        <f t="shared" si="506"/>
        <v>0</v>
      </c>
      <c r="WJG23" s="1902">
        <f t="shared" si="506"/>
        <v>0</v>
      </c>
      <c r="WJH23" s="1902">
        <f t="shared" si="506"/>
        <v>0</v>
      </c>
      <c r="WJI23" s="1902">
        <f t="shared" si="506"/>
        <v>0</v>
      </c>
      <c r="WJJ23" s="1902">
        <f t="shared" si="506"/>
        <v>0</v>
      </c>
      <c r="WJK23" s="1902">
        <f t="shared" ref="WJK23:WLV23" si="507">IF(AND(WJK$26="End of period",WJK$25="Revenue"),WJK10,0)</f>
        <v>0</v>
      </c>
      <c r="WJL23" s="1902">
        <f t="shared" si="507"/>
        <v>0</v>
      </c>
      <c r="WJM23" s="1902">
        <f t="shared" si="507"/>
        <v>0</v>
      </c>
      <c r="WJN23" s="1902">
        <f t="shared" si="507"/>
        <v>0</v>
      </c>
      <c r="WJO23" s="1902">
        <f t="shared" si="507"/>
        <v>0</v>
      </c>
      <c r="WJP23" s="1902">
        <f t="shared" si="507"/>
        <v>0</v>
      </c>
      <c r="WJQ23" s="1902">
        <f t="shared" si="507"/>
        <v>0</v>
      </c>
      <c r="WJR23" s="1902">
        <f t="shared" si="507"/>
        <v>0</v>
      </c>
      <c r="WJS23" s="1902">
        <f t="shared" si="507"/>
        <v>0</v>
      </c>
      <c r="WJT23" s="1902">
        <f t="shared" si="507"/>
        <v>0</v>
      </c>
      <c r="WJU23" s="1902">
        <f t="shared" si="507"/>
        <v>0</v>
      </c>
      <c r="WJV23" s="1902">
        <f t="shared" si="507"/>
        <v>0</v>
      </c>
      <c r="WJW23" s="1902">
        <f t="shared" si="507"/>
        <v>0</v>
      </c>
      <c r="WJX23" s="1902">
        <f t="shared" si="507"/>
        <v>0</v>
      </c>
      <c r="WJY23" s="1902">
        <f t="shared" si="507"/>
        <v>0</v>
      </c>
      <c r="WJZ23" s="1902">
        <f t="shared" si="507"/>
        <v>0</v>
      </c>
      <c r="WKA23" s="1902">
        <f t="shared" si="507"/>
        <v>0</v>
      </c>
      <c r="WKB23" s="1902">
        <f t="shared" si="507"/>
        <v>0</v>
      </c>
      <c r="WKC23" s="1902">
        <f t="shared" si="507"/>
        <v>0</v>
      </c>
      <c r="WKD23" s="1902">
        <f t="shared" si="507"/>
        <v>0</v>
      </c>
      <c r="WKE23" s="1902">
        <f t="shared" si="507"/>
        <v>0</v>
      </c>
      <c r="WKF23" s="1902">
        <f t="shared" si="507"/>
        <v>0</v>
      </c>
      <c r="WKG23" s="1902">
        <f t="shared" si="507"/>
        <v>0</v>
      </c>
      <c r="WKH23" s="1902">
        <f t="shared" si="507"/>
        <v>0</v>
      </c>
      <c r="WKI23" s="1902">
        <f t="shared" si="507"/>
        <v>0</v>
      </c>
      <c r="WKJ23" s="1902">
        <f t="shared" si="507"/>
        <v>0</v>
      </c>
      <c r="WKK23" s="1902">
        <f t="shared" si="507"/>
        <v>0</v>
      </c>
      <c r="WKL23" s="1902">
        <f t="shared" si="507"/>
        <v>0</v>
      </c>
      <c r="WKM23" s="1902">
        <f t="shared" si="507"/>
        <v>0</v>
      </c>
      <c r="WKN23" s="1902">
        <f t="shared" si="507"/>
        <v>0</v>
      </c>
      <c r="WKO23" s="1902">
        <f t="shared" si="507"/>
        <v>0</v>
      </c>
      <c r="WKP23" s="1902">
        <f t="shared" si="507"/>
        <v>0</v>
      </c>
      <c r="WKQ23" s="1902">
        <f t="shared" si="507"/>
        <v>0</v>
      </c>
      <c r="WKR23" s="1902">
        <f t="shared" si="507"/>
        <v>0</v>
      </c>
      <c r="WKS23" s="1902">
        <f t="shared" si="507"/>
        <v>0</v>
      </c>
      <c r="WKT23" s="1902">
        <f t="shared" si="507"/>
        <v>0</v>
      </c>
      <c r="WKU23" s="1902">
        <f t="shared" si="507"/>
        <v>0</v>
      </c>
      <c r="WKV23" s="1902">
        <f t="shared" si="507"/>
        <v>0</v>
      </c>
      <c r="WKW23" s="1902">
        <f t="shared" si="507"/>
        <v>0</v>
      </c>
      <c r="WKX23" s="1902">
        <f t="shared" si="507"/>
        <v>0</v>
      </c>
      <c r="WKY23" s="1902">
        <f t="shared" si="507"/>
        <v>0</v>
      </c>
      <c r="WKZ23" s="1902">
        <f t="shared" si="507"/>
        <v>0</v>
      </c>
      <c r="WLA23" s="1902">
        <f t="shared" si="507"/>
        <v>0</v>
      </c>
      <c r="WLB23" s="1902">
        <f t="shared" si="507"/>
        <v>0</v>
      </c>
      <c r="WLC23" s="1902">
        <f t="shared" si="507"/>
        <v>0</v>
      </c>
      <c r="WLD23" s="1902">
        <f t="shared" si="507"/>
        <v>0</v>
      </c>
      <c r="WLE23" s="1902">
        <f t="shared" si="507"/>
        <v>0</v>
      </c>
      <c r="WLF23" s="1902">
        <f t="shared" si="507"/>
        <v>0</v>
      </c>
      <c r="WLG23" s="1902">
        <f t="shared" si="507"/>
        <v>0</v>
      </c>
      <c r="WLH23" s="1902">
        <f t="shared" si="507"/>
        <v>0</v>
      </c>
      <c r="WLI23" s="1902">
        <f t="shared" si="507"/>
        <v>0</v>
      </c>
      <c r="WLJ23" s="1902">
        <f t="shared" si="507"/>
        <v>0</v>
      </c>
      <c r="WLK23" s="1902">
        <f t="shared" si="507"/>
        <v>0</v>
      </c>
      <c r="WLL23" s="1902">
        <f t="shared" si="507"/>
        <v>0</v>
      </c>
      <c r="WLM23" s="1902">
        <f t="shared" si="507"/>
        <v>0</v>
      </c>
      <c r="WLN23" s="1902">
        <f t="shared" si="507"/>
        <v>0</v>
      </c>
      <c r="WLO23" s="1902">
        <f t="shared" si="507"/>
        <v>0</v>
      </c>
      <c r="WLP23" s="1902">
        <f t="shared" si="507"/>
        <v>0</v>
      </c>
      <c r="WLQ23" s="1902">
        <f t="shared" si="507"/>
        <v>0</v>
      </c>
      <c r="WLR23" s="1902">
        <f t="shared" si="507"/>
        <v>0</v>
      </c>
      <c r="WLS23" s="1902">
        <f t="shared" si="507"/>
        <v>0</v>
      </c>
      <c r="WLT23" s="1902">
        <f t="shared" si="507"/>
        <v>0</v>
      </c>
      <c r="WLU23" s="1902">
        <f t="shared" si="507"/>
        <v>0</v>
      </c>
      <c r="WLV23" s="1902">
        <f t="shared" si="507"/>
        <v>0</v>
      </c>
      <c r="WLW23" s="1902">
        <f t="shared" ref="WLW23:WOH23" si="508">IF(AND(WLW$26="End of period",WLW$25="Revenue"),WLW10,0)</f>
        <v>0</v>
      </c>
      <c r="WLX23" s="1902">
        <f t="shared" si="508"/>
        <v>0</v>
      </c>
      <c r="WLY23" s="1902">
        <f t="shared" si="508"/>
        <v>0</v>
      </c>
      <c r="WLZ23" s="1902">
        <f t="shared" si="508"/>
        <v>0</v>
      </c>
      <c r="WMA23" s="1902">
        <f t="shared" si="508"/>
        <v>0</v>
      </c>
      <c r="WMB23" s="1902">
        <f t="shared" si="508"/>
        <v>0</v>
      </c>
      <c r="WMC23" s="1902">
        <f t="shared" si="508"/>
        <v>0</v>
      </c>
      <c r="WMD23" s="1902">
        <f t="shared" si="508"/>
        <v>0</v>
      </c>
      <c r="WME23" s="1902">
        <f t="shared" si="508"/>
        <v>0</v>
      </c>
      <c r="WMF23" s="1902">
        <f t="shared" si="508"/>
        <v>0</v>
      </c>
      <c r="WMG23" s="1902">
        <f t="shared" si="508"/>
        <v>0</v>
      </c>
      <c r="WMH23" s="1902">
        <f t="shared" si="508"/>
        <v>0</v>
      </c>
      <c r="WMI23" s="1902">
        <f t="shared" si="508"/>
        <v>0</v>
      </c>
      <c r="WMJ23" s="1902">
        <f t="shared" si="508"/>
        <v>0</v>
      </c>
      <c r="WMK23" s="1902">
        <f t="shared" si="508"/>
        <v>0</v>
      </c>
      <c r="WML23" s="1902">
        <f t="shared" si="508"/>
        <v>0</v>
      </c>
      <c r="WMM23" s="1902">
        <f t="shared" si="508"/>
        <v>0</v>
      </c>
      <c r="WMN23" s="1902">
        <f t="shared" si="508"/>
        <v>0</v>
      </c>
      <c r="WMO23" s="1902">
        <f t="shared" si="508"/>
        <v>0</v>
      </c>
      <c r="WMP23" s="1902">
        <f t="shared" si="508"/>
        <v>0</v>
      </c>
      <c r="WMQ23" s="1902">
        <f t="shared" si="508"/>
        <v>0</v>
      </c>
      <c r="WMR23" s="1902">
        <f t="shared" si="508"/>
        <v>0</v>
      </c>
      <c r="WMS23" s="1902">
        <f t="shared" si="508"/>
        <v>0</v>
      </c>
      <c r="WMT23" s="1902">
        <f t="shared" si="508"/>
        <v>0</v>
      </c>
      <c r="WMU23" s="1902">
        <f t="shared" si="508"/>
        <v>0</v>
      </c>
      <c r="WMV23" s="1902">
        <f t="shared" si="508"/>
        <v>0</v>
      </c>
      <c r="WMW23" s="1902">
        <f t="shared" si="508"/>
        <v>0</v>
      </c>
      <c r="WMX23" s="1902">
        <f t="shared" si="508"/>
        <v>0</v>
      </c>
      <c r="WMY23" s="1902">
        <f t="shared" si="508"/>
        <v>0</v>
      </c>
      <c r="WMZ23" s="1902">
        <f t="shared" si="508"/>
        <v>0</v>
      </c>
      <c r="WNA23" s="1902">
        <f t="shared" si="508"/>
        <v>0</v>
      </c>
      <c r="WNB23" s="1902">
        <f t="shared" si="508"/>
        <v>0</v>
      </c>
      <c r="WNC23" s="1902">
        <f t="shared" si="508"/>
        <v>0</v>
      </c>
      <c r="WND23" s="1902">
        <f t="shared" si="508"/>
        <v>0</v>
      </c>
      <c r="WNE23" s="1902">
        <f t="shared" si="508"/>
        <v>0</v>
      </c>
      <c r="WNF23" s="1902">
        <f t="shared" si="508"/>
        <v>0</v>
      </c>
      <c r="WNG23" s="1902">
        <f t="shared" si="508"/>
        <v>0</v>
      </c>
      <c r="WNH23" s="1902">
        <f t="shared" si="508"/>
        <v>0</v>
      </c>
      <c r="WNI23" s="1902">
        <f t="shared" si="508"/>
        <v>0</v>
      </c>
      <c r="WNJ23" s="1902">
        <f t="shared" si="508"/>
        <v>0</v>
      </c>
      <c r="WNK23" s="1902">
        <f t="shared" si="508"/>
        <v>0</v>
      </c>
      <c r="WNL23" s="1902">
        <f t="shared" si="508"/>
        <v>0</v>
      </c>
      <c r="WNM23" s="1902">
        <f t="shared" si="508"/>
        <v>0</v>
      </c>
      <c r="WNN23" s="1902">
        <f t="shared" si="508"/>
        <v>0</v>
      </c>
      <c r="WNO23" s="1902">
        <f t="shared" si="508"/>
        <v>0</v>
      </c>
      <c r="WNP23" s="1902">
        <f t="shared" si="508"/>
        <v>0</v>
      </c>
      <c r="WNQ23" s="1902">
        <f t="shared" si="508"/>
        <v>0</v>
      </c>
      <c r="WNR23" s="1902">
        <f t="shared" si="508"/>
        <v>0</v>
      </c>
      <c r="WNS23" s="1902">
        <f t="shared" si="508"/>
        <v>0</v>
      </c>
      <c r="WNT23" s="1902">
        <f t="shared" si="508"/>
        <v>0</v>
      </c>
      <c r="WNU23" s="1902">
        <f t="shared" si="508"/>
        <v>0</v>
      </c>
      <c r="WNV23" s="1902">
        <f t="shared" si="508"/>
        <v>0</v>
      </c>
      <c r="WNW23" s="1902">
        <f t="shared" si="508"/>
        <v>0</v>
      </c>
      <c r="WNX23" s="1902">
        <f t="shared" si="508"/>
        <v>0</v>
      </c>
      <c r="WNY23" s="1902">
        <f t="shared" si="508"/>
        <v>0</v>
      </c>
      <c r="WNZ23" s="1902">
        <f t="shared" si="508"/>
        <v>0</v>
      </c>
      <c r="WOA23" s="1902">
        <f t="shared" si="508"/>
        <v>0</v>
      </c>
      <c r="WOB23" s="1902">
        <f t="shared" si="508"/>
        <v>0</v>
      </c>
      <c r="WOC23" s="1902">
        <f t="shared" si="508"/>
        <v>0</v>
      </c>
      <c r="WOD23" s="1902">
        <f t="shared" si="508"/>
        <v>0</v>
      </c>
      <c r="WOE23" s="1902">
        <f t="shared" si="508"/>
        <v>0</v>
      </c>
      <c r="WOF23" s="1902">
        <f t="shared" si="508"/>
        <v>0</v>
      </c>
      <c r="WOG23" s="1902">
        <f t="shared" si="508"/>
        <v>0</v>
      </c>
      <c r="WOH23" s="1902">
        <f t="shared" si="508"/>
        <v>0</v>
      </c>
      <c r="WOI23" s="1902">
        <f t="shared" ref="WOI23:WQT23" si="509">IF(AND(WOI$26="End of period",WOI$25="Revenue"),WOI10,0)</f>
        <v>0</v>
      </c>
      <c r="WOJ23" s="1902">
        <f t="shared" si="509"/>
        <v>0</v>
      </c>
      <c r="WOK23" s="1902">
        <f t="shared" si="509"/>
        <v>0</v>
      </c>
      <c r="WOL23" s="1902">
        <f t="shared" si="509"/>
        <v>0</v>
      </c>
      <c r="WOM23" s="1902">
        <f t="shared" si="509"/>
        <v>0</v>
      </c>
      <c r="WON23" s="1902">
        <f t="shared" si="509"/>
        <v>0</v>
      </c>
      <c r="WOO23" s="1902">
        <f t="shared" si="509"/>
        <v>0</v>
      </c>
      <c r="WOP23" s="1902">
        <f t="shared" si="509"/>
        <v>0</v>
      </c>
      <c r="WOQ23" s="1902">
        <f t="shared" si="509"/>
        <v>0</v>
      </c>
      <c r="WOR23" s="1902">
        <f t="shared" si="509"/>
        <v>0</v>
      </c>
      <c r="WOS23" s="1902">
        <f t="shared" si="509"/>
        <v>0</v>
      </c>
      <c r="WOT23" s="1902">
        <f t="shared" si="509"/>
        <v>0</v>
      </c>
      <c r="WOU23" s="1902">
        <f t="shared" si="509"/>
        <v>0</v>
      </c>
      <c r="WOV23" s="1902">
        <f t="shared" si="509"/>
        <v>0</v>
      </c>
      <c r="WOW23" s="1902">
        <f t="shared" si="509"/>
        <v>0</v>
      </c>
      <c r="WOX23" s="1902">
        <f t="shared" si="509"/>
        <v>0</v>
      </c>
      <c r="WOY23" s="1902">
        <f t="shared" si="509"/>
        <v>0</v>
      </c>
      <c r="WOZ23" s="1902">
        <f t="shared" si="509"/>
        <v>0</v>
      </c>
      <c r="WPA23" s="1902">
        <f t="shared" si="509"/>
        <v>0</v>
      </c>
      <c r="WPB23" s="1902">
        <f t="shared" si="509"/>
        <v>0</v>
      </c>
      <c r="WPC23" s="1902">
        <f t="shared" si="509"/>
        <v>0</v>
      </c>
      <c r="WPD23" s="1902">
        <f t="shared" si="509"/>
        <v>0</v>
      </c>
      <c r="WPE23" s="1902">
        <f t="shared" si="509"/>
        <v>0</v>
      </c>
      <c r="WPF23" s="1902">
        <f t="shared" si="509"/>
        <v>0</v>
      </c>
      <c r="WPG23" s="1902">
        <f t="shared" si="509"/>
        <v>0</v>
      </c>
      <c r="WPH23" s="1902">
        <f t="shared" si="509"/>
        <v>0</v>
      </c>
      <c r="WPI23" s="1902">
        <f t="shared" si="509"/>
        <v>0</v>
      </c>
      <c r="WPJ23" s="1902">
        <f t="shared" si="509"/>
        <v>0</v>
      </c>
      <c r="WPK23" s="1902">
        <f t="shared" si="509"/>
        <v>0</v>
      </c>
      <c r="WPL23" s="1902">
        <f t="shared" si="509"/>
        <v>0</v>
      </c>
      <c r="WPM23" s="1902">
        <f t="shared" si="509"/>
        <v>0</v>
      </c>
      <c r="WPN23" s="1902">
        <f t="shared" si="509"/>
        <v>0</v>
      </c>
      <c r="WPO23" s="1902">
        <f t="shared" si="509"/>
        <v>0</v>
      </c>
      <c r="WPP23" s="1902">
        <f t="shared" si="509"/>
        <v>0</v>
      </c>
      <c r="WPQ23" s="1902">
        <f t="shared" si="509"/>
        <v>0</v>
      </c>
      <c r="WPR23" s="1902">
        <f t="shared" si="509"/>
        <v>0</v>
      </c>
      <c r="WPS23" s="1902">
        <f t="shared" si="509"/>
        <v>0</v>
      </c>
      <c r="WPT23" s="1902">
        <f t="shared" si="509"/>
        <v>0</v>
      </c>
      <c r="WPU23" s="1902">
        <f t="shared" si="509"/>
        <v>0</v>
      </c>
      <c r="WPV23" s="1902">
        <f t="shared" si="509"/>
        <v>0</v>
      </c>
      <c r="WPW23" s="1902">
        <f t="shared" si="509"/>
        <v>0</v>
      </c>
      <c r="WPX23" s="1902">
        <f t="shared" si="509"/>
        <v>0</v>
      </c>
      <c r="WPY23" s="1902">
        <f t="shared" si="509"/>
        <v>0</v>
      </c>
      <c r="WPZ23" s="1902">
        <f t="shared" si="509"/>
        <v>0</v>
      </c>
      <c r="WQA23" s="1902">
        <f t="shared" si="509"/>
        <v>0</v>
      </c>
      <c r="WQB23" s="1902">
        <f t="shared" si="509"/>
        <v>0</v>
      </c>
      <c r="WQC23" s="1902">
        <f t="shared" si="509"/>
        <v>0</v>
      </c>
      <c r="WQD23" s="1902">
        <f t="shared" si="509"/>
        <v>0</v>
      </c>
      <c r="WQE23" s="1902">
        <f t="shared" si="509"/>
        <v>0</v>
      </c>
      <c r="WQF23" s="1902">
        <f t="shared" si="509"/>
        <v>0</v>
      </c>
      <c r="WQG23" s="1902">
        <f t="shared" si="509"/>
        <v>0</v>
      </c>
      <c r="WQH23" s="1902">
        <f t="shared" si="509"/>
        <v>0</v>
      </c>
      <c r="WQI23" s="1902">
        <f t="shared" si="509"/>
        <v>0</v>
      </c>
      <c r="WQJ23" s="1902">
        <f t="shared" si="509"/>
        <v>0</v>
      </c>
      <c r="WQK23" s="1902">
        <f t="shared" si="509"/>
        <v>0</v>
      </c>
      <c r="WQL23" s="1902">
        <f t="shared" si="509"/>
        <v>0</v>
      </c>
      <c r="WQM23" s="1902">
        <f t="shared" si="509"/>
        <v>0</v>
      </c>
      <c r="WQN23" s="1902">
        <f t="shared" si="509"/>
        <v>0</v>
      </c>
      <c r="WQO23" s="1902">
        <f t="shared" si="509"/>
        <v>0</v>
      </c>
      <c r="WQP23" s="1902">
        <f t="shared" si="509"/>
        <v>0</v>
      </c>
      <c r="WQQ23" s="1902">
        <f t="shared" si="509"/>
        <v>0</v>
      </c>
      <c r="WQR23" s="1902">
        <f t="shared" si="509"/>
        <v>0</v>
      </c>
      <c r="WQS23" s="1902">
        <f t="shared" si="509"/>
        <v>0</v>
      </c>
      <c r="WQT23" s="1902">
        <f t="shared" si="509"/>
        <v>0</v>
      </c>
      <c r="WQU23" s="1902">
        <f t="shared" ref="WQU23:WTF23" si="510">IF(AND(WQU$26="End of period",WQU$25="Revenue"),WQU10,0)</f>
        <v>0</v>
      </c>
      <c r="WQV23" s="1902">
        <f t="shared" si="510"/>
        <v>0</v>
      </c>
      <c r="WQW23" s="1902">
        <f t="shared" si="510"/>
        <v>0</v>
      </c>
      <c r="WQX23" s="1902">
        <f t="shared" si="510"/>
        <v>0</v>
      </c>
      <c r="WQY23" s="1902">
        <f t="shared" si="510"/>
        <v>0</v>
      </c>
      <c r="WQZ23" s="1902">
        <f t="shared" si="510"/>
        <v>0</v>
      </c>
      <c r="WRA23" s="1902">
        <f t="shared" si="510"/>
        <v>0</v>
      </c>
      <c r="WRB23" s="1902">
        <f t="shared" si="510"/>
        <v>0</v>
      </c>
      <c r="WRC23" s="1902">
        <f t="shared" si="510"/>
        <v>0</v>
      </c>
      <c r="WRD23" s="1902">
        <f t="shared" si="510"/>
        <v>0</v>
      </c>
      <c r="WRE23" s="1902">
        <f t="shared" si="510"/>
        <v>0</v>
      </c>
      <c r="WRF23" s="1902">
        <f t="shared" si="510"/>
        <v>0</v>
      </c>
      <c r="WRG23" s="1902">
        <f t="shared" si="510"/>
        <v>0</v>
      </c>
      <c r="WRH23" s="1902">
        <f t="shared" si="510"/>
        <v>0</v>
      </c>
      <c r="WRI23" s="1902">
        <f t="shared" si="510"/>
        <v>0</v>
      </c>
      <c r="WRJ23" s="1902">
        <f t="shared" si="510"/>
        <v>0</v>
      </c>
      <c r="WRK23" s="1902">
        <f t="shared" si="510"/>
        <v>0</v>
      </c>
      <c r="WRL23" s="1902">
        <f t="shared" si="510"/>
        <v>0</v>
      </c>
      <c r="WRM23" s="1902">
        <f t="shared" si="510"/>
        <v>0</v>
      </c>
      <c r="WRN23" s="1902">
        <f t="shared" si="510"/>
        <v>0</v>
      </c>
      <c r="WRO23" s="1902">
        <f t="shared" si="510"/>
        <v>0</v>
      </c>
      <c r="WRP23" s="1902">
        <f t="shared" si="510"/>
        <v>0</v>
      </c>
      <c r="WRQ23" s="1902">
        <f t="shared" si="510"/>
        <v>0</v>
      </c>
      <c r="WRR23" s="1902">
        <f t="shared" si="510"/>
        <v>0</v>
      </c>
      <c r="WRS23" s="1902">
        <f t="shared" si="510"/>
        <v>0</v>
      </c>
      <c r="WRT23" s="1902">
        <f t="shared" si="510"/>
        <v>0</v>
      </c>
      <c r="WRU23" s="1902">
        <f t="shared" si="510"/>
        <v>0</v>
      </c>
      <c r="WRV23" s="1902">
        <f t="shared" si="510"/>
        <v>0</v>
      </c>
      <c r="WRW23" s="1902">
        <f t="shared" si="510"/>
        <v>0</v>
      </c>
      <c r="WRX23" s="1902">
        <f t="shared" si="510"/>
        <v>0</v>
      </c>
      <c r="WRY23" s="1902">
        <f t="shared" si="510"/>
        <v>0</v>
      </c>
      <c r="WRZ23" s="1902">
        <f t="shared" si="510"/>
        <v>0</v>
      </c>
      <c r="WSA23" s="1902">
        <f t="shared" si="510"/>
        <v>0</v>
      </c>
      <c r="WSB23" s="1902">
        <f t="shared" si="510"/>
        <v>0</v>
      </c>
      <c r="WSC23" s="1902">
        <f t="shared" si="510"/>
        <v>0</v>
      </c>
      <c r="WSD23" s="1902">
        <f t="shared" si="510"/>
        <v>0</v>
      </c>
      <c r="WSE23" s="1902">
        <f t="shared" si="510"/>
        <v>0</v>
      </c>
      <c r="WSF23" s="1902">
        <f t="shared" si="510"/>
        <v>0</v>
      </c>
      <c r="WSG23" s="1902">
        <f t="shared" si="510"/>
        <v>0</v>
      </c>
      <c r="WSH23" s="1902">
        <f t="shared" si="510"/>
        <v>0</v>
      </c>
      <c r="WSI23" s="1902">
        <f t="shared" si="510"/>
        <v>0</v>
      </c>
      <c r="WSJ23" s="1902">
        <f t="shared" si="510"/>
        <v>0</v>
      </c>
      <c r="WSK23" s="1902">
        <f t="shared" si="510"/>
        <v>0</v>
      </c>
      <c r="WSL23" s="1902">
        <f t="shared" si="510"/>
        <v>0</v>
      </c>
      <c r="WSM23" s="1902">
        <f t="shared" si="510"/>
        <v>0</v>
      </c>
      <c r="WSN23" s="1902">
        <f t="shared" si="510"/>
        <v>0</v>
      </c>
      <c r="WSO23" s="1902">
        <f t="shared" si="510"/>
        <v>0</v>
      </c>
      <c r="WSP23" s="1902">
        <f t="shared" si="510"/>
        <v>0</v>
      </c>
      <c r="WSQ23" s="1902">
        <f t="shared" si="510"/>
        <v>0</v>
      </c>
      <c r="WSR23" s="1902">
        <f t="shared" si="510"/>
        <v>0</v>
      </c>
      <c r="WSS23" s="1902">
        <f t="shared" si="510"/>
        <v>0</v>
      </c>
      <c r="WST23" s="1902">
        <f t="shared" si="510"/>
        <v>0</v>
      </c>
      <c r="WSU23" s="1902">
        <f t="shared" si="510"/>
        <v>0</v>
      </c>
      <c r="WSV23" s="1902">
        <f t="shared" si="510"/>
        <v>0</v>
      </c>
      <c r="WSW23" s="1902">
        <f t="shared" si="510"/>
        <v>0</v>
      </c>
      <c r="WSX23" s="1902">
        <f t="shared" si="510"/>
        <v>0</v>
      </c>
      <c r="WSY23" s="1902">
        <f t="shared" si="510"/>
        <v>0</v>
      </c>
      <c r="WSZ23" s="1902">
        <f t="shared" si="510"/>
        <v>0</v>
      </c>
      <c r="WTA23" s="1902">
        <f t="shared" si="510"/>
        <v>0</v>
      </c>
      <c r="WTB23" s="1902">
        <f t="shared" si="510"/>
        <v>0</v>
      </c>
      <c r="WTC23" s="1902">
        <f t="shared" si="510"/>
        <v>0</v>
      </c>
      <c r="WTD23" s="1902">
        <f t="shared" si="510"/>
        <v>0</v>
      </c>
      <c r="WTE23" s="1902">
        <f t="shared" si="510"/>
        <v>0</v>
      </c>
      <c r="WTF23" s="1902">
        <f t="shared" si="510"/>
        <v>0</v>
      </c>
      <c r="WTG23" s="1902">
        <f t="shared" ref="WTG23:WVR23" si="511">IF(AND(WTG$26="End of period",WTG$25="Revenue"),WTG10,0)</f>
        <v>0</v>
      </c>
      <c r="WTH23" s="1902">
        <f t="shared" si="511"/>
        <v>0</v>
      </c>
      <c r="WTI23" s="1902">
        <f t="shared" si="511"/>
        <v>0</v>
      </c>
      <c r="WTJ23" s="1902">
        <f t="shared" si="511"/>
        <v>0</v>
      </c>
      <c r="WTK23" s="1902">
        <f t="shared" si="511"/>
        <v>0</v>
      </c>
      <c r="WTL23" s="1902">
        <f t="shared" si="511"/>
        <v>0</v>
      </c>
      <c r="WTM23" s="1902">
        <f t="shared" si="511"/>
        <v>0</v>
      </c>
      <c r="WTN23" s="1902">
        <f t="shared" si="511"/>
        <v>0</v>
      </c>
      <c r="WTO23" s="1902">
        <f t="shared" si="511"/>
        <v>0</v>
      </c>
      <c r="WTP23" s="1902">
        <f t="shared" si="511"/>
        <v>0</v>
      </c>
      <c r="WTQ23" s="1902">
        <f t="shared" si="511"/>
        <v>0</v>
      </c>
      <c r="WTR23" s="1902">
        <f t="shared" si="511"/>
        <v>0</v>
      </c>
      <c r="WTS23" s="1902">
        <f t="shared" si="511"/>
        <v>0</v>
      </c>
      <c r="WTT23" s="1902">
        <f t="shared" si="511"/>
        <v>0</v>
      </c>
      <c r="WTU23" s="1902">
        <f t="shared" si="511"/>
        <v>0</v>
      </c>
      <c r="WTV23" s="1902">
        <f t="shared" si="511"/>
        <v>0</v>
      </c>
      <c r="WTW23" s="1902">
        <f t="shared" si="511"/>
        <v>0</v>
      </c>
      <c r="WTX23" s="1902">
        <f t="shared" si="511"/>
        <v>0</v>
      </c>
      <c r="WTY23" s="1902">
        <f t="shared" si="511"/>
        <v>0</v>
      </c>
      <c r="WTZ23" s="1902">
        <f t="shared" si="511"/>
        <v>0</v>
      </c>
      <c r="WUA23" s="1902">
        <f t="shared" si="511"/>
        <v>0</v>
      </c>
      <c r="WUB23" s="1902">
        <f t="shared" si="511"/>
        <v>0</v>
      </c>
      <c r="WUC23" s="1902">
        <f t="shared" si="511"/>
        <v>0</v>
      </c>
      <c r="WUD23" s="1902">
        <f t="shared" si="511"/>
        <v>0</v>
      </c>
      <c r="WUE23" s="1902">
        <f t="shared" si="511"/>
        <v>0</v>
      </c>
      <c r="WUF23" s="1902">
        <f t="shared" si="511"/>
        <v>0</v>
      </c>
      <c r="WUG23" s="1902">
        <f t="shared" si="511"/>
        <v>0</v>
      </c>
      <c r="WUH23" s="1902">
        <f t="shared" si="511"/>
        <v>0</v>
      </c>
      <c r="WUI23" s="1902">
        <f t="shared" si="511"/>
        <v>0</v>
      </c>
      <c r="WUJ23" s="1902">
        <f t="shared" si="511"/>
        <v>0</v>
      </c>
      <c r="WUK23" s="1902">
        <f t="shared" si="511"/>
        <v>0</v>
      </c>
      <c r="WUL23" s="1902">
        <f t="shared" si="511"/>
        <v>0</v>
      </c>
      <c r="WUM23" s="1902">
        <f t="shared" si="511"/>
        <v>0</v>
      </c>
      <c r="WUN23" s="1902">
        <f t="shared" si="511"/>
        <v>0</v>
      </c>
      <c r="WUO23" s="1902">
        <f t="shared" si="511"/>
        <v>0</v>
      </c>
      <c r="WUP23" s="1902">
        <f t="shared" si="511"/>
        <v>0</v>
      </c>
      <c r="WUQ23" s="1902">
        <f t="shared" si="511"/>
        <v>0</v>
      </c>
      <c r="WUR23" s="1902">
        <f t="shared" si="511"/>
        <v>0</v>
      </c>
      <c r="WUS23" s="1902">
        <f t="shared" si="511"/>
        <v>0</v>
      </c>
      <c r="WUT23" s="1902">
        <f t="shared" si="511"/>
        <v>0</v>
      </c>
      <c r="WUU23" s="1902">
        <f t="shared" si="511"/>
        <v>0</v>
      </c>
      <c r="WUV23" s="1902">
        <f t="shared" si="511"/>
        <v>0</v>
      </c>
      <c r="WUW23" s="1902">
        <f t="shared" si="511"/>
        <v>0</v>
      </c>
      <c r="WUX23" s="1902">
        <f t="shared" si="511"/>
        <v>0</v>
      </c>
      <c r="WUY23" s="1902">
        <f t="shared" si="511"/>
        <v>0</v>
      </c>
      <c r="WUZ23" s="1902">
        <f t="shared" si="511"/>
        <v>0</v>
      </c>
      <c r="WVA23" s="1902">
        <f t="shared" si="511"/>
        <v>0</v>
      </c>
      <c r="WVB23" s="1902">
        <f t="shared" si="511"/>
        <v>0</v>
      </c>
      <c r="WVC23" s="1902">
        <f t="shared" si="511"/>
        <v>0</v>
      </c>
      <c r="WVD23" s="1902">
        <f t="shared" si="511"/>
        <v>0</v>
      </c>
      <c r="WVE23" s="1902">
        <f t="shared" si="511"/>
        <v>0</v>
      </c>
      <c r="WVF23" s="1902">
        <f t="shared" si="511"/>
        <v>0</v>
      </c>
      <c r="WVG23" s="1902">
        <f t="shared" si="511"/>
        <v>0</v>
      </c>
      <c r="WVH23" s="1902">
        <f t="shared" si="511"/>
        <v>0</v>
      </c>
      <c r="WVI23" s="1902">
        <f t="shared" si="511"/>
        <v>0</v>
      </c>
      <c r="WVJ23" s="1902">
        <f t="shared" si="511"/>
        <v>0</v>
      </c>
      <c r="WVK23" s="1902">
        <f t="shared" si="511"/>
        <v>0</v>
      </c>
      <c r="WVL23" s="1902">
        <f t="shared" si="511"/>
        <v>0</v>
      </c>
      <c r="WVM23" s="1902">
        <f t="shared" si="511"/>
        <v>0</v>
      </c>
      <c r="WVN23" s="1902">
        <f t="shared" si="511"/>
        <v>0</v>
      </c>
      <c r="WVO23" s="1902">
        <f t="shared" si="511"/>
        <v>0</v>
      </c>
      <c r="WVP23" s="1902">
        <f t="shared" si="511"/>
        <v>0</v>
      </c>
      <c r="WVQ23" s="1902">
        <f t="shared" si="511"/>
        <v>0</v>
      </c>
      <c r="WVR23" s="1902">
        <f t="shared" si="511"/>
        <v>0</v>
      </c>
      <c r="WVS23" s="1902">
        <f t="shared" ref="WVS23:WYD23" si="512">IF(AND(WVS$26="End of period",WVS$25="Revenue"),WVS10,0)</f>
        <v>0</v>
      </c>
      <c r="WVT23" s="1902">
        <f t="shared" si="512"/>
        <v>0</v>
      </c>
      <c r="WVU23" s="1902">
        <f t="shared" si="512"/>
        <v>0</v>
      </c>
      <c r="WVV23" s="1902">
        <f t="shared" si="512"/>
        <v>0</v>
      </c>
      <c r="WVW23" s="1902">
        <f t="shared" si="512"/>
        <v>0</v>
      </c>
      <c r="WVX23" s="1902">
        <f t="shared" si="512"/>
        <v>0</v>
      </c>
      <c r="WVY23" s="1902">
        <f t="shared" si="512"/>
        <v>0</v>
      </c>
      <c r="WVZ23" s="1902">
        <f t="shared" si="512"/>
        <v>0</v>
      </c>
      <c r="WWA23" s="1902">
        <f t="shared" si="512"/>
        <v>0</v>
      </c>
      <c r="WWB23" s="1902">
        <f t="shared" si="512"/>
        <v>0</v>
      </c>
      <c r="WWC23" s="1902">
        <f t="shared" si="512"/>
        <v>0</v>
      </c>
      <c r="WWD23" s="1902">
        <f t="shared" si="512"/>
        <v>0</v>
      </c>
      <c r="WWE23" s="1902">
        <f t="shared" si="512"/>
        <v>0</v>
      </c>
      <c r="WWF23" s="1902">
        <f t="shared" si="512"/>
        <v>0</v>
      </c>
      <c r="WWG23" s="1902">
        <f t="shared" si="512"/>
        <v>0</v>
      </c>
      <c r="WWH23" s="1902">
        <f t="shared" si="512"/>
        <v>0</v>
      </c>
      <c r="WWI23" s="1902">
        <f t="shared" si="512"/>
        <v>0</v>
      </c>
      <c r="WWJ23" s="1902">
        <f t="shared" si="512"/>
        <v>0</v>
      </c>
      <c r="WWK23" s="1902">
        <f t="shared" si="512"/>
        <v>0</v>
      </c>
      <c r="WWL23" s="1902">
        <f t="shared" si="512"/>
        <v>0</v>
      </c>
      <c r="WWM23" s="1902">
        <f t="shared" si="512"/>
        <v>0</v>
      </c>
      <c r="WWN23" s="1902">
        <f t="shared" si="512"/>
        <v>0</v>
      </c>
      <c r="WWO23" s="1902">
        <f t="shared" si="512"/>
        <v>0</v>
      </c>
      <c r="WWP23" s="1902">
        <f t="shared" si="512"/>
        <v>0</v>
      </c>
      <c r="WWQ23" s="1902">
        <f t="shared" si="512"/>
        <v>0</v>
      </c>
      <c r="WWR23" s="1902">
        <f t="shared" si="512"/>
        <v>0</v>
      </c>
      <c r="WWS23" s="1902">
        <f t="shared" si="512"/>
        <v>0</v>
      </c>
      <c r="WWT23" s="1902">
        <f t="shared" si="512"/>
        <v>0</v>
      </c>
      <c r="WWU23" s="1902">
        <f t="shared" si="512"/>
        <v>0</v>
      </c>
      <c r="WWV23" s="1902">
        <f t="shared" si="512"/>
        <v>0</v>
      </c>
      <c r="WWW23" s="1902">
        <f t="shared" si="512"/>
        <v>0</v>
      </c>
      <c r="WWX23" s="1902">
        <f t="shared" si="512"/>
        <v>0</v>
      </c>
      <c r="WWY23" s="1902">
        <f t="shared" si="512"/>
        <v>0</v>
      </c>
      <c r="WWZ23" s="1902">
        <f t="shared" si="512"/>
        <v>0</v>
      </c>
      <c r="WXA23" s="1902">
        <f t="shared" si="512"/>
        <v>0</v>
      </c>
      <c r="WXB23" s="1902">
        <f t="shared" si="512"/>
        <v>0</v>
      </c>
      <c r="WXC23" s="1902">
        <f t="shared" si="512"/>
        <v>0</v>
      </c>
      <c r="WXD23" s="1902">
        <f t="shared" si="512"/>
        <v>0</v>
      </c>
      <c r="WXE23" s="1902">
        <f t="shared" si="512"/>
        <v>0</v>
      </c>
      <c r="WXF23" s="1902">
        <f t="shared" si="512"/>
        <v>0</v>
      </c>
      <c r="WXG23" s="1902">
        <f t="shared" si="512"/>
        <v>0</v>
      </c>
      <c r="WXH23" s="1902">
        <f t="shared" si="512"/>
        <v>0</v>
      </c>
      <c r="WXI23" s="1902">
        <f t="shared" si="512"/>
        <v>0</v>
      </c>
      <c r="WXJ23" s="1902">
        <f t="shared" si="512"/>
        <v>0</v>
      </c>
      <c r="WXK23" s="1902">
        <f t="shared" si="512"/>
        <v>0</v>
      </c>
      <c r="WXL23" s="1902">
        <f t="shared" si="512"/>
        <v>0</v>
      </c>
      <c r="WXM23" s="1902">
        <f t="shared" si="512"/>
        <v>0</v>
      </c>
      <c r="WXN23" s="1902">
        <f t="shared" si="512"/>
        <v>0</v>
      </c>
      <c r="WXO23" s="1902">
        <f t="shared" si="512"/>
        <v>0</v>
      </c>
      <c r="WXP23" s="1902">
        <f t="shared" si="512"/>
        <v>0</v>
      </c>
      <c r="WXQ23" s="1902">
        <f t="shared" si="512"/>
        <v>0</v>
      </c>
      <c r="WXR23" s="1902">
        <f t="shared" si="512"/>
        <v>0</v>
      </c>
      <c r="WXS23" s="1902">
        <f t="shared" si="512"/>
        <v>0</v>
      </c>
      <c r="WXT23" s="1902">
        <f t="shared" si="512"/>
        <v>0</v>
      </c>
      <c r="WXU23" s="1902">
        <f t="shared" si="512"/>
        <v>0</v>
      </c>
      <c r="WXV23" s="1902">
        <f t="shared" si="512"/>
        <v>0</v>
      </c>
      <c r="WXW23" s="1902">
        <f t="shared" si="512"/>
        <v>0</v>
      </c>
      <c r="WXX23" s="1902">
        <f t="shared" si="512"/>
        <v>0</v>
      </c>
      <c r="WXY23" s="1902">
        <f t="shared" si="512"/>
        <v>0</v>
      </c>
      <c r="WXZ23" s="1902">
        <f t="shared" si="512"/>
        <v>0</v>
      </c>
      <c r="WYA23" s="1902">
        <f t="shared" si="512"/>
        <v>0</v>
      </c>
      <c r="WYB23" s="1902">
        <f t="shared" si="512"/>
        <v>0</v>
      </c>
      <c r="WYC23" s="1902">
        <f t="shared" si="512"/>
        <v>0</v>
      </c>
      <c r="WYD23" s="1902">
        <f t="shared" si="512"/>
        <v>0</v>
      </c>
      <c r="WYE23" s="1902">
        <f t="shared" ref="WYE23:XAP23" si="513">IF(AND(WYE$26="End of period",WYE$25="Revenue"),WYE10,0)</f>
        <v>0</v>
      </c>
      <c r="WYF23" s="1902">
        <f t="shared" si="513"/>
        <v>0</v>
      </c>
      <c r="WYG23" s="1902">
        <f t="shared" si="513"/>
        <v>0</v>
      </c>
      <c r="WYH23" s="1902">
        <f t="shared" si="513"/>
        <v>0</v>
      </c>
      <c r="WYI23" s="1902">
        <f t="shared" si="513"/>
        <v>0</v>
      </c>
      <c r="WYJ23" s="1902">
        <f t="shared" si="513"/>
        <v>0</v>
      </c>
      <c r="WYK23" s="1902">
        <f t="shared" si="513"/>
        <v>0</v>
      </c>
      <c r="WYL23" s="1902">
        <f t="shared" si="513"/>
        <v>0</v>
      </c>
      <c r="WYM23" s="1902">
        <f t="shared" si="513"/>
        <v>0</v>
      </c>
      <c r="WYN23" s="1902">
        <f t="shared" si="513"/>
        <v>0</v>
      </c>
      <c r="WYO23" s="1902">
        <f t="shared" si="513"/>
        <v>0</v>
      </c>
      <c r="WYP23" s="1902">
        <f t="shared" si="513"/>
        <v>0</v>
      </c>
      <c r="WYQ23" s="1902">
        <f t="shared" si="513"/>
        <v>0</v>
      </c>
      <c r="WYR23" s="1902">
        <f t="shared" si="513"/>
        <v>0</v>
      </c>
      <c r="WYS23" s="1902">
        <f t="shared" si="513"/>
        <v>0</v>
      </c>
      <c r="WYT23" s="1902">
        <f t="shared" si="513"/>
        <v>0</v>
      </c>
      <c r="WYU23" s="1902">
        <f t="shared" si="513"/>
        <v>0</v>
      </c>
      <c r="WYV23" s="1902">
        <f t="shared" si="513"/>
        <v>0</v>
      </c>
      <c r="WYW23" s="1902">
        <f t="shared" si="513"/>
        <v>0</v>
      </c>
      <c r="WYX23" s="1902">
        <f t="shared" si="513"/>
        <v>0</v>
      </c>
      <c r="WYY23" s="1902">
        <f t="shared" si="513"/>
        <v>0</v>
      </c>
      <c r="WYZ23" s="1902">
        <f t="shared" si="513"/>
        <v>0</v>
      </c>
      <c r="WZA23" s="1902">
        <f t="shared" si="513"/>
        <v>0</v>
      </c>
      <c r="WZB23" s="1902">
        <f t="shared" si="513"/>
        <v>0</v>
      </c>
      <c r="WZC23" s="1902">
        <f t="shared" si="513"/>
        <v>0</v>
      </c>
      <c r="WZD23" s="1902">
        <f t="shared" si="513"/>
        <v>0</v>
      </c>
      <c r="WZE23" s="1902">
        <f t="shared" si="513"/>
        <v>0</v>
      </c>
      <c r="WZF23" s="1902">
        <f t="shared" si="513"/>
        <v>0</v>
      </c>
      <c r="WZG23" s="1902">
        <f t="shared" si="513"/>
        <v>0</v>
      </c>
      <c r="WZH23" s="1902">
        <f t="shared" si="513"/>
        <v>0</v>
      </c>
      <c r="WZI23" s="1902">
        <f t="shared" si="513"/>
        <v>0</v>
      </c>
      <c r="WZJ23" s="1902">
        <f t="shared" si="513"/>
        <v>0</v>
      </c>
      <c r="WZK23" s="1902">
        <f t="shared" si="513"/>
        <v>0</v>
      </c>
      <c r="WZL23" s="1902">
        <f t="shared" si="513"/>
        <v>0</v>
      </c>
      <c r="WZM23" s="1902">
        <f t="shared" si="513"/>
        <v>0</v>
      </c>
      <c r="WZN23" s="1902">
        <f t="shared" si="513"/>
        <v>0</v>
      </c>
      <c r="WZO23" s="1902">
        <f t="shared" si="513"/>
        <v>0</v>
      </c>
      <c r="WZP23" s="1902">
        <f t="shared" si="513"/>
        <v>0</v>
      </c>
      <c r="WZQ23" s="1902">
        <f t="shared" si="513"/>
        <v>0</v>
      </c>
      <c r="WZR23" s="1902">
        <f t="shared" si="513"/>
        <v>0</v>
      </c>
      <c r="WZS23" s="1902">
        <f t="shared" si="513"/>
        <v>0</v>
      </c>
      <c r="WZT23" s="1902">
        <f t="shared" si="513"/>
        <v>0</v>
      </c>
      <c r="WZU23" s="1902">
        <f t="shared" si="513"/>
        <v>0</v>
      </c>
      <c r="WZV23" s="1902">
        <f t="shared" si="513"/>
        <v>0</v>
      </c>
      <c r="WZW23" s="1902">
        <f t="shared" si="513"/>
        <v>0</v>
      </c>
      <c r="WZX23" s="1902">
        <f t="shared" si="513"/>
        <v>0</v>
      </c>
      <c r="WZY23" s="1902">
        <f t="shared" si="513"/>
        <v>0</v>
      </c>
      <c r="WZZ23" s="1902">
        <f t="shared" si="513"/>
        <v>0</v>
      </c>
      <c r="XAA23" s="1902">
        <f t="shared" si="513"/>
        <v>0</v>
      </c>
      <c r="XAB23" s="1902">
        <f t="shared" si="513"/>
        <v>0</v>
      </c>
      <c r="XAC23" s="1902">
        <f t="shared" si="513"/>
        <v>0</v>
      </c>
      <c r="XAD23" s="1902">
        <f t="shared" si="513"/>
        <v>0</v>
      </c>
      <c r="XAE23" s="1902">
        <f t="shared" si="513"/>
        <v>0</v>
      </c>
      <c r="XAF23" s="1902">
        <f t="shared" si="513"/>
        <v>0</v>
      </c>
      <c r="XAG23" s="1902">
        <f t="shared" si="513"/>
        <v>0</v>
      </c>
      <c r="XAH23" s="1902">
        <f t="shared" si="513"/>
        <v>0</v>
      </c>
      <c r="XAI23" s="1902">
        <f t="shared" si="513"/>
        <v>0</v>
      </c>
      <c r="XAJ23" s="1902">
        <f t="shared" si="513"/>
        <v>0</v>
      </c>
      <c r="XAK23" s="1902">
        <f t="shared" si="513"/>
        <v>0</v>
      </c>
      <c r="XAL23" s="1902">
        <f t="shared" si="513"/>
        <v>0</v>
      </c>
      <c r="XAM23" s="1902">
        <f t="shared" si="513"/>
        <v>0</v>
      </c>
      <c r="XAN23" s="1902">
        <f t="shared" si="513"/>
        <v>0</v>
      </c>
      <c r="XAO23" s="1902">
        <f t="shared" si="513"/>
        <v>0</v>
      </c>
      <c r="XAP23" s="1902">
        <f t="shared" si="513"/>
        <v>0</v>
      </c>
      <c r="XAQ23" s="1902">
        <f t="shared" ref="XAQ23:XDB23" si="514">IF(AND(XAQ$26="End of period",XAQ$25="Revenue"),XAQ10,0)</f>
        <v>0</v>
      </c>
      <c r="XAR23" s="1902">
        <f t="shared" si="514"/>
        <v>0</v>
      </c>
      <c r="XAS23" s="1902">
        <f t="shared" si="514"/>
        <v>0</v>
      </c>
      <c r="XAT23" s="1902">
        <f t="shared" si="514"/>
        <v>0</v>
      </c>
      <c r="XAU23" s="1902">
        <f t="shared" si="514"/>
        <v>0</v>
      </c>
      <c r="XAV23" s="1902">
        <f t="shared" si="514"/>
        <v>0</v>
      </c>
      <c r="XAW23" s="1902">
        <f t="shared" si="514"/>
        <v>0</v>
      </c>
      <c r="XAX23" s="1902">
        <f t="shared" si="514"/>
        <v>0</v>
      </c>
      <c r="XAY23" s="1902">
        <f t="shared" si="514"/>
        <v>0</v>
      </c>
      <c r="XAZ23" s="1902">
        <f t="shared" si="514"/>
        <v>0</v>
      </c>
      <c r="XBA23" s="1902">
        <f t="shared" si="514"/>
        <v>0</v>
      </c>
      <c r="XBB23" s="1902">
        <f t="shared" si="514"/>
        <v>0</v>
      </c>
      <c r="XBC23" s="1902">
        <f t="shared" si="514"/>
        <v>0</v>
      </c>
      <c r="XBD23" s="1902">
        <f t="shared" si="514"/>
        <v>0</v>
      </c>
      <c r="XBE23" s="1902">
        <f t="shared" si="514"/>
        <v>0</v>
      </c>
      <c r="XBF23" s="1902">
        <f t="shared" si="514"/>
        <v>0</v>
      </c>
      <c r="XBG23" s="1902">
        <f t="shared" si="514"/>
        <v>0</v>
      </c>
      <c r="XBH23" s="1902">
        <f t="shared" si="514"/>
        <v>0</v>
      </c>
      <c r="XBI23" s="1902">
        <f t="shared" si="514"/>
        <v>0</v>
      </c>
      <c r="XBJ23" s="1902">
        <f t="shared" si="514"/>
        <v>0</v>
      </c>
      <c r="XBK23" s="1902">
        <f t="shared" si="514"/>
        <v>0</v>
      </c>
      <c r="XBL23" s="1902">
        <f t="shared" si="514"/>
        <v>0</v>
      </c>
      <c r="XBM23" s="1902">
        <f t="shared" si="514"/>
        <v>0</v>
      </c>
      <c r="XBN23" s="1902">
        <f t="shared" si="514"/>
        <v>0</v>
      </c>
      <c r="XBO23" s="1902">
        <f t="shared" si="514"/>
        <v>0</v>
      </c>
      <c r="XBP23" s="1902">
        <f t="shared" si="514"/>
        <v>0</v>
      </c>
      <c r="XBQ23" s="1902">
        <f t="shared" si="514"/>
        <v>0</v>
      </c>
      <c r="XBR23" s="1902">
        <f t="shared" si="514"/>
        <v>0</v>
      </c>
      <c r="XBS23" s="1902">
        <f t="shared" si="514"/>
        <v>0</v>
      </c>
      <c r="XBT23" s="1902">
        <f t="shared" si="514"/>
        <v>0</v>
      </c>
      <c r="XBU23" s="1902">
        <f t="shared" si="514"/>
        <v>0</v>
      </c>
      <c r="XBV23" s="1902">
        <f t="shared" si="514"/>
        <v>0</v>
      </c>
      <c r="XBW23" s="1902">
        <f t="shared" si="514"/>
        <v>0</v>
      </c>
      <c r="XBX23" s="1902">
        <f t="shared" si="514"/>
        <v>0</v>
      </c>
      <c r="XBY23" s="1902">
        <f t="shared" si="514"/>
        <v>0</v>
      </c>
      <c r="XBZ23" s="1902">
        <f t="shared" si="514"/>
        <v>0</v>
      </c>
      <c r="XCA23" s="1902">
        <f t="shared" si="514"/>
        <v>0</v>
      </c>
      <c r="XCB23" s="1902">
        <f t="shared" si="514"/>
        <v>0</v>
      </c>
      <c r="XCC23" s="1902">
        <f t="shared" si="514"/>
        <v>0</v>
      </c>
      <c r="XCD23" s="1902">
        <f t="shared" si="514"/>
        <v>0</v>
      </c>
      <c r="XCE23" s="1902">
        <f t="shared" si="514"/>
        <v>0</v>
      </c>
      <c r="XCF23" s="1902">
        <f t="shared" si="514"/>
        <v>0</v>
      </c>
      <c r="XCG23" s="1902">
        <f t="shared" si="514"/>
        <v>0</v>
      </c>
      <c r="XCH23" s="1902">
        <f t="shared" si="514"/>
        <v>0</v>
      </c>
      <c r="XCI23" s="1902">
        <f t="shared" si="514"/>
        <v>0</v>
      </c>
      <c r="XCJ23" s="1902">
        <f t="shared" si="514"/>
        <v>0</v>
      </c>
      <c r="XCK23" s="1902">
        <f t="shared" si="514"/>
        <v>0</v>
      </c>
      <c r="XCL23" s="1902">
        <f t="shared" si="514"/>
        <v>0</v>
      </c>
      <c r="XCM23" s="1902">
        <f t="shared" si="514"/>
        <v>0</v>
      </c>
      <c r="XCN23" s="1902">
        <f t="shared" si="514"/>
        <v>0</v>
      </c>
      <c r="XCO23" s="1902">
        <f t="shared" si="514"/>
        <v>0</v>
      </c>
      <c r="XCP23" s="1902">
        <f t="shared" si="514"/>
        <v>0</v>
      </c>
      <c r="XCQ23" s="1902">
        <f t="shared" si="514"/>
        <v>0</v>
      </c>
      <c r="XCR23" s="1902">
        <f t="shared" si="514"/>
        <v>0</v>
      </c>
      <c r="XCS23" s="1902">
        <f t="shared" si="514"/>
        <v>0</v>
      </c>
      <c r="XCT23" s="1902">
        <f t="shared" si="514"/>
        <v>0</v>
      </c>
      <c r="XCU23" s="1902">
        <f t="shared" si="514"/>
        <v>0</v>
      </c>
      <c r="XCV23" s="1902">
        <f t="shared" si="514"/>
        <v>0</v>
      </c>
      <c r="XCW23" s="1902">
        <f t="shared" si="514"/>
        <v>0</v>
      </c>
      <c r="XCX23" s="1902">
        <f t="shared" si="514"/>
        <v>0</v>
      </c>
      <c r="XCY23" s="1902">
        <f t="shared" si="514"/>
        <v>0</v>
      </c>
      <c r="XCZ23" s="1902">
        <f t="shared" si="514"/>
        <v>0</v>
      </c>
      <c r="XDA23" s="1902">
        <f t="shared" si="514"/>
        <v>0</v>
      </c>
      <c r="XDB23" s="1902">
        <f t="shared" si="514"/>
        <v>0</v>
      </c>
      <c r="XDC23" s="1902">
        <f t="shared" ref="XDC23:XFD23" si="515">IF(AND(XDC$26="End of period",XDC$25="Revenue"),XDC10,0)</f>
        <v>0</v>
      </c>
      <c r="XDD23" s="1902">
        <f t="shared" si="515"/>
        <v>0</v>
      </c>
      <c r="XDE23" s="1902">
        <f t="shared" si="515"/>
        <v>0</v>
      </c>
      <c r="XDF23" s="1902">
        <f t="shared" si="515"/>
        <v>0</v>
      </c>
      <c r="XDG23" s="1902">
        <f t="shared" si="515"/>
        <v>0</v>
      </c>
      <c r="XDH23" s="1902">
        <f t="shared" si="515"/>
        <v>0</v>
      </c>
      <c r="XDI23" s="1902">
        <f t="shared" si="515"/>
        <v>0</v>
      </c>
      <c r="XDJ23" s="1902">
        <f t="shared" si="515"/>
        <v>0</v>
      </c>
      <c r="XDK23" s="1902">
        <f t="shared" si="515"/>
        <v>0</v>
      </c>
      <c r="XDL23" s="1902">
        <f t="shared" si="515"/>
        <v>0</v>
      </c>
      <c r="XDM23" s="1902">
        <f t="shared" si="515"/>
        <v>0</v>
      </c>
      <c r="XDN23" s="1902">
        <f t="shared" si="515"/>
        <v>0</v>
      </c>
      <c r="XDO23" s="1902">
        <f t="shared" si="515"/>
        <v>0</v>
      </c>
      <c r="XDP23" s="1902">
        <f t="shared" si="515"/>
        <v>0</v>
      </c>
      <c r="XDQ23" s="1902">
        <f t="shared" si="515"/>
        <v>0</v>
      </c>
      <c r="XDR23" s="1902">
        <f t="shared" si="515"/>
        <v>0</v>
      </c>
      <c r="XDS23" s="1902">
        <f t="shared" si="515"/>
        <v>0</v>
      </c>
      <c r="XDT23" s="1902">
        <f t="shared" si="515"/>
        <v>0</v>
      </c>
      <c r="XDU23" s="1902">
        <f t="shared" si="515"/>
        <v>0</v>
      </c>
      <c r="XDV23" s="1902">
        <f t="shared" si="515"/>
        <v>0</v>
      </c>
      <c r="XDW23" s="1902">
        <f t="shared" si="515"/>
        <v>0</v>
      </c>
      <c r="XDX23" s="1902">
        <f t="shared" si="515"/>
        <v>0</v>
      </c>
      <c r="XDY23" s="1902">
        <f t="shared" si="515"/>
        <v>0</v>
      </c>
      <c r="XDZ23" s="1902">
        <f t="shared" si="515"/>
        <v>0</v>
      </c>
      <c r="XEA23" s="1902">
        <f t="shared" si="515"/>
        <v>0</v>
      </c>
      <c r="XEB23" s="1902">
        <f t="shared" si="515"/>
        <v>0</v>
      </c>
      <c r="XEC23" s="1902">
        <f t="shared" si="515"/>
        <v>0</v>
      </c>
      <c r="XED23" s="1902">
        <f t="shared" si="515"/>
        <v>0</v>
      </c>
      <c r="XEE23" s="1902">
        <f t="shared" si="515"/>
        <v>0</v>
      </c>
      <c r="XEF23" s="1902">
        <f t="shared" si="515"/>
        <v>0</v>
      </c>
      <c r="XEG23" s="1902">
        <f t="shared" si="515"/>
        <v>0</v>
      </c>
      <c r="XEH23" s="1902">
        <f t="shared" si="515"/>
        <v>0</v>
      </c>
      <c r="XEI23" s="1902">
        <f t="shared" si="515"/>
        <v>0</v>
      </c>
      <c r="XEJ23" s="1902">
        <f t="shared" si="515"/>
        <v>0</v>
      </c>
      <c r="XEK23" s="1902">
        <f t="shared" si="515"/>
        <v>0</v>
      </c>
      <c r="XEL23" s="1902">
        <f t="shared" si="515"/>
        <v>0</v>
      </c>
      <c r="XEM23" s="1902">
        <f t="shared" si="515"/>
        <v>0</v>
      </c>
      <c r="XEN23" s="1902">
        <f t="shared" si="515"/>
        <v>0</v>
      </c>
      <c r="XEO23" s="1902">
        <f t="shared" si="515"/>
        <v>0</v>
      </c>
      <c r="XEP23" s="1902">
        <f t="shared" si="515"/>
        <v>0</v>
      </c>
      <c r="XEQ23" s="1902">
        <f t="shared" si="515"/>
        <v>0</v>
      </c>
      <c r="XER23" s="1902">
        <f t="shared" si="515"/>
        <v>0</v>
      </c>
      <c r="XES23" s="1902">
        <f t="shared" si="515"/>
        <v>0</v>
      </c>
      <c r="XET23" s="1902">
        <f t="shared" si="515"/>
        <v>0</v>
      </c>
      <c r="XEU23" s="1902">
        <f t="shared" si="515"/>
        <v>0</v>
      </c>
      <c r="XEV23" s="1902">
        <f t="shared" si="515"/>
        <v>0</v>
      </c>
      <c r="XEW23" s="1902">
        <f t="shared" si="515"/>
        <v>0</v>
      </c>
      <c r="XEX23" s="1902">
        <f t="shared" si="515"/>
        <v>0</v>
      </c>
      <c r="XEY23" s="1902">
        <f t="shared" si="515"/>
        <v>0</v>
      </c>
      <c r="XEZ23" s="1902">
        <f t="shared" si="515"/>
        <v>0</v>
      </c>
      <c r="XFA23" s="1902">
        <f t="shared" si="515"/>
        <v>0</v>
      </c>
      <c r="XFB23" s="1902">
        <f t="shared" si="515"/>
        <v>0</v>
      </c>
      <c r="XFC23" s="1902">
        <f t="shared" si="515"/>
        <v>0</v>
      </c>
      <c r="XFD23" s="1902">
        <f t="shared" si="515"/>
        <v>0</v>
      </c>
    </row>
    <row r="24" spans="1:16384" s="165" customFormat="1" ht="15">
      <c r="A24" s="1329"/>
      <c r="B24" s="1329"/>
      <c r="C24" s="1329"/>
      <c r="D24" s="1329"/>
      <c r="E24" s="560"/>
      <c r="F24" s="1343"/>
      <c r="G24" s="560"/>
      <c r="H24" s="1343"/>
      <c r="I24" s="1343"/>
      <c r="J24" s="1902"/>
      <c r="K24" s="1902"/>
      <c r="L24" s="1902"/>
      <c r="M24" s="1902"/>
      <c r="N24" s="1902"/>
      <c r="O24" s="1902"/>
      <c r="P24" s="1902"/>
      <c r="Q24" s="1918"/>
      <c r="R24" s="1902"/>
      <c r="S24" s="1902"/>
      <c r="T24" s="1902"/>
      <c r="U24" s="1902"/>
      <c r="V24" s="1902"/>
      <c r="W24" s="1902"/>
      <c r="X24" s="1902"/>
      <c r="Y24" s="1902"/>
      <c r="Z24" s="1902"/>
      <c r="AA24" s="1902"/>
      <c r="AB24" s="1902"/>
      <c r="AC24" s="1902"/>
      <c r="AD24" s="1902"/>
      <c r="AE24" s="1902"/>
      <c r="AF24" s="1902"/>
      <c r="AG24" s="1902"/>
      <c r="AH24" s="1902"/>
      <c r="AI24" s="1902"/>
      <c r="AJ24" s="1902"/>
      <c r="AK24" s="1918"/>
      <c r="AL24" s="1902"/>
      <c r="AM24" s="1902"/>
      <c r="AN24" s="1902"/>
      <c r="AO24" s="1918"/>
      <c r="AP24" s="1902"/>
      <c r="AQ24" s="1902"/>
      <c r="AR24" s="1902"/>
      <c r="AS24" s="1902"/>
      <c r="AT24" s="1902"/>
      <c r="AU24" s="1902"/>
      <c r="AV24" s="1902"/>
      <c r="AW24" s="1902"/>
      <c r="AX24" s="1902"/>
      <c r="AY24" s="1902"/>
      <c r="AZ24" s="1902"/>
      <c r="BA24" s="1902"/>
      <c r="BB24" s="1902"/>
      <c r="BC24" s="1918"/>
      <c r="BD24" s="1902"/>
      <c r="BE24" s="1902"/>
      <c r="BF24" s="1902"/>
      <c r="BG24" s="1902"/>
      <c r="BH24" s="1902"/>
      <c r="BI24" s="1902"/>
      <c r="BJ24" s="1902"/>
      <c r="BK24" s="1902"/>
      <c r="BL24" s="1902"/>
      <c r="BM24" s="1902"/>
      <c r="BN24" s="1902"/>
      <c r="BO24" s="1902"/>
      <c r="BP24" s="1902"/>
      <c r="BQ24" s="1902"/>
      <c r="BR24" s="1902"/>
      <c r="BS24" s="1902"/>
    </row>
    <row r="25" spans="1:16384" s="165" customFormat="1" ht="15">
      <c r="A25" s="1329"/>
      <c r="B25" s="1329"/>
      <c r="C25" s="1329"/>
      <c r="D25" s="1329"/>
      <c r="E25" s="560" t="str">
        <f>Performance!E190</f>
        <v>ODI form</v>
      </c>
      <c r="F25" s="1343"/>
      <c r="G25" s="560" t="str">
        <f>Performance!G190</f>
        <v>Text</v>
      </c>
      <c r="H25" s="1343"/>
      <c r="I25" s="1343"/>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21"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21" t="str">
        <f>Performance!AK190</f>
        <v/>
      </c>
      <c r="AL25" s="628" t="str">
        <f>Performance!AL190</f>
        <v>Revenue</v>
      </c>
      <c r="AM25" s="628" t="str">
        <f>Performance!AM190</f>
        <v>Revenue</v>
      </c>
      <c r="AN25" s="628" t="str">
        <f>Performance!AN190</f>
        <v>Revenue</v>
      </c>
      <c r="AO25" s="2021" t="str">
        <f>Performance!AO190</f>
        <v>Revenue</v>
      </c>
      <c r="AP25" s="628" t="str">
        <f>Performance!AP190</f>
        <v>Revenue</v>
      </c>
      <c r="AQ25" s="628" t="str">
        <f>Performance!AQ190</f>
        <v>Revenue</v>
      </c>
      <c r="AR25" s="628" t="str">
        <f>Performance!AR190</f>
        <v>Revenue</v>
      </c>
      <c r="AS25" s="628" t="str">
        <f>Performance!AS190</f>
        <v>Revenue</v>
      </c>
      <c r="AT25" s="628" t="str">
        <f>Performance!AT190</f>
        <v>RCV</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21"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22" customFormat="1">
      <c r="A26" s="1378"/>
      <c r="B26" s="1378"/>
      <c r="C26" s="1378"/>
      <c r="D26" s="1378"/>
      <c r="E26" s="626" t="str">
        <f>Performance!E182</f>
        <v>ODI timing</v>
      </c>
      <c r="F26" s="626"/>
      <c r="G26" s="626" t="str">
        <f>Performance!G182</f>
        <v>Text</v>
      </c>
      <c r="H26" s="626"/>
      <c r="I26" s="626"/>
      <c r="J26" s="1902"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21"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End of period</v>
      </c>
      <c r="X26" s="628" t="str">
        <f>Performance!X182</f>
        <v>End of period</v>
      </c>
      <c r="Y26" s="628" t="str">
        <f>Performance!Y182</f>
        <v>End of period</v>
      </c>
      <c r="Z26" s="628" t="str">
        <f>Performance!Z182</f>
        <v>End of period</v>
      </c>
      <c r="AA26" s="628" t="str">
        <f>Performance!AA182</f>
        <v>End of 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21" t="str">
        <f>Performance!AK182</f>
        <v/>
      </c>
      <c r="AL26" s="628" t="str">
        <f>Performance!AL182</f>
        <v>In-period</v>
      </c>
      <c r="AM26" s="628" t="str">
        <f>Performance!AM182</f>
        <v>In-period</v>
      </c>
      <c r="AN26" s="628" t="str">
        <f>Performance!AN182</f>
        <v>In-period</v>
      </c>
      <c r="AO26" s="2021" t="str">
        <f>Performance!AO182</f>
        <v>In-period</v>
      </c>
      <c r="AP26" s="628" t="str">
        <f>Performance!AP182</f>
        <v>In-period</v>
      </c>
      <c r="AQ26" s="628" t="str">
        <f>Performance!AQ182</f>
        <v>End of period</v>
      </c>
      <c r="AR26" s="628" t="str">
        <f>Performance!AR182</f>
        <v>In-period</v>
      </c>
      <c r="AS26" s="628" t="str">
        <f>Performance!AS182</f>
        <v>End of period</v>
      </c>
      <c r="AT26" s="628" t="str">
        <f>Performance!AT182</f>
        <v>End of period</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01"/>
      <c r="BE26" s="1401"/>
      <c r="BF26" s="1401"/>
      <c r="BG26" s="1401"/>
      <c r="BH26" s="1401"/>
      <c r="BI26" s="1401"/>
      <c r="BJ26" s="1401"/>
      <c r="BK26" s="1401"/>
      <c r="BL26" s="1401"/>
      <c r="BM26" s="1401"/>
      <c r="BN26" s="1401"/>
      <c r="BO26" s="1401"/>
      <c r="BP26" s="1401"/>
      <c r="BQ26" s="1401"/>
      <c r="BR26" s="1401"/>
      <c r="BS26" s="1401"/>
    </row>
    <row r="27" spans="1:16384">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25">
      <c r="A28" s="417" t="s">
        <v>1082</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13"/>
    </row>
    <row r="32" spans="1:16384" ht="12.75" customHeight="1">
      <c r="J32" s="1903"/>
    </row>
    <row r="37" spans="10:10" ht="12.75" customHeight="1">
      <c r="J37" s="1903"/>
    </row>
  </sheetData>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25"/>
  <cols>
    <col min="1" max="3" width="1.625" style="201" customWidth="1"/>
    <col min="4" max="4" width="11" style="201" customWidth="1"/>
    <col min="5" max="5" width="56.875" style="201" bestFit="1" customWidth="1"/>
    <col min="6" max="6" width="20.625" style="201" customWidth="1"/>
    <col min="7" max="7" width="7.5" style="201" bestFit="1" customWidth="1"/>
    <col min="8" max="8" width="15.625" style="201" customWidth="1"/>
    <col min="9" max="9" width="2.625" style="201" customWidth="1"/>
    <col min="10" max="11" width="40.625" style="201" customWidth="1"/>
    <col min="12" max="12" width="15.625" customWidth="1"/>
    <col min="13" max="14" width="20.625" customWidth="1"/>
    <col min="15" max="16" width="50.625" customWidth="1"/>
  </cols>
  <sheetData>
    <row r="1" spans="1:16" ht="44.25">
      <c r="A1" s="657" t="e">
        <f ca="1" xml:space="preserve"> RIGHT(CELL("filename", $A$1), LEN(CELL("filename", $A$1)) - SEARCH("]", CELL("filename", $A$1)))</f>
        <v>#VALUE!</v>
      </c>
      <c r="B1" s="236"/>
      <c r="C1" s="236"/>
      <c r="D1" s="237"/>
      <c r="E1" s="238"/>
      <c r="F1" s="238"/>
      <c r="G1" s="238"/>
      <c r="H1" s="643" t="str">
        <f>InpCompany!F5</f>
        <v>Anglian Water</v>
      </c>
      <c r="I1" s="238"/>
      <c r="J1" s="238"/>
      <c r="K1" s="238"/>
      <c r="L1" s="238"/>
      <c r="M1" s="238"/>
      <c r="N1" s="238"/>
      <c r="O1" s="238"/>
      <c r="P1" s="238"/>
    </row>
    <row r="2" spans="1:16">
      <c r="A2" s="431"/>
      <c r="B2" s="431"/>
      <c r="C2" s="431"/>
      <c r="D2" s="431"/>
      <c r="E2" s="431"/>
      <c r="F2" s="440" t="s">
        <v>2077</v>
      </c>
      <c r="G2" s="440" t="s">
        <v>155</v>
      </c>
      <c r="H2" s="440" t="s">
        <v>1299</v>
      </c>
      <c r="I2" s="431"/>
      <c r="J2" s="431"/>
      <c r="K2" s="431"/>
      <c r="L2" s="431"/>
      <c r="M2" s="431"/>
      <c r="N2" s="431"/>
      <c r="O2" s="431"/>
      <c r="P2" s="431"/>
    </row>
    <row r="3" spans="1:16">
      <c r="A3" s="614" t="s">
        <v>4873</v>
      </c>
      <c r="B3" s="615"/>
      <c r="C3" s="615"/>
      <c r="D3" s="616"/>
      <c r="E3" s="617"/>
      <c r="F3" s="617"/>
      <c r="G3" s="617"/>
      <c r="H3" s="618"/>
      <c r="I3" s="617"/>
      <c r="J3" s="617" t="s">
        <v>4874</v>
      </c>
      <c r="K3" s="645" t="s">
        <v>4875</v>
      </c>
      <c r="L3" s="645" t="s">
        <v>4876</v>
      </c>
      <c r="M3" s="645" t="s">
        <v>4877</v>
      </c>
      <c r="N3" s="645" t="s">
        <v>4878</v>
      </c>
      <c r="O3" s="645" t="s">
        <v>4879</v>
      </c>
      <c r="P3" s="645" t="s">
        <v>4880</v>
      </c>
    </row>
    <row r="4" spans="1:16">
      <c r="A4" s="433"/>
      <c r="B4" s="659"/>
      <c r="C4" s="433"/>
      <c r="D4" s="433"/>
      <c r="E4" s="433"/>
      <c r="F4" s="433"/>
      <c r="G4" s="433"/>
      <c r="H4" s="433"/>
      <c r="I4" s="433"/>
      <c r="J4" s="433"/>
      <c r="K4" s="433"/>
      <c r="L4" s="165"/>
      <c r="M4" s="165"/>
      <c r="N4" s="165"/>
      <c r="O4" s="165"/>
      <c r="P4" s="165"/>
    </row>
    <row r="5" spans="1:16">
      <c r="A5" s="560"/>
      <c r="B5" s="560"/>
      <c r="C5" s="650" t="s">
        <v>4881</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1829</v>
      </c>
      <c r="B7" s="560"/>
      <c r="C7" s="431"/>
      <c r="D7" s="441"/>
      <c r="E7" s="1408" t="str" cm="1">
        <f t="array" ref="E7:E52">TRANSPOSE(Performance!J6:BC6)</f>
        <v>Water quality compliance (CRI)</v>
      </c>
      <c r="F7" s="1409" t="str" cm="1">
        <f t="array" ref="F7:F52">TRANSPOSE(Performance!J5:BC5)</f>
        <v>PR19ANH_3</v>
      </c>
      <c r="G7" s="1409" t="str" cm="1">
        <f t="array" ref="G7:G52">TRANSPOSE(Performance!J9:BC9)</f>
        <v>number</v>
      </c>
      <c r="H7" s="557"/>
      <c r="I7" s="557"/>
      <c r="J7" s="1410"/>
      <c r="K7" s="1410" cm="1">
        <f t="array" ref="K7:K52">TRANSPOSE(Performance!J7:BC7)</f>
        <v>2.13</v>
      </c>
      <c r="L7" s="1410" t="str" cm="1">
        <f t="array" ref="L7:L52">TRANSPOSE('Model outputs - PC level'!J12:BC12)</f>
        <v/>
      </c>
      <c r="M7" s="1410" t="str" cm="1">
        <f t="array" ref="M7:M52">TRANSPOSE('Model outputs - PC level'!J13:BC13)</f>
        <v/>
      </c>
      <c r="N7" s="1410" t="str" cm="1">
        <f t="array" ref="N7:N52">TRANSPOSE('Model outputs - PC level'!J14:BC14)</f>
        <v>No</v>
      </c>
      <c r="O7" s="1473"/>
      <c r="P7" s="1473" cm="1">
        <f t="array" ref="P7:P52">TRANSPOSE('Model outputs - PC level'!J16:BC16)+TRANSPOSE('Model outputs - PC level'!J17:BC17)+TRANSPOSE('Model outputs - PC level'!J19:BC19)+TRANSPOSE('Model outputs - PC level'!J20:BC20)+TRANSPOSE('Model outputs - PC level'!J22:BC22)+TRANSPOSE('Model outputs - PC level'!J23:BC23)</f>
        <v>-0.49643999999999994</v>
      </c>
    </row>
    <row r="8" spans="1:16">
      <c r="A8" s="560"/>
      <c r="B8" s="560"/>
      <c r="C8" s="431"/>
      <c r="D8" s="441"/>
      <c r="E8" s="1408" t="str">
        <v>Water supply interruptions</v>
      </c>
      <c r="F8" s="1409" t="str">
        <v>PR19ANH_4</v>
      </c>
      <c r="G8" s="1409" t="str">
        <v>hh:mm:ss</v>
      </c>
      <c r="H8" s="557"/>
      <c r="I8" s="557"/>
      <c r="J8" s="1411"/>
      <c r="K8" s="1411">
        <v>4.7596344359324451E-3</v>
      </c>
      <c r="L8" s="1411" t="str">
        <v/>
      </c>
      <c r="M8" s="1411" t="str">
        <v/>
      </c>
      <c r="N8" s="1411" t="str">
        <v>No</v>
      </c>
      <c r="O8" s="1410"/>
      <c r="P8" s="1473">
        <v>-2.1245391315531585</v>
      </c>
    </row>
    <row r="9" spans="1:16">
      <c r="A9" s="560"/>
      <c r="B9" s="560"/>
      <c r="C9" s="431"/>
      <c r="D9" s="441"/>
      <c r="E9" s="1408" t="str">
        <v>Leakage</v>
      </c>
      <c r="F9" s="1409" t="str">
        <v>PR19ANH_5</v>
      </c>
      <c r="G9" s="1409" t="str">
        <v>%</v>
      </c>
      <c r="H9" s="557"/>
      <c r="I9" s="557"/>
      <c r="J9" s="1410"/>
      <c r="K9" s="1410">
        <v>3.9155074703760895</v>
      </c>
      <c r="L9" s="1410" t="str">
        <v>YES</v>
      </c>
      <c r="M9" s="1410" t="str">
        <v>YES</v>
      </c>
      <c r="N9" s="1410" t="str">
        <v>No</v>
      </c>
      <c r="O9" s="1410"/>
      <c r="P9" s="1473">
        <v>-16.940000000000001</v>
      </c>
    </row>
    <row r="10" spans="1:16">
      <c r="A10" s="560"/>
      <c r="B10" s="560"/>
      <c r="C10" s="431"/>
      <c r="D10" s="441"/>
      <c r="E10" s="1408" t="str">
        <v>[For use by NES and SSC only]</v>
      </c>
      <c r="F10" s="1409" t="str">
        <v/>
      </c>
      <c r="G10" s="1409" t="str">
        <v/>
      </c>
      <c r="H10" s="557"/>
      <c r="I10" s="557"/>
      <c r="J10" s="1410"/>
      <c r="K10" s="1410" t="str">
        <v/>
      </c>
      <c r="L10" s="1410" t="str">
        <v/>
      </c>
      <c r="M10" s="1410" t="str">
        <v/>
      </c>
      <c r="N10" s="1410" t="str">
        <v>No</v>
      </c>
      <c r="O10" s="1410"/>
      <c r="P10" s="1473">
        <v>0</v>
      </c>
    </row>
    <row r="11" spans="1:16">
      <c r="A11" s="560"/>
      <c r="B11" s="560"/>
      <c r="C11" s="431"/>
      <c r="D11" s="441"/>
      <c r="E11" s="1408" t="str">
        <v>Per capita consumption</v>
      </c>
      <c r="F11" s="1409" t="str">
        <v>PR19ANH_6</v>
      </c>
      <c r="G11" s="1409" t="str">
        <v xml:space="preserve">% </v>
      </c>
      <c r="H11" s="557"/>
      <c r="I11" s="557"/>
      <c r="J11" s="1410"/>
      <c r="K11" s="1410">
        <v>4.666666666666675</v>
      </c>
      <c r="L11" s="1410" t="str">
        <v/>
      </c>
      <c r="M11" s="1410" t="str">
        <v/>
      </c>
      <c r="N11" s="1410" t="str">
        <v>No</v>
      </c>
      <c r="O11" s="1410"/>
      <c r="P11" s="1473">
        <v>-0.48620000000000002</v>
      </c>
    </row>
    <row r="12" spans="1:16">
      <c r="A12" s="560"/>
      <c r="B12" s="560"/>
      <c r="C12" s="431"/>
      <c r="D12" s="441"/>
      <c r="E12" s="1408" t="str">
        <v>[For use by SSC only]</v>
      </c>
      <c r="F12" s="1409" t="str">
        <v/>
      </c>
      <c r="G12" s="1409" t="str">
        <v/>
      </c>
      <c r="H12" s="557"/>
      <c r="I12" s="557"/>
      <c r="J12" s="1410"/>
      <c r="K12" s="1410" t="str">
        <v/>
      </c>
      <c r="L12" s="1410" t="str">
        <v/>
      </c>
      <c r="M12" s="1410" t="str">
        <v/>
      </c>
      <c r="N12" s="1410" t="str">
        <v>No</v>
      </c>
      <c r="O12" s="1410"/>
      <c r="P12" s="1473">
        <v>0</v>
      </c>
    </row>
    <row r="13" spans="1:16">
      <c r="A13" s="560"/>
      <c r="B13" s="560"/>
      <c r="C13" s="431"/>
      <c r="D13" s="441"/>
      <c r="E13" s="1408" t="str">
        <v>Mains repairs</v>
      </c>
      <c r="F13" s="1409" t="str">
        <v>PR19ANH_11</v>
      </c>
      <c r="G13" s="1409" t="str">
        <v>number</v>
      </c>
      <c r="H13" s="557"/>
      <c r="I13" s="557"/>
      <c r="J13" s="1410"/>
      <c r="K13" s="1410">
        <v>133.36935635776922</v>
      </c>
      <c r="L13" s="1410" t="str">
        <v/>
      </c>
      <c r="M13" s="1410" t="str">
        <v/>
      </c>
      <c r="N13" s="1410" t="str">
        <v>No</v>
      </c>
      <c r="O13" s="1410"/>
      <c r="P13" s="1473">
        <v>0</v>
      </c>
    </row>
    <row r="14" spans="1:16">
      <c r="A14" s="560"/>
      <c r="B14" s="560"/>
      <c r="C14" s="431"/>
      <c r="D14" s="441"/>
      <c r="E14" s="1408" t="str">
        <v>Unplanned outage</v>
      </c>
      <c r="F14" s="1409" t="str">
        <v>PR19ANH_12</v>
      </c>
      <c r="G14" s="1409" t="str">
        <v>%</v>
      </c>
      <c r="H14" s="557"/>
      <c r="I14" s="557"/>
      <c r="J14" s="1410"/>
      <c r="K14" s="1410">
        <v>1.8790051410309851</v>
      </c>
      <c r="L14" s="1410" t="str">
        <v/>
      </c>
      <c r="M14" s="1410" t="str">
        <v/>
      </c>
      <c r="N14" s="1410" t="str">
        <v>No</v>
      </c>
      <c r="O14" s="1410"/>
      <c r="P14" s="1473">
        <v>0</v>
      </c>
    </row>
    <row r="15" spans="1:16">
      <c r="A15" s="560"/>
      <c r="B15" s="560"/>
      <c r="C15" s="431"/>
      <c r="D15" s="441"/>
      <c r="E15" s="1408" t="str">
        <v>Percentage of population supplied by a single supply system</v>
      </c>
      <c r="F15" s="1409" t="str">
        <v>PR19ANH_15</v>
      </c>
      <c r="G15" s="1409" t="str">
        <v>%</v>
      </c>
      <c r="H15" s="557"/>
      <c r="I15" s="557"/>
      <c r="J15" s="1412"/>
      <c r="K15" s="1472">
        <v>22.3</v>
      </c>
      <c r="L15" s="1412" t="str">
        <v/>
      </c>
      <c r="M15" s="1412" t="str">
        <v/>
      </c>
      <c r="N15" s="1412" t="str">
        <v>No</v>
      </c>
      <c r="O15" s="1410"/>
      <c r="P15" s="2349">
        <v>0</v>
      </c>
    </row>
    <row r="16" spans="1:16">
      <c r="A16" s="560"/>
      <c r="B16" s="560"/>
      <c r="C16" s="431"/>
      <c r="D16" s="441"/>
      <c r="E16" s="1408" t="str">
        <v>Properties at risk of persistent low pressure</v>
      </c>
      <c r="F16" s="1409" t="str">
        <v>PR19ANH_16</v>
      </c>
      <c r="G16" s="1409" t="str">
        <v>nr</v>
      </c>
      <c r="H16" s="557"/>
      <c r="I16" s="557"/>
      <c r="J16" s="1412"/>
      <c r="K16" s="1412">
        <v>62</v>
      </c>
      <c r="L16" s="1412" t="str">
        <v/>
      </c>
      <c r="M16" s="1412" t="str">
        <v/>
      </c>
      <c r="N16" s="1412" t="str">
        <v>No</v>
      </c>
      <c r="O16" s="1410"/>
      <c r="P16" s="2349">
        <v>0.27895999999999999</v>
      </c>
    </row>
    <row r="17" spans="1:16">
      <c r="A17" s="560"/>
      <c r="B17" s="560"/>
      <c r="C17" s="431"/>
      <c r="D17" s="441"/>
      <c r="E17" s="1408" t="str">
        <v>Abstraction Incentive Mechanism</v>
      </c>
      <c r="F17" s="1409" t="str">
        <v>PR19ANH_20</v>
      </c>
      <c r="G17" s="1409" t="str">
        <v>nr</v>
      </c>
      <c r="H17" s="557"/>
      <c r="I17" s="557"/>
      <c r="J17" s="1412"/>
      <c r="K17" s="1412">
        <v>85</v>
      </c>
      <c r="L17" s="1412" t="str">
        <v>YES</v>
      </c>
      <c r="M17" s="1412" t="str">
        <v>YES</v>
      </c>
      <c r="N17" s="1412" t="str">
        <v>No</v>
      </c>
      <c r="O17" s="1410"/>
      <c r="P17" s="2349">
        <v>-8.7999999999999995E-2</v>
      </c>
    </row>
    <row r="18" spans="1:16">
      <c r="A18" s="560"/>
      <c r="B18" s="560"/>
      <c r="C18" s="431"/>
      <c r="D18" s="441"/>
      <c r="E18" s="1408" t="str">
        <v>Managing void properties</v>
      </c>
      <c r="F18" s="1409" t="str">
        <v>PR19ANH_23</v>
      </c>
      <c r="G18" s="1409" t="str">
        <v>%</v>
      </c>
      <c r="H18" s="557"/>
      <c r="I18" s="557"/>
      <c r="J18" s="1412"/>
      <c r="K18" s="1412">
        <v>0.06</v>
      </c>
      <c r="L18" s="1412" t="str">
        <v/>
      </c>
      <c r="M18" s="1412" t="str">
        <v/>
      </c>
      <c r="N18" s="1412" t="str">
        <v>No</v>
      </c>
      <c r="O18" s="1410"/>
      <c r="P18" s="2349">
        <v>0.89604000000000006</v>
      </c>
    </row>
    <row r="19" spans="1:16">
      <c r="A19" s="560"/>
      <c r="B19" s="560"/>
      <c r="C19" s="431"/>
      <c r="D19" s="441"/>
      <c r="E19" s="1408" t="str">
        <v>Water quality contacts</v>
      </c>
      <c r="F19" s="1409" t="str">
        <v>PR19ANH_34</v>
      </c>
      <c r="G19" s="1409" t="str">
        <v>nr</v>
      </c>
      <c r="H19" s="557"/>
      <c r="I19" s="557"/>
      <c r="J19" s="1412"/>
      <c r="K19" s="1412">
        <v>0.91</v>
      </c>
      <c r="L19" s="1412" t="str">
        <v/>
      </c>
      <c r="M19" s="1412" t="str">
        <v/>
      </c>
      <c r="N19" s="1412" t="str">
        <v>No</v>
      </c>
      <c r="O19" s="1410"/>
      <c r="P19" s="2349">
        <v>-0.37464000000000008</v>
      </c>
    </row>
    <row r="20" spans="1:16">
      <c r="A20" s="560"/>
      <c r="B20" s="560"/>
      <c r="C20" s="431"/>
      <c r="D20" s="441"/>
      <c r="E20" s="1408" t="str">
        <v>Smart metering delivery</v>
      </c>
      <c r="F20" s="1409" t="str">
        <v>PR19ANH_38</v>
      </c>
      <c r="G20" s="1409" t="str">
        <v>nr</v>
      </c>
      <c r="H20" s="557"/>
      <c r="I20" s="557"/>
      <c r="J20" s="1412"/>
      <c r="K20" s="1412">
        <v>1096405</v>
      </c>
      <c r="L20" s="1412" t="str">
        <v/>
      </c>
      <c r="M20" s="1412" t="str">
        <v/>
      </c>
      <c r="N20" s="1412" t="str">
        <v>No</v>
      </c>
      <c r="O20" s="1410"/>
      <c r="P20" s="2349">
        <v>0</v>
      </c>
    </row>
    <row r="21" spans="1:16">
      <c r="A21" s="560"/>
      <c r="B21" s="560"/>
      <c r="C21" s="431"/>
      <c r="D21" s="441"/>
      <c r="E21" s="1408" t="str">
        <v>Internal interconnection delivery</v>
      </c>
      <c r="F21" s="1409" t="str">
        <v>PR19ANH_39</v>
      </c>
      <c r="G21" s="1409" t="str">
        <v>nr</v>
      </c>
      <c r="H21" s="557"/>
      <c r="I21" s="557"/>
      <c r="J21" s="1412"/>
      <c r="K21" s="1412">
        <v>11.5</v>
      </c>
      <c r="L21" s="1412" t="str">
        <v>YES</v>
      </c>
      <c r="M21" s="1412" t="str">
        <v>YES</v>
      </c>
      <c r="N21" s="1412" t="str">
        <v>No</v>
      </c>
      <c r="O21" s="1410"/>
      <c r="P21" s="2349">
        <v>0</v>
      </c>
    </row>
    <row r="22" spans="1:16">
      <c r="A22" s="560"/>
      <c r="B22" s="560"/>
      <c r="C22" s="431"/>
      <c r="D22" s="441"/>
      <c r="E22" s="1408" t="str">
        <v>Cyber Security</v>
      </c>
      <c r="F22" s="1409" t="str">
        <v>PR19ANH_41</v>
      </c>
      <c r="G22" s="1409" t="str">
        <v xml:space="preserve">% </v>
      </c>
      <c r="H22" s="557"/>
      <c r="I22" s="557"/>
      <c r="J22" s="1412"/>
      <c r="K22" s="1412">
        <v>100</v>
      </c>
      <c r="L22" s="1412" t="str">
        <v/>
      </c>
      <c r="M22" s="1412" t="str">
        <v/>
      </c>
      <c r="N22" s="1412" t="str">
        <v>No</v>
      </c>
      <c r="O22" s="1410"/>
      <c r="P22" s="2349">
        <v>0</v>
      </c>
    </row>
    <row r="23" spans="1:16">
      <c r="A23" s="560"/>
      <c r="B23" s="560"/>
      <c r="C23" s="431"/>
      <c r="D23" s="441"/>
      <c r="E23" s="1408" t="str">
        <v>Underperformance incentive for Elsham treatment works and transfer scheme</v>
      </c>
      <c r="F23" s="1409" t="str">
        <v>PR19ANH_47</v>
      </c>
      <c r="G23" s="1409" t="str">
        <v>text</v>
      </c>
      <c r="H23" s="557"/>
      <c r="I23" s="557"/>
      <c r="J23" s="1412"/>
      <c r="K23" s="1412" t="str">
        <v>n/a</v>
      </c>
      <c r="L23" s="1412" t="str">
        <v>YES</v>
      </c>
      <c r="M23" s="1412" t="str">
        <v>YES</v>
      </c>
      <c r="N23" s="1412" t="str">
        <v>No</v>
      </c>
      <c r="O23" s="1410"/>
      <c r="P23" s="2349">
        <v>0</v>
      </c>
    </row>
    <row r="24" spans="1:16">
      <c r="A24" s="560"/>
      <c r="B24" s="560"/>
      <c r="C24" s="431"/>
      <c r="D24" s="441"/>
      <c r="E24" s="1408" t="str">
        <v>Outperformance payment for Elsham treatment works and transfer scheme</v>
      </c>
      <c r="F24" s="1409" t="str">
        <v>PR19ANH_48</v>
      </c>
      <c r="G24" s="1409" t="str">
        <v>text</v>
      </c>
      <c r="H24" s="557"/>
      <c r="I24" s="557"/>
      <c r="J24" s="1412"/>
      <c r="K24" s="1412" t="str">
        <v>n/a</v>
      </c>
      <c r="L24" s="1412" t="str">
        <v>YES</v>
      </c>
      <c r="M24" s="1412" t="str">
        <v/>
      </c>
      <c r="N24" s="1412" t="str">
        <v>No</v>
      </c>
      <c r="O24" s="1410"/>
      <c r="P24" s="2349">
        <v>0</v>
      </c>
    </row>
    <row r="25" spans="1:16">
      <c r="A25" s="560"/>
      <c r="B25" s="560"/>
      <c r="C25" s="431"/>
      <c r="D25" s="441"/>
      <c r="E25" s="1408" t="str">
        <v/>
      </c>
      <c r="F25" s="1409" t="str">
        <v/>
      </c>
      <c r="G25" s="1409" t="str">
        <v/>
      </c>
      <c r="H25" s="557"/>
      <c r="I25" s="557"/>
      <c r="J25" s="1412"/>
      <c r="K25" s="1412" t="str">
        <v/>
      </c>
      <c r="L25" s="1412" t="str">
        <v/>
      </c>
      <c r="M25" s="1412" t="str">
        <v/>
      </c>
      <c r="N25" s="1412" t="str">
        <v>No</v>
      </c>
      <c r="O25" s="1410"/>
      <c r="P25" s="2349">
        <v>0</v>
      </c>
    </row>
    <row r="26" spans="1:16">
      <c r="A26" s="560"/>
      <c r="B26" s="560"/>
      <c r="C26" s="431"/>
      <c r="D26" s="441"/>
      <c r="E26" s="1408" t="str">
        <v/>
      </c>
      <c r="F26" s="1409" t="str">
        <v/>
      </c>
      <c r="G26" s="1409" t="str">
        <v/>
      </c>
      <c r="H26" s="557"/>
      <c r="I26" s="557"/>
      <c r="J26" s="1412"/>
      <c r="K26" s="1412" t="str">
        <v/>
      </c>
      <c r="L26" s="1412" t="str">
        <v/>
      </c>
      <c r="M26" s="1412" t="str">
        <v/>
      </c>
      <c r="N26" s="1412" t="str">
        <v>No</v>
      </c>
      <c r="O26" s="1410"/>
      <c r="P26" s="2349">
        <v>0</v>
      </c>
    </row>
    <row r="27" spans="1:16" ht="15">
      <c r="A27" s="1343"/>
      <c r="B27" s="1343"/>
      <c r="C27" s="1343"/>
      <c r="D27" s="1343"/>
      <c r="E27" s="1477" t="str">
        <v/>
      </c>
      <c r="F27" s="1477" t="str">
        <v/>
      </c>
      <c r="G27" s="1477" t="str">
        <v/>
      </c>
      <c r="H27" s="433"/>
      <c r="I27" s="433"/>
      <c r="J27" s="1413"/>
      <c r="K27" s="1413" t="str">
        <v/>
      </c>
      <c r="L27" s="1413" t="str">
        <v/>
      </c>
      <c r="M27" s="1413" t="str">
        <v/>
      </c>
      <c r="N27" s="1413" t="str">
        <v>No</v>
      </c>
      <c r="O27" s="1410"/>
      <c r="P27" s="2350">
        <v>0</v>
      </c>
    </row>
    <row r="28" spans="1:16" ht="15">
      <c r="A28" s="1343"/>
      <c r="B28" s="1343"/>
      <c r="C28" s="1343"/>
      <c r="D28" s="1343"/>
      <c r="E28" s="1477" t="str">
        <v/>
      </c>
      <c r="F28" s="1477" t="str">
        <v/>
      </c>
      <c r="G28" s="1477" t="str">
        <v/>
      </c>
      <c r="H28" s="433"/>
      <c r="I28" s="433"/>
      <c r="J28" s="1413"/>
      <c r="K28" s="1413" t="str">
        <v/>
      </c>
      <c r="L28" s="1413" t="str">
        <v/>
      </c>
      <c r="M28" s="1413" t="str">
        <v/>
      </c>
      <c r="N28" s="1413" t="str">
        <v>No</v>
      </c>
      <c r="O28" s="1410"/>
      <c r="P28" s="2350">
        <v>0</v>
      </c>
    </row>
    <row r="29" spans="1:16" ht="15">
      <c r="A29" s="1343"/>
      <c r="B29" s="1343"/>
      <c r="C29" s="1343"/>
      <c r="D29" s="1343"/>
      <c r="E29" s="1477" t="str">
        <v/>
      </c>
      <c r="F29" s="1477" t="str">
        <v/>
      </c>
      <c r="G29" s="1477" t="str">
        <v/>
      </c>
      <c r="H29" s="433"/>
      <c r="I29" s="433"/>
      <c r="J29" s="1413"/>
      <c r="K29" s="1413" t="str">
        <v/>
      </c>
      <c r="L29" s="1413" t="str">
        <v/>
      </c>
      <c r="M29" s="1413" t="str">
        <v/>
      </c>
      <c r="N29" s="1413" t="str">
        <v>No</v>
      </c>
      <c r="O29" s="1410"/>
      <c r="P29" s="2350">
        <v>0</v>
      </c>
    </row>
    <row r="30" spans="1:16" ht="15">
      <c r="A30" s="1343"/>
      <c r="B30" s="1343"/>
      <c r="C30" s="1343"/>
      <c r="D30" s="1343"/>
      <c r="E30" s="1477" t="str">
        <v/>
      </c>
      <c r="F30" s="1477" t="str">
        <v/>
      </c>
      <c r="G30" s="1477" t="str">
        <v/>
      </c>
      <c r="H30" s="433"/>
      <c r="I30" s="433"/>
      <c r="J30" s="1413"/>
      <c r="K30" s="1413" t="str">
        <v/>
      </c>
      <c r="L30" s="1413" t="str">
        <v/>
      </c>
      <c r="M30" s="1413" t="str">
        <v/>
      </c>
      <c r="N30" s="1413" t="str">
        <v>No</v>
      </c>
      <c r="O30" s="1410"/>
      <c r="P30" s="2350">
        <v>0</v>
      </c>
    </row>
    <row r="31" spans="1:16" ht="15">
      <c r="A31" s="1343"/>
      <c r="B31" s="1343"/>
      <c r="C31" s="1343"/>
      <c r="D31" s="1343"/>
      <c r="E31" s="1477" t="str">
        <v/>
      </c>
      <c r="F31" s="1477" t="str">
        <v/>
      </c>
      <c r="G31" s="1477" t="str">
        <v/>
      </c>
      <c r="H31" s="433"/>
      <c r="I31" s="433"/>
      <c r="J31" s="1413"/>
      <c r="K31" s="1413" t="str">
        <v/>
      </c>
      <c r="L31" s="1413" t="str">
        <v/>
      </c>
      <c r="M31" s="1413" t="str">
        <v/>
      </c>
      <c r="N31" s="1413" t="str">
        <v>No</v>
      </c>
      <c r="O31" s="1410"/>
      <c r="P31" s="2350">
        <v>0</v>
      </c>
    </row>
    <row r="32" spans="1:16" ht="15">
      <c r="A32" s="1343"/>
      <c r="B32" s="1343"/>
      <c r="C32" s="1343"/>
      <c r="D32" s="1343"/>
      <c r="E32" s="1477" t="str">
        <v/>
      </c>
      <c r="F32" s="1477" t="str">
        <v/>
      </c>
      <c r="G32" s="1477" t="str">
        <v/>
      </c>
      <c r="H32" s="433"/>
      <c r="I32" s="433"/>
      <c r="J32" s="1413"/>
      <c r="K32" s="1413" t="str">
        <v/>
      </c>
      <c r="L32" s="1413" t="str">
        <v/>
      </c>
      <c r="M32" s="1413" t="str">
        <v/>
      </c>
      <c r="N32" s="1413" t="str">
        <v>No</v>
      </c>
      <c r="O32" s="1410"/>
      <c r="P32" s="2350">
        <v>0</v>
      </c>
    </row>
    <row r="33" spans="1:16" ht="15">
      <c r="A33" s="1343"/>
      <c r="B33" s="1343"/>
      <c r="C33" s="1343"/>
      <c r="D33" s="1343"/>
      <c r="E33" s="1477" t="str">
        <v/>
      </c>
      <c r="F33" s="1477" t="str">
        <v/>
      </c>
      <c r="G33" s="1477" t="str">
        <v/>
      </c>
      <c r="H33" s="433"/>
      <c r="I33" s="433"/>
      <c r="J33" s="1413"/>
      <c r="K33" s="1413" t="str">
        <v/>
      </c>
      <c r="L33" s="1413" t="str">
        <v/>
      </c>
      <c r="M33" s="1413" t="str">
        <v/>
      </c>
      <c r="N33" s="1413" t="str">
        <v>No</v>
      </c>
      <c r="O33" s="1410"/>
      <c r="P33" s="2350">
        <v>0</v>
      </c>
    </row>
    <row r="34" spans="1:16" ht="15">
      <c r="A34" s="1343"/>
      <c r="B34" s="1343"/>
      <c r="C34" s="1343"/>
      <c r="D34" s="1343"/>
      <c r="E34" s="1477" t="str">
        <v/>
      </c>
      <c r="F34" s="1477" t="str">
        <v/>
      </c>
      <c r="G34" s="1477" t="str">
        <v/>
      </c>
      <c r="H34" s="433"/>
      <c r="I34" s="433"/>
      <c r="J34" s="1413"/>
      <c r="K34" s="1413" t="str">
        <v/>
      </c>
      <c r="L34" s="1413" t="str">
        <v/>
      </c>
      <c r="M34" s="1413" t="str">
        <v/>
      </c>
      <c r="N34" s="1413" t="str">
        <v>No</v>
      </c>
      <c r="O34" s="1410"/>
      <c r="P34" s="2350">
        <v>0</v>
      </c>
    </row>
    <row r="35" spans="1:16" ht="15">
      <c r="A35" s="650" t="s">
        <v>1839</v>
      </c>
      <c r="B35" s="1343"/>
      <c r="C35" s="1343"/>
      <c r="D35" s="1343"/>
      <c r="E35" s="1477" t="str">
        <v>Internal sewer flooding</v>
      </c>
      <c r="F35" s="1477" t="str">
        <v>PR19ANH_7</v>
      </c>
      <c r="G35" s="1477" t="str">
        <v>number</v>
      </c>
      <c r="H35" s="433"/>
      <c r="I35" s="433"/>
      <c r="J35" s="1413"/>
      <c r="K35" s="1413">
        <v>1.4103806036901358</v>
      </c>
      <c r="L35" s="1413" t="str">
        <v/>
      </c>
      <c r="M35" s="1413" t="str">
        <v/>
      </c>
      <c r="N35" s="1413" t="str">
        <v>No</v>
      </c>
      <c r="O35" s="1410"/>
      <c r="P35" s="2350">
        <v>-0.76607999999999832</v>
      </c>
    </row>
    <row r="36" spans="1:16" ht="15">
      <c r="A36" s="1343"/>
      <c r="B36" s="1343"/>
      <c r="C36" s="1343"/>
      <c r="D36" s="1343"/>
      <c r="E36" s="1477" t="str">
        <v>Pollution incidents</v>
      </c>
      <c r="F36" s="1477" t="str">
        <v>PR19ANH_8</v>
      </c>
      <c r="G36" s="1477" t="str">
        <v>number</v>
      </c>
      <c r="H36" s="433"/>
      <c r="I36" s="433"/>
      <c r="J36" s="1413"/>
      <c r="K36" s="1413">
        <v>57.171265224956507</v>
      </c>
      <c r="L36" s="1413" t="str">
        <v/>
      </c>
      <c r="M36" s="1413" t="str">
        <v/>
      </c>
      <c r="N36" s="1413" t="str">
        <v>No</v>
      </c>
      <c r="O36" s="1410"/>
      <c r="P36" s="2350">
        <v>-9.8345000000000002</v>
      </c>
    </row>
    <row r="37" spans="1:16" ht="15">
      <c r="A37" s="1343"/>
      <c r="B37" s="1343"/>
      <c r="C37" s="1343"/>
      <c r="D37" s="1343"/>
      <c r="E37" s="1477" t="str">
        <v>Sewer collapses</v>
      </c>
      <c r="F37" s="1477" t="str">
        <v>PR19ANH_13</v>
      </c>
      <c r="G37" s="1477" t="str">
        <v>number</v>
      </c>
      <c r="H37" s="433"/>
      <c r="I37" s="433"/>
      <c r="J37" s="1413"/>
      <c r="K37" s="1413">
        <v>4.5327442893806094</v>
      </c>
      <c r="L37" s="1413" t="str">
        <v/>
      </c>
      <c r="M37" s="1413" t="str">
        <v/>
      </c>
      <c r="N37" s="1413" t="str">
        <v>No</v>
      </c>
      <c r="O37" s="1410"/>
      <c r="P37" s="2350">
        <v>0</v>
      </c>
    </row>
    <row r="38" spans="1:16" ht="15">
      <c r="A38" s="1343"/>
      <c r="B38" s="1343"/>
      <c r="C38" s="1343"/>
      <c r="D38" s="1343"/>
      <c r="E38" s="1477" t="str">
        <v>Treatment works compliance</v>
      </c>
      <c r="F38" s="1477" t="str">
        <v>PR19ANH_14</v>
      </c>
      <c r="G38" s="1477" t="str">
        <v>%</v>
      </c>
      <c r="H38" s="433"/>
      <c r="I38" s="433"/>
      <c r="J38" s="1413"/>
      <c r="K38" s="1413">
        <v>99.28</v>
      </c>
      <c r="L38" s="1413" t="str">
        <v/>
      </c>
      <c r="M38" s="1413" t="str">
        <v/>
      </c>
      <c r="N38" s="1413" t="str">
        <v>No</v>
      </c>
      <c r="O38" s="1410"/>
      <c r="P38" s="2350">
        <v>0</v>
      </c>
    </row>
    <row r="39" spans="1:16" ht="15">
      <c r="A39" s="1343"/>
      <c r="B39" s="1343"/>
      <c r="C39" s="1343"/>
      <c r="D39" s="1343"/>
      <c r="E39" s="1477" t="str">
        <v>External Sewer Flooding</v>
      </c>
      <c r="F39" s="1477" t="str">
        <v>PR19ANH_17</v>
      </c>
      <c r="G39" s="1477" t="str">
        <v>nr</v>
      </c>
      <c r="H39" s="433"/>
      <c r="I39" s="433"/>
      <c r="J39" s="1413"/>
      <c r="K39" s="1413">
        <v>5232</v>
      </c>
      <c r="L39" s="1413" t="str">
        <v/>
      </c>
      <c r="M39" s="1413" t="str">
        <v/>
      </c>
      <c r="N39" s="1413" t="str">
        <v>No</v>
      </c>
      <c r="O39" s="1410"/>
      <c r="P39" s="2350">
        <v>-5.1836570000000002</v>
      </c>
    </row>
    <row r="40" spans="1:16" ht="15">
      <c r="A40" s="1343"/>
      <c r="B40" s="1343"/>
      <c r="C40" s="1343"/>
      <c r="D40" s="1343"/>
      <c r="E40" s="1409" t="str">
        <v>Bathing Waters Attaining Excellent Status</v>
      </c>
      <c r="F40" s="1477" t="str">
        <v>PR19ANH_19</v>
      </c>
      <c r="G40" s="1409" t="str">
        <v>nr</v>
      </c>
      <c r="H40" s="433"/>
      <c r="I40" s="433"/>
      <c r="J40" s="1413"/>
      <c r="K40" s="1413">
        <v>31</v>
      </c>
      <c r="L40" s="1413" t="str">
        <v/>
      </c>
      <c r="M40" s="1413" t="str">
        <v/>
      </c>
      <c r="N40" s="1413" t="str">
        <v>No</v>
      </c>
      <c r="O40" s="1410"/>
      <c r="P40" s="2350">
        <v>-1.1240000000000001</v>
      </c>
    </row>
    <row r="41" spans="1:16" ht="15">
      <c r="A41" s="1343"/>
      <c r="B41" s="1343"/>
      <c r="C41" s="1343"/>
      <c r="D41" s="1343"/>
      <c r="E41" s="1409" t="str">
        <v>Water Industry National Environment Programme</v>
      </c>
      <c r="F41" s="1477" t="str">
        <v>PR19ANH_32</v>
      </c>
      <c r="G41" s="1409" t="str">
        <v>nr</v>
      </c>
      <c r="H41" s="433"/>
      <c r="I41" s="433"/>
      <c r="J41" s="1413"/>
      <c r="K41" s="1413">
        <v>1698</v>
      </c>
      <c r="L41" s="1413" t="str">
        <v>YES</v>
      </c>
      <c r="M41" s="1413" t="str">
        <v>YES</v>
      </c>
      <c r="N41" s="1413" t="str">
        <v>No</v>
      </c>
      <c r="O41" s="1410"/>
      <c r="P41" s="2350">
        <v>0</v>
      </c>
    </row>
    <row r="42" spans="1:16" ht="15">
      <c r="A42" s="1343"/>
      <c r="B42" s="1343"/>
      <c r="C42" s="1343"/>
      <c r="D42" s="1343"/>
      <c r="E42" s="1409" t="str">
        <v>Partnership working on pluvial and fluvial flood risk</v>
      </c>
      <c r="F42" s="1477" t="str">
        <v>PR19ANH_42</v>
      </c>
      <c r="G42" s="1409" t="str">
        <v>number</v>
      </c>
      <c r="H42" s="433"/>
      <c r="I42" s="433"/>
      <c r="J42" s="1413"/>
      <c r="K42" s="1413">
        <v>98</v>
      </c>
      <c r="L42" s="1413" t="str">
        <v/>
      </c>
      <c r="M42" s="1413" t="str">
        <v/>
      </c>
      <c r="N42" s="1413" t="str">
        <v>No</v>
      </c>
      <c r="O42" s="1410"/>
      <c r="P42" s="2350">
        <v>0</v>
      </c>
    </row>
    <row r="43" spans="1:16" ht="15">
      <c r="A43" s="1343"/>
      <c r="B43" s="1343"/>
      <c r="C43" s="1343"/>
      <c r="D43" s="1343"/>
      <c r="E43" s="1409" t="str">
        <v>Additional sludge treatment capacity at Whitlingham</v>
      </c>
      <c r="F43" s="1477" t="str">
        <v>PR19CMA_ANH-01</v>
      </c>
      <c r="G43" s="1409" t="str">
        <v>%</v>
      </c>
      <c r="H43" s="433"/>
      <c r="I43" s="433"/>
      <c r="J43" s="1413"/>
      <c r="K43" s="1413">
        <v>100</v>
      </c>
      <c r="L43" s="1413" t="str">
        <v/>
      </c>
      <c r="M43" s="1413" t="str">
        <v/>
      </c>
      <c r="N43" s="1413" t="str">
        <v>No</v>
      </c>
      <c r="O43" s="1410"/>
      <c r="P43" s="2350">
        <v>0</v>
      </c>
    </row>
    <row r="44" spans="1:16" ht="15">
      <c r="A44" s="1343"/>
      <c r="B44" s="1343"/>
      <c r="C44" s="1343"/>
      <c r="D44" s="1343"/>
      <c r="E44" s="1409" t="str">
        <v/>
      </c>
      <c r="F44" s="1477" t="str">
        <v/>
      </c>
      <c r="G44" s="1409" t="str">
        <v/>
      </c>
      <c r="H44" s="433"/>
      <c r="I44" s="433"/>
      <c r="J44" s="1413"/>
      <c r="K44" s="1413" t="str">
        <v/>
      </c>
      <c r="L44" s="1413" t="str">
        <v/>
      </c>
      <c r="M44" s="1413" t="str">
        <v/>
      </c>
      <c r="N44" s="1413" t="str">
        <v>No</v>
      </c>
      <c r="O44" s="1410"/>
      <c r="P44" s="2350">
        <v>0</v>
      </c>
    </row>
    <row r="45" spans="1:16" ht="15">
      <c r="A45" s="1343"/>
      <c r="B45" s="1343"/>
      <c r="C45" s="1343"/>
      <c r="D45" s="1343"/>
      <c r="E45" s="1409" t="str">
        <v/>
      </c>
      <c r="F45" s="1477" t="str">
        <v/>
      </c>
      <c r="G45" s="1409" t="str">
        <v/>
      </c>
      <c r="H45" s="433"/>
      <c r="I45" s="433"/>
      <c r="J45" s="1413"/>
      <c r="K45" s="1413" t="str">
        <v/>
      </c>
      <c r="L45" s="1413" t="str">
        <v/>
      </c>
      <c r="M45" s="1413" t="str">
        <v/>
      </c>
      <c r="N45" s="1413" t="str">
        <v>No</v>
      </c>
      <c r="O45" s="1410"/>
      <c r="P45" s="2350">
        <v>0</v>
      </c>
    </row>
    <row r="46" spans="1:16" ht="15">
      <c r="A46" s="1343"/>
      <c r="B46" s="1343"/>
      <c r="C46" s="1343"/>
      <c r="D46" s="1343"/>
      <c r="E46" s="1409" t="str">
        <v/>
      </c>
      <c r="F46" s="1477" t="str">
        <v/>
      </c>
      <c r="G46" s="1409" t="str">
        <v/>
      </c>
      <c r="H46" s="433"/>
      <c r="I46" s="433"/>
      <c r="J46" s="1413"/>
      <c r="K46" s="1413" t="str">
        <v/>
      </c>
      <c r="L46" s="1413" t="str">
        <v/>
      </c>
      <c r="M46" s="1413" t="str">
        <v/>
      </c>
      <c r="N46" s="1413" t="str">
        <v>No</v>
      </c>
      <c r="O46" s="1410"/>
      <c r="P46" s="2350">
        <v>0</v>
      </c>
    </row>
    <row r="47" spans="1:16" ht="15">
      <c r="A47" s="1343"/>
      <c r="B47" s="1343"/>
      <c r="C47" s="1343"/>
      <c r="D47" s="1343"/>
      <c r="E47" s="1409" t="str">
        <v/>
      </c>
      <c r="F47" s="1477" t="str">
        <v/>
      </c>
      <c r="G47" s="1409" t="str">
        <v/>
      </c>
      <c r="H47" s="433"/>
      <c r="I47" s="433"/>
      <c r="J47" s="1413"/>
      <c r="K47" s="1414" t="str">
        <v/>
      </c>
      <c r="L47" s="1414" t="str">
        <v/>
      </c>
      <c r="M47" s="1414" t="str">
        <v/>
      </c>
      <c r="N47" s="1414" t="str">
        <v>No</v>
      </c>
      <c r="O47" s="1410"/>
      <c r="P47" s="1473">
        <v>0</v>
      </c>
    </row>
    <row r="48" spans="1:16" ht="15">
      <c r="A48" s="1343"/>
      <c r="B48" s="1343"/>
      <c r="C48" s="1343"/>
      <c r="D48" s="1343"/>
      <c r="E48" s="1409" t="str">
        <v/>
      </c>
      <c r="F48" s="1477" t="str">
        <v/>
      </c>
      <c r="G48" s="1409" t="str">
        <v/>
      </c>
      <c r="H48" s="433"/>
      <c r="I48" s="433"/>
      <c r="J48" s="1413"/>
      <c r="K48" s="1414" t="str">
        <v/>
      </c>
      <c r="L48" s="1414" t="str">
        <v/>
      </c>
      <c r="M48" s="1414" t="str">
        <v/>
      </c>
      <c r="N48" s="1414" t="str">
        <v>No</v>
      </c>
      <c r="O48" s="1410"/>
      <c r="P48" s="1473">
        <v>0</v>
      </c>
    </row>
    <row r="49" spans="1:16" ht="15">
      <c r="A49" s="1343"/>
      <c r="B49" s="1343"/>
      <c r="C49" s="1343"/>
      <c r="D49" s="1343"/>
      <c r="E49" s="1409" t="str">
        <v/>
      </c>
      <c r="F49" s="1477" t="str">
        <v/>
      </c>
      <c r="G49" s="1409" t="str">
        <v/>
      </c>
      <c r="H49" s="433"/>
      <c r="I49" s="433"/>
      <c r="J49" s="1413"/>
      <c r="K49" s="1413" t="str">
        <v/>
      </c>
      <c r="L49" s="1413" t="str">
        <v/>
      </c>
      <c r="M49" s="1413" t="str">
        <v/>
      </c>
      <c r="N49" s="1413" t="str">
        <v>No</v>
      </c>
      <c r="O49" s="1410"/>
      <c r="P49" s="2350">
        <v>0</v>
      </c>
    </row>
    <row r="50" spans="1:16" ht="15">
      <c r="A50" s="1343"/>
      <c r="B50" s="1343"/>
      <c r="C50" s="1343"/>
      <c r="D50" s="1343"/>
      <c r="E50" s="1409" t="str">
        <v/>
      </c>
      <c r="F50" s="1477" t="str">
        <v/>
      </c>
      <c r="G50" s="1409" t="str">
        <v/>
      </c>
      <c r="H50" s="433"/>
      <c r="I50" s="433"/>
      <c r="J50" s="1413"/>
      <c r="K50" s="1413" t="str">
        <v/>
      </c>
      <c r="L50" s="1413" t="str">
        <v/>
      </c>
      <c r="M50" s="1413" t="str">
        <v/>
      </c>
      <c r="N50" s="1413" t="str">
        <v>No</v>
      </c>
      <c r="O50" s="1410"/>
      <c r="P50" s="2350">
        <v>0</v>
      </c>
    </row>
    <row r="51" spans="1:16" ht="15">
      <c r="A51" s="1343"/>
      <c r="B51" s="1343"/>
      <c r="C51" s="1343"/>
      <c r="D51" s="1343"/>
      <c r="E51" s="1409" t="str">
        <v/>
      </c>
      <c r="F51" s="1477" t="str">
        <v/>
      </c>
      <c r="G51" s="1409" t="str">
        <v/>
      </c>
      <c r="H51" s="433"/>
      <c r="I51" s="433"/>
      <c r="J51" s="1413"/>
      <c r="K51" s="1413" t="str">
        <v/>
      </c>
      <c r="L51" s="1413" t="str">
        <v/>
      </c>
      <c r="M51" s="1413" t="str">
        <v/>
      </c>
      <c r="N51" s="1413" t="str">
        <v>No</v>
      </c>
      <c r="O51" s="1410"/>
      <c r="P51" s="2350">
        <v>0</v>
      </c>
    </row>
    <row r="52" spans="1:16" ht="15">
      <c r="A52" s="1343"/>
      <c r="B52" s="1343"/>
      <c r="C52" s="1343"/>
      <c r="D52" s="1343"/>
      <c r="E52" s="1409" t="str">
        <v/>
      </c>
      <c r="F52" s="1477" t="str">
        <v/>
      </c>
      <c r="G52" s="1409" t="str">
        <v/>
      </c>
      <c r="H52" s="433"/>
      <c r="I52" s="433"/>
      <c r="J52" s="1413"/>
      <c r="K52" s="1413" t="str">
        <v/>
      </c>
      <c r="L52" s="1413" t="str">
        <v/>
      </c>
      <c r="M52" s="1413" t="str">
        <v/>
      </c>
      <c r="N52" s="1413" t="str">
        <v>No</v>
      </c>
      <c r="O52" s="1410"/>
      <c r="P52" s="2350">
        <v>0</v>
      </c>
    </row>
    <row r="53" spans="1:16" ht="15">
      <c r="A53" s="1343"/>
      <c r="B53" s="1343"/>
      <c r="C53" s="1343"/>
      <c r="D53" s="1343"/>
      <c r="E53" s="1329"/>
      <c r="F53" s="1343"/>
      <c r="G53" s="1329"/>
      <c r="H53" s="1343"/>
      <c r="I53" s="1343"/>
      <c r="J53" s="1343"/>
      <c r="K53" s="1346"/>
      <c r="L53" s="165"/>
      <c r="M53" s="165"/>
      <c r="N53" s="165"/>
      <c r="O53" s="165"/>
      <c r="P53" s="165"/>
    </row>
    <row r="54" spans="1:16" ht="20.25">
      <c r="A54" s="417" t="s">
        <v>1082</v>
      </c>
      <c r="B54" s="178"/>
      <c r="C54" s="179"/>
      <c r="D54" s="180"/>
      <c r="E54" s="181"/>
      <c r="F54" s="181"/>
      <c r="G54" s="181"/>
      <c r="H54" s="181"/>
      <c r="I54" s="181"/>
      <c r="J54" s="181"/>
      <c r="K54" s="181"/>
      <c r="L54" s="181"/>
      <c r="M54" s="181"/>
      <c r="N54" s="181"/>
      <c r="O54" s="181"/>
      <c r="P54" s="181"/>
    </row>
  </sheetData>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625" defaultRowHeight="12.75"/>
  <cols>
    <col min="1" max="4" width="1.625" style="200" customWidth="1"/>
    <col min="5" max="5" width="71" style="200" customWidth="1"/>
    <col min="6" max="8" width="15.625" style="200" customWidth="1"/>
    <col min="9" max="9" width="2.625" style="200" customWidth="1"/>
    <col min="10" max="16384" width="8.625" style="200"/>
  </cols>
  <sheetData>
    <row r="1" spans="1:13" s="239" customFormat="1" ht="44.25">
      <c r="A1" s="657" t="e">
        <f ca="1" xml:space="preserve"> RIGHT(CELL("filename", $A$1), LEN(CELL("filename", $A$1)) - SEARCH("]", CELL("filename", $A$1)))</f>
        <v>#VALUE!</v>
      </c>
      <c r="B1" s="236"/>
      <c r="C1" s="236"/>
      <c r="D1" s="237"/>
      <c r="E1" s="238"/>
      <c r="F1" s="238"/>
      <c r="G1" s="238"/>
      <c r="H1" s="643" t="str">
        <f>InpCompany!F5</f>
        <v>Anglian Water</v>
      </c>
      <c r="I1" s="238"/>
      <c r="J1" s="612" t="str">
        <f>VLOOKUP($H$1,Validation!$B$5:$C$22,2,0)</f>
        <v>ANH</v>
      </c>
      <c r="K1" s="238"/>
      <c r="L1" s="238"/>
      <c r="M1" s="238"/>
    </row>
    <row r="2" spans="1:13" s="195" customFormat="1">
      <c r="A2" s="431"/>
      <c r="B2" s="431"/>
      <c r="C2" s="431"/>
      <c r="D2" s="431"/>
      <c r="E2" s="431"/>
      <c r="F2" s="440" t="s">
        <v>1938</v>
      </c>
      <c r="G2" s="440" t="s">
        <v>155</v>
      </c>
      <c r="H2" s="440" t="s">
        <v>1299</v>
      </c>
      <c r="I2" s="431"/>
      <c r="J2" s="1885" t="s">
        <v>1830</v>
      </c>
      <c r="K2" s="1885" t="s">
        <v>1840</v>
      </c>
      <c r="L2" s="1885" t="s">
        <v>1847</v>
      </c>
      <c r="M2" s="1885" t="s">
        <v>1853</v>
      </c>
    </row>
    <row r="3" spans="1:13" s="199" customFormat="1">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c r="A4" s="433"/>
      <c r="B4" s="659" t="s">
        <v>4882</v>
      </c>
      <c r="C4" s="433"/>
      <c r="D4" s="433"/>
      <c r="E4" s="433"/>
      <c r="F4" s="433"/>
      <c r="G4" s="433"/>
      <c r="H4" s="433"/>
      <c r="I4" s="433"/>
      <c r="J4" s="433"/>
      <c r="K4" s="433"/>
      <c r="L4" s="433"/>
      <c r="M4" s="433"/>
    </row>
    <row r="5" spans="1:13">
      <c r="A5" s="433"/>
      <c r="B5" s="433"/>
      <c r="C5" s="433"/>
      <c r="D5" s="433"/>
      <c r="E5" s="433"/>
      <c r="F5" s="433"/>
      <c r="G5" s="433"/>
      <c r="H5" s="433"/>
      <c r="I5" s="433"/>
    </row>
    <row r="6" spans="1:13">
      <c r="A6" s="433"/>
      <c r="B6" s="433"/>
      <c r="C6" s="438" t="s">
        <v>4883</v>
      </c>
      <c r="D6" s="433"/>
      <c r="E6" s="433"/>
      <c r="F6" s="433"/>
      <c r="G6" s="433"/>
      <c r="H6" s="433"/>
      <c r="I6" s="433"/>
    </row>
    <row r="7" spans="1:13">
      <c r="A7" s="433"/>
      <c r="B7" s="433"/>
      <c r="C7" s="433"/>
      <c r="D7" s="433"/>
      <c r="E7" s="627" t="str">
        <f>'Aggregate calculations'!E26</f>
        <v>Revenue adjustments - Net ODI payments (to be applied in-period) - Water resources</v>
      </c>
      <c r="F7" s="627">
        <f>'Aggregate calculations'!F26</f>
        <v>-8.7999999999999995E-2</v>
      </c>
      <c r="G7" s="627" t="str">
        <f>'Aggregate calculations'!G26</f>
        <v>£m (2017-18 prices)</v>
      </c>
      <c r="H7" s="627"/>
      <c r="I7" s="433"/>
    </row>
    <row r="8" spans="1:13">
      <c r="A8" s="433"/>
      <c r="B8" s="433"/>
      <c r="C8" s="433"/>
      <c r="D8" s="433"/>
      <c r="E8" s="627" t="str">
        <f>'Aggregate calculations'!E27</f>
        <v>Revenue adjustments - Net ODI payments (to be applied in-period) - Water network plus</v>
      </c>
      <c r="F8" s="627">
        <f>'Aggregate calculations'!F27</f>
        <v>-19.796139131553161</v>
      </c>
      <c r="G8" s="627" t="str">
        <f>'Aggregate calculations'!G27</f>
        <v>£m (2017-18 prices)</v>
      </c>
      <c r="H8" s="627"/>
      <c r="I8" s="433"/>
      <c r="J8" s="433"/>
      <c r="K8" s="433"/>
      <c r="L8" s="433"/>
      <c r="M8" s="433"/>
    </row>
    <row r="9" spans="1:13">
      <c r="A9" s="433"/>
      <c r="B9" s="433"/>
      <c r="C9" s="433"/>
      <c r="D9" s="433"/>
      <c r="E9" s="627" t="str">
        <f>'Aggregate calculations'!E28</f>
        <v>Revenue adjustments - Net ODI payments (to be applied in-period) - Wastewater network plus</v>
      </c>
      <c r="F9" s="627">
        <f>'Aggregate calculations'!F28</f>
        <v>-15.784236999999999</v>
      </c>
      <c r="G9" s="627" t="str">
        <f>'Aggregate calculations'!G28</f>
        <v>£m (2017-18 prices)</v>
      </c>
      <c r="H9" s="627"/>
      <c r="I9" s="433"/>
      <c r="J9" s="433"/>
      <c r="K9" s="433"/>
      <c r="L9" s="433"/>
      <c r="M9" s="433"/>
    </row>
    <row r="10" spans="1: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c r="A11" s="433"/>
      <c r="B11" s="433"/>
      <c r="C11" s="433"/>
      <c r="D11" s="433"/>
      <c r="E11" s="627" t="str">
        <f>'Aggregate calculations'!E30</f>
        <v>Revenue adjustments - Net ODI payments (to be applied in-period) - Residential retail</v>
      </c>
      <c r="F11" s="627">
        <f>'Aggregate calculations'!F30</f>
        <v>0.89604000000000006</v>
      </c>
      <c r="G11" s="627" t="str">
        <f>'Aggregate calculations'!G30</f>
        <v>£m (2017-18 prices)</v>
      </c>
      <c r="H11" s="627"/>
      <c r="I11" s="433"/>
      <c r="J11" s="433"/>
      <c r="K11" s="433"/>
      <c r="L11" s="433"/>
      <c r="M11" s="433"/>
    </row>
    <row r="12" spans="1: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c r="A14" s="433"/>
      <c r="B14" s="433"/>
      <c r="C14" s="433"/>
      <c r="D14" s="433"/>
      <c r="E14" s="627"/>
      <c r="F14" s="627"/>
      <c r="G14" s="627"/>
      <c r="H14" s="433"/>
      <c r="I14" s="433"/>
      <c r="J14" s="433"/>
      <c r="K14" s="433"/>
      <c r="L14" s="433"/>
      <c r="M14" s="433"/>
    </row>
    <row r="15" spans="1:13" s="199" customFormat="1">
      <c r="A15" s="614" t="str">
        <f>"Net ODI payments to be applied in 2024-25 for "&amp;'Validation summary'!$B$2&amp;" performance"</f>
        <v>Net ODI payments to be applied in 2024-25 for 2024-25 performance</v>
      </c>
      <c r="B15" s="615"/>
      <c r="C15" s="615"/>
      <c r="D15" s="616"/>
      <c r="E15" s="617"/>
      <c r="F15" s="617"/>
      <c r="G15" s="617"/>
      <c r="H15" s="618"/>
      <c r="I15" s="1927"/>
      <c r="J15" s="645"/>
      <c r="K15" s="617"/>
      <c r="L15" s="617"/>
      <c r="M15" s="617"/>
    </row>
    <row r="16" spans="1:13">
      <c r="A16" s="433"/>
      <c r="B16" s="659" t="s">
        <v>4884</v>
      </c>
      <c r="C16" s="433"/>
      <c r="D16" s="433"/>
      <c r="E16" s="433"/>
      <c r="F16" s="433"/>
      <c r="G16" s="433"/>
      <c r="H16" s="433"/>
      <c r="I16" s="433"/>
      <c r="J16" s="433"/>
      <c r="K16" s="433"/>
      <c r="L16" s="433"/>
      <c r="M16" s="433"/>
    </row>
    <row r="17" spans="1:13">
      <c r="A17" s="433"/>
      <c r="B17" s="433"/>
      <c r="C17" s="433"/>
      <c r="D17" s="433"/>
      <c r="E17" s="433"/>
      <c r="F17" s="433"/>
      <c r="G17" s="433"/>
      <c r="H17" s="433"/>
      <c r="I17" s="433"/>
      <c r="J17" s="435"/>
      <c r="K17" s="435"/>
      <c r="L17" s="435"/>
      <c r="M17" s="435"/>
    </row>
    <row r="18" spans="1:13">
      <c r="A18" s="433"/>
      <c r="B18" s="433"/>
      <c r="C18" s="438" t="s">
        <v>4865</v>
      </c>
      <c r="D18" s="433"/>
      <c r="E18" s="433"/>
      <c r="F18" s="433"/>
      <c r="G18" s="433"/>
      <c r="H18" s="433"/>
      <c r="I18" s="433"/>
    </row>
    <row r="19" spans="1:13">
      <c r="A19" s="433"/>
      <c r="B19" s="433"/>
      <c r="C19" s="433"/>
      <c r="D19" s="433"/>
      <c r="E19" s="1928"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c r="A20" s="433"/>
      <c r="B20" s="433"/>
      <c r="C20" s="433"/>
      <c r="D20" s="433"/>
      <c r="E20" s="627" t="str">
        <f>'Aggregate calculations'!E117</f>
        <v>Revenue adjustments - Net ODI payments (to be applied end of period) - Water network plus</v>
      </c>
      <c r="F20" s="627">
        <f>'Aggregate calculations'!F117</f>
        <v>-0.48620000000000019</v>
      </c>
      <c r="G20" s="627" t="str">
        <f>'Aggregate calculations'!G117</f>
        <v>£m (2017-18 prices)</v>
      </c>
      <c r="H20" s="627"/>
      <c r="I20" s="433"/>
    </row>
    <row r="21" spans="1:13">
      <c r="A21" s="433"/>
      <c r="B21" s="433"/>
      <c r="C21" s="433"/>
      <c r="D21" s="433"/>
      <c r="E21" s="627" t="str">
        <f>'Aggregate calculations'!E118</f>
        <v>Revenue adjustments - Net ODI payments (to be applied end of period) - Wastewater network plus</v>
      </c>
      <c r="F21" s="627">
        <f>'Aggregate calculations'!F118</f>
        <v>-1.1240000000000006</v>
      </c>
      <c r="G21" s="627" t="str">
        <f>'Aggregate calculations'!G118</f>
        <v>£m (2017-18 prices)</v>
      </c>
      <c r="H21" s="627"/>
      <c r="I21" s="433"/>
    </row>
    <row r="22" spans="1: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c r="A26" s="433"/>
      <c r="B26" s="433"/>
      <c r="C26" s="433"/>
      <c r="D26" s="433"/>
      <c r="E26" s="433"/>
      <c r="F26" s="433"/>
      <c r="G26" s="433"/>
      <c r="H26" s="433"/>
      <c r="I26" s="433"/>
    </row>
    <row r="27" spans="1:13">
      <c r="A27" s="433"/>
      <c r="B27" s="433"/>
      <c r="C27" s="438" t="s">
        <v>4866</v>
      </c>
      <c r="D27" s="433"/>
      <c r="E27" s="433"/>
      <c r="F27" s="433"/>
      <c r="G27" s="433"/>
      <c r="H27" s="433"/>
      <c r="I27" s="433"/>
    </row>
    <row r="28" spans="1: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c r="A35" s="433"/>
      <c r="B35" s="433"/>
      <c r="C35" s="433"/>
      <c r="D35" s="433"/>
      <c r="E35" s="433"/>
      <c r="F35" s="433"/>
      <c r="G35" s="433"/>
      <c r="H35" s="433"/>
      <c r="I35" s="433"/>
      <c r="J35" s="433"/>
      <c r="K35" s="433"/>
      <c r="L35" s="433"/>
      <c r="M35" s="433"/>
    </row>
    <row r="36" spans="1:13">
      <c r="A36" s="614" t="s">
        <v>4885</v>
      </c>
      <c r="B36" s="615"/>
      <c r="C36" s="615"/>
      <c r="D36" s="616"/>
      <c r="E36" s="617"/>
      <c r="F36" s="617"/>
      <c r="G36" s="617"/>
      <c r="H36" s="618"/>
      <c r="I36" s="1927"/>
      <c r="J36" s="645"/>
      <c r="K36" s="617"/>
      <c r="L36" s="617"/>
      <c r="M36" s="617"/>
    </row>
    <row r="37" spans="1:13">
      <c r="A37" s="433"/>
      <c r="B37" s="659" t="s">
        <v>4886</v>
      </c>
      <c r="C37" s="433"/>
      <c r="D37" s="433"/>
      <c r="E37" s="433"/>
      <c r="F37" s="433"/>
      <c r="G37" s="433"/>
      <c r="H37" s="433"/>
      <c r="I37" s="433"/>
      <c r="J37" s="433"/>
      <c r="K37" s="433"/>
      <c r="L37" s="433"/>
      <c r="M37" s="433"/>
    </row>
    <row r="38" spans="1:13">
      <c r="A38" s="433"/>
      <c r="B38" s="433"/>
      <c r="C38" s="433"/>
      <c r="D38" s="433"/>
      <c r="E38" s="433"/>
      <c r="F38" s="433"/>
      <c r="G38" s="433"/>
      <c r="H38" s="433"/>
      <c r="I38" s="433"/>
      <c r="J38" s="433"/>
      <c r="K38" s="433"/>
      <c r="L38" s="433"/>
      <c r="M38" s="433"/>
    </row>
    <row r="39" spans="1:13">
      <c r="A39" s="433"/>
      <c r="B39" s="433"/>
      <c r="C39" s="438" t="s">
        <v>4865</v>
      </c>
      <c r="D39" s="433"/>
      <c r="E39" s="433"/>
      <c r="F39" s="433"/>
      <c r="G39" s="433"/>
      <c r="H39" s="433"/>
    </row>
    <row r="40" spans="1:13">
      <c r="A40" s="433"/>
      <c r="B40" s="433"/>
      <c r="C40" s="433"/>
      <c r="D40" s="433"/>
      <c r="E40" s="639" t="str">
        <f>E7</f>
        <v>Revenue adjustments - Net ODI payments (to be applied in-period) - Water resources</v>
      </c>
      <c r="F40" s="639">
        <f>F7</f>
        <v>-8.7999999999999995E-2</v>
      </c>
      <c r="G40" s="639" t="str">
        <f>G7</f>
        <v>£m (2017-18 prices)</v>
      </c>
      <c r="H40" s="433"/>
    </row>
    <row r="41" spans="1:13">
      <c r="A41" s="433"/>
      <c r="B41" s="433"/>
      <c r="C41" s="433"/>
      <c r="D41" s="433"/>
      <c r="E41" s="639" t="str">
        <f t="shared" ref="E41:F46" si="0">E8</f>
        <v>Revenue adjustments - Net ODI payments (to be applied in-period) - Water network plus</v>
      </c>
      <c r="F41" s="639">
        <f t="shared" si="0"/>
        <v>-19.796139131553161</v>
      </c>
      <c r="G41" s="639" t="str">
        <f t="shared" ref="G41:G46" si="1">G8</f>
        <v>£m (2017-18 prices)</v>
      </c>
      <c r="H41" s="433"/>
    </row>
    <row r="42" spans="1:13">
      <c r="A42" s="433"/>
      <c r="B42" s="433"/>
      <c r="C42" s="433"/>
      <c r="D42" s="433"/>
      <c r="E42" s="639" t="str">
        <f t="shared" si="0"/>
        <v>Revenue adjustments - Net ODI payments (to be applied in-period) - Wastewater network plus</v>
      </c>
      <c r="F42" s="639">
        <f t="shared" si="0"/>
        <v>-15.784236999999999</v>
      </c>
      <c r="G42" s="639" t="str">
        <f t="shared" si="1"/>
        <v>£m (2017-18 prices)</v>
      </c>
      <c r="H42" s="433"/>
    </row>
    <row r="43" spans="1: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c r="A44" s="433"/>
      <c r="B44" s="433"/>
      <c r="C44" s="433"/>
      <c r="D44" s="433"/>
      <c r="E44" s="639" t="str">
        <f t="shared" si="0"/>
        <v>Revenue adjustments - Net ODI payments (to be applied in-period) - Residential retail</v>
      </c>
      <c r="F44" s="639">
        <f t="shared" si="0"/>
        <v>0.89604000000000006</v>
      </c>
      <c r="G44" s="639" t="str">
        <f t="shared" si="1"/>
        <v>£m (2017-18 prices)</v>
      </c>
      <c r="H44" s="433"/>
    </row>
    <row r="45" spans="1: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c r="A46" s="433"/>
      <c r="B46" s="433"/>
      <c r="C46" s="433"/>
      <c r="D46" s="433"/>
      <c r="E46" s="639" t="str">
        <f t="shared" si="0"/>
        <v>Revenue adjustments - Net ODI payments (to be applied in-period) - Dummy control</v>
      </c>
      <c r="F46" s="639">
        <f t="shared" si="0"/>
        <v>0</v>
      </c>
      <c r="G46" s="639" t="str">
        <f t="shared" si="1"/>
        <v>£m (2017-18 prices)</v>
      </c>
      <c r="H46" s="433"/>
    </row>
    <row r="47" spans="1:13">
      <c r="A47" s="433"/>
      <c r="B47" s="433"/>
      <c r="C47" s="433"/>
      <c r="D47" s="433"/>
      <c r="E47" s="433"/>
      <c r="F47" s="433"/>
      <c r="G47" s="433"/>
      <c r="H47" s="433"/>
      <c r="I47" s="433"/>
      <c r="J47" s="433"/>
      <c r="K47" s="433"/>
      <c r="L47" s="433"/>
      <c r="M47" s="433"/>
    </row>
    <row r="48" spans="1:13">
      <c r="A48" s="433"/>
      <c r="B48" s="433"/>
      <c r="C48" s="2023" t="s">
        <v>4887</v>
      </c>
      <c r="D48" s="1357"/>
      <c r="E48" s="1357"/>
      <c r="F48" s="433"/>
      <c r="G48" s="433"/>
      <c r="H48" s="433"/>
      <c r="I48" s="438" t="s">
        <v>4888</v>
      </c>
      <c r="J48" s="433"/>
      <c r="K48" s="433"/>
      <c r="L48" s="433"/>
      <c r="M48" s="433"/>
    </row>
    <row r="49" spans="1:13">
      <c r="A49" s="433"/>
      <c r="B49" s="433"/>
      <c r="C49" s="433"/>
      <c r="D49" s="433"/>
      <c r="E49" s="1930"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c r="A50" s="433"/>
      <c r="B50" s="433"/>
      <c r="C50" s="433"/>
      <c r="D50" s="433"/>
      <c r="E50" s="1930" t="str">
        <f t="shared" ref="E50:E55" si="2">E20</f>
        <v>Revenue adjustments - Net ODI payments (to be applied end of period) - Water network plus</v>
      </c>
      <c r="F50" s="639">
        <f>IF('Validation summary'!$B$2="2024-25",($F20+SUM($J50:$M50)),$F20)</f>
        <v>-0.48620000000000019</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c r="A51" s="433"/>
      <c r="B51" s="433"/>
      <c r="C51" s="433"/>
      <c r="D51" s="433"/>
      <c r="E51" s="1930" t="str">
        <f t="shared" si="2"/>
        <v>Revenue adjustments - Net ODI payments (to be applied end of period) - Wastewater network plus</v>
      </c>
      <c r="F51" s="639">
        <f>IF('Validation summary'!$B$2="2024-25",($F21+SUM($J51:$M51)),$F21)</f>
        <v>-1.1240000000000006</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c r="A52" s="433"/>
      <c r="B52" s="433"/>
      <c r="C52" s="433"/>
      <c r="D52" s="433"/>
      <c r="E52" s="1930"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c r="A53" s="433"/>
      <c r="B53" s="433"/>
      <c r="C53" s="433"/>
      <c r="D53" s="433"/>
      <c r="E53" s="1930"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c r="A54" s="433"/>
      <c r="B54" s="433"/>
      <c r="C54" s="433"/>
      <c r="D54" s="433"/>
      <c r="E54" s="1930"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c r="A55" s="433"/>
      <c r="B55" s="433"/>
      <c r="C55" s="433"/>
      <c r="D55" s="433"/>
      <c r="E55" s="1930"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c r="A56" s="433"/>
      <c r="B56" s="433"/>
      <c r="C56" s="433"/>
      <c r="D56" s="433"/>
      <c r="E56" s="433"/>
      <c r="F56" s="433"/>
      <c r="G56" s="433"/>
      <c r="H56" s="433"/>
      <c r="I56" s="433"/>
      <c r="J56" s="433"/>
      <c r="K56" s="433"/>
      <c r="L56" s="433"/>
      <c r="M56" s="433"/>
    </row>
    <row r="57" spans="1:13">
      <c r="A57" s="433"/>
      <c r="B57" s="433"/>
      <c r="C57" s="438" t="s">
        <v>4889</v>
      </c>
      <c r="D57" s="433"/>
      <c r="E57" s="433"/>
      <c r="F57" s="433"/>
      <c r="G57" s="433"/>
      <c r="H57" s="433"/>
      <c r="I57" s="438" t="s">
        <v>4890</v>
      </c>
      <c r="J57" s="433"/>
      <c r="K57" s="433"/>
      <c r="L57" s="433"/>
      <c r="M57" s="433"/>
    </row>
    <row r="58" spans="1:13">
      <c r="A58" s="433"/>
      <c r="B58" s="433"/>
      <c r="C58" s="433"/>
      <c r="D58" s="433"/>
      <c r="E58" s="1930"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28">
        <f>SUMIFS('Accrued ODI payments'!F$58:F$444,'Accrued ODI payments'!$C$58:$C$444,$E58,'Accrued ODI payments'!$B$58:$B$444,$J$1)</f>
        <v>0</v>
      </c>
      <c r="K58" s="1928">
        <f>SUMIFS('Accrued ODI payments'!G$58:G$444,'Accrued ODI payments'!$C$58:$C$444,$E58,'Accrued ODI payments'!$B$58:$B$444,$J$1)</f>
        <v>0</v>
      </c>
      <c r="L58" s="1928">
        <f>SUMIFS('Accrued ODI payments'!H$58:H$444,'Accrued ODI payments'!$C$58:$C$444,$E58,'Accrued ODI payments'!$B$58:$B$444,$J$1)</f>
        <v>0</v>
      </c>
      <c r="M58" s="1928">
        <f>SUMIFS('Accrued ODI payments'!I$58:I$444,'Accrued ODI payments'!$C$58:$C$444,$E58,'Accrued ODI payments'!$B$58:$B$444,$J$1)</f>
        <v>0</v>
      </c>
    </row>
    <row r="59" spans="1:13">
      <c r="A59" s="433"/>
      <c r="B59" s="433"/>
      <c r="C59" s="433"/>
      <c r="D59" s="433"/>
      <c r="E59" s="1930" t="str">
        <f t="shared" si="4"/>
        <v>RCV adjustments - Net ODI adjustments (to be applied end of period) - Water network plus</v>
      </c>
      <c r="F59" s="639">
        <f>IF('Validation summary'!$B$2="2024-25",($F29+SUM($J59:$M59)),$F29)</f>
        <v>0</v>
      </c>
      <c r="G59" s="639" t="str">
        <f t="shared" si="5"/>
        <v>£m (2017-18 prices)</v>
      </c>
      <c r="H59" s="433"/>
      <c r="I59" s="433"/>
      <c r="J59" s="1928">
        <f>SUMIFS('Accrued ODI payments'!F$58:F$444,'Accrued ODI payments'!$C$58:$C$444,$E59,'Accrued ODI payments'!$B$58:$B$444,$J$1)</f>
        <v>0</v>
      </c>
      <c r="K59" s="1928">
        <f>SUMIFS('Accrued ODI payments'!G$58:G$444,'Accrued ODI payments'!$C$58:$C$444,$E59,'Accrued ODI payments'!$B$58:$B$444,$J$1)</f>
        <v>0</v>
      </c>
      <c r="L59" s="1928">
        <f>SUMIFS('Accrued ODI payments'!H$58:H$444,'Accrued ODI payments'!$C$58:$C$444,$E59,'Accrued ODI payments'!$B$58:$B$444,$J$1)</f>
        <v>0</v>
      </c>
      <c r="M59" s="1928">
        <f>SUMIFS('Accrued ODI payments'!I$58:I$444,'Accrued ODI payments'!$C$58:$C$444,$E59,'Accrued ODI payments'!$B$58:$B$444,$J$1)</f>
        <v>0</v>
      </c>
    </row>
    <row r="60" spans="1:13">
      <c r="A60" s="433"/>
      <c r="B60" s="433"/>
      <c r="C60" s="433"/>
      <c r="D60" s="433"/>
      <c r="E60" s="1930" t="str">
        <f t="shared" si="4"/>
        <v>RCV adjustments - Net ODI adjustments (to be applied end of period) - Wastewater network plus</v>
      </c>
      <c r="F60" s="639">
        <f>IF('Validation summary'!$B$2="2024-25",($F30+SUM($J60:$M60)),$F30)</f>
        <v>0</v>
      </c>
      <c r="G60" s="639" t="str">
        <f t="shared" si="5"/>
        <v>£m (2017-18 prices)</v>
      </c>
      <c r="H60" s="433"/>
      <c r="I60" s="433"/>
      <c r="J60" s="1928">
        <f>SUMIFS('Accrued ODI payments'!F$58:F$444,'Accrued ODI payments'!$C$58:$C$444,$E60,'Accrued ODI payments'!$B$58:$B$444,$J$1)</f>
        <v>0</v>
      </c>
      <c r="K60" s="1928">
        <f>SUMIFS('Accrued ODI payments'!G$58:G$444,'Accrued ODI payments'!$C$58:$C$444,$E60,'Accrued ODI payments'!$B$58:$B$444,$J$1)</f>
        <v>0</v>
      </c>
      <c r="L60" s="1928">
        <f>SUMIFS('Accrued ODI payments'!H$58:H$444,'Accrued ODI payments'!$C$58:$C$444,$E60,'Accrued ODI payments'!$B$58:$B$444,$J$1)</f>
        <v>0</v>
      </c>
      <c r="M60" s="1928">
        <f>SUMIFS('Accrued ODI payments'!I$58:I$444,'Accrued ODI payments'!$C$58:$C$444,$E60,'Accrued ODI payments'!$B$58:$B$444,$J$1)</f>
        <v>0</v>
      </c>
    </row>
    <row r="61" spans="1:13">
      <c r="A61" s="433"/>
      <c r="B61" s="433"/>
      <c r="C61" s="433"/>
      <c r="D61" s="433"/>
      <c r="E61" s="1930" t="str">
        <f t="shared" si="4"/>
        <v>RCV adjustments - Net ODI adjustments (to be applied end of period) - Bioresources (sludge)</v>
      </c>
      <c r="F61" s="639">
        <f>IF('Validation summary'!$B$2="2024-25",($F31+SUM($J61:$M61)),$F31)</f>
        <v>0</v>
      </c>
      <c r="G61" s="639" t="str">
        <f t="shared" si="5"/>
        <v>£m (2017-18 prices)</v>
      </c>
      <c r="H61" s="433"/>
      <c r="I61" s="433"/>
      <c r="J61" s="1928">
        <f>SUMIFS('Accrued ODI payments'!F$58:F$444,'Accrued ODI payments'!$C$58:$C$444,$E61,'Accrued ODI payments'!$B$58:$B$444,$J$1)</f>
        <v>0</v>
      </c>
      <c r="K61" s="1928">
        <f>SUMIFS('Accrued ODI payments'!G$58:G$444,'Accrued ODI payments'!$C$58:$C$444,$E61,'Accrued ODI payments'!$B$58:$B$444,$J$1)</f>
        <v>0</v>
      </c>
      <c r="L61" s="1928">
        <f>SUMIFS('Accrued ODI payments'!H$58:H$444,'Accrued ODI payments'!$C$58:$C$444,$E61,'Accrued ODI payments'!$B$58:$B$444,$J$1)</f>
        <v>0</v>
      </c>
      <c r="M61" s="1928">
        <f>SUMIFS('Accrued ODI payments'!I$58:I$444,'Accrued ODI payments'!$C$58:$C$444,$E61,'Accrued ODI payments'!$B$58:$B$444,$J$1)</f>
        <v>0</v>
      </c>
    </row>
    <row r="62" spans="1:13">
      <c r="A62" s="433"/>
      <c r="B62" s="433"/>
      <c r="C62" s="433"/>
      <c r="D62" s="433"/>
      <c r="E62" s="1930" t="str">
        <f t="shared" si="4"/>
        <v>RCV adjustments - Net ODI adjustments (to be applied end of period) - Residential retail</v>
      </c>
      <c r="F62" s="639">
        <f>IF('Validation summary'!$B$2="2024-25",($F32+SUM($J62:$M62)),$F32)</f>
        <v>0</v>
      </c>
      <c r="G62" s="639" t="str">
        <f t="shared" si="5"/>
        <v>£m (2017-18 prices)</v>
      </c>
      <c r="H62" s="433"/>
      <c r="I62" s="433"/>
      <c r="J62" s="1928">
        <f>SUMIFS('Accrued ODI payments'!F$58:F$444,'Accrued ODI payments'!$C$58:$C$444,$E62,'Accrued ODI payments'!$B$58:$B$444,$J$1)</f>
        <v>0</v>
      </c>
      <c r="K62" s="1928">
        <f>SUMIFS('Accrued ODI payments'!G$58:G$444,'Accrued ODI payments'!$C$58:$C$444,$E62,'Accrued ODI payments'!$B$58:$B$444,$J$1)</f>
        <v>0</v>
      </c>
      <c r="L62" s="1928">
        <f>SUMIFS('Accrued ODI payments'!H$58:H$444,'Accrued ODI payments'!$C$58:$C$444,$E62,'Accrued ODI payments'!$B$58:$B$444,$J$1)</f>
        <v>0</v>
      </c>
      <c r="M62" s="1928">
        <f>SUMIFS('Accrued ODI payments'!I$58:I$444,'Accrued ODI payments'!$C$58:$C$444,$E62,'Accrued ODI payments'!$B$58:$B$444,$J$1)</f>
        <v>0</v>
      </c>
    </row>
    <row r="63" spans="1:13">
      <c r="A63" s="433"/>
      <c r="B63" s="433"/>
      <c r="C63" s="433"/>
      <c r="D63" s="433"/>
      <c r="E63" s="1930" t="str">
        <f t="shared" si="4"/>
        <v>RCV adjustments - Net ODI adjustments (to be applied end of period) - Business retail</v>
      </c>
      <c r="F63" s="639">
        <f>IF('Validation summary'!$B$2="2024-25",($F33+SUM($J63:$M63)),$F33)</f>
        <v>0</v>
      </c>
      <c r="G63" s="639" t="str">
        <f t="shared" si="5"/>
        <v>£m (2017-18 prices)</v>
      </c>
      <c r="H63" s="433"/>
      <c r="I63" s="433"/>
      <c r="J63" s="1928">
        <f>SUMIFS('Accrued ODI payments'!F$58:F$444,'Accrued ODI payments'!$C$58:$C$444,$E63,'Accrued ODI payments'!$B$58:$B$444,$J$1)</f>
        <v>0</v>
      </c>
      <c r="K63" s="1928">
        <f>SUMIFS('Accrued ODI payments'!G$58:G$444,'Accrued ODI payments'!$C$58:$C$444,$E63,'Accrued ODI payments'!$B$58:$B$444,$J$1)</f>
        <v>0</v>
      </c>
      <c r="L63" s="1928">
        <f>SUMIFS('Accrued ODI payments'!H$58:H$444,'Accrued ODI payments'!$C$58:$C$444,$E63,'Accrued ODI payments'!$B$58:$B$444,$J$1)</f>
        <v>0</v>
      </c>
      <c r="M63" s="1928">
        <f>SUMIFS('Accrued ODI payments'!I$58:I$444,'Accrued ODI payments'!$C$58:$C$444,$E63,'Accrued ODI payments'!$B$58:$B$444,$J$1)</f>
        <v>0</v>
      </c>
    </row>
    <row r="64" spans="1:13">
      <c r="A64" s="433"/>
      <c r="B64" s="433"/>
      <c r="C64" s="433"/>
      <c r="D64" s="433"/>
      <c r="E64" s="1930" t="str">
        <f t="shared" si="4"/>
        <v>RCV adjustments - Net ODI adjustments (to be applied end of period) - Dummy control</v>
      </c>
      <c r="F64" s="639">
        <f>IF('Validation summary'!$B$2="2024-25",($F34+SUM($J64:$M64)),$F34)</f>
        <v>0</v>
      </c>
      <c r="G64" s="639" t="str">
        <f t="shared" si="5"/>
        <v>£m (2017-18 prices)</v>
      </c>
      <c r="H64" s="433"/>
      <c r="I64" s="433"/>
      <c r="J64" s="1928">
        <f>SUMIFS('Accrued ODI payments'!F$58:F$444,'Accrued ODI payments'!$C$58:$C$444,$E64,'Accrued ODI payments'!$B$58:$B$444,$J$1)</f>
        <v>0</v>
      </c>
      <c r="K64" s="1928">
        <f>SUMIFS('Accrued ODI payments'!G$58:G$444,'Accrued ODI payments'!$C$58:$C$444,$E64,'Accrued ODI payments'!$B$58:$B$444,$J$1)</f>
        <v>0</v>
      </c>
      <c r="L64" s="1928">
        <f>SUMIFS('Accrued ODI payments'!H$58:H$444,'Accrued ODI payments'!$C$58:$C$444,$E64,'Accrued ODI payments'!$B$58:$B$444,$J$1)</f>
        <v>0</v>
      </c>
      <c r="M64" s="1928">
        <f>SUMIFS('Accrued ODI payments'!I$58:I$444,'Accrued ODI payments'!$C$58:$C$444,$E64,'Accrued ODI payments'!$B$58:$B$444,$J$1)</f>
        <v>0</v>
      </c>
    </row>
    <row r="65" spans="1:13">
      <c r="A65" s="433"/>
      <c r="B65" s="433"/>
      <c r="C65" s="433"/>
      <c r="D65" s="433"/>
      <c r="E65" s="433"/>
      <c r="F65" s="433"/>
      <c r="G65" s="433"/>
      <c r="H65" s="433"/>
      <c r="I65" s="433"/>
      <c r="J65" s="433"/>
      <c r="K65" s="433"/>
      <c r="L65" s="433"/>
      <c r="M65" s="433"/>
    </row>
    <row r="66" spans="1:13">
      <c r="A66" s="614" t="s">
        <v>4891</v>
      </c>
      <c r="B66" s="615"/>
      <c r="C66" s="615"/>
      <c r="D66" s="616"/>
      <c r="E66" s="617"/>
      <c r="F66" s="617"/>
      <c r="G66" s="617"/>
      <c r="H66" s="618"/>
      <c r="I66" s="1927"/>
      <c r="J66" s="645"/>
      <c r="K66" s="617"/>
      <c r="L66" s="617"/>
      <c r="M66" s="617"/>
    </row>
    <row r="67" spans="1:13">
      <c r="A67" s="433"/>
      <c r="B67" s="659" t="s">
        <v>4892</v>
      </c>
      <c r="C67" s="433"/>
      <c r="D67" s="433"/>
      <c r="E67" s="433"/>
      <c r="F67" s="433"/>
      <c r="G67" s="433"/>
      <c r="H67" s="433"/>
      <c r="I67" s="433"/>
      <c r="J67" s="433"/>
      <c r="K67" s="433"/>
      <c r="L67" s="433"/>
      <c r="M67" s="433"/>
    </row>
    <row r="68" spans="1:13">
      <c r="A68" s="433"/>
      <c r="B68" s="433"/>
      <c r="C68" s="433"/>
      <c r="D68" s="433"/>
      <c r="E68" s="433"/>
      <c r="F68" s="433"/>
      <c r="G68" s="433"/>
      <c r="H68" s="433"/>
      <c r="I68" s="433"/>
      <c r="J68" s="433"/>
      <c r="K68" s="433"/>
      <c r="L68" s="433"/>
      <c r="M68" s="433"/>
    </row>
    <row r="69" spans="1:13">
      <c r="A69" s="433"/>
      <c r="B69" s="433"/>
      <c r="C69" s="1357" t="s">
        <v>4893</v>
      </c>
      <c r="D69" s="1357"/>
      <c r="E69" s="433"/>
      <c r="F69" s="1360">
        <f>SUM(F40:F46)</f>
        <v>-34.77233613155316</v>
      </c>
      <c r="G69" s="1357" t="s">
        <v>804</v>
      </c>
      <c r="H69" s="433"/>
      <c r="I69" s="433"/>
      <c r="J69" s="433"/>
      <c r="K69" s="433"/>
      <c r="L69" s="433"/>
      <c r="M69" s="433"/>
    </row>
    <row r="70" spans="1:13">
      <c r="A70" s="433"/>
      <c r="B70" s="433"/>
      <c r="C70" s="1357" t="s">
        <v>4894</v>
      </c>
      <c r="D70" s="1357"/>
      <c r="E70" s="433"/>
      <c r="F70" s="1360">
        <f>SUM(F49:F55)</f>
        <v>-1.6102000000000007</v>
      </c>
      <c r="G70" s="1357" t="s">
        <v>804</v>
      </c>
      <c r="H70" s="433"/>
      <c r="I70" s="433"/>
      <c r="J70" s="433"/>
      <c r="K70" s="433"/>
      <c r="L70" s="433"/>
      <c r="M70" s="433"/>
    </row>
    <row r="71" spans="1:13">
      <c r="A71" s="433"/>
      <c r="B71" s="433"/>
      <c r="C71" s="1357" t="s">
        <v>4895</v>
      </c>
      <c r="D71" s="1357"/>
      <c r="E71" s="433"/>
      <c r="F71" s="1360">
        <f>SUM(F58:F64)</f>
        <v>0</v>
      </c>
      <c r="G71" s="1357" t="s">
        <v>804</v>
      </c>
      <c r="H71" s="433"/>
      <c r="I71" s="433"/>
      <c r="J71" s="433"/>
      <c r="K71" s="433"/>
      <c r="L71" s="433"/>
      <c r="M71" s="433"/>
    </row>
    <row r="72" spans="1:13">
      <c r="A72" s="433"/>
      <c r="B72" s="433"/>
      <c r="C72" s="1357" t="s">
        <v>1299</v>
      </c>
      <c r="D72" s="1357"/>
      <c r="E72" s="433"/>
      <c r="F72" s="1360">
        <f>SUM(F69:F71)</f>
        <v>-36.382536131553159</v>
      </c>
      <c r="G72" s="1357" t="s">
        <v>804</v>
      </c>
      <c r="H72" s="433"/>
      <c r="I72" s="433"/>
      <c r="J72" s="433"/>
      <c r="K72" s="433"/>
      <c r="L72" s="433"/>
      <c r="M72" s="433"/>
    </row>
    <row r="73" spans="1:13">
      <c r="A73" s="433"/>
      <c r="B73" s="433"/>
      <c r="C73" s="1357"/>
      <c r="D73" s="1357"/>
      <c r="E73" s="433"/>
      <c r="F73" s="1357"/>
      <c r="G73" s="1357"/>
      <c r="H73" s="433"/>
      <c r="I73" s="433"/>
      <c r="J73" s="433"/>
      <c r="K73" s="433"/>
      <c r="L73" s="433"/>
      <c r="M73" s="433"/>
    </row>
    <row r="74" spans="1:13">
      <c r="A74" s="433"/>
      <c r="B74" s="433"/>
      <c r="C74" s="1357" t="s">
        <v>4896</v>
      </c>
      <c r="D74" s="1357"/>
      <c r="E74" s="433"/>
      <c r="F74" s="1360">
        <f>SUM('3A'!$H$9:$H$16,'3A'!$H$19:$H$38)</f>
        <v>-19.334819131553161</v>
      </c>
      <c r="G74" s="1357" t="s">
        <v>804</v>
      </c>
      <c r="H74" s="433"/>
      <c r="I74" s="433"/>
      <c r="J74" s="433"/>
      <c r="K74" s="433"/>
      <c r="L74" s="433"/>
      <c r="M74" s="433"/>
    </row>
    <row r="75" spans="1:13">
      <c r="A75" s="433"/>
      <c r="B75" s="433"/>
      <c r="C75" s="1357" t="s">
        <v>4897</v>
      </c>
      <c r="D75" s="1357"/>
      <c r="E75" s="433"/>
      <c r="F75" s="1360">
        <f>SUM('3B'!$H$9:$H$12,'3B'!$H$15:$H$28)</f>
        <v>-16.908237</v>
      </c>
      <c r="G75" s="1357" t="s">
        <v>804</v>
      </c>
      <c r="H75" s="433"/>
      <c r="I75" s="433"/>
      <c r="J75" s="433"/>
      <c r="K75" s="433"/>
      <c r="L75" s="433"/>
      <c r="M75" s="433"/>
    </row>
    <row r="76" spans="1:13">
      <c r="A76" s="433"/>
      <c r="B76" s="433"/>
      <c r="C76" s="1357" t="s">
        <v>4898</v>
      </c>
      <c r="D76" s="1357"/>
      <c r="E76" s="433"/>
      <c r="F76" s="1360">
        <f>IF('Validation summary'!$B$2="2024-25",SUM('Model outputs - Aggregate level'!$J$49:$M$55),0)</f>
        <v>0</v>
      </c>
      <c r="G76" s="1357" t="s">
        <v>804</v>
      </c>
      <c r="H76" s="433"/>
      <c r="I76" s="433"/>
      <c r="J76" s="433"/>
      <c r="K76" s="433"/>
      <c r="L76" s="433"/>
      <c r="M76" s="433"/>
    </row>
    <row r="77" spans="1:13">
      <c r="A77" s="433"/>
      <c r="B77" s="433"/>
      <c r="C77" s="1357" t="s">
        <v>4899</v>
      </c>
      <c r="D77" s="1357"/>
      <c r="E77" s="433"/>
      <c r="F77" s="1360">
        <f>IF('Validation summary'!$B$2="2024-25",SUM('Model outputs - Aggregate level'!$J$58:$M$64),0)</f>
        <v>0</v>
      </c>
      <c r="G77" s="1357" t="s">
        <v>804</v>
      </c>
      <c r="H77" s="433"/>
      <c r="I77" s="433"/>
      <c r="J77" s="433"/>
      <c r="K77" s="433"/>
      <c r="L77" s="433"/>
      <c r="M77" s="433"/>
    </row>
    <row r="78" spans="1:13">
      <c r="A78" s="433"/>
      <c r="B78" s="433"/>
      <c r="C78" s="1357" t="s">
        <v>1299</v>
      </c>
      <c r="D78" s="1357"/>
      <c r="E78" s="433"/>
      <c r="F78" s="1360">
        <f>SUM(F74:F77)</f>
        <v>-36.243056131553161</v>
      </c>
      <c r="G78" s="1357" t="s">
        <v>804</v>
      </c>
      <c r="H78" s="433"/>
      <c r="I78" s="433"/>
      <c r="J78" s="433"/>
      <c r="K78" s="433"/>
      <c r="L78" s="433"/>
      <c r="M78" s="433"/>
    </row>
    <row r="79" spans="1:13">
      <c r="A79" s="433"/>
      <c r="B79" s="433"/>
      <c r="C79" s="1357"/>
      <c r="D79" s="1357"/>
      <c r="E79" s="433"/>
      <c r="F79" s="1357"/>
      <c r="G79" s="1357"/>
      <c r="H79" s="433"/>
      <c r="I79" s="433"/>
      <c r="J79" s="433"/>
      <c r="K79" s="433"/>
      <c r="L79" s="433"/>
      <c r="M79" s="433"/>
    </row>
    <row r="80" spans="1:13">
      <c r="A80" s="433"/>
      <c r="B80" s="433"/>
      <c r="C80" s="1357" t="s">
        <v>4900</v>
      </c>
      <c r="D80" s="1357"/>
      <c r="E80" s="433"/>
      <c r="F80" s="1360">
        <f>F78-F72</f>
        <v>0.13947999999999894</v>
      </c>
      <c r="G80" s="1357" t="s">
        <v>804</v>
      </c>
      <c r="H80" s="433"/>
      <c r="I80" s="433"/>
      <c r="J80" s="433"/>
      <c r="K80" s="433"/>
      <c r="L80" s="433"/>
      <c r="M80" s="433"/>
    </row>
    <row r="81" spans="1:13">
      <c r="A81" s="433"/>
      <c r="B81" s="433"/>
      <c r="C81" s="433"/>
      <c r="D81" s="433"/>
      <c r="E81" s="433"/>
      <c r="F81" s="433"/>
      <c r="G81" s="433"/>
      <c r="H81" s="433"/>
      <c r="I81" s="433"/>
      <c r="J81" s="433"/>
      <c r="K81" s="433"/>
      <c r="L81" s="433"/>
      <c r="M81" s="433"/>
    </row>
    <row r="82" spans="1:13" ht="20.25">
      <c r="A82" s="417" t="s">
        <v>1082</v>
      </c>
      <c r="B82" s="178"/>
      <c r="C82" s="179"/>
      <c r="D82" s="180"/>
      <c r="E82" s="181"/>
      <c r="F82" s="181"/>
      <c r="G82" s="181"/>
      <c r="H82" s="181"/>
      <c r="I82" s="181"/>
      <c r="J82" s="181"/>
      <c r="K82" s="181"/>
      <c r="L82" s="181"/>
      <c r="M82" s="181"/>
    </row>
  </sheetData>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5"/>
  <cols>
    <col min="1" max="3" width="1.625" style="1343" customWidth="1"/>
    <col min="4" max="4" width="13.5" style="1343" bestFit="1" customWidth="1"/>
    <col min="5" max="5" width="55.375" style="1343" bestFit="1" customWidth="1"/>
    <col min="6" max="6" width="10" style="1343" bestFit="1" customWidth="1"/>
    <col min="7" max="7" width="10" style="1343" customWidth="1"/>
    <col min="8" max="8" width="18.625" style="1343" customWidth="1"/>
    <col min="9" max="9" width="16" style="1343" customWidth="1"/>
    <col min="10" max="10" width="10.75" style="1343" bestFit="1" customWidth="1"/>
    <col min="11" max="16384" width="9" style="1343"/>
  </cols>
  <sheetData>
    <row r="1" spans="1:29" ht="44.25">
      <c r="A1" s="657" t="e">
        <f ca="1" xml:space="preserve"> RIGHT(CELL("filename", $A$1), LEN(CELL("filename", $A$1)) - SEARCH("]", CELL("filename", $A$1)))</f>
        <v>#VALUE!</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Anglian Water</v>
      </c>
    </row>
    <row r="3" spans="1:29">
      <c r="A3" s="615"/>
      <c r="B3" s="614" t="s">
        <v>4901</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16" t="s">
        <v>4902</v>
      </c>
      <c r="O4" s="2416"/>
      <c r="R4" s="1889"/>
    </row>
    <row r="5" spans="1:29">
      <c r="H5" s="2456" t="str">
        <f>Performance!E161</f>
        <v>Financial incentives apply or accrue this year?</v>
      </c>
      <c r="I5" s="2456" t="s">
        <v>4903</v>
      </c>
      <c r="J5" s="2370"/>
      <c r="K5" s="1885" t="s">
        <v>1830</v>
      </c>
      <c r="L5" s="1885" t="s">
        <v>1840</v>
      </c>
      <c r="M5" s="1888" t="s">
        <v>1847</v>
      </c>
      <c r="N5" s="1885" t="s">
        <v>1853</v>
      </c>
      <c r="O5" s="1888" t="s">
        <v>129</v>
      </c>
      <c r="P5" s="1885"/>
      <c r="Q5" s="1885"/>
    </row>
    <row r="6" spans="1:29">
      <c r="D6" s="435" t="s">
        <v>2077</v>
      </c>
      <c r="E6" s="435" t="s">
        <v>2076</v>
      </c>
      <c r="F6" s="2359" t="s">
        <v>1804</v>
      </c>
      <c r="G6" s="2359" t="s">
        <v>1802</v>
      </c>
      <c r="H6" s="2456"/>
      <c r="I6" s="2456"/>
      <c r="J6" s="2370" t="s">
        <v>4904</v>
      </c>
      <c r="K6" s="1885" t="s">
        <v>165</v>
      </c>
      <c r="L6" s="1885" t="s">
        <v>165</v>
      </c>
      <c r="M6" s="1888" t="s">
        <v>165</v>
      </c>
      <c r="N6" s="1885" t="s">
        <v>165</v>
      </c>
      <c r="O6" s="1888" t="s">
        <v>165</v>
      </c>
      <c r="P6" s="1885"/>
      <c r="Q6" s="1885"/>
    </row>
    <row r="7" spans="1:29">
      <c r="D7" s="1408" t="str" cm="1">
        <f t="array" ref="D7:D52">TRANSPOSE(Performance!J5:BC5)</f>
        <v>PR19ANH_3</v>
      </c>
      <c r="E7" s="1408" t="str" cm="1">
        <f t="array" ref="E7:E52">TRANSPOSE(Performance!J6:BC6)</f>
        <v>Water quality compliance (CRI)</v>
      </c>
      <c r="F7" s="1887" t="str" cm="1">
        <f t="array" ref="F7:F52">TRANSPOSE(Performance!J182:BC182)</f>
        <v>In-period</v>
      </c>
      <c r="G7" s="1887" t="str" cm="1">
        <f t="array" ref="G7:G52">TRANSPOSE(Performance!J190:BC190)</f>
        <v>Revenue</v>
      </c>
      <c r="H7" s="1887" t="b" cm="1">
        <f t="array" ref="H7:H52">TRANSPOSE(Performance!J161:BC161)</f>
        <v>1</v>
      </c>
      <c r="I7" s="1887" t="b" cm="1">
        <f t="array" ref="I7:I52">TRANSPOSE(Performance!J183:BC183)</f>
        <v>1</v>
      </c>
      <c r="J7" s="1887" t="str">
        <f>'3A'!AN9</f>
        <v>APR3A_13</v>
      </c>
      <c r="K7" s="1896"/>
      <c r="L7" s="1898"/>
      <c r="M7" s="1929"/>
      <c r="N7" s="1898"/>
      <c r="O7" s="1897"/>
      <c r="P7" s="1899"/>
      <c r="Q7" s="1899"/>
      <c r="S7" s="433"/>
    </row>
    <row r="8" spans="1:29">
      <c r="D8" s="1408" t="str">
        <v>PR19ANH_4</v>
      </c>
      <c r="E8" s="1408" t="str">
        <v>Water supply interruptions</v>
      </c>
      <c r="F8" s="1887" t="str">
        <v>In-period</v>
      </c>
      <c r="G8" s="1887" t="str">
        <v>Revenue</v>
      </c>
      <c r="H8" s="1887" t="b">
        <v>1</v>
      </c>
      <c r="I8" s="1887" t="b">
        <v>1</v>
      </c>
      <c r="J8" s="1887" t="str">
        <f>'3A'!AN10</f>
        <v>APR3A_14</v>
      </c>
      <c r="K8" s="1896"/>
      <c r="L8" s="1898"/>
      <c r="M8" s="1929"/>
      <c r="N8" s="1898"/>
      <c r="O8" s="1897"/>
      <c r="P8" s="1899"/>
      <c r="Q8" s="1899"/>
      <c r="S8" s="433"/>
    </row>
    <row r="9" spans="1:29">
      <c r="D9" s="1408" t="str">
        <v>PR19ANH_5</v>
      </c>
      <c r="E9" s="1408" t="str">
        <v>Leakage</v>
      </c>
      <c r="F9" s="1887" t="str">
        <v>In-period</v>
      </c>
      <c r="G9" s="1887" t="str">
        <v>Revenue</v>
      </c>
      <c r="H9" s="1887" t="b">
        <v>1</v>
      </c>
      <c r="I9" s="1887" t="b">
        <v>1</v>
      </c>
      <c r="J9" s="1887" t="str">
        <f>'3A'!AN11</f>
        <v>APR3A_15</v>
      </c>
      <c r="K9" s="1896"/>
      <c r="L9" s="1898"/>
      <c r="M9" s="1929"/>
      <c r="N9" s="1898"/>
      <c r="O9" s="1897"/>
      <c r="P9" s="1899"/>
      <c r="Q9" s="1899"/>
      <c r="S9" s="1889"/>
    </row>
    <row r="10" spans="1:29">
      <c r="D10" s="1408" t="str">
        <v/>
      </c>
      <c r="E10" s="1408" t="str">
        <v>[For use by NES and SSC only]</v>
      </c>
      <c r="F10" s="1887" t="str">
        <v/>
      </c>
      <c r="G10" s="1887" t="str">
        <v/>
      </c>
      <c r="H10" s="1887" t="b">
        <v>1</v>
      </c>
      <c r="I10" s="1887" t="b">
        <v>0</v>
      </c>
      <c r="J10" s="1887" t="str">
        <f>'3A'!AN12</f>
        <v>APR3A_15A</v>
      </c>
      <c r="K10" s="1896"/>
      <c r="L10" s="1898"/>
      <c r="M10" s="1929"/>
      <c r="N10" s="1898"/>
      <c r="O10" s="1897"/>
      <c r="P10" s="1899"/>
      <c r="Q10" s="1899"/>
      <c r="S10" s="1889"/>
    </row>
    <row r="11" spans="1:29">
      <c r="D11" s="1408" t="str">
        <v>PR19ANH_6</v>
      </c>
      <c r="E11" s="1408" t="str">
        <v>Per capita consumption</v>
      </c>
      <c r="F11" s="1887" t="str">
        <v>End of period</v>
      </c>
      <c r="G11" s="1887" t="str">
        <v>Revenue</v>
      </c>
      <c r="H11" s="1887" t="b">
        <v>1</v>
      </c>
      <c r="I11" s="1887" t="b">
        <v>0</v>
      </c>
      <c r="J11" s="1887" t="str">
        <f>'3A'!AN13</f>
        <v>APR3A_16</v>
      </c>
      <c r="K11" s="577">
        <f>IFERROR(VLOOKUP($D11,'Accrued ODI payments'!$D$14:$I$31,3,0),"")</f>
        <v>0</v>
      </c>
      <c r="L11" s="625">
        <f>IFERROR(VLOOKUP($D11,'Accrued ODI payments'!$D$14:$I$31,4,0),"")</f>
        <v>0</v>
      </c>
      <c r="M11" s="1891">
        <f>IFERROR(VLOOKUP($D11,'Accrued ODI payments'!$D$14:$I$31,5,0),"")</f>
        <v>0</v>
      </c>
      <c r="N11" s="625" t="str">
        <f>IF('Validation summary'!$B$2="2023-24",IFERROR(IF(AND($F11="End of period",$H11=TRUE),(HLOOKUP($D11,'Model outputs - PC level'!$J$5:$BC$25,5,0) + HLOOKUP($D11,'Model outputs - PC level'!$J$5:$BC$25,6,0)),""),""),"")</f>
        <v/>
      </c>
      <c r="O11" s="1891">
        <f>IF('Validation summary'!$B$2="2024-25",IFERROR(IF(AND($F11="End of period",$H11=TRUE),(HLOOKUP($D11,'Model outputs - PC level'!$J$5:$BC$25,5,0) + HLOOKUP($D11,'Model outputs - PC level'!$J$5:$BC$25,6,0)),""),""),"")</f>
        <v>-0.48620000000000002</v>
      </c>
      <c r="P11" s="1894"/>
      <c r="Q11" s="1894"/>
      <c r="S11" s="433"/>
    </row>
    <row r="12" spans="1:29">
      <c r="D12" s="1408" t="str">
        <v/>
      </c>
      <c r="E12" s="1408" t="str">
        <v>[For use by SSC only]</v>
      </c>
      <c r="F12" s="1887" t="str">
        <v/>
      </c>
      <c r="G12" s="1887" t="str">
        <v/>
      </c>
      <c r="H12" s="1887" t="b">
        <v>1</v>
      </c>
      <c r="I12" s="1887" t="b">
        <v>0</v>
      </c>
      <c r="J12" s="1887" t="str">
        <f>'3A'!AN14</f>
        <v>APR3A_16A</v>
      </c>
      <c r="K12" s="577" t="str">
        <f>IFERROR(VLOOKUP($D12,'Accrued ODI payments'!$D$14:$I$31,3,0),"")</f>
        <v/>
      </c>
      <c r="L12" s="625" t="str">
        <f>IFERROR(VLOOKUP($D12,'Accrued ODI payments'!$D$14:$I$31,4,0),"")</f>
        <v/>
      </c>
      <c r="M12" s="1891" t="str">
        <f>IFERROR(VLOOKUP($D12,'Accrued ODI payments'!$D$14:$I$31,5,0),"")</f>
        <v/>
      </c>
      <c r="N12" s="625" t="str">
        <f>IF('Validation summary'!$B$2="2023-24",IFERROR(IF(AND($F12="End of period",$H12=TRUE),(HLOOKUP($D12,'Model outputs - PC level'!$J$5:$BC$25,5,0) + HLOOKUP($D12,'Model outputs - PC level'!$J$5:$BC$25,6,0)),""),""),"")</f>
        <v/>
      </c>
      <c r="O12" s="1891" t="str">
        <f>IF('Validation summary'!$B$2="2024-25",IFERROR(IF(AND($F12="End of period",$H12=TRUE),(HLOOKUP($D12,'Model outputs - PC level'!$J$5:$BC$25,5,0) + HLOOKUP($D12,'Model outputs - PC level'!$J$5:$BC$25,6,0)),""),""),"")</f>
        <v/>
      </c>
      <c r="P12" s="1894"/>
      <c r="Q12" s="1894"/>
      <c r="S12" s="433"/>
    </row>
    <row r="13" spans="1:29">
      <c r="D13" s="1408" t="str">
        <v>PR19ANH_11</v>
      </c>
      <c r="E13" s="1408" t="str">
        <v>Mains repairs</v>
      </c>
      <c r="F13" s="1887" t="str">
        <v>In-period</v>
      </c>
      <c r="G13" s="1887" t="str">
        <v>Revenue</v>
      </c>
      <c r="H13" s="1887" t="b">
        <v>1</v>
      </c>
      <c r="I13" s="1887" t="b">
        <v>1</v>
      </c>
      <c r="J13" s="1887" t="str">
        <f>'3A'!AN15</f>
        <v>APR3A_17</v>
      </c>
      <c r="K13" s="1896"/>
      <c r="L13" s="1898"/>
      <c r="M13" s="1897"/>
      <c r="N13" s="1898"/>
      <c r="O13" s="1897"/>
      <c r="P13" s="1899"/>
      <c r="Q13" s="1899"/>
    </row>
    <row r="14" spans="1:29">
      <c r="D14" s="1408" t="str">
        <v>PR19ANH_12</v>
      </c>
      <c r="E14" s="1408" t="str">
        <v>Unplanned outage</v>
      </c>
      <c r="F14" s="1887" t="str">
        <v>In-period</v>
      </c>
      <c r="G14" s="1887" t="str">
        <v>Revenue</v>
      </c>
      <c r="H14" s="1887" t="b">
        <v>1</v>
      </c>
      <c r="I14" s="1887" t="b">
        <v>1</v>
      </c>
      <c r="J14" s="1887" t="str">
        <f>'3A'!AN16</f>
        <v>APR3A_18</v>
      </c>
      <c r="K14" s="1896"/>
      <c r="L14" s="1898"/>
      <c r="M14" s="1897"/>
      <c r="N14" s="1898"/>
      <c r="O14" s="1897"/>
      <c r="P14" s="1899"/>
      <c r="Q14" s="1899"/>
    </row>
    <row r="15" spans="1:29">
      <c r="D15" s="1895" t="str">
        <v>PR19ANH_15</v>
      </c>
      <c r="E15" s="1408" t="str">
        <v>Percentage of population supplied by a single supply system</v>
      </c>
      <c r="F15" s="1887" t="str">
        <v>In-period</v>
      </c>
      <c r="G15" s="1887" t="str">
        <v>Revenue</v>
      </c>
      <c r="H15" s="1887" t="b">
        <v>1</v>
      </c>
      <c r="I15" s="1887" t="b">
        <v>1</v>
      </c>
      <c r="J15" s="1887" t="str">
        <f>'3A'!AN19</f>
        <v>APR3A_67</v>
      </c>
      <c r="K15" s="1890" t="str">
        <f>IFERROR(VLOOKUP($D15,'Accrued ODI payments'!$M$14:$R$26,3,0),"")</f>
        <v/>
      </c>
      <c r="L15" s="625" t="str">
        <f>IFERROR(VLOOKUP($D15,'Accrued ODI payments'!$M$14:$R$26,4,0),"")</f>
        <v/>
      </c>
      <c r="M15" s="1891" t="str">
        <f>IFERROR(VLOOKUP($D15,'Accrued ODI payments'!$M$14:$R$26,5,0),"")</f>
        <v/>
      </c>
      <c r="N15" s="625" t="str">
        <f>IF('Validation summary'!$B$2="2023-24",IFERROR(IF(AND($F15="End of period",$H15=TRUE),(HLOOKUP($D15,'Model outputs - PC level'!$J$5:$BC$25,5,0) + HLOOKUP($D15,'Model outputs - PC level'!$J$5:$BC$25,6,0)),""),""),"")</f>
        <v/>
      </c>
      <c r="O15" s="1891" t="str">
        <f>IF('Validation summary'!$B$2="2024-25",IFERROR(IF(AND($F15="End of period",$H15=TRUE),(HLOOKUP($D15,'Model outputs - PC level'!$J$5:$BC$25,5,0) + HLOOKUP($D15,'Model outputs - PC level'!$J$5:$BC$25,6,0)),""),""),"")</f>
        <v/>
      </c>
      <c r="P15" s="1894"/>
      <c r="Q15" s="1894"/>
      <c r="S15" s="433"/>
    </row>
    <row r="16" spans="1:29">
      <c r="D16" s="1408" t="str">
        <v>PR19ANH_16</v>
      </c>
      <c r="E16" s="1408" t="str">
        <v>Properties at risk of persistent low pressure</v>
      </c>
      <c r="F16" s="1887" t="str">
        <v>In-period</v>
      </c>
      <c r="G16" s="1887" t="str">
        <v>Revenue</v>
      </c>
      <c r="H16" s="1887" t="b">
        <v>1</v>
      </c>
      <c r="I16" s="1887" t="b">
        <v>1</v>
      </c>
      <c r="J16" s="1887" t="str">
        <f>'3A'!AN20</f>
        <v>APR3A_68</v>
      </c>
      <c r="K16" s="577" t="str">
        <f>IFERROR(VLOOKUP($D16,'Accrued ODI payments'!$M$14:$R$26,3,0),"")</f>
        <v/>
      </c>
      <c r="L16" s="625" t="str">
        <f>IFERROR(VLOOKUP($D16,'Accrued ODI payments'!$M$14:$R$26,4,0),"")</f>
        <v/>
      </c>
      <c r="M16" s="1891" t="str">
        <f>IFERROR(VLOOKUP($D16,'Accrued ODI payments'!$M$14:$R$26,5,0),"")</f>
        <v/>
      </c>
      <c r="N16" s="625" t="str">
        <f>IF('Validation summary'!$B$2="2023-24",IFERROR(IF(AND($F16="End of period",$H16=TRUE),(HLOOKUP($D16,'Model outputs - PC level'!$J$5:$BC$25,5,0) + HLOOKUP($D16,'Model outputs - PC level'!$J$5:$BC$25,6,0)),""),""),"")</f>
        <v/>
      </c>
      <c r="O16" s="1891" t="str">
        <f>IF('Validation summary'!$B$2="2024-25",IFERROR(IF(AND($F16="End of period",$H16=TRUE),(HLOOKUP($D16,'Model outputs - PC level'!$J$5:$BC$25,5,0) + HLOOKUP($D16,'Model outputs - PC level'!$J$5:$BC$25,6,0)),""),""),"")</f>
        <v/>
      </c>
      <c r="P16" s="1894"/>
      <c r="Q16" s="1894"/>
      <c r="S16" s="433"/>
    </row>
    <row r="17" spans="4:19">
      <c r="D17" s="1408" t="str">
        <v>PR19ANH_20</v>
      </c>
      <c r="E17" s="1408" t="str">
        <v>Abstraction Incentive Mechanism</v>
      </c>
      <c r="F17" s="1887" t="str">
        <v>In-period</v>
      </c>
      <c r="G17" s="1887" t="str">
        <v>Revenue</v>
      </c>
      <c r="H17" s="1887" t="b">
        <v>1</v>
      </c>
      <c r="I17" s="1887" t="b">
        <v>1</v>
      </c>
      <c r="J17" s="1887" t="str">
        <f>'3A'!AN21</f>
        <v>APR3A_69</v>
      </c>
      <c r="K17" s="577" t="str">
        <f>IFERROR(VLOOKUP($D17,'Accrued ODI payments'!$M$14:$R$26,3,0),"")</f>
        <v/>
      </c>
      <c r="L17" s="625" t="str">
        <f>IFERROR(VLOOKUP($D17,'Accrued ODI payments'!$M$14:$R$26,4,0),"")</f>
        <v/>
      </c>
      <c r="M17" s="1891" t="str">
        <f>IFERROR(VLOOKUP($D17,'Accrued ODI payments'!$M$14:$R$26,5,0),"")</f>
        <v/>
      </c>
      <c r="N17" s="625" t="str">
        <f>IF('Validation summary'!$B$2="2023-24",IFERROR(IF(AND($F17="End of period",$H17=TRUE),(HLOOKUP($D17,'Model outputs - PC level'!$J$5:$BC$25,5,0) + HLOOKUP($D17,'Model outputs - PC level'!$J$5:$BC$25,6,0)),""),""),"")</f>
        <v/>
      </c>
      <c r="O17" s="1891" t="str">
        <f>IF('Validation summary'!$B$2="2024-25",IFERROR(IF(AND($F17="End of period",$H17=TRUE),(HLOOKUP($D17,'Model outputs - PC level'!$J$5:$BC$25,5,0) + HLOOKUP($D17,'Model outputs - PC level'!$J$5:$BC$25,6,0)),""),""),"")</f>
        <v/>
      </c>
      <c r="P17" s="1894"/>
      <c r="Q17" s="1894"/>
      <c r="S17" s="433"/>
    </row>
    <row r="18" spans="4:19">
      <c r="D18" s="1408" t="str">
        <v>PR19ANH_23</v>
      </c>
      <c r="E18" s="1408" t="str">
        <v>Managing void properties</v>
      </c>
      <c r="F18" s="1887" t="str">
        <v>In-period</v>
      </c>
      <c r="G18" s="1887" t="str">
        <v>Revenue</v>
      </c>
      <c r="H18" s="1887" t="b">
        <v>1</v>
      </c>
      <c r="I18" s="1887" t="b">
        <v>1</v>
      </c>
      <c r="J18" s="1887" t="str">
        <f>'3A'!AN22</f>
        <v>APR3A_70</v>
      </c>
      <c r="K18" s="577" t="str">
        <f>IFERROR(VLOOKUP($D18,'Accrued ODI payments'!$M$14:$R$26,3,0),"")</f>
        <v/>
      </c>
      <c r="L18" s="625" t="str">
        <f>IFERROR(VLOOKUP($D18,'Accrued ODI payments'!$M$14:$R$26,4,0),"")</f>
        <v/>
      </c>
      <c r="M18" s="1891" t="str">
        <f>IFERROR(VLOOKUP($D18,'Accrued ODI payments'!$M$14:$R$26,5,0),"")</f>
        <v/>
      </c>
      <c r="N18" s="625" t="str">
        <f>IF('Validation summary'!$B$2="2023-24",IFERROR(IF(AND($F18="End of period",$H18=TRUE),(HLOOKUP($D18,'Model outputs - PC level'!$J$5:$BC$25,5,0) + HLOOKUP($D18,'Model outputs - PC level'!$J$5:$BC$25,6,0)),""),""),"")</f>
        <v/>
      </c>
      <c r="O18" s="1891" t="str">
        <f>IF('Validation summary'!$B$2="2024-25",IFERROR(IF(AND($F18="End of period",$H18=TRUE),(HLOOKUP($D18,'Model outputs - PC level'!$J$5:$BC$25,5,0) + HLOOKUP($D18,'Model outputs - PC level'!$J$5:$BC$25,6,0)),""),""),"")</f>
        <v/>
      </c>
      <c r="P18" s="1894"/>
      <c r="Q18" s="1894"/>
      <c r="S18" s="433"/>
    </row>
    <row r="19" spans="4:19">
      <c r="D19" s="1408" t="str">
        <v>PR19ANH_34</v>
      </c>
      <c r="E19" s="1408" t="str">
        <v>Water quality contacts</v>
      </c>
      <c r="F19" s="1887" t="str">
        <v>In-period</v>
      </c>
      <c r="G19" s="1887" t="str">
        <v>Revenue</v>
      </c>
      <c r="H19" s="1887" t="b">
        <v>1</v>
      </c>
      <c r="I19" s="1887" t="b">
        <v>1</v>
      </c>
      <c r="J19" s="1887" t="str">
        <f>'3A'!AN23</f>
        <v>APR3A_71</v>
      </c>
      <c r="K19" s="577" t="str">
        <f>IFERROR(VLOOKUP($D19,'Accrued ODI payments'!$M$14:$R$26,3,0),"")</f>
        <v/>
      </c>
      <c r="L19" s="625" t="str">
        <f>IFERROR(VLOOKUP($D19,'Accrued ODI payments'!$M$14:$R$26,4,0),"")</f>
        <v/>
      </c>
      <c r="M19" s="1891" t="str">
        <f>IFERROR(VLOOKUP($D19,'Accrued ODI payments'!$M$14:$R$26,5,0),"")</f>
        <v/>
      </c>
      <c r="N19" s="625" t="str">
        <f>IF('Validation summary'!$B$2="2023-24",IFERROR(IF(AND($F19="End of period",$H19=TRUE),(HLOOKUP($D19,'Model outputs - PC level'!$J$5:$BC$25,5,0) + HLOOKUP($D19,'Model outputs - PC level'!$J$5:$BC$25,6,0)),""),""),"")</f>
        <v/>
      </c>
      <c r="O19" s="1891" t="str">
        <f>IF('Validation summary'!$B$2="2024-25",IFERROR(IF(AND($F19="End of period",$H19=TRUE),(HLOOKUP($D19,'Model outputs - PC level'!$J$5:$BC$25,5,0) + HLOOKUP($D19,'Model outputs - PC level'!$J$5:$BC$25,6,0)),""),""),"")</f>
        <v/>
      </c>
      <c r="P19" s="1894"/>
      <c r="Q19" s="1894"/>
      <c r="S19" s="433"/>
    </row>
    <row r="20" spans="4:19">
      <c r="D20" s="1408" t="str">
        <v>PR19ANH_38</v>
      </c>
      <c r="E20" s="1408" t="str">
        <v>Smart metering delivery</v>
      </c>
      <c r="F20" s="1887" t="str">
        <v>End of period</v>
      </c>
      <c r="G20" s="1887" t="str">
        <v>Revenue</v>
      </c>
      <c r="H20" s="1887" t="b">
        <v>1</v>
      </c>
      <c r="I20" s="1887" t="b">
        <v>0</v>
      </c>
      <c r="J20" s="1887" t="str">
        <f>'3A'!AN24</f>
        <v>APR3A_72</v>
      </c>
      <c r="K20" s="577" t="str">
        <f>IFERROR(VLOOKUP($D20,'Accrued ODI payments'!$M$14:$R$26,3,0),"")</f>
        <v/>
      </c>
      <c r="L20" s="625" t="str">
        <f>IFERROR(VLOOKUP($D20,'Accrued ODI payments'!$M$14:$R$26,4,0),"")</f>
        <v/>
      </c>
      <c r="M20" s="1891" t="str">
        <f>IFERROR(VLOOKUP($D20,'Accrued ODI payments'!$M$14:$R$26,5,0),"")</f>
        <v/>
      </c>
      <c r="N20" s="625" t="str">
        <f>IF('Validation summary'!$B$2="2023-24",IFERROR(IF(AND($F20="End of period",$H20=TRUE),(HLOOKUP($D20,'Model outputs - PC level'!$J$5:$BC$25,5,0) + HLOOKUP($D20,'Model outputs - PC level'!$J$5:$BC$25,6,0)),""),""),"")</f>
        <v/>
      </c>
      <c r="O20" s="1891">
        <f>IF('Validation summary'!$B$2="2024-25",IFERROR(IF(AND($F20="End of period",$H20=TRUE),(HLOOKUP($D20,'Model outputs - PC level'!$J$5:$BC$25,5,0) + HLOOKUP($D20,'Model outputs - PC level'!$J$5:$BC$25,6,0)),""),""),"")</f>
        <v>0</v>
      </c>
      <c r="P20" s="1894"/>
      <c r="Q20" s="1894"/>
      <c r="S20" s="433"/>
    </row>
    <row r="21" spans="4:19">
      <c r="D21" s="1408" t="str">
        <v>PR19ANH_39</v>
      </c>
      <c r="E21" s="1408" t="str">
        <v>Internal interconnection delivery</v>
      </c>
      <c r="F21" s="1887" t="str">
        <v>End of period</v>
      </c>
      <c r="G21" s="1887" t="str">
        <v>Revenue</v>
      </c>
      <c r="H21" s="1887" t="b">
        <v>1</v>
      </c>
      <c r="I21" s="1887" t="b">
        <v>0</v>
      </c>
      <c r="J21" s="1887" t="str">
        <f>'3A'!AN25</f>
        <v>APR3A_73</v>
      </c>
      <c r="K21" s="577">
        <f>IFERROR(VLOOKUP($D21,'Accrued ODI payments'!$M$14:$R$26,3,0),"")</f>
        <v>0</v>
      </c>
      <c r="L21" s="625">
        <f>IFERROR(VLOOKUP($D21,'Accrued ODI payments'!$M$14:$R$26,4,0),"")</f>
        <v>0</v>
      </c>
      <c r="M21" s="1891">
        <f>IFERROR(VLOOKUP($D21,'Accrued ODI payments'!$M$14:$R$26,5,0),"")</f>
        <v>0</v>
      </c>
      <c r="N21" s="625" t="str">
        <f>IF('Validation summary'!$B$2="2023-24",IFERROR(IF(AND($F21="End of period",$H21=TRUE),(HLOOKUP($D21,'Model outputs - PC level'!$J$5:$BC$25,5,0) + HLOOKUP($D21,'Model outputs - PC level'!$J$5:$BC$25,6,0)),""),""),"")</f>
        <v/>
      </c>
      <c r="O21" s="1891">
        <f>IF('Validation summary'!$B$2="2024-25",IFERROR(IF(AND($F21="End of period",$H21=TRUE),(HLOOKUP($D21,'Model outputs - PC level'!$J$5:$BC$25,5,0) + HLOOKUP($D21,'Model outputs - PC level'!$J$5:$BC$25,6,0)),""),""),"")</f>
        <v>0</v>
      </c>
      <c r="P21" s="1894"/>
      <c r="Q21" s="1894"/>
      <c r="S21" s="433"/>
    </row>
    <row r="22" spans="4:19">
      <c r="D22" s="1895" t="str">
        <v>PR19ANH_41</v>
      </c>
      <c r="E22" s="1408" t="str">
        <v>Cyber Security</v>
      </c>
      <c r="F22" s="1887" t="str">
        <v>End of period</v>
      </c>
      <c r="G22" s="1887" t="str">
        <v>Revenue</v>
      </c>
      <c r="H22" s="1887" t="b">
        <v>1</v>
      </c>
      <c r="I22" s="1887" t="b">
        <v>0</v>
      </c>
      <c r="J22" s="1887" t="str">
        <f>'3A'!AN26</f>
        <v>APR3A_74</v>
      </c>
      <c r="K22" s="577" t="str">
        <f>IFERROR(VLOOKUP($D22,'Accrued ODI payments'!$M$14:$R$26,3,0),"")</f>
        <v/>
      </c>
      <c r="L22" s="625" t="str">
        <f>IFERROR(VLOOKUP($D22,'Accrued ODI payments'!$M$14:$R$26,4,0),"")</f>
        <v/>
      </c>
      <c r="M22" s="1891" t="str">
        <f>IFERROR(VLOOKUP($D22,'Accrued ODI payments'!$M$14:$R$26,5,0),"")</f>
        <v/>
      </c>
      <c r="N22" s="625" t="str">
        <f>IF('Validation summary'!$B$2="2023-24",IFERROR(IF(AND($F22="End of period",$H22=TRUE),(HLOOKUP($D22,'Model outputs - PC level'!$J$5:$BC$25,5,0) + HLOOKUP($D22,'Model outputs - PC level'!$J$5:$BC$25,6,0)),""),""),"")</f>
        <v/>
      </c>
      <c r="O22" s="1891">
        <f>IF('Validation summary'!$B$2="2024-25",IFERROR(IF(AND($F22="End of period",$H22=TRUE),(HLOOKUP($D22,'Model outputs - PC level'!$J$5:$BC$25,5,0) + HLOOKUP($D22,'Model outputs - PC level'!$J$5:$BC$25,6,0)),""),""),"")</f>
        <v>0</v>
      </c>
      <c r="P22" s="1894"/>
      <c r="Q22" s="1894"/>
      <c r="S22" s="433"/>
    </row>
    <row r="23" spans="4:19">
      <c r="D23" s="1408" t="str">
        <v>PR19ANH_47</v>
      </c>
      <c r="E23" s="1408" t="str">
        <v>Underperformance incentive for Elsham treatment works and transfer scheme</v>
      </c>
      <c r="F23" s="1887" t="str">
        <v>End of period</v>
      </c>
      <c r="G23" s="1887" t="str">
        <v>Revenue</v>
      </c>
      <c r="H23" s="1887" t="b">
        <v>1</v>
      </c>
      <c r="I23" s="1887" t="b">
        <v>0</v>
      </c>
      <c r="J23" s="1887" t="str">
        <f>'3A'!AN27</f>
        <v>APR3A_75</v>
      </c>
      <c r="K23" s="577" t="str">
        <f>IFERROR(VLOOKUP($D23,'Accrued ODI payments'!$M$14:$R$26,3,0),"")</f>
        <v/>
      </c>
      <c r="L23" s="625" t="str">
        <f>IFERROR(VLOOKUP($D23,'Accrued ODI payments'!$M$14:$R$26,4,0),"")</f>
        <v/>
      </c>
      <c r="M23" s="1891" t="str">
        <f>IFERROR(VLOOKUP($D23,'Accrued ODI payments'!$M$14:$R$26,5,0),"")</f>
        <v/>
      </c>
      <c r="N23" s="625" t="str">
        <f>IF('Validation summary'!$B$2="2023-24",IFERROR(IF(AND($F23="End of period",$H23=TRUE),(HLOOKUP($D23,'Model outputs - PC level'!$J$5:$BC$25,5,0) + HLOOKUP($D23,'Model outputs - PC level'!$J$5:$BC$25,6,0)),""),""),"")</f>
        <v/>
      </c>
      <c r="O23" s="1891">
        <f>IF('Validation summary'!$B$2="2024-25",IFERROR(IF(AND($F23="End of period",$H23=TRUE),(HLOOKUP($D23,'Model outputs - PC level'!$J$5:$BC$25,5,0) + HLOOKUP($D23,'Model outputs - PC level'!$J$5:$BC$25,6,0)),""),""),"")</f>
        <v>0</v>
      </c>
      <c r="P23" s="1894"/>
      <c r="Q23" s="1894"/>
      <c r="S23" s="433"/>
    </row>
    <row r="24" spans="4:19">
      <c r="D24" s="1408" t="str">
        <v>PR19ANH_48</v>
      </c>
      <c r="E24" s="1408" t="str">
        <v>Outperformance payment for Elsham treatment works and transfer scheme</v>
      </c>
      <c r="F24" s="1887" t="str">
        <v>End of period</v>
      </c>
      <c r="G24" s="1887" t="str">
        <v>Revenue</v>
      </c>
      <c r="H24" s="1887" t="b">
        <v>1</v>
      </c>
      <c r="I24" s="1887" t="b">
        <v>0</v>
      </c>
      <c r="J24" s="1887" t="str">
        <f>'3A'!AN28</f>
        <v>APR3A_76</v>
      </c>
      <c r="K24" s="577" t="str">
        <f>IFERROR(VLOOKUP($D24,'Accrued ODI payments'!$M$14:$R$26,3,0),"")</f>
        <v/>
      </c>
      <c r="L24" s="625" t="str">
        <f>IFERROR(VLOOKUP($D24,'Accrued ODI payments'!$M$14:$R$26,4,0),"")</f>
        <v/>
      </c>
      <c r="M24" s="1891" t="str">
        <f>IFERROR(VLOOKUP($D24,'Accrued ODI payments'!$M$14:$R$26,5,0),"")</f>
        <v/>
      </c>
      <c r="N24" s="625" t="str">
        <f>IF('Validation summary'!$B$2="2023-24",IFERROR(IF(AND($F24="End of period",$H24=TRUE),(HLOOKUP($D24,'Model outputs - PC level'!$J$5:$BC$25,5,0) + HLOOKUP($D24,'Model outputs - PC level'!$J$5:$BC$25,6,0)),""),""),"")</f>
        <v/>
      </c>
      <c r="O24" s="1891">
        <f>IF('Validation summary'!$B$2="2024-25",IFERROR(IF(AND($F24="End of period",$H24=TRUE),(HLOOKUP($D24,'Model outputs - PC level'!$J$5:$BC$25,5,0) + HLOOKUP($D24,'Model outputs - PC level'!$J$5:$BC$25,6,0)),""),""),"")</f>
        <v>0</v>
      </c>
      <c r="P24" s="1894"/>
      <c r="Q24" s="1894"/>
      <c r="S24" s="433"/>
    </row>
    <row r="25" spans="4:19">
      <c r="D25" s="1408" t="str">
        <v/>
      </c>
      <c r="E25" s="1408" t="str">
        <v/>
      </c>
      <c r="F25" s="1887" t="str">
        <v/>
      </c>
      <c r="G25" s="1887" t="str">
        <v/>
      </c>
      <c r="H25" s="1887" t="b">
        <v>1</v>
      </c>
      <c r="I25" s="1887" t="b">
        <v>0</v>
      </c>
      <c r="J25" s="1887" t="str">
        <f>'3A'!AN29</f>
        <v>APR3A_77</v>
      </c>
      <c r="K25" s="577" t="str">
        <f>IFERROR(VLOOKUP($D25,'Accrued ODI payments'!$M$14:$R$26,3,0),"")</f>
        <v/>
      </c>
      <c r="L25" s="625" t="str">
        <f>IFERROR(VLOOKUP($D25,'Accrued ODI payments'!$M$14:$R$26,4,0),"")</f>
        <v/>
      </c>
      <c r="M25" s="1891" t="str">
        <f>IFERROR(VLOOKUP($D25,'Accrued ODI payments'!$M$14:$R$26,5,0),"")</f>
        <v/>
      </c>
      <c r="N25" s="625" t="str">
        <f>IF('Validation summary'!$B$2="2023-24",IFERROR(IF(AND($F25="End of period",$H25=TRUE),(HLOOKUP($D25,'Model outputs - PC level'!$J$5:$BC$25,5,0) + HLOOKUP($D25,'Model outputs - PC level'!$J$5:$BC$25,6,0)),""),""),"")</f>
        <v/>
      </c>
      <c r="O25" s="1891" t="str">
        <f>IF('Validation summary'!$B$2="2024-25",IFERROR(IF(AND($F25="End of period",$H25=TRUE),(HLOOKUP($D25,'Model outputs - PC level'!$J$5:$BC$25,5,0) + HLOOKUP($D25,'Model outputs - PC level'!$J$5:$BC$25,6,0)),""),""),"")</f>
        <v/>
      </c>
      <c r="P25" s="1894"/>
      <c r="Q25" s="1894"/>
      <c r="S25" s="433"/>
    </row>
    <row r="26" spans="4:19">
      <c r="D26" s="1408" t="str">
        <v/>
      </c>
      <c r="E26" s="1408" t="str">
        <v/>
      </c>
      <c r="F26" s="1887" t="str">
        <v/>
      </c>
      <c r="G26" s="1887" t="str">
        <v/>
      </c>
      <c r="H26" s="1887" t="b">
        <v>1</v>
      </c>
      <c r="I26" s="1887" t="b">
        <v>0</v>
      </c>
      <c r="J26" s="1887" t="str">
        <f>'3A'!AN30</f>
        <v>APR3A_78</v>
      </c>
      <c r="K26" s="577" t="str">
        <f>IFERROR(VLOOKUP($D26,'Accrued ODI payments'!$M$14:$R$26,3,0),"")</f>
        <v/>
      </c>
      <c r="L26" s="625" t="str">
        <f>IFERROR(VLOOKUP($D26,'Accrued ODI payments'!$M$14:$R$26,4,0),"")</f>
        <v/>
      </c>
      <c r="M26" s="1891" t="str">
        <f>IFERROR(VLOOKUP($D26,'Accrued ODI payments'!$M$14:$R$26,5,0),"")</f>
        <v/>
      </c>
      <c r="N26" s="625" t="str">
        <f>IF('Validation summary'!$B$2="2023-24",IFERROR(IF(AND($F26="End of period",$H26=TRUE),(HLOOKUP($D26,'Model outputs - PC level'!$J$5:$BC$25,5,0) + HLOOKUP($D26,'Model outputs - PC level'!$J$5:$BC$25,6,0)),""),""),"")</f>
        <v/>
      </c>
      <c r="O26" s="1891" t="str">
        <f>IF('Validation summary'!$B$2="2024-25",IFERROR(IF(AND($F26="End of period",$H26=TRUE),(HLOOKUP($D26,'Model outputs - PC level'!$J$5:$BC$25,5,0) + HLOOKUP($D26,'Model outputs - PC level'!$J$5:$BC$25,6,0)),""),""),"")</f>
        <v/>
      </c>
      <c r="P26" s="1894"/>
      <c r="Q26" s="1894"/>
      <c r="S26" s="433"/>
    </row>
    <row r="27" spans="4:19">
      <c r="D27" s="1477" t="str">
        <v/>
      </c>
      <c r="E27" s="1477" t="str">
        <v/>
      </c>
      <c r="F27" s="1886" t="str">
        <v/>
      </c>
      <c r="G27" s="1886" t="str">
        <v/>
      </c>
      <c r="H27" s="1886" t="b">
        <v>1</v>
      </c>
      <c r="I27" s="1886" t="b">
        <v>0</v>
      </c>
      <c r="J27" s="1886" t="str">
        <f>'3A'!AN31</f>
        <v>APR3A_79</v>
      </c>
      <c r="K27" s="577" t="str">
        <f>IFERROR(VLOOKUP($D27,'Accrued ODI payments'!$M$14:$R$26,3,0),"")</f>
        <v/>
      </c>
      <c r="L27" s="625" t="str">
        <f>IFERROR(VLOOKUP($D27,'Accrued ODI payments'!$M$14:$R$26,4,0),"")</f>
        <v/>
      </c>
      <c r="M27" s="1891" t="str">
        <f>IFERROR(VLOOKUP($D27,'Accrued ODI payments'!$M$14:$R$26,5,0),"")</f>
        <v/>
      </c>
      <c r="N27" s="625" t="str">
        <f>IF('Validation summary'!$B$2="2023-24",IFERROR(IF(AND($F27="End of period",$H27=TRUE),(HLOOKUP($D27,'Model outputs - PC level'!$J$5:$BC$25,5,0) + HLOOKUP($D27,'Model outputs - PC level'!$J$5:$BC$25,6,0)),""),""),"")</f>
        <v/>
      </c>
      <c r="O27" s="1891" t="str">
        <f>IF('Validation summary'!$B$2="2024-25",IFERROR(IF(AND($F27="End of period",$H27=TRUE),(HLOOKUP($D27,'Model outputs - PC level'!$J$5:$BC$25,5,0) + HLOOKUP($D27,'Model outputs - PC level'!$J$5:$BC$25,6,0)),""),""),"")</f>
        <v/>
      </c>
      <c r="P27" s="1894"/>
      <c r="Q27" s="1894"/>
      <c r="S27" s="433"/>
    </row>
    <row r="28" spans="4:19">
      <c r="D28" s="1477" t="str">
        <v/>
      </c>
      <c r="E28" s="1477" t="str">
        <v/>
      </c>
      <c r="F28" s="1886" t="str">
        <v/>
      </c>
      <c r="G28" s="1886" t="str">
        <v/>
      </c>
      <c r="H28" s="1886" t="b">
        <v>1</v>
      </c>
      <c r="I28" s="1886" t="b">
        <v>0</v>
      </c>
      <c r="J28" s="1886" t="str">
        <f>'3A'!AN32</f>
        <v>APR3A_80</v>
      </c>
      <c r="K28" s="577" t="str">
        <f>IFERROR(VLOOKUP($D28,'Accrued ODI payments'!$M$14:$R$26,3,0),"")</f>
        <v/>
      </c>
      <c r="L28" s="625" t="str">
        <f>IFERROR(VLOOKUP($D28,'Accrued ODI payments'!$M$14:$R$26,4,0),"")</f>
        <v/>
      </c>
      <c r="M28" s="1891" t="str">
        <f>IFERROR(VLOOKUP($D28,'Accrued ODI payments'!$M$14:$R$26,5,0),"")</f>
        <v/>
      </c>
      <c r="N28" s="625" t="str">
        <f>IF('Validation summary'!$B$2="2023-24",IFERROR(IF(AND($F28="End of period",$H28=TRUE),(HLOOKUP($D28,'Model outputs - PC level'!$J$5:$BC$25,5,0) + HLOOKUP($D28,'Model outputs - PC level'!$J$5:$BC$25,6,0)),""),""),"")</f>
        <v/>
      </c>
      <c r="O28" s="1891" t="str">
        <f>IF('Validation summary'!$B$2="2024-25",IFERROR(IF(AND($F28="End of period",$H28=TRUE),(HLOOKUP($D28,'Model outputs - PC level'!$J$5:$BC$25,5,0) + HLOOKUP($D28,'Model outputs - PC level'!$J$5:$BC$25,6,0)),""),""),"")</f>
        <v/>
      </c>
      <c r="P28" s="1894"/>
      <c r="Q28" s="1894"/>
      <c r="S28" s="433"/>
    </row>
    <row r="29" spans="4:19">
      <c r="D29" s="1477" t="str">
        <v/>
      </c>
      <c r="E29" s="1477" t="str">
        <v/>
      </c>
      <c r="F29" s="1886" t="str">
        <v/>
      </c>
      <c r="G29" s="1886" t="str">
        <v/>
      </c>
      <c r="H29" s="1886" t="b">
        <v>1</v>
      </c>
      <c r="I29" s="1886" t="b">
        <v>0</v>
      </c>
      <c r="J29" s="1886" t="str">
        <f>'3A'!AN33</f>
        <v>APR3A_81</v>
      </c>
      <c r="K29" s="577" t="str">
        <f>IFERROR(VLOOKUP($D29,'Accrued ODI payments'!$M$14:$R$26,3,0),"")</f>
        <v/>
      </c>
      <c r="L29" s="625" t="str">
        <f>IFERROR(VLOOKUP($D29,'Accrued ODI payments'!$M$14:$R$26,4,0),"")</f>
        <v/>
      </c>
      <c r="M29" s="1891" t="str">
        <f>IFERROR(VLOOKUP($D29,'Accrued ODI payments'!$M$14:$R$26,5,0),"")</f>
        <v/>
      </c>
      <c r="N29" s="625" t="str">
        <f>IF('Validation summary'!$B$2="2023-24",IFERROR(IF(AND($F29="End of period",$H29=TRUE),(HLOOKUP($D29,'Model outputs - PC level'!$J$5:$BC$25,5,0) + HLOOKUP($D29,'Model outputs - PC level'!$J$5:$BC$25,6,0)),""),""),"")</f>
        <v/>
      </c>
      <c r="O29" s="1891" t="str">
        <f>IF('Validation summary'!$B$2="2024-25",IFERROR(IF(AND($F29="End of period",$H29=TRUE),(HLOOKUP($D29,'Model outputs - PC level'!$J$5:$BC$25,5,0) + HLOOKUP($D29,'Model outputs - PC level'!$J$5:$BC$25,6,0)),""),""),"")</f>
        <v/>
      </c>
      <c r="P29" s="1894"/>
      <c r="Q29" s="1894"/>
    </row>
    <row r="30" spans="4:19">
      <c r="D30" s="1477" t="str">
        <v/>
      </c>
      <c r="E30" s="1477" t="str">
        <v/>
      </c>
      <c r="F30" s="1886" t="str">
        <v/>
      </c>
      <c r="G30" s="1886" t="str">
        <v/>
      </c>
      <c r="H30" s="1886" t="b">
        <v>1</v>
      </c>
      <c r="I30" s="1886" t="b">
        <v>0</v>
      </c>
      <c r="J30" s="1886" t="str">
        <f>'3A'!AN34</f>
        <v>APR3A_82</v>
      </c>
      <c r="K30" s="577" t="str">
        <f>IFERROR(VLOOKUP($D30,'Accrued ODI payments'!$M$14:$R$26,3,0),"")</f>
        <v/>
      </c>
      <c r="L30" s="625" t="str">
        <f>IFERROR(VLOOKUP($D30,'Accrued ODI payments'!$M$14:$R$26,4,0),"")</f>
        <v/>
      </c>
      <c r="M30" s="1891" t="str">
        <f>IFERROR(VLOOKUP($D30,'Accrued ODI payments'!$M$14:$R$26,5,0),"")</f>
        <v/>
      </c>
      <c r="N30" s="625" t="str">
        <f>IF('Validation summary'!$B$2="2023-24",IFERROR(IF(AND($F30="End of period",$H30=TRUE),(HLOOKUP($D30,'Model outputs - PC level'!$J$5:$BC$25,5,0) + HLOOKUP($D30,'Model outputs - PC level'!$J$5:$BC$25,6,0)),""),""),"")</f>
        <v/>
      </c>
      <c r="O30" s="1891" t="str">
        <f>IF('Validation summary'!$B$2="2024-25",IFERROR(IF(AND($F30="End of period",$H30=TRUE),(HLOOKUP($D30,'Model outputs - PC level'!$J$5:$BC$25,5,0) + HLOOKUP($D30,'Model outputs - PC level'!$J$5:$BC$25,6,0)),""),""),"")</f>
        <v/>
      </c>
      <c r="P30" s="1894"/>
      <c r="Q30" s="1894"/>
    </row>
    <row r="31" spans="4:19">
      <c r="D31" s="1477" t="str">
        <v/>
      </c>
      <c r="E31" s="1477" t="str">
        <v/>
      </c>
      <c r="F31" s="1886" t="str">
        <v/>
      </c>
      <c r="G31" s="1886" t="str">
        <v/>
      </c>
      <c r="H31" s="1886" t="b">
        <v>1</v>
      </c>
      <c r="I31" s="1886" t="b">
        <v>0</v>
      </c>
      <c r="J31" s="1886" t="str">
        <f>'3A'!AN35</f>
        <v>APR3A_83</v>
      </c>
      <c r="K31" s="577" t="str">
        <f>IFERROR(VLOOKUP($D31,'Accrued ODI payments'!$M$14:$R$26,3,0),"")</f>
        <v/>
      </c>
      <c r="L31" s="625" t="str">
        <f>IFERROR(VLOOKUP($D31,'Accrued ODI payments'!$M$14:$R$26,4,0),"")</f>
        <v/>
      </c>
      <c r="M31" s="1891" t="str">
        <f>IFERROR(VLOOKUP($D31,'Accrued ODI payments'!$M$14:$R$26,5,0),"")</f>
        <v/>
      </c>
      <c r="N31" s="625" t="str">
        <f>IF('Validation summary'!$B$2="2023-24",IFERROR(IF(AND($F31="End of period",$H31=TRUE),(HLOOKUP($D31,'Model outputs - PC level'!$J$5:$BC$25,5,0) + HLOOKUP($D31,'Model outputs - PC level'!$J$5:$BC$25,6,0)),""),""),"")</f>
        <v/>
      </c>
      <c r="O31" s="1891" t="str">
        <f>IF('Validation summary'!$B$2="2024-25",IFERROR(IF(AND($F31="End of period",$H31=TRUE),(HLOOKUP($D31,'Model outputs - PC level'!$J$5:$BC$25,5,0) + HLOOKUP($D31,'Model outputs - PC level'!$J$5:$BC$25,6,0)),""),""),"")</f>
        <v/>
      </c>
      <c r="P31" s="1894"/>
      <c r="Q31" s="1894"/>
    </row>
    <row r="32" spans="4:19">
      <c r="D32" s="1477" t="str">
        <v/>
      </c>
      <c r="E32" s="1477" t="str">
        <v/>
      </c>
      <c r="F32" s="1886" t="str">
        <v/>
      </c>
      <c r="G32" s="1886" t="str">
        <v/>
      </c>
      <c r="H32" s="1886" t="b">
        <v>1</v>
      </c>
      <c r="I32" s="1886" t="b">
        <v>0</v>
      </c>
      <c r="J32" s="1886" t="str">
        <f>'3A'!AN36</f>
        <v>APR3A_84</v>
      </c>
      <c r="K32" s="577" t="str">
        <f>IFERROR(VLOOKUP($D32,'Accrued ODI payments'!$M$14:$R$26,3,0),"")</f>
        <v/>
      </c>
      <c r="L32" s="625" t="str">
        <f>IFERROR(VLOOKUP($D32,'Accrued ODI payments'!$M$14:$R$26,4,0),"")</f>
        <v/>
      </c>
      <c r="M32" s="1891" t="str">
        <f>IFERROR(VLOOKUP($D32,'Accrued ODI payments'!$M$14:$R$26,5,0),"")</f>
        <v/>
      </c>
      <c r="N32" s="625" t="str">
        <f>IF('Validation summary'!$B$2="2023-24",IFERROR(IF(AND($F32="End of period",$H32=TRUE),(HLOOKUP($D32,'Model outputs - PC level'!$J$5:$BC$25,5,0) + HLOOKUP($D32,'Model outputs - PC level'!$J$5:$BC$25,6,0)),""),""),"")</f>
        <v/>
      </c>
      <c r="O32" s="1891" t="str">
        <f>IF('Validation summary'!$B$2="2024-25",IFERROR(IF(AND($F32="End of period",$H32=TRUE),(HLOOKUP($D32,'Model outputs - PC level'!$J$5:$BC$25,5,0) + HLOOKUP($D32,'Model outputs - PC level'!$J$5:$BC$25,6,0)),""),""),"")</f>
        <v/>
      </c>
      <c r="P32" s="1894"/>
      <c r="Q32" s="1894"/>
    </row>
    <row r="33" spans="4:19">
      <c r="D33" s="1477" t="str">
        <v/>
      </c>
      <c r="E33" s="1477" t="str">
        <v/>
      </c>
      <c r="F33" s="1886" t="str">
        <v/>
      </c>
      <c r="G33" s="1886" t="str">
        <v/>
      </c>
      <c r="H33" s="1886" t="b">
        <v>1</v>
      </c>
      <c r="I33" s="1886" t="b">
        <v>0</v>
      </c>
      <c r="J33" s="1886" t="str">
        <f>'3A'!AN37</f>
        <v>APR3A_85</v>
      </c>
      <c r="K33" s="577" t="str">
        <f>IFERROR(VLOOKUP($D33,'Accrued ODI payments'!$M$14:$R$26,3,0),"")</f>
        <v/>
      </c>
      <c r="L33" s="625" t="str">
        <f>IFERROR(VLOOKUP($D33,'Accrued ODI payments'!$M$14:$R$26,4,0),"")</f>
        <v/>
      </c>
      <c r="M33" s="1891" t="str">
        <f>IFERROR(VLOOKUP($D33,'Accrued ODI payments'!$M$14:$R$26,5,0),"")</f>
        <v/>
      </c>
      <c r="N33" s="625" t="str">
        <f>IF('Validation summary'!$B$2="2023-24",IFERROR(IF(AND($F33="End of period",$H33=TRUE),(HLOOKUP($D33,'Model outputs - PC level'!$J$5:$BC$25,5,0) + HLOOKUP($D33,'Model outputs - PC level'!$J$5:$BC$25,6,0)),""),""),"")</f>
        <v/>
      </c>
      <c r="O33" s="1891" t="str">
        <f>IF('Validation summary'!$B$2="2024-25",IFERROR(IF(AND($F33="End of period",$H33=TRUE),(HLOOKUP($D33,'Model outputs - PC level'!$J$5:$BC$25,5,0) + HLOOKUP($D33,'Model outputs - PC level'!$J$5:$BC$25,6,0)),""),""),"")</f>
        <v/>
      </c>
      <c r="P33" s="1894"/>
      <c r="Q33" s="1894"/>
      <c r="S33" s="1889"/>
    </row>
    <row r="34" spans="4:19">
      <c r="D34" s="1477" t="str">
        <v/>
      </c>
      <c r="E34" s="1477" t="str">
        <v/>
      </c>
      <c r="F34" s="1886" t="str">
        <v/>
      </c>
      <c r="G34" s="1886" t="str">
        <v/>
      </c>
      <c r="H34" s="1886" t="b">
        <v>1</v>
      </c>
      <c r="I34" s="1886" t="b">
        <v>0</v>
      </c>
      <c r="J34" s="1886" t="str">
        <f>'3A'!AN38</f>
        <v>APR3A_86</v>
      </c>
      <c r="K34" s="577" t="str">
        <f>IFERROR(VLOOKUP($D34,'Accrued ODI payments'!$M$14:$R$26,3,0),"")</f>
        <v/>
      </c>
      <c r="L34" s="625" t="str">
        <f>IFERROR(VLOOKUP($D34,'Accrued ODI payments'!$M$14:$R$26,4,0),"")</f>
        <v/>
      </c>
      <c r="M34" s="1891" t="str">
        <f>IFERROR(VLOOKUP($D34,'Accrued ODI payments'!$M$14:$R$26,5,0),"")</f>
        <v/>
      </c>
      <c r="N34" s="625" t="str">
        <f>IF('Validation summary'!$B$2="2023-24",IFERROR(IF(AND($F34="End of period",$H34=TRUE),(HLOOKUP($D34,'Model outputs - PC level'!$J$5:$BC$25,5,0) + HLOOKUP($D34,'Model outputs - PC level'!$J$5:$BC$25,6,0)),""),""),"")</f>
        <v/>
      </c>
      <c r="O34" s="1891" t="str">
        <f>IF('Validation summary'!$B$2="2024-25",IFERROR(IF(AND($F34="End of period",$H34=TRUE),(HLOOKUP($D34,'Model outputs - PC level'!$J$5:$BC$25,5,0) + HLOOKUP($D34,'Model outputs - PC level'!$J$5:$BC$25,6,0)),""),""),"")</f>
        <v/>
      </c>
      <c r="P34" s="1894"/>
      <c r="Q34" s="1894"/>
      <c r="S34" s="1889"/>
    </row>
    <row r="35" spans="4:19">
      <c r="D35" s="1477" t="str">
        <v>PR19ANH_7</v>
      </c>
      <c r="E35" s="1477" t="str">
        <v>Internal sewer flooding</v>
      </c>
      <c r="F35" s="1886" t="str">
        <v>In-period</v>
      </c>
      <c r="G35" s="1886" t="str">
        <v>Revenue</v>
      </c>
      <c r="H35" s="1886" t="b">
        <v>1</v>
      </c>
      <c r="I35" s="1886" t="b">
        <v>1</v>
      </c>
      <c r="J35" s="1886" t="str">
        <f>'3B'!AN9</f>
        <v>APR3B_09</v>
      </c>
      <c r="K35" s="1896"/>
      <c r="L35" s="1898"/>
      <c r="M35" s="1897"/>
      <c r="N35" s="1898"/>
      <c r="O35" s="1897"/>
      <c r="P35" s="1899"/>
      <c r="Q35" s="1899"/>
      <c r="S35" s="1889"/>
    </row>
    <row r="36" spans="4:19">
      <c r="D36" s="1477" t="str">
        <v>PR19ANH_8</v>
      </c>
      <c r="E36" s="1477" t="str">
        <v>Pollution incidents</v>
      </c>
      <c r="F36" s="1886" t="str">
        <v>In-period</v>
      </c>
      <c r="G36" s="1886" t="str">
        <v>Revenue</v>
      </c>
      <c r="H36" s="1886" t="b">
        <v>1</v>
      </c>
      <c r="I36" s="1886" t="b">
        <v>1</v>
      </c>
      <c r="J36" s="1886" t="str">
        <f>'3B'!AN10</f>
        <v>APR3B_10</v>
      </c>
      <c r="K36" s="1896"/>
      <c r="L36" s="1898"/>
      <c r="M36" s="1897"/>
      <c r="N36" s="1898"/>
      <c r="O36" s="1897"/>
      <c r="P36" s="1899"/>
      <c r="Q36" s="1899"/>
      <c r="S36" s="1889"/>
    </row>
    <row r="37" spans="4:19">
      <c r="D37" s="1477" t="str">
        <v>PR19ANH_13</v>
      </c>
      <c r="E37" s="1477" t="str">
        <v>Sewer collapses</v>
      </c>
      <c r="F37" s="1886" t="str">
        <v>In-period</v>
      </c>
      <c r="G37" s="1886" t="str">
        <v>Revenue</v>
      </c>
      <c r="H37" s="1886" t="b">
        <v>1</v>
      </c>
      <c r="I37" s="1886" t="b">
        <v>1</v>
      </c>
      <c r="J37" s="1886" t="str">
        <f>'3B'!AN11</f>
        <v>APR3B_11</v>
      </c>
      <c r="K37" s="1896"/>
      <c r="L37" s="1898"/>
      <c r="M37" s="1897"/>
      <c r="N37" s="1898"/>
      <c r="O37" s="1897"/>
      <c r="P37" s="1899"/>
      <c r="Q37" s="1899"/>
      <c r="S37" s="1889"/>
    </row>
    <row r="38" spans="4:19">
      <c r="D38" s="1477" t="str">
        <v>PR19ANH_14</v>
      </c>
      <c r="E38" s="1477" t="str">
        <v>Treatment works compliance</v>
      </c>
      <c r="F38" s="1886" t="str">
        <v>In-period</v>
      </c>
      <c r="G38" s="1886" t="str">
        <v>Revenue</v>
      </c>
      <c r="H38" s="1886" t="b">
        <v>1</v>
      </c>
      <c r="I38" s="1886" t="b">
        <v>1</v>
      </c>
      <c r="J38" s="1886" t="str">
        <f>'3B'!AN12</f>
        <v>APR3B_12</v>
      </c>
      <c r="K38" s="1896"/>
      <c r="L38" s="1898"/>
      <c r="M38" s="1897"/>
      <c r="N38" s="1898"/>
      <c r="O38" s="1897"/>
      <c r="P38" s="1899"/>
      <c r="Q38" s="1899"/>
      <c r="S38" s="1889"/>
    </row>
    <row r="39" spans="4:19">
      <c r="D39" s="1477" t="str">
        <v>PR19ANH_17</v>
      </c>
      <c r="E39" s="1477" t="str">
        <v>External Sewer Flooding</v>
      </c>
      <c r="F39" s="1886" t="str">
        <v>In-period</v>
      </c>
      <c r="G39" s="1886" t="str">
        <v>Revenue</v>
      </c>
      <c r="H39" s="1886" t="b">
        <v>1</v>
      </c>
      <c r="I39" s="1886" t="b">
        <v>1</v>
      </c>
      <c r="J39" s="1886" t="str">
        <f>'3B'!AN15</f>
        <v>APR3B_46</v>
      </c>
      <c r="K39" s="577" t="str">
        <f>IFERROR(VLOOKUP($D39,'Accrued ODI payments'!$M$14:$R$26,3,0),"")</f>
        <v/>
      </c>
      <c r="L39" s="625" t="str">
        <f>IFERROR(VLOOKUP($D39,'Accrued ODI payments'!$M$14:$R$26,4,0),"")</f>
        <v/>
      </c>
      <c r="M39" s="1891" t="str">
        <f>IFERROR(VLOOKUP($D39,'Accrued ODI payments'!$M$14:$R$26,5,0),"")</f>
        <v/>
      </c>
      <c r="N39" s="625" t="str">
        <f>IF('Validation summary'!$B$2="2023-24",IFERROR(IF(AND($F39="End of period",$H39=TRUE),(HLOOKUP($D39,'Model outputs - PC level'!$J$5:$BC$25,5,0) + HLOOKUP($D39,'Model outputs - PC level'!$J$5:$BC$25,6,0)),""),""),"")</f>
        <v/>
      </c>
      <c r="O39" s="1891" t="str">
        <f>IF('Validation summary'!$B$2="2024-25",IFERROR(IF(AND($F39="End of period",$H39=TRUE),(HLOOKUP($D39,'Model outputs - PC level'!$J$5:$BC$25,5,0) + HLOOKUP($D39,'Model outputs - PC level'!$J$5:$BC$25,6,0)),""),""),"")</f>
        <v/>
      </c>
      <c r="P39" s="1894"/>
      <c r="Q39" s="1894"/>
      <c r="S39" s="1889"/>
    </row>
    <row r="40" spans="4:19">
      <c r="D40" s="1409" t="str">
        <v>PR19ANH_19</v>
      </c>
      <c r="E40" s="1409" t="str">
        <v>Bathing Waters Attaining Excellent Status</v>
      </c>
      <c r="F40" s="1886" t="str">
        <v>End of period</v>
      </c>
      <c r="G40" s="1886" t="str">
        <v>Revenue</v>
      </c>
      <c r="H40" s="1886" t="b">
        <v>1</v>
      </c>
      <c r="I40" s="1886" t="b">
        <v>0</v>
      </c>
      <c r="J40" s="1886" t="str">
        <f>'3B'!AN16</f>
        <v>APR3B_47</v>
      </c>
      <c r="K40" s="577" t="str">
        <f>IFERROR(VLOOKUP($D40,'Accrued ODI payments'!$M$14:$R$26,3,0),"")</f>
        <v/>
      </c>
      <c r="L40" s="625" t="str">
        <f>IFERROR(VLOOKUP($D40,'Accrued ODI payments'!$M$14:$R$26,4,0),"")</f>
        <v/>
      </c>
      <c r="M40" s="1891" t="str">
        <f>IFERROR(VLOOKUP($D40,'Accrued ODI payments'!$M$14:$R$26,5,0),"")</f>
        <v/>
      </c>
      <c r="N40" s="625" t="str">
        <f>IF('Validation summary'!$B$2="2023-24",IFERROR(IF(AND($F40="End of period",$H40=TRUE),(HLOOKUP($D40,'Model outputs - PC level'!$J$5:$BC$25,5,0) + HLOOKUP($D40,'Model outputs - PC level'!$J$5:$BC$25,6,0)),""),""),"")</f>
        <v/>
      </c>
      <c r="O40" s="1891">
        <f>IF('Validation summary'!$B$2="2024-25",IFERROR(IF(AND($F40="End of period",$H40=TRUE),(HLOOKUP($D40,'Model outputs - PC level'!$J$5:$BC$25,5,0) + HLOOKUP($D40,'Model outputs - PC level'!$J$5:$BC$25,6,0)),""),""),"")</f>
        <v>-1.1240000000000001</v>
      </c>
      <c r="P40" s="1894"/>
      <c r="Q40" s="1894"/>
      <c r="S40" s="1889"/>
    </row>
    <row r="41" spans="4:19">
      <c r="D41" s="1409" t="str">
        <v>PR19ANH_32</v>
      </c>
      <c r="E41" s="1409" t="str">
        <v>Water Industry National Environment Programme</v>
      </c>
      <c r="F41" s="1886" t="str">
        <v>In-period</v>
      </c>
      <c r="G41" s="1886" t="str">
        <v>Revenue</v>
      </c>
      <c r="H41" s="1886" t="b">
        <v>1</v>
      </c>
      <c r="I41" s="1886" t="b">
        <v>1</v>
      </c>
      <c r="J41" s="1886" t="str">
        <f>'3B'!AN17</f>
        <v>APR3B_48</v>
      </c>
      <c r="K41" s="577" t="str">
        <f>IFERROR(VLOOKUP($D41,'Accrued ODI payments'!$M$14:$R$26,3,0),"")</f>
        <v/>
      </c>
      <c r="L41" s="625" t="str">
        <f>IFERROR(VLOOKUP($D41,'Accrued ODI payments'!$M$14:$R$26,4,0),"")</f>
        <v/>
      </c>
      <c r="M41" s="1891" t="str">
        <f>IFERROR(VLOOKUP($D41,'Accrued ODI payments'!$M$14:$R$26,5,0),"")</f>
        <v/>
      </c>
      <c r="N41" s="625" t="str">
        <f>IF('Validation summary'!$B$2="2023-24",IFERROR(IF(AND($F41="End of period",$H41=TRUE),(HLOOKUP($D41,'Model outputs - PC level'!$J$5:$BC$25,5,0) + HLOOKUP($D41,'Model outputs - PC level'!$J$5:$BC$25,6,0)),""),""),"")</f>
        <v/>
      </c>
      <c r="O41" s="1891" t="str">
        <f>IF('Validation summary'!$B$2="2024-25",IFERROR(IF(AND($F41="End of period",$H41=TRUE),(HLOOKUP($D41,'Model outputs - PC level'!$J$5:$BC$25,5,0) + HLOOKUP($D41,'Model outputs - PC level'!$J$5:$BC$25,6,0)),""),""),"")</f>
        <v/>
      </c>
      <c r="P41" s="1894"/>
      <c r="Q41" s="1894"/>
      <c r="S41" s="1889"/>
    </row>
    <row r="42" spans="4:19">
      <c r="D42" s="1409" t="str">
        <v>PR19ANH_42</v>
      </c>
      <c r="E42" s="1409" t="str">
        <v>Partnership working on pluvial and fluvial flood risk</v>
      </c>
      <c r="F42" s="1886" t="str">
        <v>End of period</v>
      </c>
      <c r="G42" s="1886" t="str">
        <v>Revenue</v>
      </c>
      <c r="H42" s="1886" t="b">
        <v>1</v>
      </c>
      <c r="I42" s="1886" t="b">
        <v>0</v>
      </c>
      <c r="J42" s="1886" t="str">
        <f>'3B'!AN18</f>
        <v>APR3B_49</v>
      </c>
      <c r="K42" s="577" t="str">
        <f>IFERROR(VLOOKUP($D42,'Accrued ODI payments'!$M$14:$R$26,3,0),"")</f>
        <v/>
      </c>
      <c r="L42" s="625" t="str">
        <f>IFERROR(VLOOKUP($D42,'Accrued ODI payments'!$M$14:$R$26,4,0),"")</f>
        <v/>
      </c>
      <c r="M42" s="1891" t="str">
        <f>IFERROR(VLOOKUP($D42,'Accrued ODI payments'!$M$14:$R$26,5,0),"")</f>
        <v/>
      </c>
      <c r="N42" s="625" t="str">
        <f>IF('Validation summary'!$B$2="2023-24",IFERROR(IF(AND($F42="End of period",$H42=TRUE),(HLOOKUP($D42,'Model outputs - PC level'!$J$5:$BC$25,5,0) + HLOOKUP($D42,'Model outputs - PC level'!$J$5:$BC$25,6,0)),""),""),"")</f>
        <v/>
      </c>
      <c r="O42" s="1891">
        <f>IF('Validation summary'!$B$2="2024-25",IFERROR(IF(AND($F42="End of period",$H42=TRUE),(HLOOKUP($D42,'Model outputs - PC level'!$J$5:$BC$25,5,0) + HLOOKUP($D42,'Model outputs - PC level'!$J$5:$BC$25,6,0)),""),""),"")</f>
        <v>0</v>
      </c>
      <c r="P42" s="1894"/>
      <c r="Q42" s="1894"/>
    </row>
    <row r="43" spans="4:19">
      <c r="D43" s="1409" t="str">
        <v>PR19CMA_ANH-01</v>
      </c>
      <c r="E43" s="1409" t="str">
        <v>Additional sludge treatment capacity at Whitlingham</v>
      </c>
      <c r="F43" s="1886" t="str">
        <v>End of period</v>
      </c>
      <c r="G43" s="1886" t="str">
        <v>RCV</v>
      </c>
      <c r="H43" s="1886" t="b">
        <v>1</v>
      </c>
      <c r="I43" s="1886" t="b">
        <v>0</v>
      </c>
      <c r="J43" s="1886" t="str">
        <f>'3B'!AN19</f>
        <v>APR3B_50</v>
      </c>
      <c r="K43" s="577" t="str">
        <f>IFERROR(VLOOKUP($D43,'Accrued ODI payments'!$M$14:$R$26,3,0),"")</f>
        <v/>
      </c>
      <c r="L43" s="625" t="str">
        <f>IFERROR(VLOOKUP($D43,'Accrued ODI payments'!$M$14:$R$26,4,0),"")</f>
        <v/>
      </c>
      <c r="M43" s="1891" t="str">
        <f>IFERROR(VLOOKUP($D43,'Accrued ODI payments'!$M$14:$R$26,5,0),"")</f>
        <v/>
      </c>
      <c r="N43" s="625" t="str">
        <f>IF('Validation summary'!$B$2="2023-24",IFERROR(IF(AND($F43="End of period",$H43=TRUE),(HLOOKUP($D43,'Model outputs - PC level'!$J$5:$BC$25,5,0) + HLOOKUP($D43,'Model outputs - PC level'!$J$5:$BC$25,6,0)),""),""),"")</f>
        <v/>
      </c>
      <c r="O43" s="1891">
        <f>IF('Validation summary'!$B$2="2024-25",IFERROR(IF(AND($F43="End of period",$H43=TRUE),(HLOOKUP($D43,'Model outputs - PC level'!$J$5:$BC$25,5,0) + HLOOKUP($D43,'Model outputs - PC level'!$J$5:$BC$25,6,0)),""),""),"")</f>
        <v>0</v>
      </c>
      <c r="P43" s="1894"/>
      <c r="Q43" s="1894"/>
    </row>
    <row r="44" spans="4:19">
      <c r="D44" s="1409" t="str">
        <v/>
      </c>
      <c r="E44" s="1409" t="str">
        <v/>
      </c>
      <c r="F44" s="1886" t="str">
        <v/>
      </c>
      <c r="G44" s="1886" t="str">
        <v/>
      </c>
      <c r="H44" s="1886" t="b">
        <v>1</v>
      </c>
      <c r="I44" s="1886" t="b">
        <v>0</v>
      </c>
      <c r="J44" s="1886" t="str">
        <f>'3B'!AN20</f>
        <v>APR3B_51</v>
      </c>
      <c r="K44" s="577" t="str">
        <f>IFERROR(VLOOKUP($D44,'Accrued ODI payments'!$M$14:$R$26,3,0),"")</f>
        <v/>
      </c>
      <c r="L44" s="625" t="str">
        <f>IFERROR(VLOOKUP($D44,'Accrued ODI payments'!$M$14:$R$26,4,0),"")</f>
        <v/>
      </c>
      <c r="M44" s="1891" t="str">
        <f>IFERROR(VLOOKUP($D44,'Accrued ODI payments'!$M$14:$R$26,5,0),"")</f>
        <v/>
      </c>
      <c r="N44" s="625" t="str">
        <f>IF('Validation summary'!$B$2="2023-24",IFERROR(IF(AND($F44="End of period",$H44=TRUE),(HLOOKUP($D44,'Model outputs - PC level'!$J$5:$BC$25,5,0) + HLOOKUP($D44,'Model outputs - PC level'!$J$5:$BC$25,6,0)),""),""),"")</f>
        <v/>
      </c>
      <c r="O44" s="1891" t="str">
        <f>IF('Validation summary'!$B$2="2024-25",IFERROR(IF(AND($F44="End of period",$H44=TRUE),(HLOOKUP($D44,'Model outputs - PC level'!$J$5:$BC$25,5,0) + HLOOKUP($D44,'Model outputs - PC level'!$J$5:$BC$25,6,0)),""),""),"")</f>
        <v/>
      </c>
      <c r="P44" s="1894"/>
      <c r="Q44" s="1894"/>
    </row>
    <row r="45" spans="4:19">
      <c r="D45" s="1409" t="str">
        <v/>
      </c>
      <c r="E45" s="1409" t="str">
        <v/>
      </c>
      <c r="F45" s="1886" t="str">
        <v/>
      </c>
      <c r="G45" s="1886" t="str">
        <v/>
      </c>
      <c r="H45" s="1886" t="b">
        <v>1</v>
      </c>
      <c r="I45" s="1886" t="b">
        <v>0</v>
      </c>
      <c r="J45" s="1886" t="str">
        <f>'3B'!AN21</f>
        <v>APR3B_52</v>
      </c>
      <c r="K45" s="577" t="str">
        <f>IFERROR(VLOOKUP($D45,'Accrued ODI payments'!$M$14:$R$26,3,0),"")</f>
        <v/>
      </c>
      <c r="L45" s="625" t="str">
        <f>IFERROR(VLOOKUP($D45,'Accrued ODI payments'!$M$14:$R$26,4,0),"")</f>
        <v/>
      </c>
      <c r="M45" s="1891" t="str">
        <f>IFERROR(VLOOKUP($D45,'Accrued ODI payments'!$M$14:$R$26,5,0),"")</f>
        <v/>
      </c>
      <c r="N45" s="625" t="str">
        <f>IF('Validation summary'!$B$2="2023-24",IFERROR(IF(AND($F45="End of period",$H45=TRUE),(HLOOKUP($D45,'Model outputs - PC level'!$J$5:$BC$25,5,0) + HLOOKUP($D45,'Model outputs - PC level'!$J$5:$BC$25,6,0)),""),""),"")</f>
        <v/>
      </c>
      <c r="O45" s="1891" t="str">
        <f>IF('Validation summary'!$B$2="2024-25",IFERROR(IF(AND($F45="End of period",$H45=TRUE),(HLOOKUP($D45,'Model outputs - PC level'!$J$5:$BC$25,5,0) + HLOOKUP($D45,'Model outputs - PC level'!$J$5:$BC$25,6,0)),""),""),"")</f>
        <v/>
      </c>
      <c r="P45" s="1894"/>
      <c r="Q45" s="1894"/>
    </row>
    <row r="46" spans="4:19">
      <c r="D46" s="1409" t="str">
        <v/>
      </c>
      <c r="E46" s="1409" t="str">
        <v/>
      </c>
      <c r="F46" s="1886" t="str">
        <v/>
      </c>
      <c r="G46" s="1886" t="str">
        <v/>
      </c>
      <c r="H46" s="1886" t="b">
        <v>1</v>
      </c>
      <c r="I46" s="1886" t="b">
        <v>0</v>
      </c>
      <c r="J46" s="1886" t="str">
        <f>'3B'!AN22</f>
        <v>APR3B_53</v>
      </c>
      <c r="K46" s="577" t="str">
        <f>IFERROR(VLOOKUP($D46,'Accrued ODI payments'!$M$14:$R$26,3,0),"")</f>
        <v/>
      </c>
      <c r="L46" s="625" t="str">
        <f>IFERROR(VLOOKUP($D46,'Accrued ODI payments'!$M$14:$R$26,4,0),"")</f>
        <v/>
      </c>
      <c r="M46" s="1891" t="str">
        <f>IFERROR(VLOOKUP($D46,'Accrued ODI payments'!$M$14:$R$26,5,0),"")</f>
        <v/>
      </c>
      <c r="N46" s="625" t="str">
        <f>IF('Validation summary'!$B$2="2023-24",IFERROR(IF(AND($F46="End of period",$H46=TRUE),(HLOOKUP($D46,'Model outputs - PC level'!$J$5:$BC$25,5,0) + HLOOKUP($D46,'Model outputs - PC level'!$J$5:$BC$25,6,0)),""),""),"")</f>
        <v/>
      </c>
      <c r="O46" s="1891" t="str">
        <f>IF('Validation summary'!$B$2="2024-25",IFERROR(IF(AND($F46="End of period",$H46=TRUE),(HLOOKUP($D46,'Model outputs - PC level'!$J$5:$BC$25,5,0) + HLOOKUP($D46,'Model outputs - PC level'!$J$5:$BC$25,6,0)),""),""),"")</f>
        <v/>
      </c>
      <c r="P46" s="1894"/>
      <c r="Q46" s="1894"/>
    </row>
    <row r="47" spans="4:19">
      <c r="D47" s="1409" t="str">
        <v/>
      </c>
      <c r="E47" s="1409" t="str">
        <v/>
      </c>
      <c r="F47" s="1886" t="str">
        <v/>
      </c>
      <c r="G47" s="1886" t="str">
        <v/>
      </c>
      <c r="H47" s="1886" t="b">
        <v>1</v>
      </c>
      <c r="I47" s="1886" t="b">
        <v>0</v>
      </c>
      <c r="J47" s="1886" t="str">
        <f>'3B'!AN23</f>
        <v>APR3B_54</v>
      </c>
      <c r="K47" s="577" t="str">
        <f>IFERROR(VLOOKUP($D47,'Accrued ODI payments'!$M$14:$R$26,3,0),"")</f>
        <v/>
      </c>
      <c r="L47" s="625" t="str">
        <f>IFERROR(VLOOKUP($D47,'Accrued ODI payments'!$M$14:$R$26,4,0),"")</f>
        <v/>
      </c>
      <c r="M47" s="1891" t="str">
        <f>IFERROR(VLOOKUP($D47,'Accrued ODI payments'!$M$14:$R$26,5,0),"")</f>
        <v/>
      </c>
      <c r="N47" s="625" t="str">
        <f>IF('Validation summary'!$B$2="2023-24",IFERROR(IF(AND($F47="End of period",$H47=TRUE),(HLOOKUP($D47,'Model outputs - PC level'!$J$5:$BC$25,5,0) + HLOOKUP($D47,'Model outputs - PC level'!$J$5:$BC$25,6,0)),""),""),"")</f>
        <v/>
      </c>
      <c r="O47" s="1891" t="str">
        <f>IF('Validation summary'!$B$2="2024-25",IFERROR(IF(AND($F47="End of period",$H47=TRUE),(HLOOKUP($D47,'Model outputs - PC level'!$J$5:$BC$25,5,0) + HLOOKUP($D47,'Model outputs - PC level'!$J$5:$BC$25,6,0)),""),""),"")</f>
        <v/>
      </c>
      <c r="P47" s="1894"/>
      <c r="Q47" s="1894"/>
    </row>
    <row r="48" spans="4:19">
      <c r="D48" s="1409" t="str">
        <v/>
      </c>
      <c r="E48" s="1409" t="str">
        <v/>
      </c>
      <c r="F48" s="1886" t="str">
        <v/>
      </c>
      <c r="G48" s="1886" t="str">
        <v/>
      </c>
      <c r="H48" s="1886" t="b">
        <v>1</v>
      </c>
      <c r="I48" s="1886" t="b">
        <v>0</v>
      </c>
      <c r="J48" s="1886" t="str">
        <f>'3B'!AN24</f>
        <v>APR3B_55</v>
      </c>
      <c r="K48" s="577" t="str">
        <f>IFERROR(VLOOKUP($D48,'Accrued ODI payments'!$M$14:$R$26,3,0),"")</f>
        <v/>
      </c>
      <c r="L48" s="625" t="str">
        <f>IFERROR(VLOOKUP($D48,'Accrued ODI payments'!$M$14:$R$26,4,0),"")</f>
        <v/>
      </c>
      <c r="M48" s="1891" t="str">
        <f>IFERROR(VLOOKUP($D48,'Accrued ODI payments'!$M$14:$R$26,5,0),"")</f>
        <v/>
      </c>
      <c r="N48" s="625" t="str">
        <f>IF('Validation summary'!$B$2="2023-24",IFERROR(IF(AND($F48="End of period",$H48=TRUE),(HLOOKUP($D48,'Model outputs - PC level'!$J$5:$BC$25,5,0) + HLOOKUP($D48,'Model outputs - PC level'!$J$5:$BC$25,6,0)),""),""),"")</f>
        <v/>
      </c>
      <c r="O48" s="1891" t="str">
        <f>IF('Validation summary'!$B$2="2024-25",IFERROR(IF(AND($F48="End of period",$H48=TRUE),(HLOOKUP($D48,'Model outputs - PC level'!$J$5:$BC$25,5,0) + HLOOKUP($D48,'Model outputs - PC level'!$J$5:$BC$25,6,0)),""),""),"")</f>
        <v/>
      </c>
      <c r="P48" s="1894"/>
      <c r="Q48" s="1894"/>
    </row>
    <row r="49" spans="4:17">
      <c r="D49" s="1409" t="str">
        <v/>
      </c>
      <c r="E49" s="1409" t="str">
        <v/>
      </c>
      <c r="F49" s="1886" t="str">
        <v/>
      </c>
      <c r="G49" s="1886" t="str">
        <v/>
      </c>
      <c r="H49" s="1886" t="b">
        <v>1</v>
      </c>
      <c r="I49" s="1886" t="b">
        <v>0</v>
      </c>
      <c r="J49" s="1886" t="str">
        <f>'3B'!AN25</f>
        <v>APR3B_56</v>
      </c>
      <c r="K49" s="577" t="str">
        <f>IFERROR(VLOOKUP($D49,'Accrued ODI payments'!$M$14:$R$26,3,0),"")</f>
        <v/>
      </c>
      <c r="L49" s="625" t="str">
        <f>IFERROR(VLOOKUP($D49,'Accrued ODI payments'!$M$14:$R$26,4,0),"")</f>
        <v/>
      </c>
      <c r="M49" s="1891" t="str">
        <f>IFERROR(VLOOKUP($D49,'Accrued ODI payments'!$M$14:$R$26,5,0),"")</f>
        <v/>
      </c>
      <c r="N49" s="625" t="str">
        <f>IF('Validation summary'!$B$2="2023-24",IFERROR(IF(AND($F49="End of period",$H49=TRUE),(HLOOKUP($D49,'Model outputs - PC level'!$J$5:$BC$25,5,0) + HLOOKUP($D49,'Model outputs - PC level'!$J$5:$BC$25,6,0)),""),""),"")</f>
        <v/>
      </c>
      <c r="O49" s="1891" t="str">
        <f>IF('Validation summary'!$B$2="2024-25",IFERROR(IF(AND($F49="End of period",$H49=TRUE),(HLOOKUP($D49,'Model outputs - PC level'!$J$5:$BC$25,5,0) + HLOOKUP($D49,'Model outputs - PC level'!$J$5:$BC$25,6,0)),""),""),"")</f>
        <v/>
      </c>
      <c r="P49" s="1894"/>
      <c r="Q49" s="1894"/>
    </row>
    <row r="50" spans="4:17">
      <c r="D50" s="1409" t="str">
        <v/>
      </c>
      <c r="E50" s="1409" t="str">
        <v/>
      </c>
      <c r="F50" s="1886" t="str">
        <v/>
      </c>
      <c r="G50" s="1886" t="str">
        <v/>
      </c>
      <c r="H50" s="1886" t="b">
        <v>1</v>
      </c>
      <c r="I50" s="1886" t="b">
        <v>0</v>
      </c>
      <c r="J50" s="1886" t="str">
        <f>'3B'!AN26</f>
        <v>APR3B_57</v>
      </c>
      <c r="K50" s="577" t="str">
        <f>IFERROR(VLOOKUP($D50,'Accrued ODI payments'!$M$14:$R$26,3,0),"")</f>
        <v/>
      </c>
      <c r="L50" s="625" t="str">
        <f>IFERROR(VLOOKUP($D50,'Accrued ODI payments'!$M$14:$R$26,4,0),"")</f>
        <v/>
      </c>
      <c r="M50" s="1891" t="str">
        <f>IFERROR(VLOOKUP($D50,'Accrued ODI payments'!$M$14:$R$26,5,0),"")</f>
        <v/>
      </c>
      <c r="N50" s="625" t="str">
        <f>IF('Validation summary'!$B$2="2023-24",IFERROR(IF(AND($F50="End of period",$H50=TRUE),(HLOOKUP($D50,'Model outputs - PC level'!$J$5:$BC$25,5,0) + HLOOKUP($D50,'Model outputs - PC level'!$J$5:$BC$25,6,0)),""),""),"")</f>
        <v/>
      </c>
      <c r="O50" s="1891" t="str">
        <f>IF('Validation summary'!$B$2="2024-25",IFERROR(IF(AND($F50="End of period",$H50=TRUE),(HLOOKUP($D50,'Model outputs - PC level'!$J$5:$BC$25,5,0) + HLOOKUP($D50,'Model outputs - PC level'!$J$5:$BC$25,6,0)),""),""),"")</f>
        <v/>
      </c>
      <c r="P50" s="1894"/>
      <c r="Q50" s="1894"/>
    </row>
    <row r="51" spans="4:17">
      <c r="D51" s="1409" t="str">
        <v/>
      </c>
      <c r="E51" s="1409" t="str">
        <v/>
      </c>
      <c r="F51" s="1886" t="str">
        <v/>
      </c>
      <c r="G51" s="1886" t="str">
        <v/>
      </c>
      <c r="H51" s="1886" t="b">
        <v>1</v>
      </c>
      <c r="I51" s="1886" t="b">
        <v>0</v>
      </c>
      <c r="J51" s="1886" t="str">
        <f>'3B'!AN27</f>
        <v>APR3B_58</v>
      </c>
      <c r="K51" s="577" t="str">
        <f>IFERROR(VLOOKUP($D51,'Accrued ODI payments'!$M$14:$R$26,3,0),"")</f>
        <v/>
      </c>
      <c r="L51" s="625" t="str">
        <f>IFERROR(VLOOKUP($D51,'Accrued ODI payments'!$M$14:$R$26,4,0),"")</f>
        <v/>
      </c>
      <c r="M51" s="1891" t="str">
        <f>IFERROR(VLOOKUP($D51,'Accrued ODI payments'!$M$14:$R$26,5,0),"")</f>
        <v/>
      </c>
      <c r="N51" s="625" t="str">
        <f>IF('Validation summary'!$B$2="2023-24",IFERROR(IF(AND($F51="End of period",$H51=TRUE),(HLOOKUP($D51,'Model outputs - PC level'!$J$5:$BC$25,5,0) + HLOOKUP($D51,'Model outputs - PC level'!$J$5:$BC$25,6,0)),""),""),"")</f>
        <v/>
      </c>
      <c r="O51" s="1891" t="str">
        <f>IF('Validation summary'!$B$2="2024-25",IFERROR(IF(AND($F51="End of period",$H51=TRUE),(HLOOKUP($D51,'Model outputs - PC level'!$J$5:$BC$25,5,0) + HLOOKUP($D51,'Model outputs - PC level'!$J$5:$BC$25,6,0)),""),""),"")</f>
        <v/>
      </c>
      <c r="P51" s="1894"/>
      <c r="Q51" s="1894"/>
    </row>
    <row r="52" spans="4:17">
      <c r="D52" s="1409" t="str">
        <v/>
      </c>
      <c r="E52" s="1409" t="str">
        <v/>
      </c>
      <c r="F52" s="1886" t="str">
        <v/>
      </c>
      <c r="G52" s="1886" t="str">
        <v/>
      </c>
      <c r="H52" s="1886" t="b">
        <v>1</v>
      </c>
      <c r="I52" s="1886" t="b">
        <v>0</v>
      </c>
      <c r="J52" s="1886" t="str">
        <f>'3B'!AN28</f>
        <v>APR3B_59</v>
      </c>
      <c r="K52" s="577" t="str">
        <f>IFERROR(VLOOKUP($D52,'Accrued ODI payments'!$M$14:$R$26,3,0),"")</f>
        <v/>
      </c>
      <c r="L52" s="625" t="str">
        <f>IFERROR(VLOOKUP($D52,'Accrued ODI payments'!$M$14:$R$26,4,0),"")</f>
        <v/>
      </c>
      <c r="M52" s="1891" t="str">
        <f>IFERROR(VLOOKUP($D52,'Accrued ODI payments'!$M$14:$R$26,5,0),"")</f>
        <v/>
      </c>
      <c r="N52" s="625" t="str">
        <f>IF('Validation summary'!$B$2="2023-24",IFERROR(IF(AND($F52="End of period",$H52=TRUE),(HLOOKUP($D52,'Model outputs - PC level'!$J$5:$BC$25,5,0) + HLOOKUP($D52,'Model outputs - PC level'!$J$5:$BC$25,6,0)),""),""),"")</f>
        <v/>
      </c>
      <c r="O52" s="1891" t="str">
        <f>IF('Validation summary'!$B$2="2024-25",IFERROR(IF(AND($F52="End of period",$H52=TRUE),(HLOOKUP($D52,'Model outputs - PC level'!$J$5:$BC$25,5,0) + HLOOKUP($D52,'Model outputs - PC level'!$J$5:$BC$25,6,0)),""),""),"")</f>
        <v/>
      </c>
      <c r="P52" s="1894"/>
      <c r="Q52" s="1894"/>
    </row>
    <row r="53" spans="4:17">
      <c r="D53" s="435" t="s">
        <v>2075</v>
      </c>
      <c r="E53" s="435"/>
      <c r="F53" s="435"/>
      <c r="G53" s="435"/>
      <c r="H53" s="435"/>
      <c r="I53" s="435"/>
      <c r="J53" s="435"/>
      <c r="K53" s="1892">
        <f>SUM(K7:K52)</f>
        <v>0</v>
      </c>
      <c r="L53" s="1894">
        <f t="shared" ref="L53:O53" si="0">SUM(L7:L52)</f>
        <v>0</v>
      </c>
      <c r="M53" s="1893">
        <f t="shared" si="0"/>
        <v>0</v>
      </c>
      <c r="N53" s="1894">
        <f t="shared" si="0"/>
        <v>0</v>
      </c>
      <c r="O53" s="1893">
        <f t="shared" si="0"/>
        <v>-1.6102000000000001</v>
      </c>
      <c r="P53" s="1894"/>
      <c r="Q53" s="1894"/>
    </row>
    <row r="54" spans="4:17">
      <c r="K54" s="1884"/>
    </row>
    <row r="55" spans="4:17">
      <c r="K55" s="1884"/>
    </row>
    <row r="56" spans="4:17">
      <c r="K56" s="1884"/>
    </row>
    <row r="57" spans="4:17">
      <c r="K57" s="1884"/>
    </row>
    <row r="58" spans="4:17">
      <c r="K58" s="1884"/>
    </row>
    <row r="59" spans="4:17">
      <c r="K59" s="1884"/>
    </row>
    <row r="60" spans="4:17">
      <c r="K60" s="1884"/>
    </row>
    <row r="61" spans="4:17">
      <c r="K61" s="1884"/>
    </row>
    <row r="62" spans="4:17">
      <c r="K62" s="1884"/>
    </row>
    <row r="63" spans="4:17">
      <c r="K63" s="1884"/>
    </row>
    <row r="64" spans="4:17">
      <c r="K64" s="1884"/>
    </row>
    <row r="65" spans="11:11">
      <c r="K65" s="1884"/>
    </row>
    <row r="66" spans="11:11">
      <c r="K66" s="1884"/>
    </row>
    <row r="67" spans="11:11">
      <c r="K67" s="1884"/>
    </row>
  </sheetData>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25" zeroHeight="1"/>
  <cols>
    <col min="1" max="1" width="2.625" customWidth="1"/>
    <col min="2" max="2" width="77.7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45" thickBot="1">
      <c r="B1" s="2311" t="s">
        <v>128</v>
      </c>
      <c r="C1" s="240"/>
      <c r="D1" s="240"/>
      <c r="E1" s="269"/>
    </row>
    <row r="2" spans="2:6" ht="23.25" thickBot="1">
      <c r="B2" s="1798" t="s">
        <v>129</v>
      </c>
      <c r="C2" s="387" t="s">
        <v>130</v>
      </c>
    </row>
    <row r="3" spans="2:6" ht="23.25" thickBot="1">
      <c r="B3" s="1798" t="s">
        <v>131</v>
      </c>
      <c r="C3" s="387" t="s">
        <v>132</v>
      </c>
      <c r="D3" s="8"/>
      <c r="E3" s="8"/>
      <c r="F3" s="1329" t="str">
        <f>VLOOKUP($B$3,Validation!$B$5:$D$22,3,0)</f>
        <v>WaSC</v>
      </c>
    </row>
    <row r="4" spans="2:6"/>
    <row r="5" spans="2:6" ht="15">
      <c r="B5" s="1329" t="s">
        <v>133</v>
      </c>
    </row>
    <row r="6" spans="2:6"/>
    <row r="7" spans="2:6" ht="25.5">
      <c r="B7" s="1501" t="s">
        <v>134</v>
      </c>
      <c r="C7" s="1502" t="s">
        <v>135</v>
      </c>
      <c r="D7" s="1503" t="s">
        <v>136</v>
      </c>
      <c r="E7" s="1503" t="s">
        <v>137</v>
      </c>
    </row>
    <row r="8" spans="2:6" ht="25.35" customHeight="1">
      <c r="B8" s="2315" t="s">
        <v>138</v>
      </c>
      <c r="C8" s="326" t="str">
        <f>IF($B$3="Select company","",IF(SUM('3A'!$V$9:$Z$16,'3A'!$V$19:$Z$38)&gt;0,"Review validation checks","No issues identified"))</f>
        <v>No issues identified</v>
      </c>
      <c r="D8" s="326" t="str">
        <f>IF($B$3="Select company","",IF(SUM('3A'!$AB$9:$AE$16,'3A'!$AB$19:$AE$38)&gt;0,"Review validation checks","No issues identified"))</f>
        <v>No issues identified</v>
      </c>
      <c r="E8" s="1330" t="str">
        <f>'3A'!$B$53</f>
        <v>Please refer to RAG 4.13 - Guideline for the table definitions in the annual performance report</v>
      </c>
    </row>
    <row r="9" spans="2:6" ht="25.35" customHeight="1">
      <c r="B9" s="325" t="s">
        <v>139</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30" t="str">
        <f>'3B'!B$42</f>
        <v>Please refer to RAG 4.13 - Guideline for the table definitions in the annual performance report</v>
      </c>
    </row>
    <row r="10" spans="2:6" ht="25.35" customHeight="1">
      <c r="B10" s="2316" t="s">
        <v>140</v>
      </c>
      <c r="C10" s="326" t="str">
        <f>IF($B$3="Select company","",IF(SUM('3C'!$P$6:$P$13)&gt;0,"Review validation checks","No issues identified"))</f>
        <v>No issues identified</v>
      </c>
      <c r="D10" s="326" t="str">
        <f>IF($B$3="Select company","",IF(SUM('3C'!$V$6:$V$13)&gt;0,"Review validation checks","No issues identified"))</f>
        <v>No issues identified</v>
      </c>
      <c r="E10" s="1991"/>
    </row>
    <row r="11" spans="2:6" ht="25.35" customHeight="1">
      <c r="B11" s="2316" t="s">
        <v>141</v>
      </c>
      <c r="C11" s="326" t="str">
        <f>IF($B$3="Select company","",IF(SUM('3D'!$Q$6:$Q$10,'3D'!$O$14:$O$63)&gt;0,"Review validation checks","No issues identified"))</f>
        <v>No issues identified</v>
      </c>
      <c r="D11" s="326" t="str">
        <f>IF($B$3="Select company","",IF(SUM('3D'!$W$6:$W$10,'3D'!$X$14:$X$63)&gt;0,"Review validation checks","No issues identified"))</f>
        <v>No issues identified</v>
      </c>
      <c r="E11" s="1991"/>
    </row>
    <row r="12" spans="2:6" ht="25.35" customHeight="1">
      <c r="B12" s="2314" t="s">
        <v>142</v>
      </c>
      <c r="C12" s="326" t="str">
        <f>IF($B$3="Select company","",IF(SUM('3E'!$V$9:$X$13,'3E'!$V$16:$X$38)&gt;0,"Review validation checks","No issues identified"))</f>
        <v>No issues identified</v>
      </c>
      <c r="D12" s="326" t="str">
        <f>IF($B$3="Select company","",IF(SUM('3E'!$AB$9:$AB$13)&gt;0,"Review validation checks","No issues identified"))</f>
        <v>No issues identified</v>
      </c>
      <c r="E12" s="1331" t="str">
        <f>'3E'!$B$52</f>
        <v>Please refer to RAG 4.13 - Guideline for the table definitions in the annual performance report</v>
      </c>
    </row>
    <row r="13" spans="2:6" ht="25.35" customHeight="1">
      <c r="B13" s="2314" t="s">
        <v>143</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31" t="str">
        <f>'3F'!$B$58</f>
        <v>Please refer to RAG 4.13 - Guideline for the table definitions in the annual performance report</v>
      </c>
    </row>
    <row r="14" spans="2:6" ht="25.35" customHeight="1">
      <c r="B14" s="2314" t="s">
        <v>144</v>
      </c>
      <c r="C14" s="1997"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31" t="str">
        <f>'3F.1'!$B$49</f>
        <v>Please refer to RAG 4.13 - Guideline for the table definitions in the annual performance report</v>
      </c>
    </row>
    <row r="15" spans="2:6" ht="25.35" customHeight="1">
      <c r="B15" s="2314" t="s">
        <v>145</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31" t="str">
        <f>'3F.2'!$B$49</f>
        <v>Please refer to RAG 4.13 - Guideline for the table definitions in the annual performance report</v>
      </c>
    </row>
    <row r="16" spans="2:6" ht="25.35" customHeight="1">
      <c r="B16" s="2316" t="s">
        <v>146</v>
      </c>
      <c r="C16" s="326" t="str">
        <f>IF($B$3="Select company","",(IF($F$3="WoC","",IF(SUM('3G'!$W$9:$Y$13)&gt;0,"Review validation checks","No issues identified"))))</f>
        <v>No issues identified</v>
      </c>
      <c r="D16" s="326" t="str">
        <f>IF($B$3="Select company","",(IF($F$3="WoC","",IF(SUM('3G'!$AC$9:$AE$13)&gt;0,"Review validation checks","No issues identified"))))</f>
        <v>No issues identified</v>
      </c>
      <c r="E16" s="2003"/>
    </row>
    <row r="17" spans="2:5" ht="25.35" customHeight="1">
      <c r="B17" s="2314" t="s">
        <v>147</v>
      </c>
      <c r="C17" s="326"/>
      <c r="D17" s="326" t="str">
        <f>IF($B$3="Select company","",IF(SUM('3H'!$AC$10:$AC$34)&gt;0,"Review validation checks","No issues identified"))</f>
        <v>No issues identified</v>
      </c>
      <c r="E17" s="1331" t="str">
        <f>'3H'!$B$46</f>
        <v>Please refer to RAG 4.13 - Guideline for the table definitions in the annual performance report</v>
      </c>
    </row>
    <row r="18" spans="2:5" ht="25.35" customHeight="1">
      <c r="B18" s="2316" t="s">
        <v>148</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02"/>
    </row>
    <row r="19" spans="2:5"/>
    <row r="20" spans="2:5"/>
  </sheetData>
  <conditionalFormatting sqref="C8:D11">
    <cfRule type="cellIs" dxfId="342" priority="5" operator="equal">
      <formula>"Review validation checks"</formula>
    </cfRule>
    <cfRule type="containsBlanks" dxfId="341" priority="6">
      <formula>LEN(TRIM(C8))=0</formula>
    </cfRule>
  </conditionalFormatting>
  <conditionalFormatting sqref="C12:D15">
    <cfRule type="cellIs" dxfId="340" priority="11" operator="equal">
      <formula>"Review validation checks"</formula>
    </cfRule>
    <cfRule type="containsBlanks" dxfId="339" priority="46">
      <formula>LEN(TRIM(C12))=0</formula>
    </cfRule>
  </conditionalFormatting>
  <conditionalFormatting sqref="C14:D15">
    <cfRule type="containsText" dxfId="338" priority="10" operator="containsText" text="[For use by NES and SSC only]">
      <formula>NOT(ISERROR(SEARCH("[For use by NES and SSC only]",C14)))</formula>
    </cfRule>
  </conditionalFormatting>
  <conditionalFormatting sqref="C16:D18">
    <cfRule type="cellIs" dxfId="337" priority="1" operator="equal">
      <formula>"Review validation checks"</formula>
    </cfRule>
    <cfRule type="containsBlanks" dxfId="336"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5"/>
  <cols>
    <col min="1" max="1" width="7.25" style="1347" customWidth="1"/>
    <col min="2" max="2" width="31.625" style="1347" customWidth="1"/>
    <col min="3" max="3" width="144.625" style="1347" customWidth="1"/>
    <col min="4" max="4" width="4.625" style="1347" bestFit="1" customWidth="1"/>
    <col min="5" max="5" width="27.625" style="1347" customWidth="1"/>
    <col min="6" max="6" width="16.5" style="1347" bestFit="1" customWidth="1"/>
    <col min="7" max="7" width="20" style="1347" bestFit="1" customWidth="1"/>
    <col min="8" max="16384" width="9" style="1347"/>
  </cols>
  <sheetData>
    <row r="1" spans="1:7">
      <c r="A1" s="1175"/>
      <c r="C1" s="1347" t="s">
        <v>4905</v>
      </c>
      <c r="F1" s="1348"/>
    </row>
    <row r="2" spans="1:7">
      <c r="A2" s="1347" t="s">
        <v>1798</v>
      </c>
      <c r="B2" s="1347" t="s">
        <v>4906</v>
      </c>
      <c r="C2" s="1347" t="s">
        <v>1906</v>
      </c>
      <c r="D2" s="1347" t="s">
        <v>155</v>
      </c>
      <c r="E2" s="1347" t="s">
        <v>4907</v>
      </c>
      <c r="F2" s="1347" t="s">
        <v>4908</v>
      </c>
      <c r="G2" s="1349" t="str">
        <f>'Validation summary'!B2</f>
        <v>2024-25</v>
      </c>
    </row>
    <row r="4" spans="1:7">
      <c r="B4" s="1177" t="s">
        <v>4909</v>
      </c>
      <c r="C4" s="1348" t="s">
        <v>4910</v>
      </c>
      <c r="D4" s="1348" t="s">
        <v>165</v>
      </c>
      <c r="E4" s="1348" t="s">
        <v>4911</v>
      </c>
      <c r="F4" s="1348"/>
      <c r="G4" s="1176">
        <f>'Model outputs - Aggregate level'!F40</f>
        <v>-8.7999999999999995E-2</v>
      </c>
    </row>
    <row r="5" spans="1:7">
      <c r="B5" s="1177" t="s">
        <v>4912</v>
      </c>
      <c r="C5" s="1348" t="s">
        <v>4913</v>
      </c>
      <c r="D5" s="1348" t="s">
        <v>165</v>
      </c>
      <c r="E5" s="1348" t="s">
        <v>4911</v>
      </c>
      <c r="F5" s="1348"/>
      <c r="G5" s="1176">
        <f>'Model outputs - Aggregate level'!F41</f>
        <v>-19.796139131553161</v>
      </c>
    </row>
    <row r="6" spans="1:7">
      <c r="B6" s="1177" t="s">
        <v>4914</v>
      </c>
      <c r="C6" s="1348" t="s">
        <v>4915</v>
      </c>
      <c r="D6" s="1348" t="s">
        <v>165</v>
      </c>
      <c r="E6" s="1348" t="s">
        <v>4911</v>
      </c>
      <c r="F6" s="1348"/>
      <c r="G6" s="1176">
        <f>'Model outputs - Aggregate level'!F42</f>
        <v>-15.784236999999999</v>
      </c>
    </row>
    <row r="7" spans="1:7">
      <c r="B7" s="1177" t="s">
        <v>4916</v>
      </c>
      <c r="C7" s="1348" t="s">
        <v>4917</v>
      </c>
      <c r="D7" s="1348" t="s">
        <v>165</v>
      </c>
      <c r="E7" s="1348" t="s">
        <v>4911</v>
      </c>
      <c r="F7" s="1348"/>
      <c r="G7" s="1176">
        <f>'Model outputs - Aggregate level'!F43</f>
        <v>0</v>
      </c>
    </row>
    <row r="8" spans="1:7">
      <c r="B8" s="1177" t="s">
        <v>4918</v>
      </c>
      <c r="C8" s="1348" t="s">
        <v>4919</v>
      </c>
      <c r="D8" s="1348" t="s">
        <v>165</v>
      </c>
      <c r="E8" s="1348" t="s">
        <v>4911</v>
      </c>
      <c r="F8" s="1348"/>
      <c r="G8" s="1176">
        <f>'Model outputs - Aggregate level'!F44</f>
        <v>0.89604000000000006</v>
      </c>
    </row>
    <row r="9" spans="1:7">
      <c r="B9" s="1177" t="s">
        <v>4920</v>
      </c>
      <c r="C9" s="1348" t="s">
        <v>4921</v>
      </c>
      <c r="D9" s="1348" t="s">
        <v>165</v>
      </c>
      <c r="E9" s="1348" t="s">
        <v>4911</v>
      </c>
      <c r="F9" s="1348"/>
      <c r="G9" s="1176">
        <f>'Model outputs - Aggregate level'!F45</f>
        <v>0</v>
      </c>
    </row>
    <row r="10" spans="1:7">
      <c r="B10" s="1177" t="s">
        <v>4922</v>
      </c>
      <c r="C10" s="1348" t="s">
        <v>4923</v>
      </c>
      <c r="D10" s="1348" t="s">
        <v>165</v>
      </c>
      <c r="E10" s="1348" t="s">
        <v>4911</v>
      </c>
      <c r="F10" s="1348"/>
      <c r="G10" s="1176">
        <f>'Model outputs - Aggregate level'!F46</f>
        <v>0</v>
      </c>
    </row>
    <row r="11" spans="1:7">
      <c r="B11" s="1177" t="s">
        <v>4924</v>
      </c>
      <c r="C11" s="1348" t="s">
        <v>4925</v>
      </c>
      <c r="D11" s="1348" t="s">
        <v>165</v>
      </c>
      <c r="E11" s="1348" t="s">
        <v>4911</v>
      </c>
      <c r="F11" s="1348"/>
      <c r="G11" s="1176">
        <f>'Model outputs - Aggregate level'!F49</f>
        <v>0</v>
      </c>
    </row>
    <row r="12" spans="1:7">
      <c r="B12" s="1177" t="s">
        <v>4926</v>
      </c>
      <c r="C12" s="1348" t="s">
        <v>4927</v>
      </c>
      <c r="D12" s="1348" t="s">
        <v>165</v>
      </c>
      <c r="E12" s="1348" t="s">
        <v>4911</v>
      </c>
      <c r="F12" s="1348"/>
      <c r="G12" s="1176">
        <f>'Model outputs - Aggregate level'!F50</f>
        <v>-0.48620000000000019</v>
      </c>
    </row>
    <row r="13" spans="1:7">
      <c r="B13" s="1177" t="s">
        <v>4928</v>
      </c>
      <c r="C13" s="1348" t="s">
        <v>4929</v>
      </c>
      <c r="D13" s="1348" t="s">
        <v>165</v>
      </c>
      <c r="E13" s="1348" t="s">
        <v>4911</v>
      </c>
      <c r="F13" s="1348"/>
      <c r="G13" s="1176">
        <f>'Model outputs - Aggregate level'!F51</f>
        <v>-1.1240000000000006</v>
      </c>
    </row>
    <row r="14" spans="1:7">
      <c r="B14" s="1177" t="s">
        <v>4930</v>
      </c>
      <c r="C14" s="1348" t="s">
        <v>4931</v>
      </c>
      <c r="D14" s="1348" t="s">
        <v>165</v>
      </c>
      <c r="E14" s="1348" t="s">
        <v>4911</v>
      </c>
      <c r="F14" s="1348"/>
      <c r="G14" s="1176">
        <f>'Model outputs - Aggregate level'!F52</f>
        <v>0</v>
      </c>
    </row>
    <row r="15" spans="1:7">
      <c r="B15" s="1177" t="s">
        <v>4932</v>
      </c>
      <c r="C15" s="1348" t="s">
        <v>4933</v>
      </c>
      <c r="D15" s="1348" t="s">
        <v>165</v>
      </c>
      <c r="E15" s="1348" t="s">
        <v>4911</v>
      </c>
      <c r="F15" s="1348"/>
      <c r="G15" s="1176">
        <f>'Model outputs - Aggregate level'!F53</f>
        <v>0</v>
      </c>
    </row>
    <row r="16" spans="1:7">
      <c r="B16" s="1177" t="s">
        <v>4934</v>
      </c>
      <c r="C16" s="1348" t="s">
        <v>4935</v>
      </c>
      <c r="D16" s="1348" t="s">
        <v>165</v>
      </c>
      <c r="E16" s="1348" t="s">
        <v>4911</v>
      </c>
      <c r="F16" s="1348"/>
      <c r="G16" s="1176">
        <f>'Model outputs - Aggregate level'!F54</f>
        <v>0</v>
      </c>
    </row>
    <row r="17" spans="1:7">
      <c r="B17" s="1177" t="s">
        <v>4936</v>
      </c>
      <c r="C17" s="1348" t="s">
        <v>4937</v>
      </c>
      <c r="D17" s="1348" t="s">
        <v>165</v>
      </c>
      <c r="E17" s="1348" t="s">
        <v>4911</v>
      </c>
      <c r="F17" s="1348"/>
      <c r="G17" s="1176">
        <f>'Model outputs - Aggregate level'!F55</f>
        <v>0</v>
      </c>
    </row>
    <row r="18" spans="1:7">
      <c r="B18" s="1177" t="s">
        <v>4938</v>
      </c>
      <c r="C18" s="1348" t="s">
        <v>4939</v>
      </c>
      <c r="D18" s="1348" t="s">
        <v>165</v>
      </c>
      <c r="E18" s="1348" t="s">
        <v>4911</v>
      </c>
      <c r="F18" s="1348"/>
      <c r="G18" s="1176">
        <f>'Model outputs - Aggregate level'!F58</f>
        <v>0</v>
      </c>
    </row>
    <row r="19" spans="1:7">
      <c r="B19" s="1177" t="s">
        <v>4940</v>
      </c>
      <c r="C19" s="1348" t="s">
        <v>4941</v>
      </c>
      <c r="D19" s="1348" t="s">
        <v>165</v>
      </c>
      <c r="E19" s="1348" t="s">
        <v>4911</v>
      </c>
      <c r="F19" s="1348"/>
      <c r="G19" s="1176">
        <f>'Model outputs - Aggregate level'!F59</f>
        <v>0</v>
      </c>
    </row>
    <row r="20" spans="1:7">
      <c r="B20" s="1177" t="s">
        <v>4942</v>
      </c>
      <c r="C20" s="1348" t="s">
        <v>4943</v>
      </c>
      <c r="D20" s="1348" t="s">
        <v>165</v>
      </c>
      <c r="E20" s="1348" t="s">
        <v>4911</v>
      </c>
      <c r="F20" s="1348"/>
      <c r="G20" s="1176">
        <f>'Model outputs - Aggregate level'!F60</f>
        <v>0</v>
      </c>
    </row>
    <row r="21" spans="1:7">
      <c r="B21" s="1177" t="s">
        <v>4944</v>
      </c>
      <c r="C21" s="1348" t="s">
        <v>4945</v>
      </c>
      <c r="D21" s="1348" t="s">
        <v>165</v>
      </c>
      <c r="E21" s="1348" t="s">
        <v>4911</v>
      </c>
      <c r="F21" s="1348"/>
      <c r="G21" s="1176">
        <f>'Model outputs - Aggregate level'!F61</f>
        <v>0</v>
      </c>
    </row>
    <row r="22" spans="1:7">
      <c r="B22" s="1177" t="s">
        <v>4946</v>
      </c>
      <c r="C22" s="1348" t="s">
        <v>4947</v>
      </c>
      <c r="D22" s="1348" t="s">
        <v>165</v>
      </c>
      <c r="E22" s="1348" t="s">
        <v>4911</v>
      </c>
      <c r="F22" s="1348"/>
      <c r="G22" s="1176">
        <f>'Model outputs - Aggregate level'!F62</f>
        <v>0</v>
      </c>
    </row>
    <row r="23" spans="1:7">
      <c r="A23" s="1348"/>
      <c r="B23" s="1177" t="s">
        <v>4948</v>
      </c>
      <c r="C23" s="1348" t="s">
        <v>4949</v>
      </c>
      <c r="D23" s="1348" t="s">
        <v>165</v>
      </c>
      <c r="E23" s="1348" t="s">
        <v>4911</v>
      </c>
      <c r="F23" s="1348"/>
      <c r="G23" s="1176">
        <f>'Model outputs - Aggregate level'!F63</f>
        <v>0</v>
      </c>
    </row>
    <row r="24" spans="1:7">
      <c r="A24" s="1348"/>
      <c r="B24" s="1177" t="s">
        <v>4950</v>
      </c>
      <c r="C24" s="1348" t="s">
        <v>4951</v>
      </c>
      <c r="D24" s="1348" t="s">
        <v>165</v>
      </c>
      <c r="E24" s="1348" t="s">
        <v>4911</v>
      </c>
      <c r="F24" s="1348"/>
      <c r="G24" s="1176">
        <f>'Model outputs - Aggregate level'!F64</f>
        <v>0</v>
      </c>
    </row>
    <row r="25" spans="1:7">
      <c r="A25" s="1348"/>
      <c r="B25" s="1177" t="s">
        <v>4952</v>
      </c>
      <c r="C25" s="1348" t="s">
        <v>4953</v>
      </c>
      <c r="D25" s="1348" t="s">
        <v>1857</v>
      </c>
      <c r="E25" s="1348" t="s">
        <v>4911</v>
      </c>
      <c r="F25" s="1348" t="str">
        <f>'Model outputs - Interventions'!F7</f>
        <v>PR19ANH_3</v>
      </c>
      <c r="G25" s="1176">
        <f>'Model outputs - Interventions'!K7</f>
        <v>2.13</v>
      </c>
    </row>
    <row r="26" spans="1:7">
      <c r="A26" s="1348"/>
      <c r="B26" s="1177" t="s">
        <v>4954</v>
      </c>
      <c r="C26" s="1348" t="s">
        <v>4955</v>
      </c>
      <c r="D26" s="1348" t="s">
        <v>1857</v>
      </c>
      <c r="E26" s="1348" t="s">
        <v>4911</v>
      </c>
      <c r="F26" s="1348" t="str">
        <f>'Model outputs - Interventions'!F8</f>
        <v>PR19ANH_4</v>
      </c>
      <c r="G26" s="1176">
        <f>'Model outputs - Interventions'!K8</f>
        <v>4.7596344359324451E-3</v>
      </c>
    </row>
    <row r="27" spans="1:7">
      <c r="A27" s="1348"/>
      <c r="B27" s="1177" t="s">
        <v>4956</v>
      </c>
      <c r="C27" s="1348" t="s">
        <v>4957</v>
      </c>
      <c r="D27" s="1348" t="s">
        <v>1857</v>
      </c>
      <c r="E27" s="1348" t="s">
        <v>4911</v>
      </c>
      <c r="F27" s="1348" t="str">
        <f>'Model outputs - Interventions'!F9</f>
        <v>PR19ANH_5</v>
      </c>
      <c r="G27" s="1176">
        <f>'Model outputs - Interventions'!K9</f>
        <v>3.9155074703760895</v>
      </c>
    </row>
    <row r="28" spans="1:7">
      <c r="A28" s="1348"/>
      <c r="B28" s="1177" t="s">
        <v>4958</v>
      </c>
      <c r="C28" s="1348" t="s">
        <v>4959</v>
      </c>
      <c r="D28" s="1348" t="s">
        <v>1857</v>
      </c>
      <c r="E28" s="1348" t="s">
        <v>4911</v>
      </c>
      <c r="F28" s="1348" t="str">
        <f>'Model outputs - Interventions'!F10</f>
        <v/>
      </c>
      <c r="G28" s="1176" t="str">
        <f>'Model outputs - Interventions'!K10</f>
        <v/>
      </c>
    </row>
    <row r="29" spans="1:7">
      <c r="A29" s="1348"/>
      <c r="B29" s="1177" t="s">
        <v>4960</v>
      </c>
      <c r="C29" s="1348" t="s">
        <v>4961</v>
      </c>
      <c r="D29" s="1348" t="s">
        <v>1857</v>
      </c>
      <c r="E29" s="1348" t="s">
        <v>4911</v>
      </c>
      <c r="F29" s="1348" t="str">
        <f>'Model outputs - Interventions'!F11</f>
        <v>PR19ANH_6</v>
      </c>
      <c r="G29" s="1176">
        <f>'Model outputs - Interventions'!K11</f>
        <v>4.666666666666675</v>
      </c>
    </row>
    <row r="30" spans="1:7">
      <c r="A30" s="1348"/>
      <c r="B30" s="1177" t="s">
        <v>4962</v>
      </c>
      <c r="C30" s="1348" t="s">
        <v>4963</v>
      </c>
      <c r="D30" s="1348" t="s">
        <v>1857</v>
      </c>
      <c r="E30" s="1348" t="s">
        <v>4911</v>
      </c>
      <c r="F30" s="1348" t="str">
        <f>'Model outputs - Interventions'!F12</f>
        <v/>
      </c>
      <c r="G30" s="1176" t="str">
        <f>'Model outputs - Interventions'!K12</f>
        <v/>
      </c>
    </row>
    <row r="31" spans="1:7">
      <c r="A31" s="1348"/>
      <c r="B31" s="1177" t="s">
        <v>4964</v>
      </c>
      <c r="C31" s="1348" t="s">
        <v>4965</v>
      </c>
      <c r="D31" s="1348" t="s">
        <v>1857</v>
      </c>
      <c r="E31" s="1348" t="s">
        <v>4911</v>
      </c>
      <c r="F31" s="1348" t="str">
        <f>'Model outputs - Interventions'!F13</f>
        <v>PR19ANH_11</v>
      </c>
      <c r="G31" s="1176">
        <f>'Model outputs - Interventions'!K13</f>
        <v>133.36935635776922</v>
      </c>
    </row>
    <row r="32" spans="1:7">
      <c r="A32" s="1348"/>
      <c r="B32" s="1177" t="s">
        <v>4966</v>
      </c>
      <c r="C32" s="1348" t="s">
        <v>4967</v>
      </c>
      <c r="D32" s="1348" t="s">
        <v>1857</v>
      </c>
      <c r="E32" s="1348" t="s">
        <v>4911</v>
      </c>
      <c r="F32" s="1348" t="str">
        <f>'Model outputs - Interventions'!F14</f>
        <v>PR19ANH_12</v>
      </c>
      <c r="G32" s="1176">
        <f>'Model outputs - Interventions'!K14</f>
        <v>1.8790051410309851</v>
      </c>
    </row>
    <row r="33" spans="1:7">
      <c r="A33" s="1348"/>
      <c r="B33" s="1177" t="s">
        <v>4968</v>
      </c>
      <c r="C33" s="1348" t="s">
        <v>4969</v>
      </c>
      <c r="D33" s="1348" t="s">
        <v>1857</v>
      </c>
      <c r="E33" s="1348" t="s">
        <v>4911</v>
      </c>
      <c r="F33" s="1348" t="str">
        <f>'Model outputs - Interventions'!F15</f>
        <v>PR19ANH_15</v>
      </c>
      <c r="G33" s="1176">
        <f>'Model outputs - Interventions'!K15</f>
        <v>22.3</v>
      </c>
    </row>
    <row r="34" spans="1:7">
      <c r="A34" s="1348"/>
      <c r="B34" s="1177" t="s">
        <v>4970</v>
      </c>
      <c r="C34" s="1348" t="s">
        <v>4971</v>
      </c>
      <c r="D34" s="1348" t="s">
        <v>1857</v>
      </c>
      <c r="E34" s="1348" t="s">
        <v>4911</v>
      </c>
      <c r="F34" s="1348" t="str">
        <f>'Model outputs - Interventions'!F16</f>
        <v>PR19ANH_16</v>
      </c>
      <c r="G34" s="1176">
        <f>'Model outputs - Interventions'!K16</f>
        <v>62</v>
      </c>
    </row>
    <row r="35" spans="1:7">
      <c r="A35" s="1348"/>
      <c r="B35" s="1177" t="s">
        <v>4972</v>
      </c>
      <c r="C35" s="1348" t="s">
        <v>4973</v>
      </c>
      <c r="D35" s="1348" t="s">
        <v>1857</v>
      </c>
      <c r="E35" s="1348" t="s">
        <v>4911</v>
      </c>
      <c r="F35" s="1348" t="str">
        <f>'Model outputs - Interventions'!F17</f>
        <v>PR19ANH_20</v>
      </c>
      <c r="G35" s="1176">
        <f>'Model outputs - Interventions'!K17</f>
        <v>85</v>
      </c>
    </row>
    <row r="36" spans="1:7">
      <c r="A36" s="1348"/>
      <c r="B36" s="1177" t="s">
        <v>4974</v>
      </c>
      <c r="C36" s="1348" t="s">
        <v>4975</v>
      </c>
      <c r="D36" s="1348" t="s">
        <v>1857</v>
      </c>
      <c r="E36" s="1348" t="s">
        <v>4911</v>
      </c>
      <c r="F36" s="1348" t="str">
        <f>'Model outputs - Interventions'!F18</f>
        <v>PR19ANH_23</v>
      </c>
      <c r="G36" s="1176">
        <f>'Model outputs - Interventions'!K18</f>
        <v>0.06</v>
      </c>
    </row>
    <row r="37" spans="1:7">
      <c r="A37" s="1348"/>
      <c r="B37" s="1177" t="s">
        <v>4976</v>
      </c>
      <c r="C37" s="1348" t="s">
        <v>4977</v>
      </c>
      <c r="D37" s="1348" t="s">
        <v>1857</v>
      </c>
      <c r="E37" s="1348" t="s">
        <v>4911</v>
      </c>
      <c r="F37" s="1348" t="str">
        <f>'Model outputs - Interventions'!F19</f>
        <v>PR19ANH_34</v>
      </c>
      <c r="G37" s="1176">
        <f>'Model outputs - Interventions'!K19</f>
        <v>0.91</v>
      </c>
    </row>
    <row r="38" spans="1:7">
      <c r="A38" s="1348"/>
      <c r="B38" s="1177" t="s">
        <v>4978</v>
      </c>
      <c r="C38" s="1348" t="s">
        <v>4979</v>
      </c>
      <c r="D38" s="1348" t="s">
        <v>1857</v>
      </c>
      <c r="E38" s="1348" t="s">
        <v>4911</v>
      </c>
      <c r="F38" s="1348" t="str">
        <f>'Model outputs - Interventions'!F20</f>
        <v>PR19ANH_38</v>
      </c>
      <c r="G38" s="1176">
        <f>'Model outputs - Interventions'!K20</f>
        <v>1096405</v>
      </c>
    </row>
    <row r="39" spans="1:7">
      <c r="A39" s="1348"/>
      <c r="B39" s="1177" t="s">
        <v>4980</v>
      </c>
      <c r="C39" s="1348" t="s">
        <v>4981</v>
      </c>
      <c r="D39" s="1348" t="s">
        <v>1857</v>
      </c>
      <c r="E39" s="1348" t="s">
        <v>4911</v>
      </c>
      <c r="F39" s="1348" t="str">
        <f>'Model outputs - Interventions'!F21</f>
        <v>PR19ANH_39</v>
      </c>
      <c r="G39" s="1176">
        <f>'Model outputs - Interventions'!K21</f>
        <v>11.5</v>
      </c>
    </row>
    <row r="40" spans="1:7">
      <c r="A40" s="1348"/>
      <c r="B40" s="1177" t="s">
        <v>4982</v>
      </c>
      <c r="C40" s="1348" t="s">
        <v>4983</v>
      </c>
      <c r="D40" s="1348" t="s">
        <v>1857</v>
      </c>
      <c r="E40" s="1348" t="s">
        <v>4911</v>
      </c>
      <c r="F40" s="1348" t="str">
        <f>'Model outputs - Interventions'!F22</f>
        <v>PR19ANH_41</v>
      </c>
      <c r="G40" s="1176">
        <f>'Model outputs - Interventions'!K22</f>
        <v>100</v>
      </c>
    </row>
    <row r="41" spans="1:7">
      <c r="A41" s="1348"/>
      <c r="B41" s="1177" t="s">
        <v>4984</v>
      </c>
      <c r="C41" s="1348" t="s">
        <v>4985</v>
      </c>
      <c r="D41" s="1348" t="s">
        <v>1857</v>
      </c>
      <c r="E41" s="1348" t="s">
        <v>4911</v>
      </c>
      <c r="F41" s="1348" t="str">
        <f>'Model outputs - Interventions'!F23</f>
        <v>PR19ANH_47</v>
      </c>
      <c r="G41" s="1176" t="str">
        <f>'Model outputs - Interventions'!K23</f>
        <v>n/a</v>
      </c>
    </row>
    <row r="42" spans="1:7">
      <c r="A42" s="1348"/>
      <c r="B42" s="1177" t="s">
        <v>4986</v>
      </c>
      <c r="C42" s="1348" t="s">
        <v>4987</v>
      </c>
      <c r="D42" s="1348" t="s">
        <v>1857</v>
      </c>
      <c r="E42" s="1348" t="s">
        <v>4911</v>
      </c>
      <c r="F42" s="1348" t="str">
        <f>'Model outputs - Interventions'!F24</f>
        <v>PR19ANH_48</v>
      </c>
      <c r="G42" s="1176" t="str">
        <f>'Model outputs - Interventions'!K24</f>
        <v>n/a</v>
      </c>
    </row>
    <row r="43" spans="1:7">
      <c r="A43" s="1348"/>
      <c r="B43" s="1177" t="s">
        <v>4988</v>
      </c>
      <c r="C43" s="1348" t="s">
        <v>4989</v>
      </c>
      <c r="D43" s="1348" t="s">
        <v>1857</v>
      </c>
      <c r="E43" s="1348" t="s">
        <v>4911</v>
      </c>
      <c r="F43" s="1348" t="str">
        <f>'Model outputs - Interventions'!F25</f>
        <v/>
      </c>
      <c r="G43" s="1176" t="str">
        <f>'Model outputs - Interventions'!K25</f>
        <v/>
      </c>
    </row>
    <row r="44" spans="1:7">
      <c r="A44" s="1348"/>
      <c r="B44" s="1177" t="s">
        <v>4990</v>
      </c>
      <c r="C44" s="1348" t="s">
        <v>4991</v>
      </c>
      <c r="D44" s="1348" t="s">
        <v>1857</v>
      </c>
      <c r="E44" s="1348" t="s">
        <v>4911</v>
      </c>
      <c r="F44" s="1348" t="str">
        <f>'Model outputs - Interventions'!F26</f>
        <v/>
      </c>
      <c r="G44" s="1176" t="str">
        <f>'Model outputs - Interventions'!K26</f>
        <v/>
      </c>
    </row>
    <row r="45" spans="1:7">
      <c r="A45" s="1348"/>
      <c r="B45" s="1177" t="s">
        <v>4992</v>
      </c>
      <c r="C45" s="1348" t="s">
        <v>4993</v>
      </c>
      <c r="D45" s="1348" t="s">
        <v>1857</v>
      </c>
      <c r="E45" s="1348" t="s">
        <v>4911</v>
      </c>
      <c r="F45" s="1348" t="str">
        <f>'Model outputs - Interventions'!F27</f>
        <v/>
      </c>
      <c r="G45" s="1176" t="str">
        <f>'Model outputs - Interventions'!K27</f>
        <v/>
      </c>
    </row>
    <row r="46" spans="1:7">
      <c r="A46" s="1348"/>
      <c r="B46" s="1177" t="s">
        <v>4994</v>
      </c>
      <c r="C46" s="1348" t="s">
        <v>4995</v>
      </c>
      <c r="D46" s="1348" t="s">
        <v>1857</v>
      </c>
      <c r="E46" s="1348" t="s">
        <v>4911</v>
      </c>
      <c r="F46" s="1348" t="str">
        <f>'Model outputs - Interventions'!F28</f>
        <v/>
      </c>
      <c r="G46" s="1176" t="str">
        <f>'Model outputs - Interventions'!K28</f>
        <v/>
      </c>
    </row>
    <row r="47" spans="1:7">
      <c r="A47" s="1348"/>
      <c r="B47" s="1177" t="s">
        <v>4996</v>
      </c>
      <c r="C47" s="1348" t="s">
        <v>4997</v>
      </c>
      <c r="D47" s="1348" t="s">
        <v>1857</v>
      </c>
      <c r="E47" s="1348" t="s">
        <v>4911</v>
      </c>
      <c r="F47" s="1348" t="str">
        <f>'Model outputs - Interventions'!F29</f>
        <v/>
      </c>
      <c r="G47" s="1176" t="str">
        <f>'Model outputs - Interventions'!K29</f>
        <v/>
      </c>
    </row>
    <row r="48" spans="1:7">
      <c r="A48" s="1348"/>
      <c r="B48" s="1177" t="s">
        <v>4998</v>
      </c>
      <c r="C48" s="1348" t="s">
        <v>4999</v>
      </c>
      <c r="D48" s="1348" t="s">
        <v>1857</v>
      </c>
      <c r="E48" s="1348" t="s">
        <v>4911</v>
      </c>
      <c r="F48" s="1348" t="str">
        <f>'Model outputs - Interventions'!F30</f>
        <v/>
      </c>
      <c r="G48" s="1176" t="str">
        <f>'Model outputs - Interventions'!K30</f>
        <v/>
      </c>
    </row>
    <row r="49" spans="1:7">
      <c r="A49" s="1348"/>
      <c r="B49" s="1177" t="s">
        <v>5000</v>
      </c>
      <c r="C49" s="1348" t="s">
        <v>5001</v>
      </c>
      <c r="D49" s="1348" t="s">
        <v>1857</v>
      </c>
      <c r="E49" s="1348" t="s">
        <v>4911</v>
      </c>
      <c r="F49" s="1348" t="str">
        <f>'Model outputs - Interventions'!F31</f>
        <v/>
      </c>
      <c r="G49" s="1176" t="str">
        <f>'Model outputs - Interventions'!K31</f>
        <v/>
      </c>
    </row>
    <row r="50" spans="1:7">
      <c r="A50" s="1348"/>
      <c r="B50" s="1177" t="s">
        <v>5002</v>
      </c>
      <c r="C50" s="1348" t="s">
        <v>5003</v>
      </c>
      <c r="D50" s="1348" t="s">
        <v>1857</v>
      </c>
      <c r="E50" s="1348" t="s">
        <v>4911</v>
      </c>
      <c r="F50" s="1348" t="str">
        <f>'Model outputs - Interventions'!F32</f>
        <v/>
      </c>
      <c r="G50" s="1176" t="str">
        <f>'Model outputs - Interventions'!K32</f>
        <v/>
      </c>
    </row>
    <row r="51" spans="1:7">
      <c r="A51" s="1348"/>
      <c r="B51" s="1177" t="s">
        <v>5004</v>
      </c>
      <c r="C51" s="1348" t="s">
        <v>5005</v>
      </c>
      <c r="D51" s="1348" t="s">
        <v>1857</v>
      </c>
      <c r="E51" s="1348" t="s">
        <v>4911</v>
      </c>
      <c r="F51" s="1348" t="str">
        <f>'Model outputs - Interventions'!F33</f>
        <v/>
      </c>
      <c r="G51" s="1176" t="str">
        <f>'Model outputs - Interventions'!K33</f>
        <v/>
      </c>
    </row>
    <row r="52" spans="1:7">
      <c r="A52" s="1348"/>
      <c r="B52" s="1177" t="s">
        <v>5006</v>
      </c>
      <c r="C52" s="1348" t="s">
        <v>5007</v>
      </c>
      <c r="D52" s="1348" t="s">
        <v>1857</v>
      </c>
      <c r="E52" s="1348" t="s">
        <v>4911</v>
      </c>
      <c r="F52" s="1348" t="str">
        <f>'Model outputs - Interventions'!F34</f>
        <v/>
      </c>
      <c r="G52" s="1176" t="str">
        <f>'Model outputs - Interventions'!K34</f>
        <v/>
      </c>
    </row>
    <row r="53" spans="1:7">
      <c r="A53" s="1348"/>
      <c r="B53" s="1177" t="s">
        <v>5008</v>
      </c>
      <c r="C53" s="1348" t="s">
        <v>5009</v>
      </c>
      <c r="D53" s="1348" t="s">
        <v>1857</v>
      </c>
      <c r="E53" s="1348" t="s">
        <v>4911</v>
      </c>
      <c r="F53" s="1348" t="str">
        <f>'Model outputs - Interventions'!F35</f>
        <v>PR19ANH_7</v>
      </c>
      <c r="G53" s="1176">
        <f>'Model outputs - Interventions'!K35</f>
        <v>1.4103806036901358</v>
      </c>
    </row>
    <row r="54" spans="1:7">
      <c r="A54" s="1348"/>
      <c r="B54" s="1177" t="s">
        <v>5010</v>
      </c>
      <c r="C54" s="1348" t="s">
        <v>5011</v>
      </c>
      <c r="D54" s="1348" t="s">
        <v>1857</v>
      </c>
      <c r="E54" s="1348" t="s">
        <v>4911</v>
      </c>
      <c r="F54" s="1348" t="str">
        <f>'Model outputs - Interventions'!F36</f>
        <v>PR19ANH_8</v>
      </c>
      <c r="G54" s="1176">
        <f>'Model outputs - Interventions'!K36</f>
        <v>57.171265224956507</v>
      </c>
    </row>
    <row r="55" spans="1:7">
      <c r="A55" s="1348"/>
      <c r="B55" s="1177" t="s">
        <v>5012</v>
      </c>
      <c r="C55" s="1348" t="s">
        <v>5013</v>
      </c>
      <c r="D55" s="1348" t="s">
        <v>1857</v>
      </c>
      <c r="E55" s="1348" t="s">
        <v>4911</v>
      </c>
      <c r="F55" s="1348" t="str">
        <f>'Model outputs - Interventions'!F37</f>
        <v>PR19ANH_13</v>
      </c>
      <c r="G55" s="1176">
        <f>'Model outputs - Interventions'!K37</f>
        <v>4.5327442893806094</v>
      </c>
    </row>
    <row r="56" spans="1:7">
      <c r="A56" s="1348"/>
      <c r="B56" s="1177" t="s">
        <v>5014</v>
      </c>
      <c r="C56" s="1348" t="s">
        <v>5015</v>
      </c>
      <c r="D56" s="1348" t="s">
        <v>1857</v>
      </c>
      <c r="E56" s="1348" t="s">
        <v>4911</v>
      </c>
      <c r="F56" s="1348" t="str">
        <f>'Model outputs - Interventions'!F38</f>
        <v>PR19ANH_14</v>
      </c>
      <c r="G56" s="1176">
        <f>'Model outputs - Interventions'!K38</f>
        <v>99.28</v>
      </c>
    </row>
    <row r="57" spans="1:7">
      <c r="A57" s="1348"/>
      <c r="B57" s="1177" t="s">
        <v>5016</v>
      </c>
      <c r="C57" s="1348" t="s">
        <v>5017</v>
      </c>
      <c r="D57" s="1348" t="s">
        <v>1857</v>
      </c>
      <c r="E57" s="1348" t="s">
        <v>4911</v>
      </c>
      <c r="F57" s="1348" t="str">
        <f>'Model outputs - Interventions'!F39</f>
        <v>PR19ANH_17</v>
      </c>
      <c r="G57" s="1176">
        <f>'Model outputs - Interventions'!K39</f>
        <v>5232</v>
      </c>
    </row>
    <row r="58" spans="1:7">
      <c r="A58" s="1348"/>
      <c r="B58" s="1177" t="s">
        <v>5018</v>
      </c>
      <c r="C58" s="1348" t="s">
        <v>5019</v>
      </c>
      <c r="D58" s="1348" t="s">
        <v>1857</v>
      </c>
      <c r="E58" s="1348" t="s">
        <v>4911</v>
      </c>
      <c r="F58" s="1348" t="str">
        <f>'Model outputs - Interventions'!F40</f>
        <v>PR19ANH_19</v>
      </c>
      <c r="G58" s="1176">
        <f>'Model outputs - Interventions'!K40</f>
        <v>31</v>
      </c>
    </row>
    <row r="59" spans="1:7">
      <c r="A59" s="1348"/>
      <c r="B59" s="1177" t="s">
        <v>5020</v>
      </c>
      <c r="C59" s="1348" t="s">
        <v>5021</v>
      </c>
      <c r="D59" s="1348" t="s">
        <v>1857</v>
      </c>
      <c r="E59" s="1348" t="s">
        <v>4911</v>
      </c>
      <c r="F59" s="1348" t="str">
        <f>'Model outputs - Interventions'!F41</f>
        <v>PR19ANH_32</v>
      </c>
      <c r="G59" s="1176">
        <f>'Model outputs - Interventions'!K41</f>
        <v>1698</v>
      </c>
    </row>
    <row r="60" spans="1:7">
      <c r="A60" s="1348"/>
      <c r="B60" s="1177" t="s">
        <v>5022</v>
      </c>
      <c r="C60" s="1348" t="s">
        <v>5023</v>
      </c>
      <c r="D60" s="1348" t="s">
        <v>1857</v>
      </c>
      <c r="E60" s="1348" t="s">
        <v>4911</v>
      </c>
      <c r="F60" s="1348" t="str">
        <f>'Model outputs - Interventions'!F42</f>
        <v>PR19ANH_42</v>
      </c>
      <c r="G60" s="1176">
        <f>'Model outputs - Interventions'!K42</f>
        <v>98</v>
      </c>
    </row>
    <row r="61" spans="1:7">
      <c r="A61" s="1348"/>
      <c r="B61" s="1177" t="s">
        <v>5024</v>
      </c>
      <c r="C61" s="1348" t="s">
        <v>5025</v>
      </c>
      <c r="D61" s="1348" t="s">
        <v>1857</v>
      </c>
      <c r="E61" s="1348" t="s">
        <v>4911</v>
      </c>
      <c r="F61" s="1348" t="str">
        <f>'Model outputs - Interventions'!F43</f>
        <v>PR19CMA_ANH-01</v>
      </c>
      <c r="G61" s="1176">
        <f>'Model outputs - Interventions'!K43</f>
        <v>100</v>
      </c>
    </row>
    <row r="62" spans="1:7">
      <c r="A62" s="1348"/>
      <c r="B62" s="1177" t="s">
        <v>5026</v>
      </c>
      <c r="C62" s="1348" t="s">
        <v>5027</v>
      </c>
      <c r="D62" s="1348" t="s">
        <v>1857</v>
      </c>
      <c r="E62" s="1348" t="s">
        <v>4911</v>
      </c>
      <c r="F62" s="1348" t="str">
        <f>'Model outputs - Interventions'!F44</f>
        <v/>
      </c>
      <c r="G62" s="1176" t="str">
        <f>'Model outputs - Interventions'!K44</f>
        <v/>
      </c>
    </row>
    <row r="63" spans="1:7">
      <c r="A63" s="1348"/>
      <c r="B63" s="1177" t="s">
        <v>5028</v>
      </c>
      <c r="C63" s="1348" t="s">
        <v>5029</v>
      </c>
      <c r="D63" s="1348" t="s">
        <v>1857</v>
      </c>
      <c r="E63" s="1348" t="s">
        <v>4911</v>
      </c>
      <c r="F63" s="1348" t="str">
        <f>'Model outputs - Interventions'!F45</f>
        <v/>
      </c>
      <c r="G63" s="1176" t="str">
        <f>'Model outputs - Interventions'!K45</f>
        <v/>
      </c>
    </row>
    <row r="64" spans="1:7">
      <c r="A64" s="1348"/>
      <c r="B64" s="1177" t="s">
        <v>5030</v>
      </c>
      <c r="C64" s="1348" t="s">
        <v>5031</v>
      </c>
      <c r="D64" s="1348" t="s">
        <v>1857</v>
      </c>
      <c r="E64" s="1348" t="s">
        <v>4911</v>
      </c>
      <c r="F64" s="1348" t="str">
        <f>'Model outputs - Interventions'!F46</f>
        <v/>
      </c>
      <c r="G64" s="1176" t="str">
        <f>'Model outputs - Interventions'!K46</f>
        <v/>
      </c>
    </row>
    <row r="65" spans="1:7">
      <c r="A65" s="1348"/>
      <c r="B65" s="1177" t="s">
        <v>5032</v>
      </c>
      <c r="C65" s="1348" t="s">
        <v>5033</v>
      </c>
      <c r="D65" s="1348" t="s">
        <v>1857</v>
      </c>
      <c r="E65" s="1348" t="s">
        <v>4911</v>
      </c>
      <c r="F65" s="1348" t="str">
        <f>'Model outputs - Interventions'!F47</f>
        <v/>
      </c>
      <c r="G65" s="1176" t="str">
        <f>'Model outputs - Interventions'!K47</f>
        <v/>
      </c>
    </row>
    <row r="66" spans="1:7">
      <c r="A66" s="1348"/>
      <c r="B66" s="1177" t="s">
        <v>5034</v>
      </c>
      <c r="C66" s="1348" t="s">
        <v>5035</v>
      </c>
      <c r="D66" s="1348" t="s">
        <v>1857</v>
      </c>
      <c r="E66" s="1348" t="s">
        <v>4911</v>
      </c>
      <c r="F66" s="1348" t="str">
        <f>'Model outputs - Interventions'!F48</f>
        <v/>
      </c>
      <c r="G66" s="1176" t="str">
        <f>'Model outputs - Interventions'!K48</f>
        <v/>
      </c>
    </row>
    <row r="67" spans="1:7">
      <c r="A67" s="1348"/>
      <c r="B67" s="1177" t="s">
        <v>5036</v>
      </c>
      <c r="C67" s="1348" t="s">
        <v>5037</v>
      </c>
      <c r="D67" s="1348" t="s">
        <v>1857</v>
      </c>
      <c r="E67" s="1348" t="s">
        <v>4911</v>
      </c>
      <c r="F67" s="1348" t="str">
        <f>'Model outputs - Interventions'!F49</f>
        <v/>
      </c>
      <c r="G67" s="1176" t="str">
        <f>'Model outputs - Interventions'!K49</f>
        <v/>
      </c>
    </row>
    <row r="68" spans="1:7">
      <c r="A68" s="1348"/>
      <c r="B68" s="1177" t="s">
        <v>5038</v>
      </c>
      <c r="C68" s="1348" t="s">
        <v>5039</v>
      </c>
      <c r="D68" s="1348" t="s">
        <v>1857</v>
      </c>
      <c r="E68" s="1348" t="s">
        <v>4911</v>
      </c>
      <c r="F68" s="1348" t="str">
        <f>'Model outputs - Interventions'!F50</f>
        <v/>
      </c>
      <c r="G68" s="1176" t="str">
        <f>'Model outputs - Interventions'!K50</f>
        <v/>
      </c>
    </row>
    <row r="69" spans="1:7">
      <c r="A69" s="1348"/>
      <c r="B69" s="1177" t="s">
        <v>5040</v>
      </c>
      <c r="C69" s="1348" t="s">
        <v>5041</v>
      </c>
      <c r="D69" s="1348" t="s">
        <v>1857</v>
      </c>
      <c r="E69" s="1348" t="s">
        <v>4911</v>
      </c>
      <c r="F69" s="1348" t="str">
        <f>'Model outputs - Interventions'!F51</f>
        <v/>
      </c>
      <c r="G69" s="1176" t="str">
        <f>'Model outputs - Interventions'!K51</f>
        <v/>
      </c>
    </row>
    <row r="70" spans="1:7">
      <c r="A70" s="1348"/>
      <c r="B70" s="1177" t="s">
        <v>5042</v>
      </c>
      <c r="C70" s="1348" t="s">
        <v>5043</v>
      </c>
      <c r="D70" s="1348" t="s">
        <v>1857</v>
      </c>
      <c r="E70" s="1348" t="s">
        <v>4911</v>
      </c>
      <c r="F70" s="1348" t="str">
        <f>'Model outputs - Interventions'!F52</f>
        <v/>
      </c>
      <c r="G70" s="1176" t="str">
        <f>'Model outputs - Interventions'!K52</f>
        <v/>
      </c>
    </row>
    <row r="71" spans="1:7">
      <c r="A71" s="1348"/>
      <c r="B71" s="1177" t="s">
        <v>5044</v>
      </c>
      <c r="C71" s="1348" t="s">
        <v>5045</v>
      </c>
      <c r="D71" s="1348" t="s">
        <v>165</v>
      </c>
      <c r="E71" s="1348" t="s">
        <v>4911</v>
      </c>
      <c r="F71" s="1348" t="str">
        <f>'Model outputs - Interventions'!F7</f>
        <v>PR19ANH_3</v>
      </c>
      <c r="G71" s="1176">
        <f>'Model outputs - Interventions'!P7</f>
        <v>-0.49643999999999994</v>
      </c>
    </row>
    <row r="72" spans="1:7">
      <c r="A72" s="1348"/>
      <c r="B72" s="1177" t="s">
        <v>5046</v>
      </c>
      <c r="C72" s="1348" t="s">
        <v>5047</v>
      </c>
      <c r="D72" s="1348" t="s">
        <v>165</v>
      </c>
      <c r="E72" s="1348" t="s">
        <v>4911</v>
      </c>
      <c r="F72" s="1348" t="str">
        <f>'Model outputs - Interventions'!F8</f>
        <v>PR19ANH_4</v>
      </c>
      <c r="G72" s="1176">
        <f>'Model outputs - Interventions'!P8</f>
        <v>-2.1245391315531585</v>
      </c>
    </row>
    <row r="73" spans="1:7">
      <c r="A73" s="1348"/>
      <c r="B73" s="1177" t="s">
        <v>5048</v>
      </c>
      <c r="C73" s="1348" t="s">
        <v>5049</v>
      </c>
      <c r="D73" s="1348" t="s">
        <v>165</v>
      </c>
      <c r="E73" s="1348" t="s">
        <v>4911</v>
      </c>
      <c r="F73" s="1348" t="str">
        <f>'Model outputs - Interventions'!F9</f>
        <v>PR19ANH_5</v>
      </c>
      <c r="G73" s="1176">
        <f>'Model outputs - Interventions'!P9</f>
        <v>-16.940000000000001</v>
      </c>
    </row>
    <row r="74" spans="1:7">
      <c r="A74" s="1348"/>
      <c r="B74" s="1177" t="s">
        <v>5050</v>
      </c>
      <c r="C74" s="1348" t="s">
        <v>5051</v>
      </c>
      <c r="D74" s="1348" t="s">
        <v>165</v>
      </c>
      <c r="E74" s="1348" t="s">
        <v>4911</v>
      </c>
      <c r="F74" s="1348" t="str">
        <f>'Model outputs - Interventions'!F10</f>
        <v/>
      </c>
      <c r="G74" s="1176">
        <f>'Model outputs - Interventions'!P10</f>
        <v>0</v>
      </c>
    </row>
    <row r="75" spans="1:7">
      <c r="A75" s="1348"/>
      <c r="B75" s="1177" t="s">
        <v>5052</v>
      </c>
      <c r="C75" s="1348" t="s">
        <v>5053</v>
      </c>
      <c r="D75" s="1348" t="s">
        <v>165</v>
      </c>
      <c r="E75" s="1348" t="s">
        <v>4911</v>
      </c>
      <c r="F75" s="1348" t="str">
        <f>'Model outputs - Interventions'!F11</f>
        <v>PR19ANH_6</v>
      </c>
      <c r="G75" s="1176">
        <f>'Model outputs - Interventions'!P11</f>
        <v>-0.48620000000000002</v>
      </c>
    </row>
    <row r="76" spans="1:7">
      <c r="A76" s="1348"/>
      <c r="B76" s="1177" t="s">
        <v>5054</v>
      </c>
      <c r="C76" s="1348" t="s">
        <v>5055</v>
      </c>
      <c r="D76" s="1348" t="s">
        <v>165</v>
      </c>
      <c r="E76" s="1348" t="s">
        <v>4911</v>
      </c>
      <c r="F76" s="1348" t="str">
        <f>'Model outputs - Interventions'!F12</f>
        <v/>
      </c>
      <c r="G76" s="1176">
        <f>'Model outputs - Interventions'!P12</f>
        <v>0</v>
      </c>
    </row>
    <row r="77" spans="1:7">
      <c r="A77" s="1348"/>
      <c r="B77" s="1177" t="s">
        <v>5056</v>
      </c>
      <c r="C77" s="1348" t="s">
        <v>5057</v>
      </c>
      <c r="D77" s="1348" t="s">
        <v>165</v>
      </c>
      <c r="E77" s="1348" t="s">
        <v>4911</v>
      </c>
      <c r="F77" s="1348" t="str">
        <f>'Model outputs - Interventions'!F13</f>
        <v>PR19ANH_11</v>
      </c>
      <c r="G77" s="1176">
        <f>'Model outputs - Interventions'!P13</f>
        <v>0</v>
      </c>
    </row>
    <row r="78" spans="1:7">
      <c r="A78" s="1348"/>
      <c r="B78" s="1177" t="s">
        <v>5058</v>
      </c>
      <c r="C78" s="1348" t="s">
        <v>5059</v>
      </c>
      <c r="D78" s="1348" t="s">
        <v>165</v>
      </c>
      <c r="E78" s="1348" t="s">
        <v>4911</v>
      </c>
      <c r="F78" s="1348" t="str">
        <f>'Model outputs - Interventions'!F14</f>
        <v>PR19ANH_12</v>
      </c>
      <c r="G78" s="1176">
        <f>'Model outputs - Interventions'!P14</f>
        <v>0</v>
      </c>
    </row>
    <row r="79" spans="1:7">
      <c r="A79" s="1348"/>
      <c r="B79" s="1177" t="s">
        <v>5060</v>
      </c>
      <c r="C79" s="1348" t="s">
        <v>5061</v>
      </c>
      <c r="D79" s="1348" t="s">
        <v>165</v>
      </c>
      <c r="E79" s="1348" t="s">
        <v>4911</v>
      </c>
      <c r="F79" s="1348" t="str">
        <f>'Model outputs - Interventions'!F15</f>
        <v>PR19ANH_15</v>
      </c>
      <c r="G79" s="1176">
        <f>'Model outputs - Interventions'!P15</f>
        <v>0</v>
      </c>
    </row>
    <row r="80" spans="1:7">
      <c r="A80" s="1348"/>
      <c r="B80" s="1177" t="s">
        <v>5062</v>
      </c>
      <c r="C80" s="1348" t="s">
        <v>5063</v>
      </c>
      <c r="D80" s="1348" t="s">
        <v>165</v>
      </c>
      <c r="E80" s="1348" t="s">
        <v>4911</v>
      </c>
      <c r="F80" s="1348" t="str">
        <f>'Model outputs - Interventions'!F16</f>
        <v>PR19ANH_16</v>
      </c>
      <c r="G80" s="1176">
        <f>'Model outputs - Interventions'!P16</f>
        <v>0.27895999999999999</v>
      </c>
    </row>
    <row r="81" spans="1:7">
      <c r="A81" s="1348"/>
      <c r="B81" s="1177" t="s">
        <v>5064</v>
      </c>
      <c r="C81" s="1348" t="s">
        <v>5065</v>
      </c>
      <c r="D81" s="1348" t="s">
        <v>165</v>
      </c>
      <c r="E81" s="1348" t="s">
        <v>4911</v>
      </c>
      <c r="F81" s="1348" t="str">
        <f>'Model outputs - Interventions'!F17</f>
        <v>PR19ANH_20</v>
      </c>
      <c r="G81" s="1176">
        <f>'Model outputs - Interventions'!P17</f>
        <v>-8.7999999999999995E-2</v>
      </c>
    </row>
    <row r="82" spans="1:7">
      <c r="A82" s="1348"/>
      <c r="B82" s="1177" t="s">
        <v>5066</v>
      </c>
      <c r="C82" s="1348" t="s">
        <v>5067</v>
      </c>
      <c r="D82" s="1348" t="s">
        <v>165</v>
      </c>
      <c r="E82" s="1348" t="s">
        <v>4911</v>
      </c>
      <c r="F82" s="1348" t="str">
        <f>'Model outputs - Interventions'!F18</f>
        <v>PR19ANH_23</v>
      </c>
      <c r="G82" s="1176">
        <f>'Model outputs - Interventions'!P18</f>
        <v>0.89604000000000006</v>
      </c>
    </row>
    <row r="83" spans="1:7">
      <c r="A83" s="1348"/>
      <c r="B83" s="1177" t="s">
        <v>5068</v>
      </c>
      <c r="C83" s="1348" t="s">
        <v>5069</v>
      </c>
      <c r="D83" s="1348" t="s">
        <v>165</v>
      </c>
      <c r="E83" s="1348" t="s">
        <v>4911</v>
      </c>
      <c r="F83" s="1348" t="str">
        <f>'Model outputs - Interventions'!F19</f>
        <v>PR19ANH_34</v>
      </c>
      <c r="G83" s="1176">
        <f>'Model outputs - Interventions'!P19</f>
        <v>-0.37464000000000008</v>
      </c>
    </row>
    <row r="84" spans="1:7">
      <c r="A84" s="1348"/>
      <c r="B84" s="1177" t="s">
        <v>5070</v>
      </c>
      <c r="C84" s="1348" t="s">
        <v>5071</v>
      </c>
      <c r="D84" s="1348" t="s">
        <v>165</v>
      </c>
      <c r="E84" s="1348" t="s">
        <v>4911</v>
      </c>
      <c r="F84" s="1348" t="str">
        <f>'Model outputs - Interventions'!F20</f>
        <v>PR19ANH_38</v>
      </c>
      <c r="G84" s="1176">
        <f>'Model outputs - Interventions'!P20</f>
        <v>0</v>
      </c>
    </row>
    <row r="85" spans="1:7">
      <c r="A85" s="1348"/>
      <c r="B85" s="1177" t="s">
        <v>5072</v>
      </c>
      <c r="C85" s="1348" t="s">
        <v>5073</v>
      </c>
      <c r="D85" s="1348" t="s">
        <v>165</v>
      </c>
      <c r="E85" s="1348" t="s">
        <v>4911</v>
      </c>
      <c r="F85" s="1348" t="str">
        <f>'Model outputs - Interventions'!F21</f>
        <v>PR19ANH_39</v>
      </c>
      <c r="G85" s="1176">
        <f>'Model outputs - Interventions'!P21</f>
        <v>0</v>
      </c>
    </row>
    <row r="86" spans="1:7">
      <c r="A86" s="1348"/>
      <c r="B86" s="1177" t="s">
        <v>5074</v>
      </c>
      <c r="C86" s="1348" t="s">
        <v>5075</v>
      </c>
      <c r="D86" s="1348" t="s">
        <v>165</v>
      </c>
      <c r="E86" s="1348" t="s">
        <v>4911</v>
      </c>
      <c r="F86" s="1348" t="str">
        <f>'Model outputs - Interventions'!F22</f>
        <v>PR19ANH_41</v>
      </c>
      <c r="G86" s="1176">
        <f>'Model outputs - Interventions'!P22</f>
        <v>0</v>
      </c>
    </row>
    <row r="87" spans="1:7">
      <c r="A87" s="1348"/>
      <c r="B87" s="1177" t="s">
        <v>5076</v>
      </c>
      <c r="C87" s="1348" t="s">
        <v>5077</v>
      </c>
      <c r="D87" s="1348" t="s">
        <v>165</v>
      </c>
      <c r="E87" s="1348" t="s">
        <v>4911</v>
      </c>
      <c r="F87" s="1348" t="str">
        <f>'Model outputs - Interventions'!F23</f>
        <v>PR19ANH_47</v>
      </c>
      <c r="G87" s="1176">
        <f>'Model outputs - Interventions'!P23</f>
        <v>0</v>
      </c>
    </row>
    <row r="88" spans="1:7">
      <c r="A88" s="1348"/>
      <c r="B88" s="1177" t="s">
        <v>5078</v>
      </c>
      <c r="C88" s="1348" t="s">
        <v>5079</v>
      </c>
      <c r="D88" s="1348" t="s">
        <v>165</v>
      </c>
      <c r="E88" s="1348" t="s">
        <v>4911</v>
      </c>
      <c r="F88" s="1348" t="str">
        <f>'Model outputs - Interventions'!F24</f>
        <v>PR19ANH_48</v>
      </c>
      <c r="G88" s="1176">
        <f>'Model outputs - Interventions'!P24</f>
        <v>0</v>
      </c>
    </row>
    <row r="89" spans="1:7">
      <c r="A89" s="1348"/>
      <c r="B89" s="1177" t="s">
        <v>5080</v>
      </c>
      <c r="C89" s="1348" t="s">
        <v>5081</v>
      </c>
      <c r="D89" s="1348" t="s">
        <v>165</v>
      </c>
      <c r="E89" s="1348" t="s">
        <v>4911</v>
      </c>
      <c r="F89" s="1348" t="str">
        <f>'Model outputs - Interventions'!F25</f>
        <v/>
      </c>
      <c r="G89" s="1176">
        <f>'Model outputs - Interventions'!P25</f>
        <v>0</v>
      </c>
    </row>
    <row r="90" spans="1:7">
      <c r="A90" s="1348"/>
      <c r="B90" s="1177" t="s">
        <v>5082</v>
      </c>
      <c r="C90" s="1348" t="s">
        <v>5083</v>
      </c>
      <c r="D90" s="1348" t="s">
        <v>165</v>
      </c>
      <c r="E90" s="1348" t="s">
        <v>4911</v>
      </c>
      <c r="F90" s="1348" t="str">
        <f>'Model outputs - Interventions'!F26</f>
        <v/>
      </c>
      <c r="G90" s="1176">
        <f>'Model outputs - Interventions'!P26</f>
        <v>0</v>
      </c>
    </row>
    <row r="91" spans="1:7">
      <c r="A91" s="1348"/>
      <c r="B91" s="1177" t="s">
        <v>5084</v>
      </c>
      <c r="C91" s="1348" t="s">
        <v>5085</v>
      </c>
      <c r="D91" s="1348" t="s">
        <v>165</v>
      </c>
      <c r="E91" s="1348" t="s">
        <v>4911</v>
      </c>
      <c r="F91" s="1348" t="str">
        <f>'Model outputs - Interventions'!F27</f>
        <v/>
      </c>
      <c r="G91" s="1176">
        <f>'Model outputs - Interventions'!P27</f>
        <v>0</v>
      </c>
    </row>
    <row r="92" spans="1:7">
      <c r="A92" s="1348"/>
      <c r="B92" s="1177" t="s">
        <v>5086</v>
      </c>
      <c r="C92" s="1348" t="s">
        <v>5087</v>
      </c>
      <c r="D92" s="1348" t="s">
        <v>165</v>
      </c>
      <c r="E92" s="1348" t="s">
        <v>4911</v>
      </c>
      <c r="F92" s="1348" t="str">
        <f>'Model outputs - Interventions'!F28</f>
        <v/>
      </c>
      <c r="G92" s="1176">
        <f>'Model outputs - Interventions'!P28</f>
        <v>0</v>
      </c>
    </row>
    <row r="93" spans="1:7">
      <c r="A93" s="1348"/>
      <c r="B93" s="1177" t="s">
        <v>5088</v>
      </c>
      <c r="C93" s="1348" t="s">
        <v>5089</v>
      </c>
      <c r="D93" s="1348" t="s">
        <v>165</v>
      </c>
      <c r="E93" s="1348" t="s">
        <v>4911</v>
      </c>
      <c r="F93" s="1348" t="str">
        <f>'Model outputs - Interventions'!F29</f>
        <v/>
      </c>
      <c r="G93" s="1176">
        <f>'Model outputs - Interventions'!P29</f>
        <v>0</v>
      </c>
    </row>
    <row r="94" spans="1:7">
      <c r="A94" s="1348"/>
      <c r="B94" s="1177" t="s">
        <v>5090</v>
      </c>
      <c r="C94" s="1348" t="s">
        <v>5091</v>
      </c>
      <c r="D94" s="1348" t="s">
        <v>165</v>
      </c>
      <c r="E94" s="1348" t="s">
        <v>4911</v>
      </c>
      <c r="F94" s="1348" t="str">
        <f>'Model outputs - Interventions'!F30</f>
        <v/>
      </c>
      <c r="G94" s="1176">
        <f>'Model outputs - Interventions'!P30</f>
        <v>0</v>
      </c>
    </row>
    <row r="95" spans="1:7">
      <c r="A95" s="1348"/>
      <c r="B95" s="1177" t="s">
        <v>5092</v>
      </c>
      <c r="C95" s="1348" t="s">
        <v>5093</v>
      </c>
      <c r="D95" s="1348" t="s">
        <v>165</v>
      </c>
      <c r="E95" s="1348" t="s">
        <v>4911</v>
      </c>
      <c r="F95" s="1348" t="str">
        <f>'Model outputs - Interventions'!F31</f>
        <v/>
      </c>
      <c r="G95" s="1176">
        <f>'Model outputs - Interventions'!P31</f>
        <v>0</v>
      </c>
    </row>
    <row r="96" spans="1:7">
      <c r="A96" s="1348"/>
      <c r="B96" s="1177" t="s">
        <v>5094</v>
      </c>
      <c r="C96" s="1348" t="s">
        <v>5095</v>
      </c>
      <c r="D96" s="1348" t="s">
        <v>165</v>
      </c>
      <c r="E96" s="1348" t="s">
        <v>4911</v>
      </c>
      <c r="F96" s="1348" t="str">
        <f>'Model outputs - Interventions'!F32</f>
        <v/>
      </c>
      <c r="G96" s="1176">
        <f>'Model outputs - Interventions'!P32</f>
        <v>0</v>
      </c>
    </row>
    <row r="97" spans="1:7">
      <c r="A97" s="1348"/>
      <c r="B97" s="1177" t="s">
        <v>5096</v>
      </c>
      <c r="C97" s="1348" t="s">
        <v>5097</v>
      </c>
      <c r="D97" s="1348" t="s">
        <v>165</v>
      </c>
      <c r="E97" s="1348" t="s">
        <v>4911</v>
      </c>
      <c r="F97" s="1348" t="str">
        <f>'Model outputs - Interventions'!F33</f>
        <v/>
      </c>
      <c r="G97" s="1176">
        <f>'Model outputs - Interventions'!P33</f>
        <v>0</v>
      </c>
    </row>
    <row r="98" spans="1:7">
      <c r="A98" s="1348"/>
      <c r="B98" s="1177" t="s">
        <v>5098</v>
      </c>
      <c r="C98" s="1348" t="s">
        <v>5099</v>
      </c>
      <c r="D98" s="1348" t="s">
        <v>165</v>
      </c>
      <c r="E98" s="1348" t="s">
        <v>4911</v>
      </c>
      <c r="F98" s="1348" t="str">
        <f>'Model outputs - Interventions'!F34</f>
        <v/>
      </c>
      <c r="G98" s="1176">
        <f>'Model outputs - Interventions'!P34</f>
        <v>0</v>
      </c>
    </row>
    <row r="99" spans="1:7">
      <c r="A99" s="1348"/>
      <c r="B99" s="1177" t="s">
        <v>5100</v>
      </c>
      <c r="C99" s="1348" t="s">
        <v>5101</v>
      </c>
      <c r="D99" s="1348" t="s">
        <v>165</v>
      </c>
      <c r="E99" s="1348" t="s">
        <v>4911</v>
      </c>
      <c r="F99" s="1348" t="str">
        <f>'Model outputs - Interventions'!F35</f>
        <v>PR19ANH_7</v>
      </c>
      <c r="G99" s="1176">
        <f>'Model outputs - Interventions'!P35</f>
        <v>-0.76607999999999832</v>
      </c>
    </row>
    <row r="100" spans="1:7">
      <c r="A100" s="1348"/>
      <c r="B100" s="1177" t="s">
        <v>5102</v>
      </c>
      <c r="C100" s="1348" t="s">
        <v>5103</v>
      </c>
      <c r="D100" s="1348" t="s">
        <v>165</v>
      </c>
      <c r="E100" s="1348" t="s">
        <v>4911</v>
      </c>
      <c r="F100" s="1348" t="str">
        <f>'Model outputs - Interventions'!F36</f>
        <v>PR19ANH_8</v>
      </c>
      <c r="G100" s="1176">
        <f>'Model outputs - Interventions'!P36</f>
        <v>-9.8345000000000002</v>
      </c>
    </row>
    <row r="101" spans="1:7">
      <c r="A101" s="1348"/>
      <c r="B101" s="1177" t="s">
        <v>5104</v>
      </c>
      <c r="C101" s="1348" t="s">
        <v>5105</v>
      </c>
      <c r="D101" s="1348" t="s">
        <v>165</v>
      </c>
      <c r="E101" s="1348" t="s">
        <v>4911</v>
      </c>
      <c r="F101" s="1348" t="str">
        <f>'Model outputs - Interventions'!F37</f>
        <v>PR19ANH_13</v>
      </c>
      <c r="G101" s="1176">
        <f>'Model outputs - Interventions'!P37</f>
        <v>0</v>
      </c>
    </row>
    <row r="102" spans="1:7">
      <c r="A102" s="1348"/>
      <c r="B102" s="1177" t="s">
        <v>5106</v>
      </c>
      <c r="C102" s="1348" t="s">
        <v>5107</v>
      </c>
      <c r="D102" s="1348" t="s">
        <v>165</v>
      </c>
      <c r="E102" s="1348" t="s">
        <v>4911</v>
      </c>
      <c r="F102" s="1348" t="str">
        <f>'Model outputs - Interventions'!F38</f>
        <v>PR19ANH_14</v>
      </c>
      <c r="G102" s="1176">
        <f>'Model outputs - Interventions'!P38</f>
        <v>0</v>
      </c>
    </row>
    <row r="103" spans="1:7">
      <c r="A103" s="1348"/>
      <c r="B103" s="1177" t="s">
        <v>5108</v>
      </c>
      <c r="C103" s="1348" t="s">
        <v>5109</v>
      </c>
      <c r="D103" s="1348" t="s">
        <v>165</v>
      </c>
      <c r="E103" s="1348" t="s">
        <v>4911</v>
      </c>
      <c r="F103" s="1348" t="str">
        <f>'Model outputs - Interventions'!F39</f>
        <v>PR19ANH_17</v>
      </c>
      <c r="G103" s="1176">
        <f>'Model outputs - Interventions'!P39</f>
        <v>-5.1836570000000002</v>
      </c>
    </row>
    <row r="104" spans="1:7">
      <c r="A104" s="1348"/>
      <c r="B104" s="1177" t="s">
        <v>5110</v>
      </c>
      <c r="C104" s="1348" t="s">
        <v>5111</v>
      </c>
      <c r="D104" s="1348" t="s">
        <v>165</v>
      </c>
      <c r="E104" s="1348" t="s">
        <v>4911</v>
      </c>
      <c r="F104" s="1348" t="str">
        <f>'Model outputs - Interventions'!F40</f>
        <v>PR19ANH_19</v>
      </c>
      <c r="G104" s="1176">
        <f>'Model outputs - Interventions'!P40</f>
        <v>-1.1240000000000001</v>
      </c>
    </row>
    <row r="105" spans="1:7">
      <c r="A105" s="1348"/>
      <c r="B105" s="1177" t="s">
        <v>5112</v>
      </c>
      <c r="C105" s="1348" t="s">
        <v>5113</v>
      </c>
      <c r="D105" s="1348" t="s">
        <v>165</v>
      </c>
      <c r="E105" s="1348" t="s">
        <v>4911</v>
      </c>
      <c r="F105" s="1348" t="str">
        <f>'Model outputs - Interventions'!F41</f>
        <v>PR19ANH_32</v>
      </c>
      <c r="G105" s="1176">
        <f>'Model outputs - Interventions'!P41</f>
        <v>0</v>
      </c>
    </row>
    <row r="106" spans="1:7">
      <c r="A106" s="1348"/>
      <c r="B106" s="1177" t="s">
        <v>5114</v>
      </c>
      <c r="C106" s="1348" t="s">
        <v>5115</v>
      </c>
      <c r="D106" s="1348" t="s">
        <v>165</v>
      </c>
      <c r="E106" s="1348" t="s">
        <v>4911</v>
      </c>
      <c r="F106" s="1348" t="str">
        <f>'Model outputs - Interventions'!F42</f>
        <v>PR19ANH_42</v>
      </c>
      <c r="G106" s="1176">
        <f>'Model outputs - Interventions'!P42</f>
        <v>0</v>
      </c>
    </row>
    <row r="107" spans="1:7">
      <c r="A107" s="1348"/>
      <c r="B107" s="1177" t="s">
        <v>5116</v>
      </c>
      <c r="C107" s="1348" t="s">
        <v>5117</v>
      </c>
      <c r="D107" s="1348" t="s">
        <v>165</v>
      </c>
      <c r="E107" s="1348" t="s">
        <v>4911</v>
      </c>
      <c r="F107" s="1348" t="str">
        <f>'Model outputs - Interventions'!F43</f>
        <v>PR19CMA_ANH-01</v>
      </c>
      <c r="G107" s="1176">
        <f>'Model outputs - Interventions'!P43</f>
        <v>0</v>
      </c>
    </row>
    <row r="108" spans="1:7">
      <c r="A108" s="1348"/>
      <c r="B108" s="1177" t="s">
        <v>5118</v>
      </c>
      <c r="C108" s="1348" t="s">
        <v>5119</v>
      </c>
      <c r="D108" s="1348" t="s">
        <v>165</v>
      </c>
      <c r="E108" s="1348" t="s">
        <v>4911</v>
      </c>
      <c r="F108" s="1348" t="str">
        <f>'Model outputs - Interventions'!F44</f>
        <v/>
      </c>
      <c r="G108" s="1176">
        <f>'Model outputs - Interventions'!P44</f>
        <v>0</v>
      </c>
    </row>
    <row r="109" spans="1:7">
      <c r="A109" s="1348"/>
      <c r="B109" s="1177" t="s">
        <v>5120</v>
      </c>
      <c r="C109" s="1348" t="s">
        <v>5121</v>
      </c>
      <c r="D109" s="1348" t="s">
        <v>165</v>
      </c>
      <c r="E109" s="1348" t="s">
        <v>4911</v>
      </c>
      <c r="F109" s="1348" t="str">
        <f>'Model outputs - Interventions'!F45</f>
        <v/>
      </c>
      <c r="G109" s="1176">
        <f>'Model outputs - Interventions'!P45</f>
        <v>0</v>
      </c>
    </row>
    <row r="110" spans="1:7">
      <c r="A110" s="1348"/>
      <c r="B110" s="1177" t="s">
        <v>5122</v>
      </c>
      <c r="C110" s="1348" t="s">
        <v>5123</v>
      </c>
      <c r="D110" s="1348" t="s">
        <v>165</v>
      </c>
      <c r="E110" s="1348" t="s">
        <v>4911</v>
      </c>
      <c r="F110" s="1348" t="str">
        <f>'Model outputs - Interventions'!F46</f>
        <v/>
      </c>
      <c r="G110" s="1176">
        <f>'Model outputs - Interventions'!P46</f>
        <v>0</v>
      </c>
    </row>
    <row r="111" spans="1:7">
      <c r="A111" s="1348"/>
      <c r="B111" s="1177" t="s">
        <v>5124</v>
      </c>
      <c r="C111" s="1348" t="s">
        <v>5125</v>
      </c>
      <c r="D111" s="1348" t="s">
        <v>165</v>
      </c>
      <c r="E111" s="1348" t="s">
        <v>4911</v>
      </c>
      <c r="F111" s="1348" t="str">
        <f>'Model outputs - Interventions'!F47</f>
        <v/>
      </c>
      <c r="G111" s="1176">
        <f>'Model outputs - Interventions'!P47</f>
        <v>0</v>
      </c>
    </row>
    <row r="112" spans="1:7">
      <c r="A112" s="1348"/>
      <c r="B112" s="1177" t="s">
        <v>5126</v>
      </c>
      <c r="C112" s="1348" t="s">
        <v>5127</v>
      </c>
      <c r="D112" s="1348" t="s">
        <v>165</v>
      </c>
      <c r="E112" s="1348" t="s">
        <v>4911</v>
      </c>
      <c r="F112" s="1348" t="str">
        <f>'Model outputs - Interventions'!F48</f>
        <v/>
      </c>
      <c r="G112" s="1176">
        <f>'Model outputs - Interventions'!P48</f>
        <v>0</v>
      </c>
    </row>
    <row r="113" spans="1:7">
      <c r="A113" s="1348"/>
      <c r="B113" s="1177" t="s">
        <v>5128</v>
      </c>
      <c r="C113" s="1348" t="s">
        <v>5129</v>
      </c>
      <c r="D113" s="1348" t="s">
        <v>165</v>
      </c>
      <c r="E113" s="1348" t="s">
        <v>4911</v>
      </c>
      <c r="F113" s="1348" t="str">
        <f>'Model outputs - Interventions'!F49</f>
        <v/>
      </c>
      <c r="G113" s="1176">
        <f>'Model outputs - Interventions'!P49</f>
        <v>0</v>
      </c>
    </row>
    <row r="114" spans="1:7">
      <c r="A114" s="1348"/>
      <c r="B114" s="1177" t="s">
        <v>5130</v>
      </c>
      <c r="C114" s="1348" t="s">
        <v>5131</v>
      </c>
      <c r="D114" s="1348" t="s">
        <v>165</v>
      </c>
      <c r="E114" s="1348" t="s">
        <v>4911</v>
      </c>
      <c r="F114" s="1348" t="str">
        <f>'Model outputs - Interventions'!F50</f>
        <v/>
      </c>
      <c r="G114" s="1176">
        <f>'Model outputs - Interventions'!P50</f>
        <v>0</v>
      </c>
    </row>
    <row r="115" spans="1:7">
      <c r="A115" s="1348"/>
      <c r="B115" s="1177" t="s">
        <v>5132</v>
      </c>
      <c r="C115" s="1348" t="s">
        <v>5133</v>
      </c>
      <c r="D115" s="1348" t="s">
        <v>165</v>
      </c>
      <c r="E115" s="1348" t="s">
        <v>4911</v>
      </c>
      <c r="F115" s="1348" t="str">
        <f>'Model outputs - Interventions'!F51</f>
        <v/>
      </c>
      <c r="G115" s="1176">
        <f>'Model outputs - Interventions'!P51</f>
        <v>0</v>
      </c>
    </row>
    <row r="116" spans="1:7">
      <c r="A116" s="1348"/>
      <c r="B116" s="1177" t="s">
        <v>5134</v>
      </c>
      <c r="C116" s="1348" t="s">
        <v>5135</v>
      </c>
      <c r="D116" s="1348" t="s">
        <v>165</v>
      </c>
      <c r="E116" s="1348" t="s">
        <v>4911</v>
      </c>
      <c r="F116" s="1348" t="str">
        <f>'Model outputs - Interventions'!F52</f>
        <v/>
      </c>
      <c r="G116" s="1176">
        <f>'Model outputs - Interventions'!P52</f>
        <v>0</v>
      </c>
    </row>
    <row r="117" spans="1:7">
      <c r="A117" s="1348"/>
      <c r="B117" s="1348" t="s">
        <v>5136</v>
      </c>
      <c r="C117" s="1348" t="s">
        <v>5137</v>
      </c>
      <c r="D117" s="1348" t="s">
        <v>2007</v>
      </c>
      <c r="E117" s="1348" t="s">
        <v>4911</v>
      </c>
      <c r="F117" s="1348"/>
      <c r="G117" s="2026" t="str">
        <f ca="1">CONCATENATE("[…]", TEXT(NOW(),"dd/mm/yyy hh:mm:ss"))</f>
        <v>[…]15/07/2025 17:18:47</v>
      </c>
    </row>
    <row r="118" spans="1:7">
      <c r="A118" s="1348"/>
      <c r="B118" s="1348" t="s">
        <v>5138</v>
      </c>
      <c r="C118" s="1348" t="s">
        <v>5139</v>
      </c>
      <c r="D118" s="1348" t="s">
        <v>2007</v>
      </c>
      <c r="E118" s="1348" t="s">
        <v>4911</v>
      </c>
      <c r="F118" s="1348"/>
      <c r="G118" s="1474" t="e">
        <f ca="1">MID(CELL("filename",A1),SEARCH("[",CELL("filename",A1))+1,SEARCH(".",CELL("filename",A1))-1-SEARCH("[",CELL("filename",A1)))</f>
        <v>#VALUE!</v>
      </c>
    </row>
  </sheetData>
  <sheetProtection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5"/>
  <cols>
    <col min="1" max="1" width="7.25" style="1347" customWidth="1"/>
    <col min="2" max="2" width="31.625" style="1347" customWidth="1"/>
    <col min="3" max="3" width="144.625" style="1347" customWidth="1"/>
    <col min="4" max="4" width="4.625" style="1347" bestFit="1" customWidth="1"/>
    <col min="5" max="5" width="27.625" style="1347" customWidth="1"/>
    <col min="6" max="6" width="16.5" style="1347" customWidth="1"/>
    <col min="7" max="7" width="20" style="1347" customWidth="1"/>
    <col min="8" max="16384" width="9" style="1347"/>
  </cols>
  <sheetData>
    <row r="1" spans="1:7">
      <c r="A1" s="1175"/>
      <c r="C1" s="1347" t="s">
        <v>5140</v>
      </c>
      <c r="D1"/>
      <c r="E1"/>
      <c r="F1" s="1348"/>
      <c r="G1"/>
    </row>
    <row r="2" spans="1:7">
      <c r="A2" s="1347" t="s">
        <v>1798</v>
      </c>
      <c r="B2" s="1347" t="s">
        <v>4906</v>
      </c>
      <c r="C2" s="1347" t="s">
        <v>1906</v>
      </c>
      <c r="D2" s="1347" t="s">
        <v>155</v>
      </c>
      <c r="E2" s="1347" t="s">
        <v>4907</v>
      </c>
      <c r="F2" s="1347" t="s">
        <v>4908</v>
      </c>
      <c r="G2" s="1349" t="str">
        <f>'Validation summary'!B2</f>
        <v>2024-25</v>
      </c>
    </row>
    <row r="4" spans="1:7">
      <c r="B4" s="1177" t="s">
        <v>5141</v>
      </c>
      <c r="C4" s="1348" t="s">
        <v>5142</v>
      </c>
      <c r="D4" s="1348" t="s">
        <v>165</v>
      </c>
      <c r="E4" s="1348" t="s">
        <v>5143</v>
      </c>
      <c r="F4" s="1348"/>
      <c r="G4" s="1176">
        <f>'Model outputs - Aggregate level'!F40</f>
        <v>-8.7999999999999995E-2</v>
      </c>
    </row>
    <row r="5" spans="1:7">
      <c r="B5" s="1177" t="s">
        <v>5144</v>
      </c>
      <c r="C5" s="1348" t="s">
        <v>5145</v>
      </c>
      <c r="D5" s="1348" t="s">
        <v>165</v>
      </c>
      <c r="E5" s="1348" t="s">
        <v>5143</v>
      </c>
      <c r="F5" s="1348"/>
      <c r="G5" s="1176">
        <f>'Model outputs - Aggregate level'!F41</f>
        <v>-19.796139131553161</v>
      </c>
    </row>
    <row r="6" spans="1:7">
      <c r="B6" s="1177" t="s">
        <v>5146</v>
      </c>
      <c r="C6" s="1348" t="s">
        <v>5147</v>
      </c>
      <c r="D6" s="1348" t="s">
        <v>165</v>
      </c>
      <c r="E6" s="1348" t="s">
        <v>5143</v>
      </c>
      <c r="F6" s="1348"/>
      <c r="G6" s="1176">
        <f>'Model outputs - Aggregate level'!F42</f>
        <v>-15.784236999999999</v>
      </c>
    </row>
    <row r="7" spans="1:7">
      <c r="B7" s="1177" t="s">
        <v>5148</v>
      </c>
      <c r="C7" s="1348" t="s">
        <v>5149</v>
      </c>
      <c r="D7" s="1348" t="s">
        <v>165</v>
      </c>
      <c r="E7" s="1348" t="s">
        <v>5143</v>
      </c>
      <c r="F7" s="1348"/>
      <c r="G7" s="1176">
        <f>'Model outputs - Aggregate level'!F43</f>
        <v>0</v>
      </c>
    </row>
    <row r="8" spans="1:7">
      <c r="B8" s="1177" t="s">
        <v>5150</v>
      </c>
      <c r="C8" s="1348" t="s">
        <v>5151</v>
      </c>
      <c r="D8" s="1348" t="s">
        <v>165</v>
      </c>
      <c r="E8" s="1348" t="s">
        <v>5143</v>
      </c>
      <c r="F8" s="1348"/>
      <c r="G8" s="1176">
        <f>'Model outputs - Aggregate level'!F44</f>
        <v>0.89604000000000006</v>
      </c>
    </row>
    <row r="9" spans="1:7">
      <c r="B9" s="1177" t="s">
        <v>5152</v>
      </c>
      <c r="C9" s="1348" t="s">
        <v>5153</v>
      </c>
      <c r="D9" s="1348" t="s">
        <v>165</v>
      </c>
      <c r="E9" s="1348" t="s">
        <v>5143</v>
      </c>
      <c r="F9" s="1348"/>
      <c r="G9" s="1176">
        <f>'Model outputs - Aggregate level'!F45</f>
        <v>0</v>
      </c>
    </row>
    <row r="10" spans="1:7">
      <c r="B10" s="1177" t="s">
        <v>5154</v>
      </c>
      <c r="C10" s="1348" t="s">
        <v>5155</v>
      </c>
      <c r="D10" s="1348" t="s">
        <v>165</v>
      </c>
      <c r="E10" s="1348" t="s">
        <v>5143</v>
      </c>
      <c r="F10" s="1348"/>
      <c r="G10" s="1176">
        <f>'Model outputs - Aggregate level'!F46</f>
        <v>0</v>
      </c>
    </row>
    <row r="11" spans="1:7">
      <c r="B11" s="1177" t="s">
        <v>5156</v>
      </c>
      <c r="C11" s="1348" t="s">
        <v>5157</v>
      </c>
      <c r="D11" s="1348" t="s">
        <v>165</v>
      </c>
      <c r="E11" s="1348" t="s">
        <v>5143</v>
      </c>
      <c r="F11" s="1348"/>
      <c r="G11" s="1176">
        <f>'Model outputs - Aggregate level'!F49</f>
        <v>0</v>
      </c>
    </row>
    <row r="12" spans="1:7">
      <c r="B12" s="1177" t="s">
        <v>5158</v>
      </c>
      <c r="C12" s="1348" t="s">
        <v>5159</v>
      </c>
      <c r="D12" s="1348" t="s">
        <v>165</v>
      </c>
      <c r="E12" s="1348" t="s">
        <v>5143</v>
      </c>
      <c r="F12" s="1348"/>
      <c r="G12" s="1176">
        <f>'Model outputs - Aggregate level'!F50</f>
        <v>-0.48620000000000019</v>
      </c>
    </row>
    <row r="13" spans="1:7">
      <c r="B13" s="1177" t="s">
        <v>5160</v>
      </c>
      <c r="C13" s="1348" t="s">
        <v>5161</v>
      </c>
      <c r="D13" s="1348" t="s">
        <v>165</v>
      </c>
      <c r="E13" s="1348" t="s">
        <v>5143</v>
      </c>
      <c r="F13" s="1348"/>
      <c r="G13" s="1176">
        <f>'Model outputs - Aggregate level'!F51</f>
        <v>-1.1240000000000006</v>
      </c>
    </row>
    <row r="14" spans="1:7">
      <c r="B14" s="1177" t="s">
        <v>5162</v>
      </c>
      <c r="C14" s="1348" t="s">
        <v>5163</v>
      </c>
      <c r="D14" s="1348" t="s">
        <v>165</v>
      </c>
      <c r="E14" s="1348" t="s">
        <v>5143</v>
      </c>
      <c r="F14" s="1348"/>
      <c r="G14" s="1176">
        <f>'Model outputs - Aggregate level'!F52</f>
        <v>0</v>
      </c>
    </row>
    <row r="15" spans="1:7">
      <c r="B15" s="1177" t="s">
        <v>5164</v>
      </c>
      <c r="C15" s="1348" t="s">
        <v>5165</v>
      </c>
      <c r="D15" s="1348" t="s">
        <v>165</v>
      </c>
      <c r="E15" s="1348" t="s">
        <v>5143</v>
      </c>
      <c r="F15" s="1348"/>
      <c r="G15" s="1176">
        <f>'Model outputs - Aggregate level'!F53</f>
        <v>0</v>
      </c>
    </row>
    <row r="16" spans="1:7">
      <c r="B16" s="1177" t="s">
        <v>5166</v>
      </c>
      <c r="C16" s="1348" t="s">
        <v>5167</v>
      </c>
      <c r="D16" s="1348" t="s">
        <v>165</v>
      </c>
      <c r="E16" s="1348" t="s">
        <v>5143</v>
      </c>
      <c r="F16" s="1348"/>
      <c r="G16" s="1176">
        <f>'Model outputs - Aggregate level'!F54</f>
        <v>0</v>
      </c>
    </row>
    <row r="17" spans="1:7">
      <c r="B17" s="1177" t="s">
        <v>5168</v>
      </c>
      <c r="C17" s="1348" t="s">
        <v>5169</v>
      </c>
      <c r="D17" s="1348" t="s">
        <v>165</v>
      </c>
      <c r="E17" s="1348" t="s">
        <v>5143</v>
      </c>
      <c r="F17" s="1348"/>
      <c r="G17" s="1176">
        <f>'Model outputs - Aggregate level'!F55</f>
        <v>0</v>
      </c>
    </row>
    <row r="18" spans="1:7">
      <c r="B18" s="1177" t="s">
        <v>5170</v>
      </c>
      <c r="C18" s="1348" t="s">
        <v>5171</v>
      </c>
      <c r="D18" s="1348" t="s">
        <v>165</v>
      </c>
      <c r="E18" s="1348" t="s">
        <v>5143</v>
      </c>
      <c r="F18" s="1348"/>
      <c r="G18" s="1176">
        <f>'Model outputs - Aggregate level'!F58</f>
        <v>0</v>
      </c>
    </row>
    <row r="19" spans="1:7">
      <c r="B19" s="1177" t="s">
        <v>5172</v>
      </c>
      <c r="C19" s="1348" t="s">
        <v>5173</v>
      </c>
      <c r="D19" s="1348" t="s">
        <v>165</v>
      </c>
      <c r="E19" s="1348" t="s">
        <v>5143</v>
      </c>
      <c r="F19" s="1348"/>
      <c r="G19" s="1176">
        <f>'Model outputs - Aggregate level'!F59</f>
        <v>0</v>
      </c>
    </row>
    <row r="20" spans="1:7">
      <c r="B20" s="1177" t="s">
        <v>5174</v>
      </c>
      <c r="C20" s="1348" t="s">
        <v>5175</v>
      </c>
      <c r="D20" s="1348" t="s">
        <v>165</v>
      </c>
      <c r="E20" s="1348" t="s">
        <v>5143</v>
      </c>
      <c r="F20" s="1348"/>
      <c r="G20" s="1176">
        <f>'Model outputs - Aggregate level'!F60</f>
        <v>0</v>
      </c>
    </row>
    <row r="21" spans="1:7">
      <c r="B21" s="1177" t="s">
        <v>5176</v>
      </c>
      <c r="C21" s="1348" t="s">
        <v>5177</v>
      </c>
      <c r="D21" s="1348" t="s">
        <v>165</v>
      </c>
      <c r="E21" s="1348" t="s">
        <v>5143</v>
      </c>
      <c r="F21" s="1348"/>
      <c r="G21" s="1176">
        <f>'Model outputs - Aggregate level'!F61</f>
        <v>0</v>
      </c>
    </row>
    <row r="22" spans="1:7">
      <c r="B22" s="1177" t="s">
        <v>5178</v>
      </c>
      <c r="C22" s="1348" t="s">
        <v>5179</v>
      </c>
      <c r="D22" s="1348" t="s">
        <v>165</v>
      </c>
      <c r="E22" s="1348" t="s">
        <v>5143</v>
      </c>
      <c r="F22" s="1348"/>
      <c r="G22" s="1176">
        <f>'Model outputs - Aggregate level'!F62</f>
        <v>0</v>
      </c>
    </row>
    <row r="23" spans="1:7">
      <c r="A23" s="1348"/>
      <c r="B23" s="1177" t="s">
        <v>5180</v>
      </c>
      <c r="C23" s="1348" t="s">
        <v>5181</v>
      </c>
      <c r="D23" s="1348" t="s">
        <v>165</v>
      </c>
      <c r="E23" s="1348" t="s">
        <v>5143</v>
      </c>
      <c r="F23" s="1348"/>
      <c r="G23" s="1176">
        <f>'Model outputs - Aggregate level'!F63</f>
        <v>0</v>
      </c>
    </row>
    <row r="24" spans="1:7">
      <c r="A24" s="1348"/>
      <c r="B24" s="1177" t="s">
        <v>5182</v>
      </c>
      <c r="C24" s="1348" t="s">
        <v>5183</v>
      </c>
      <c r="D24" s="1348" t="s">
        <v>165</v>
      </c>
      <c r="E24" s="1348" t="s">
        <v>5143</v>
      </c>
      <c r="F24" s="1348"/>
      <c r="G24" s="1176">
        <f>'Model outputs - Aggregate level'!F64</f>
        <v>0</v>
      </c>
    </row>
    <row r="25" spans="1:7">
      <c r="A25" s="1348"/>
      <c r="B25" s="1177" t="s">
        <v>5184</v>
      </c>
      <c r="C25" s="1348" t="s">
        <v>5185</v>
      </c>
      <c r="D25" s="1348" t="s">
        <v>1857</v>
      </c>
      <c r="E25" s="1348" t="s">
        <v>5143</v>
      </c>
      <c r="F25" s="1348" t="str">
        <f>'Model outputs - Interventions'!F7</f>
        <v>PR19ANH_3</v>
      </c>
      <c r="G25" s="1176">
        <f>'Model outputs - Interventions'!K7</f>
        <v>2.13</v>
      </c>
    </row>
    <row r="26" spans="1:7">
      <c r="A26" s="1348"/>
      <c r="B26" s="1177" t="s">
        <v>5186</v>
      </c>
      <c r="C26" s="1348" t="s">
        <v>5187</v>
      </c>
      <c r="D26" s="1348" t="s">
        <v>1857</v>
      </c>
      <c r="E26" s="1348" t="s">
        <v>5143</v>
      </c>
      <c r="F26" s="1348" t="str">
        <f>'Model outputs - Interventions'!F8</f>
        <v>PR19ANH_4</v>
      </c>
      <c r="G26" s="1176">
        <f>'Model outputs - Interventions'!K8</f>
        <v>4.7596344359324451E-3</v>
      </c>
    </row>
    <row r="27" spans="1:7">
      <c r="A27" s="1348"/>
      <c r="B27" s="1177" t="s">
        <v>5188</v>
      </c>
      <c r="C27" s="1348" t="s">
        <v>5189</v>
      </c>
      <c r="D27" s="1348" t="s">
        <v>1857</v>
      </c>
      <c r="E27" s="1348" t="s">
        <v>5143</v>
      </c>
      <c r="F27" s="1348" t="str">
        <f>'Model outputs - Interventions'!F9</f>
        <v>PR19ANH_5</v>
      </c>
      <c r="G27" s="1176">
        <f>'Model outputs - Interventions'!K9</f>
        <v>3.9155074703760895</v>
      </c>
    </row>
    <row r="28" spans="1:7">
      <c r="A28" s="1348"/>
      <c r="B28" s="1177" t="s">
        <v>5190</v>
      </c>
      <c r="C28" s="1348" t="s">
        <v>5191</v>
      </c>
      <c r="D28" s="1348" t="s">
        <v>1857</v>
      </c>
      <c r="E28" s="1348" t="s">
        <v>5143</v>
      </c>
      <c r="F28" s="1348" t="str">
        <f>'Model outputs - Interventions'!F10</f>
        <v/>
      </c>
      <c r="G28" s="1176" t="str">
        <f>'Model outputs - Interventions'!K10</f>
        <v/>
      </c>
    </row>
    <row r="29" spans="1:7">
      <c r="A29" s="1348"/>
      <c r="B29" s="1177" t="s">
        <v>5192</v>
      </c>
      <c r="C29" s="1348" t="s">
        <v>5193</v>
      </c>
      <c r="D29" s="1348" t="s">
        <v>1857</v>
      </c>
      <c r="E29" s="1348" t="s">
        <v>5143</v>
      </c>
      <c r="F29" s="1348" t="str">
        <f>'Model outputs - Interventions'!F11</f>
        <v>PR19ANH_6</v>
      </c>
      <c r="G29" s="1176">
        <f>'Model outputs - Interventions'!K11</f>
        <v>4.666666666666675</v>
      </c>
    </row>
    <row r="30" spans="1:7">
      <c r="A30" s="1348"/>
      <c r="B30" s="1177" t="s">
        <v>5194</v>
      </c>
      <c r="C30" s="1348" t="s">
        <v>5195</v>
      </c>
      <c r="D30" s="1348" t="s">
        <v>1857</v>
      </c>
      <c r="E30" s="1348" t="s">
        <v>5143</v>
      </c>
      <c r="F30" s="1348" t="str">
        <f>'Model outputs - Interventions'!F12</f>
        <v/>
      </c>
      <c r="G30" s="1176" t="str">
        <f>'Model outputs - Interventions'!K12</f>
        <v/>
      </c>
    </row>
    <row r="31" spans="1:7">
      <c r="A31" s="1348"/>
      <c r="B31" s="1177" t="s">
        <v>5196</v>
      </c>
      <c r="C31" s="1348" t="s">
        <v>5197</v>
      </c>
      <c r="D31" s="1348" t="s">
        <v>1857</v>
      </c>
      <c r="E31" s="1348" t="s">
        <v>5143</v>
      </c>
      <c r="F31" s="1348" t="str">
        <f>'Model outputs - Interventions'!F13</f>
        <v>PR19ANH_11</v>
      </c>
      <c r="G31" s="1176">
        <f>'Model outputs - Interventions'!K13</f>
        <v>133.36935635776922</v>
      </c>
    </row>
    <row r="32" spans="1:7">
      <c r="A32" s="1348"/>
      <c r="B32" s="1177" t="s">
        <v>5198</v>
      </c>
      <c r="C32" s="1348" t="s">
        <v>5199</v>
      </c>
      <c r="D32" s="1348" t="s">
        <v>1857</v>
      </c>
      <c r="E32" s="1348" t="s">
        <v>5143</v>
      </c>
      <c r="F32" s="1348" t="str">
        <f>'Model outputs - Interventions'!F14</f>
        <v>PR19ANH_12</v>
      </c>
      <c r="G32" s="1176">
        <f>'Model outputs - Interventions'!K14</f>
        <v>1.8790051410309851</v>
      </c>
    </row>
    <row r="33" spans="1:7">
      <c r="A33" s="1348"/>
      <c r="B33" s="1177" t="s">
        <v>5200</v>
      </c>
      <c r="C33" s="1348" t="s">
        <v>5201</v>
      </c>
      <c r="D33" s="1348" t="s">
        <v>1857</v>
      </c>
      <c r="E33" s="1348" t="s">
        <v>5143</v>
      </c>
      <c r="F33" s="1348" t="str">
        <f>'Model outputs - Interventions'!F15</f>
        <v>PR19ANH_15</v>
      </c>
      <c r="G33" s="1176">
        <f>'Model outputs - Interventions'!K15</f>
        <v>22.3</v>
      </c>
    </row>
    <row r="34" spans="1:7">
      <c r="A34" s="1348"/>
      <c r="B34" s="1177" t="s">
        <v>5202</v>
      </c>
      <c r="C34" s="1348" t="s">
        <v>5203</v>
      </c>
      <c r="D34" s="1348" t="s">
        <v>1857</v>
      </c>
      <c r="E34" s="1348" t="s">
        <v>5143</v>
      </c>
      <c r="F34" s="1348" t="str">
        <f>'Model outputs - Interventions'!F16</f>
        <v>PR19ANH_16</v>
      </c>
      <c r="G34" s="1176">
        <f>'Model outputs - Interventions'!K16</f>
        <v>62</v>
      </c>
    </row>
    <row r="35" spans="1:7">
      <c r="A35" s="1348"/>
      <c r="B35" s="1177" t="s">
        <v>5204</v>
      </c>
      <c r="C35" s="1348" t="s">
        <v>5205</v>
      </c>
      <c r="D35" s="1348" t="s">
        <v>1857</v>
      </c>
      <c r="E35" s="1348" t="s">
        <v>5143</v>
      </c>
      <c r="F35" s="1348" t="str">
        <f>'Model outputs - Interventions'!F17</f>
        <v>PR19ANH_20</v>
      </c>
      <c r="G35" s="1176">
        <f>'Model outputs - Interventions'!K17</f>
        <v>85</v>
      </c>
    </row>
    <row r="36" spans="1:7">
      <c r="A36" s="1348"/>
      <c r="B36" s="1177" t="s">
        <v>5206</v>
      </c>
      <c r="C36" s="1348" t="s">
        <v>5207</v>
      </c>
      <c r="D36" s="1348" t="s">
        <v>1857</v>
      </c>
      <c r="E36" s="1348" t="s">
        <v>5143</v>
      </c>
      <c r="F36" s="1348" t="str">
        <f>'Model outputs - Interventions'!F18</f>
        <v>PR19ANH_23</v>
      </c>
      <c r="G36" s="1176">
        <f>'Model outputs - Interventions'!K18</f>
        <v>0.06</v>
      </c>
    </row>
    <row r="37" spans="1:7">
      <c r="A37" s="1348"/>
      <c r="B37" s="1177" t="s">
        <v>5208</v>
      </c>
      <c r="C37" s="1348" t="s">
        <v>5209</v>
      </c>
      <c r="D37" s="1348" t="s">
        <v>1857</v>
      </c>
      <c r="E37" s="1348" t="s">
        <v>5143</v>
      </c>
      <c r="F37" s="1348" t="str">
        <f>'Model outputs - Interventions'!F19</f>
        <v>PR19ANH_34</v>
      </c>
      <c r="G37" s="1176">
        <f>'Model outputs - Interventions'!K19</f>
        <v>0.91</v>
      </c>
    </row>
    <row r="38" spans="1:7">
      <c r="A38" s="1348"/>
      <c r="B38" s="1177" t="s">
        <v>5210</v>
      </c>
      <c r="C38" s="1348" t="s">
        <v>5211</v>
      </c>
      <c r="D38" s="1348" t="s">
        <v>1857</v>
      </c>
      <c r="E38" s="1348" t="s">
        <v>5143</v>
      </c>
      <c r="F38" s="1348" t="str">
        <f>'Model outputs - Interventions'!F20</f>
        <v>PR19ANH_38</v>
      </c>
      <c r="G38" s="1176">
        <f>'Model outputs - Interventions'!K20</f>
        <v>1096405</v>
      </c>
    </row>
    <row r="39" spans="1:7">
      <c r="A39" s="1348"/>
      <c r="B39" s="1177" t="s">
        <v>5212</v>
      </c>
      <c r="C39" s="1348" t="s">
        <v>5213</v>
      </c>
      <c r="D39" s="1348" t="s">
        <v>1857</v>
      </c>
      <c r="E39" s="1348" t="s">
        <v>5143</v>
      </c>
      <c r="F39" s="1348" t="str">
        <f>'Model outputs - Interventions'!F21</f>
        <v>PR19ANH_39</v>
      </c>
      <c r="G39" s="1176">
        <f>'Model outputs - Interventions'!K21</f>
        <v>11.5</v>
      </c>
    </row>
    <row r="40" spans="1:7">
      <c r="A40" s="1348"/>
      <c r="B40" s="1177" t="s">
        <v>5214</v>
      </c>
      <c r="C40" s="1348" t="s">
        <v>5215</v>
      </c>
      <c r="D40" s="1348" t="s">
        <v>1857</v>
      </c>
      <c r="E40" s="1348" t="s">
        <v>5143</v>
      </c>
      <c r="F40" s="1348" t="str">
        <f>'Model outputs - Interventions'!F22</f>
        <v>PR19ANH_41</v>
      </c>
      <c r="G40" s="1176">
        <f>'Model outputs - Interventions'!K22</f>
        <v>100</v>
      </c>
    </row>
    <row r="41" spans="1:7">
      <c r="A41" s="1348"/>
      <c r="B41" s="1177" t="s">
        <v>5216</v>
      </c>
      <c r="C41" s="1348" t="s">
        <v>5217</v>
      </c>
      <c r="D41" s="1348" t="s">
        <v>1857</v>
      </c>
      <c r="E41" s="1348" t="s">
        <v>5143</v>
      </c>
      <c r="F41" s="1348" t="str">
        <f>'Model outputs - Interventions'!F23</f>
        <v>PR19ANH_47</v>
      </c>
      <c r="G41" s="1176" t="str">
        <f>'Model outputs - Interventions'!K23</f>
        <v>n/a</v>
      </c>
    </row>
    <row r="42" spans="1:7">
      <c r="A42" s="1348"/>
      <c r="B42" s="1177" t="s">
        <v>5218</v>
      </c>
      <c r="C42" s="1348" t="s">
        <v>5219</v>
      </c>
      <c r="D42" s="1348" t="s">
        <v>1857</v>
      </c>
      <c r="E42" s="1348" t="s">
        <v>5143</v>
      </c>
      <c r="F42" s="1348" t="str">
        <f>'Model outputs - Interventions'!F24</f>
        <v>PR19ANH_48</v>
      </c>
      <c r="G42" s="1176" t="str">
        <f>'Model outputs - Interventions'!K24</f>
        <v>n/a</v>
      </c>
    </row>
    <row r="43" spans="1:7">
      <c r="A43" s="1348"/>
      <c r="B43" s="1177" t="s">
        <v>5220</v>
      </c>
      <c r="C43" s="1348" t="s">
        <v>5221</v>
      </c>
      <c r="D43" s="1348" t="s">
        <v>1857</v>
      </c>
      <c r="E43" s="1348" t="s">
        <v>5143</v>
      </c>
      <c r="F43" s="1348" t="str">
        <f>'Model outputs - Interventions'!F25</f>
        <v/>
      </c>
      <c r="G43" s="1176" t="str">
        <f>'Model outputs - Interventions'!K25</f>
        <v/>
      </c>
    </row>
    <row r="44" spans="1:7">
      <c r="A44" s="1348"/>
      <c r="B44" s="1177" t="s">
        <v>5222</v>
      </c>
      <c r="C44" s="1348" t="s">
        <v>5223</v>
      </c>
      <c r="D44" s="1348" t="s">
        <v>1857</v>
      </c>
      <c r="E44" s="1348" t="s">
        <v>5143</v>
      </c>
      <c r="F44" s="1348" t="str">
        <f>'Model outputs - Interventions'!F26</f>
        <v/>
      </c>
      <c r="G44" s="1176" t="str">
        <f>'Model outputs - Interventions'!K26</f>
        <v/>
      </c>
    </row>
    <row r="45" spans="1:7">
      <c r="A45" s="1348"/>
      <c r="B45" s="1177" t="s">
        <v>5224</v>
      </c>
      <c r="C45" s="1348" t="s">
        <v>5225</v>
      </c>
      <c r="D45" s="1348" t="s">
        <v>1857</v>
      </c>
      <c r="E45" s="1348" t="s">
        <v>5143</v>
      </c>
      <c r="F45" s="1348" t="str">
        <f>'Model outputs - Interventions'!F27</f>
        <v/>
      </c>
      <c r="G45" s="1176" t="str">
        <f>'Model outputs - Interventions'!K27</f>
        <v/>
      </c>
    </row>
    <row r="46" spans="1:7">
      <c r="A46" s="1348"/>
      <c r="B46" s="1177" t="s">
        <v>5226</v>
      </c>
      <c r="C46" s="1348" t="s">
        <v>5227</v>
      </c>
      <c r="D46" s="1348" t="s">
        <v>1857</v>
      </c>
      <c r="E46" s="1348" t="s">
        <v>5143</v>
      </c>
      <c r="F46" s="1348" t="str">
        <f>'Model outputs - Interventions'!F28</f>
        <v/>
      </c>
      <c r="G46" s="1176" t="str">
        <f>'Model outputs - Interventions'!K28</f>
        <v/>
      </c>
    </row>
    <row r="47" spans="1:7">
      <c r="A47" s="1348"/>
      <c r="B47" s="1177" t="s">
        <v>5228</v>
      </c>
      <c r="C47" s="1348" t="s">
        <v>5229</v>
      </c>
      <c r="D47" s="1348" t="s">
        <v>1857</v>
      </c>
      <c r="E47" s="1348" t="s">
        <v>5143</v>
      </c>
      <c r="F47" s="1348" t="str">
        <f>'Model outputs - Interventions'!F29</f>
        <v/>
      </c>
      <c r="G47" s="1176" t="str">
        <f>'Model outputs - Interventions'!K29</f>
        <v/>
      </c>
    </row>
    <row r="48" spans="1:7">
      <c r="A48" s="1348"/>
      <c r="B48" s="1177" t="s">
        <v>5230</v>
      </c>
      <c r="C48" s="1348" t="s">
        <v>5231</v>
      </c>
      <c r="D48" s="1348" t="s">
        <v>1857</v>
      </c>
      <c r="E48" s="1348" t="s">
        <v>5143</v>
      </c>
      <c r="F48" s="1348" t="str">
        <f>'Model outputs - Interventions'!F30</f>
        <v/>
      </c>
      <c r="G48" s="1176" t="str">
        <f>'Model outputs - Interventions'!K30</f>
        <v/>
      </c>
    </row>
    <row r="49" spans="1:7">
      <c r="A49" s="1348"/>
      <c r="B49" s="1177" t="s">
        <v>5232</v>
      </c>
      <c r="C49" s="1348" t="s">
        <v>5233</v>
      </c>
      <c r="D49" s="1348" t="s">
        <v>1857</v>
      </c>
      <c r="E49" s="1348" t="s">
        <v>5143</v>
      </c>
      <c r="F49" s="1348" t="str">
        <f>'Model outputs - Interventions'!F31</f>
        <v/>
      </c>
      <c r="G49" s="1176" t="str">
        <f>'Model outputs - Interventions'!K31</f>
        <v/>
      </c>
    </row>
    <row r="50" spans="1:7">
      <c r="A50" s="1348"/>
      <c r="B50" s="1177" t="s">
        <v>5234</v>
      </c>
      <c r="C50" s="1348" t="s">
        <v>5235</v>
      </c>
      <c r="D50" s="1348" t="s">
        <v>1857</v>
      </c>
      <c r="E50" s="1348" t="s">
        <v>5143</v>
      </c>
      <c r="F50" s="1348" t="str">
        <f>'Model outputs - Interventions'!F32</f>
        <v/>
      </c>
      <c r="G50" s="1176" t="str">
        <f>'Model outputs - Interventions'!K32</f>
        <v/>
      </c>
    </row>
    <row r="51" spans="1:7">
      <c r="A51" s="1348"/>
      <c r="B51" s="1177" t="s">
        <v>5236</v>
      </c>
      <c r="C51" s="1348" t="s">
        <v>5237</v>
      </c>
      <c r="D51" s="1348" t="s">
        <v>1857</v>
      </c>
      <c r="E51" s="1348" t="s">
        <v>5143</v>
      </c>
      <c r="F51" s="1348" t="str">
        <f>'Model outputs - Interventions'!F33</f>
        <v/>
      </c>
      <c r="G51" s="1176" t="str">
        <f>'Model outputs - Interventions'!K33</f>
        <v/>
      </c>
    </row>
    <row r="52" spans="1:7">
      <c r="A52" s="1348"/>
      <c r="B52" s="1177" t="s">
        <v>5238</v>
      </c>
      <c r="C52" s="1348" t="s">
        <v>5239</v>
      </c>
      <c r="D52" s="1348" t="s">
        <v>1857</v>
      </c>
      <c r="E52" s="1348" t="s">
        <v>5143</v>
      </c>
      <c r="F52" s="1348" t="str">
        <f>'Model outputs - Interventions'!F34</f>
        <v/>
      </c>
      <c r="G52" s="1176" t="str">
        <f>'Model outputs - Interventions'!K34</f>
        <v/>
      </c>
    </row>
    <row r="53" spans="1:7">
      <c r="A53" s="1348"/>
      <c r="B53" s="1177" t="s">
        <v>5240</v>
      </c>
      <c r="C53" s="1348" t="s">
        <v>5241</v>
      </c>
      <c r="D53" s="1348" t="s">
        <v>1857</v>
      </c>
      <c r="E53" s="1348" t="s">
        <v>5143</v>
      </c>
      <c r="F53" s="1348" t="str">
        <f>'Model outputs - Interventions'!F35</f>
        <v>PR19ANH_7</v>
      </c>
      <c r="G53" s="1176">
        <f>'Model outputs - Interventions'!K35</f>
        <v>1.4103806036901358</v>
      </c>
    </row>
    <row r="54" spans="1:7">
      <c r="A54" s="1348"/>
      <c r="B54" s="1177" t="s">
        <v>5242</v>
      </c>
      <c r="C54" s="1348" t="s">
        <v>5243</v>
      </c>
      <c r="D54" s="1348" t="s">
        <v>1857</v>
      </c>
      <c r="E54" s="1348" t="s">
        <v>5143</v>
      </c>
      <c r="F54" s="1348" t="str">
        <f>'Model outputs - Interventions'!F36</f>
        <v>PR19ANH_8</v>
      </c>
      <c r="G54" s="1176">
        <f>'Model outputs - Interventions'!K36</f>
        <v>57.171265224956507</v>
      </c>
    </row>
    <row r="55" spans="1:7">
      <c r="A55" s="1348"/>
      <c r="B55" s="1177" t="s">
        <v>5244</v>
      </c>
      <c r="C55" s="1348" t="s">
        <v>5245</v>
      </c>
      <c r="D55" s="1348" t="s">
        <v>1857</v>
      </c>
      <c r="E55" s="1348" t="s">
        <v>5143</v>
      </c>
      <c r="F55" s="1348" t="str">
        <f>'Model outputs - Interventions'!F37</f>
        <v>PR19ANH_13</v>
      </c>
      <c r="G55" s="1176">
        <f>'Model outputs - Interventions'!K37</f>
        <v>4.5327442893806094</v>
      </c>
    </row>
    <row r="56" spans="1:7">
      <c r="A56" s="1348"/>
      <c r="B56" s="1177" t="s">
        <v>5246</v>
      </c>
      <c r="C56" s="1348" t="s">
        <v>5247</v>
      </c>
      <c r="D56" s="1348" t="s">
        <v>1857</v>
      </c>
      <c r="E56" s="1348" t="s">
        <v>5143</v>
      </c>
      <c r="F56" s="1348" t="str">
        <f>'Model outputs - Interventions'!F38</f>
        <v>PR19ANH_14</v>
      </c>
      <c r="G56" s="1176">
        <f>'Model outputs - Interventions'!K38</f>
        <v>99.28</v>
      </c>
    </row>
    <row r="57" spans="1:7">
      <c r="A57" s="1348"/>
      <c r="B57" s="1177" t="s">
        <v>5248</v>
      </c>
      <c r="C57" s="1348" t="s">
        <v>5249</v>
      </c>
      <c r="D57" s="1348" t="s">
        <v>1857</v>
      </c>
      <c r="E57" s="1348" t="s">
        <v>5143</v>
      </c>
      <c r="F57" s="1348" t="str">
        <f>'Model outputs - Interventions'!F39</f>
        <v>PR19ANH_17</v>
      </c>
      <c r="G57" s="1176">
        <f>'Model outputs - Interventions'!K39</f>
        <v>5232</v>
      </c>
    </row>
    <row r="58" spans="1:7">
      <c r="A58" s="1348"/>
      <c r="B58" s="1177" t="s">
        <v>5250</v>
      </c>
      <c r="C58" s="1348" t="s">
        <v>5251</v>
      </c>
      <c r="D58" s="1348" t="s">
        <v>1857</v>
      </c>
      <c r="E58" s="1348" t="s">
        <v>5143</v>
      </c>
      <c r="F58" s="1348" t="str">
        <f>'Model outputs - Interventions'!F40</f>
        <v>PR19ANH_19</v>
      </c>
      <c r="G58" s="1176">
        <f>'Model outputs - Interventions'!K40</f>
        <v>31</v>
      </c>
    </row>
    <row r="59" spans="1:7">
      <c r="A59" s="1348"/>
      <c r="B59" s="1177" t="s">
        <v>5252</v>
      </c>
      <c r="C59" s="1348" t="s">
        <v>5253</v>
      </c>
      <c r="D59" s="1348" t="s">
        <v>1857</v>
      </c>
      <c r="E59" s="1348" t="s">
        <v>5143</v>
      </c>
      <c r="F59" s="1348" t="str">
        <f>'Model outputs - Interventions'!F41</f>
        <v>PR19ANH_32</v>
      </c>
      <c r="G59" s="1176">
        <f>'Model outputs - Interventions'!K41</f>
        <v>1698</v>
      </c>
    </row>
    <row r="60" spans="1:7">
      <c r="A60" s="1348"/>
      <c r="B60" s="1177" t="s">
        <v>5254</v>
      </c>
      <c r="C60" s="1348" t="s">
        <v>5255</v>
      </c>
      <c r="D60" s="1348" t="s">
        <v>1857</v>
      </c>
      <c r="E60" s="1348" t="s">
        <v>5143</v>
      </c>
      <c r="F60" s="1348" t="str">
        <f>'Model outputs - Interventions'!F42</f>
        <v>PR19ANH_42</v>
      </c>
      <c r="G60" s="1176">
        <f>'Model outputs - Interventions'!K42</f>
        <v>98</v>
      </c>
    </row>
    <row r="61" spans="1:7">
      <c r="A61" s="1348"/>
      <c r="B61" s="1177" t="s">
        <v>5256</v>
      </c>
      <c r="C61" s="1348" t="s">
        <v>5257</v>
      </c>
      <c r="D61" s="1348" t="s">
        <v>1857</v>
      </c>
      <c r="E61" s="1348" t="s">
        <v>5143</v>
      </c>
      <c r="F61" s="1348" t="str">
        <f>'Model outputs - Interventions'!F43</f>
        <v>PR19CMA_ANH-01</v>
      </c>
      <c r="G61" s="1176">
        <f>'Model outputs - Interventions'!K43</f>
        <v>100</v>
      </c>
    </row>
    <row r="62" spans="1:7">
      <c r="A62" s="1348"/>
      <c r="B62" s="1177" t="s">
        <v>5258</v>
      </c>
      <c r="C62" s="1348" t="s">
        <v>5259</v>
      </c>
      <c r="D62" s="1348" t="s">
        <v>1857</v>
      </c>
      <c r="E62" s="1348" t="s">
        <v>5143</v>
      </c>
      <c r="F62" s="1348" t="str">
        <f>'Model outputs - Interventions'!F44</f>
        <v/>
      </c>
      <c r="G62" s="1176" t="str">
        <f>'Model outputs - Interventions'!K44</f>
        <v/>
      </c>
    </row>
    <row r="63" spans="1:7">
      <c r="A63" s="1348"/>
      <c r="B63" s="1177" t="s">
        <v>5260</v>
      </c>
      <c r="C63" s="1348" t="s">
        <v>5261</v>
      </c>
      <c r="D63" s="1348" t="s">
        <v>1857</v>
      </c>
      <c r="E63" s="1348" t="s">
        <v>5143</v>
      </c>
      <c r="F63" s="1348" t="str">
        <f>'Model outputs - Interventions'!F45</f>
        <v/>
      </c>
      <c r="G63" s="1176" t="str">
        <f>'Model outputs - Interventions'!K45</f>
        <v/>
      </c>
    </row>
    <row r="64" spans="1:7">
      <c r="A64" s="1348"/>
      <c r="B64" s="1177" t="s">
        <v>5262</v>
      </c>
      <c r="C64" s="1348" t="s">
        <v>5263</v>
      </c>
      <c r="D64" s="1348" t="s">
        <v>1857</v>
      </c>
      <c r="E64" s="1348" t="s">
        <v>5143</v>
      </c>
      <c r="F64" s="1348" t="str">
        <f>'Model outputs - Interventions'!F46</f>
        <v/>
      </c>
      <c r="G64" s="1176" t="str">
        <f>'Model outputs - Interventions'!K46</f>
        <v/>
      </c>
    </row>
    <row r="65" spans="1:7">
      <c r="A65" s="1348"/>
      <c r="B65" s="1177" t="s">
        <v>5264</v>
      </c>
      <c r="C65" s="1348" t="s">
        <v>5265</v>
      </c>
      <c r="D65" s="1348" t="s">
        <v>1857</v>
      </c>
      <c r="E65" s="1348" t="s">
        <v>5143</v>
      </c>
      <c r="F65" s="1348" t="str">
        <f>'Model outputs - Interventions'!F47</f>
        <v/>
      </c>
      <c r="G65" s="1176" t="str">
        <f>'Model outputs - Interventions'!K47</f>
        <v/>
      </c>
    </row>
    <row r="66" spans="1:7">
      <c r="A66" s="1348"/>
      <c r="B66" s="1177" t="s">
        <v>5266</v>
      </c>
      <c r="C66" s="1348" t="s">
        <v>5267</v>
      </c>
      <c r="D66" s="1348" t="s">
        <v>1857</v>
      </c>
      <c r="E66" s="1348" t="s">
        <v>5143</v>
      </c>
      <c r="F66" s="1348" t="str">
        <f>'Model outputs - Interventions'!F48</f>
        <v/>
      </c>
      <c r="G66" s="1176" t="str">
        <f>'Model outputs - Interventions'!K48</f>
        <v/>
      </c>
    </row>
    <row r="67" spans="1:7">
      <c r="A67" s="1348"/>
      <c r="B67" s="1177" t="s">
        <v>5268</v>
      </c>
      <c r="C67" s="1348" t="s">
        <v>5269</v>
      </c>
      <c r="D67" s="1348" t="s">
        <v>1857</v>
      </c>
      <c r="E67" s="1348" t="s">
        <v>5143</v>
      </c>
      <c r="F67" s="1348" t="str">
        <f>'Model outputs - Interventions'!F49</f>
        <v/>
      </c>
      <c r="G67" s="1176" t="str">
        <f>'Model outputs - Interventions'!K49</f>
        <v/>
      </c>
    </row>
    <row r="68" spans="1:7">
      <c r="A68" s="1348"/>
      <c r="B68" s="1177" t="s">
        <v>5270</v>
      </c>
      <c r="C68" s="1348" t="s">
        <v>5271</v>
      </c>
      <c r="D68" s="1348" t="s">
        <v>1857</v>
      </c>
      <c r="E68" s="1348" t="s">
        <v>5143</v>
      </c>
      <c r="F68" s="1348" t="str">
        <f>'Model outputs - Interventions'!F50</f>
        <v/>
      </c>
      <c r="G68" s="1176" t="str">
        <f>'Model outputs - Interventions'!K50</f>
        <v/>
      </c>
    </row>
    <row r="69" spans="1:7">
      <c r="A69" s="1348"/>
      <c r="B69" s="1177" t="s">
        <v>5272</v>
      </c>
      <c r="C69" s="1348" t="s">
        <v>5273</v>
      </c>
      <c r="D69" s="1348" t="s">
        <v>1857</v>
      </c>
      <c r="E69" s="1348" t="s">
        <v>5143</v>
      </c>
      <c r="F69" s="1348" t="str">
        <f>'Model outputs - Interventions'!F51</f>
        <v/>
      </c>
      <c r="G69" s="1176" t="str">
        <f>'Model outputs - Interventions'!K51</f>
        <v/>
      </c>
    </row>
    <row r="70" spans="1:7">
      <c r="A70" s="1348"/>
      <c r="B70" s="1177" t="s">
        <v>5274</v>
      </c>
      <c r="C70" s="1348" t="s">
        <v>5275</v>
      </c>
      <c r="D70" s="1348" t="s">
        <v>1857</v>
      </c>
      <c r="E70" s="1348" t="s">
        <v>5143</v>
      </c>
      <c r="F70" s="1348" t="str">
        <f>'Model outputs - Interventions'!F52</f>
        <v/>
      </c>
      <c r="G70" s="1176" t="str">
        <f>'Model outputs - Interventions'!K52</f>
        <v/>
      </c>
    </row>
    <row r="71" spans="1:7">
      <c r="A71" s="1348"/>
      <c r="B71" s="1177" t="s">
        <v>5276</v>
      </c>
      <c r="C71" s="1348" t="s">
        <v>5277</v>
      </c>
      <c r="D71" s="1348" t="s">
        <v>165</v>
      </c>
      <c r="E71" s="1348" t="s">
        <v>5143</v>
      </c>
      <c r="F71" s="1348" t="str">
        <f>'Model outputs - Interventions'!F7</f>
        <v>PR19ANH_3</v>
      </c>
      <c r="G71" s="1176">
        <f>'Model outputs - Interventions'!P7</f>
        <v>-0.49643999999999994</v>
      </c>
    </row>
    <row r="72" spans="1:7">
      <c r="A72" s="1348"/>
      <c r="B72" s="1177" t="s">
        <v>5278</v>
      </c>
      <c r="C72" s="1348" t="s">
        <v>5279</v>
      </c>
      <c r="D72" s="1348" t="s">
        <v>165</v>
      </c>
      <c r="E72" s="1348" t="s">
        <v>5143</v>
      </c>
      <c r="F72" s="1348" t="str">
        <f>'Model outputs - Interventions'!F8</f>
        <v>PR19ANH_4</v>
      </c>
      <c r="G72" s="1176">
        <f>'Model outputs - Interventions'!P8</f>
        <v>-2.1245391315531585</v>
      </c>
    </row>
    <row r="73" spans="1:7">
      <c r="A73" s="1348"/>
      <c r="B73" s="1177" t="s">
        <v>5280</v>
      </c>
      <c r="C73" s="1348" t="s">
        <v>5281</v>
      </c>
      <c r="D73" s="1348" t="s">
        <v>165</v>
      </c>
      <c r="E73" s="1348" t="s">
        <v>5143</v>
      </c>
      <c r="F73" s="1348" t="str">
        <f>'Model outputs - Interventions'!F9</f>
        <v>PR19ANH_5</v>
      </c>
      <c r="G73" s="1176">
        <f>'Model outputs - Interventions'!P9</f>
        <v>-16.940000000000001</v>
      </c>
    </row>
    <row r="74" spans="1:7">
      <c r="A74" s="1348"/>
      <c r="B74" s="1177" t="s">
        <v>5282</v>
      </c>
      <c r="C74" s="1348" t="s">
        <v>5283</v>
      </c>
      <c r="D74" s="1348" t="s">
        <v>165</v>
      </c>
      <c r="E74" s="1348" t="s">
        <v>5143</v>
      </c>
      <c r="F74" s="1348" t="str">
        <f>'Model outputs - Interventions'!F10</f>
        <v/>
      </c>
      <c r="G74" s="1176">
        <f>'Model outputs - Interventions'!P10</f>
        <v>0</v>
      </c>
    </row>
    <row r="75" spans="1:7">
      <c r="A75" s="1348"/>
      <c r="B75" s="1177" t="s">
        <v>5284</v>
      </c>
      <c r="C75" s="1348" t="s">
        <v>5285</v>
      </c>
      <c r="D75" s="1348" t="s">
        <v>165</v>
      </c>
      <c r="E75" s="1348" t="s">
        <v>5143</v>
      </c>
      <c r="F75" s="1348" t="str">
        <f>'Model outputs - Interventions'!F11</f>
        <v>PR19ANH_6</v>
      </c>
      <c r="G75" s="1176">
        <f>'Model outputs - Interventions'!P11</f>
        <v>-0.48620000000000002</v>
      </c>
    </row>
    <row r="76" spans="1:7">
      <c r="A76" s="1348"/>
      <c r="B76" s="1177" t="s">
        <v>5286</v>
      </c>
      <c r="C76" s="1348" t="s">
        <v>5287</v>
      </c>
      <c r="D76" s="1348" t="s">
        <v>165</v>
      </c>
      <c r="E76" s="1348" t="s">
        <v>5143</v>
      </c>
      <c r="F76" s="1348" t="str">
        <f>'Model outputs - Interventions'!F12</f>
        <v/>
      </c>
      <c r="G76" s="1176">
        <f>'Model outputs - Interventions'!P12</f>
        <v>0</v>
      </c>
    </row>
    <row r="77" spans="1:7">
      <c r="A77" s="1348"/>
      <c r="B77" s="1177" t="s">
        <v>5288</v>
      </c>
      <c r="C77" s="1348" t="s">
        <v>5289</v>
      </c>
      <c r="D77" s="1348" t="s">
        <v>165</v>
      </c>
      <c r="E77" s="1348" t="s">
        <v>5143</v>
      </c>
      <c r="F77" s="1348" t="str">
        <f>'Model outputs - Interventions'!F13</f>
        <v>PR19ANH_11</v>
      </c>
      <c r="G77" s="1176">
        <f>'Model outputs - Interventions'!P13</f>
        <v>0</v>
      </c>
    </row>
    <row r="78" spans="1:7">
      <c r="A78" s="1348"/>
      <c r="B78" s="1177" t="s">
        <v>5290</v>
      </c>
      <c r="C78" s="1348" t="s">
        <v>5291</v>
      </c>
      <c r="D78" s="1348" t="s">
        <v>165</v>
      </c>
      <c r="E78" s="1348" t="s">
        <v>5143</v>
      </c>
      <c r="F78" s="1348" t="str">
        <f>'Model outputs - Interventions'!F14</f>
        <v>PR19ANH_12</v>
      </c>
      <c r="G78" s="1176">
        <f>'Model outputs - Interventions'!P14</f>
        <v>0</v>
      </c>
    </row>
    <row r="79" spans="1:7">
      <c r="A79" s="1348"/>
      <c r="B79" s="1177" t="s">
        <v>5292</v>
      </c>
      <c r="C79" s="1348" t="s">
        <v>5293</v>
      </c>
      <c r="D79" s="1348" t="s">
        <v>165</v>
      </c>
      <c r="E79" s="1348" t="s">
        <v>5143</v>
      </c>
      <c r="F79" s="1348" t="str">
        <f>'Model outputs - Interventions'!F15</f>
        <v>PR19ANH_15</v>
      </c>
      <c r="G79" s="1176">
        <f>'Model outputs - Interventions'!P15</f>
        <v>0</v>
      </c>
    </row>
    <row r="80" spans="1:7">
      <c r="A80" s="1348"/>
      <c r="B80" s="1177" t="s">
        <v>5294</v>
      </c>
      <c r="C80" s="1348" t="s">
        <v>5295</v>
      </c>
      <c r="D80" s="1348" t="s">
        <v>165</v>
      </c>
      <c r="E80" s="1348" t="s">
        <v>5143</v>
      </c>
      <c r="F80" s="1348" t="str">
        <f>'Model outputs - Interventions'!F16</f>
        <v>PR19ANH_16</v>
      </c>
      <c r="G80" s="1176">
        <f>'Model outputs - Interventions'!P16</f>
        <v>0.27895999999999999</v>
      </c>
    </row>
    <row r="81" spans="1:7">
      <c r="A81" s="1348"/>
      <c r="B81" s="1177" t="s">
        <v>5296</v>
      </c>
      <c r="C81" s="1348" t="s">
        <v>5297</v>
      </c>
      <c r="D81" s="1348" t="s">
        <v>165</v>
      </c>
      <c r="E81" s="1348" t="s">
        <v>5143</v>
      </c>
      <c r="F81" s="1348" t="str">
        <f>'Model outputs - Interventions'!F17</f>
        <v>PR19ANH_20</v>
      </c>
      <c r="G81" s="1176">
        <f>'Model outputs - Interventions'!P17</f>
        <v>-8.7999999999999995E-2</v>
      </c>
    </row>
    <row r="82" spans="1:7">
      <c r="A82" s="1348"/>
      <c r="B82" s="1177" t="s">
        <v>5298</v>
      </c>
      <c r="C82" s="1348" t="s">
        <v>5299</v>
      </c>
      <c r="D82" s="1348" t="s">
        <v>165</v>
      </c>
      <c r="E82" s="1348" t="s">
        <v>5143</v>
      </c>
      <c r="F82" s="1348" t="str">
        <f>'Model outputs - Interventions'!F18</f>
        <v>PR19ANH_23</v>
      </c>
      <c r="G82" s="1176">
        <f>'Model outputs - Interventions'!P18</f>
        <v>0.89604000000000006</v>
      </c>
    </row>
    <row r="83" spans="1:7">
      <c r="A83" s="1348"/>
      <c r="B83" s="1177" t="s">
        <v>5300</v>
      </c>
      <c r="C83" s="1348" t="s">
        <v>5301</v>
      </c>
      <c r="D83" s="1348" t="s">
        <v>165</v>
      </c>
      <c r="E83" s="1348" t="s">
        <v>5143</v>
      </c>
      <c r="F83" s="1348" t="str">
        <f>'Model outputs - Interventions'!F19</f>
        <v>PR19ANH_34</v>
      </c>
      <c r="G83" s="1176">
        <f>'Model outputs - Interventions'!P19</f>
        <v>-0.37464000000000008</v>
      </c>
    </row>
    <row r="84" spans="1:7">
      <c r="A84" s="1348"/>
      <c r="B84" s="1177" t="s">
        <v>5302</v>
      </c>
      <c r="C84" s="1348" t="s">
        <v>5303</v>
      </c>
      <c r="D84" s="1348" t="s">
        <v>165</v>
      </c>
      <c r="E84" s="1348" t="s">
        <v>5143</v>
      </c>
      <c r="F84" s="1348" t="str">
        <f>'Model outputs - Interventions'!F20</f>
        <v>PR19ANH_38</v>
      </c>
      <c r="G84" s="1176">
        <f>'Model outputs - Interventions'!P20</f>
        <v>0</v>
      </c>
    </row>
    <row r="85" spans="1:7">
      <c r="A85" s="1348"/>
      <c r="B85" s="1177" t="s">
        <v>5304</v>
      </c>
      <c r="C85" s="1348" t="s">
        <v>5305</v>
      </c>
      <c r="D85" s="1348" t="s">
        <v>165</v>
      </c>
      <c r="E85" s="1348" t="s">
        <v>5143</v>
      </c>
      <c r="F85" s="1348" t="str">
        <f>'Model outputs - Interventions'!F21</f>
        <v>PR19ANH_39</v>
      </c>
      <c r="G85" s="1176">
        <f>'Model outputs - Interventions'!P21</f>
        <v>0</v>
      </c>
    </row>
    <row r="86" spans="1:7">
      <c r="A86" s="1348"/>
      <c r="B86" s="1177" t="s">
        <v>5306</v>
      </c>
      <c r="C86" s="1348" t="s">
        <v>5307</v>
      </c>
      <c r="D86" s="1348" t="s">
        <v>165</v>
      </c>
      <c r="E86" s="1348" t="s">
        <v>5143</v>
      </c>
      <c r="F86" s="1348" t="str">
        <f>'Model outputs - Interventions'!F22</f>
        <v>PR19ANH_41</v>
      </c>
      <c r="G86" s="1176">
        <f>'Model outputs - Interventions'!P22</f>
        <v>0</v>
      </c>
    </row>
    <row r="87" spans="1:7">
      <c r="A87" s="1348"/>
      <c r="B87" s="1177" t="s">
        <v>5308</v>
      </c>
      <c r="C87" s="1348" t="s">
        <v>5309</v>
      </c>
      <c r="D87" s="1348" t="s">
        <v>165</v>
      </c>
      <c r="E87" s="1348" t="s">
        <v>5143</v>
      </c>
      <c r="F87" s="1348" t="str">
        <f>'Model outputs - Interventions'!F23</f>
        <v>PR19ANH_47</v>
      </c>
      <c r="G87" s="1176">
        <f>'Model outputs - Interventions'!P23</f>
        <v>0</v>
      </c>
    </row>
    <row r="88" spans="1:7">
      <c r="A88" s="1348"/>
      <c r="B88" s="1177" t="s">
        <v>5310</v>
      </c>
      <c r="C88" s="1348" t="s">
        <v>5311</v>
      </c>
      <c r="D88" s="1348" t="s">
        <v>165</v>
      </c>
      <c r="E88" s="1348" t="s">
        <v>5143</v>
      </c>
      <c r="F88" s="1348" t="str">
        <f>'Model outputs - Interventions'!F24</f>
        <v>PR19ANH_48</v>
      </c>
      <c r="G88" s="1176">
        <f>'Model outputs - Interventions'!P24</f>
        <v>0</v>
      </c>
    </row>
    <row r="89" spans="1:7">
      <c r="A89" s="1348"/>
      <c r="B89" s="1177" t="s">
        <v>5312</v>
      </c>
      <c r="C89" s="1348" t="s">
        <v>5313</v>
      </c>
      <c r="D89" s="1348" t="s">
        <v>165</v>
      </c>
      <c r="E89" s="1348" t="s">
        <v>5143</v>
      </c>
      <c r="F89" s="1348" t="str">
        <f>'Model outputs - Interventions'!F25</f>
        <v/>
      </c>
      <c r="G89" s="1176">
        <f>'Model outputs - Interventions'!P25</f>
        <v>0</v>
      </c>
    </row>
    <row r="90" spans="1:7">
      <c r="A90" s="1348"/>
      <c r="B90" s="1177" t="s">
        <v>5314</v>
      </c>
      <c r="C90" s="1348" t="s">
        <v>5315</v>
      </c>
      <c r="D90" s="1348" t="s">
        <v>165</v>
      </c>
      <c r="E90" s="1348" t="s">
        <v>5143</v>
      </c>
      <c r="F90" s="1348" t="str">
        <f>'Model outputs - Interventions'!F26</f>
        <v/>
      </c>
      <c r="G90" s="1176">
        <f>'Model outputs - Interventions'!P26</f>
        <v>0</v>
      </c>
    </row>
    <row r="91" spans="1:7">
      <c r="A91" s="1348"/>
      <c r="B91" s="1177" t="s">
        <v>5316</v>
      </c>
      <c r="C91" s="1348" t="s">
        <v>5317</v>
      </c>
      <c r="D91" s="1348" t="s">
        <v>165</v>
      </c>
      <c r="E91" s="1348" t="s">
        <v>5143</v>
      </c>
      <c r="F91" s="1348" t="str">
        <f>'Model outputs - Interventions'!F27</f>
        <v/>
      </c>
      <c r="G91" s="1176">
        <f>'Model outputs - Interventions'!P27</f>
        <v>0</v>
      </c>
    </row>
    <row r="92" spans="1:7">
      <c r="A92" s="1348"/>
      <c r="B92" s="1177" t="s">
        <v>5318</v>
      </c>
      <c r="C92" s="1348" t="s">
        <v>5319</v>
      </c>
      <c r="D92" s="1348" t="s">
        <v>165</v>
      </c>
      <c r="E92" s="1348" t="s">
        <v>5143</v>
      </c>
      <c r="F92" s="1348" t="str">
        <f>'Model outputs - Interventions'!F28</f>
        <v/>
      </c>
      <c r="G92" s="1176">
        <f>'Model outputs - Interventions'!P28</f>
        <v>0</v>
      </c>
    </row>
    <row r="93" spans="1:7">
      <c r="A93" s="1348"/>
      <c r="B93" s="1177" t="s">
        <v>5320</v>
      </c>
      <c r="C93" s="1348" t="s">
        <v>5321</v>
      </c>
      <c r="D93" s="1348" t="s">
        <v>165</v>
      </c>
      <c r="E93" s="1348" t="s">
        <v>5143</v>
      </c>
      <c r="F93" s="1348" t="str">
        <f>'Model outputs - Interventions'!F29</f>
        <v/>
      </c>
      <c r="G93" s="1176">
        <f>'Model outputs - Interventions'!P29</f>
        <v>0</v>
      </c>
    </row>
    <row r="94" spans="1:7">
      <c r="A94" s="1348"/>
      <c r="B94" s="1177" t="s">
        <v>5322</v>
      </c>
      <c r="C94" s="1348" t="s">
        <v>5323</v>
      </c>
      <c r="D94" s="1348" t="s">
        <v>165</v>
      </c>
      <c r="E94" s="1348" t="s">
        <v>5143</v>
      </c>
      <c r="F94" s="1348" t="str">
        <f>'Model outputs - Interventions'!F30</f>
        <v/>
      </c>
      <c r="G94" s="1176">
        <f>'Model outputs - Interventions'!P30</f>
        <v>0</v>
      </c>
    </row>
    <row r="95" spans="1:7">
      <c r="A95" s="1348"/>
      <c r="B95" s="1177" t="s">
        <v>5324</v>
      </c>
      <c r="C95" s="1348" t="s">
        <v>5325</v>
      </c>
      <c r="D95" s="1348" t="s">
        <v>165</v>
      </c>
      <c r="E95" s="1348" t="s">
        <v>5143</v>
      </c>
      <c r="F95" s="1348" t="str">
        <f>'Model outputs - Interventions'!F31</f>
        <v/>
      </c>
      <c r="G95" s="1176">
        <f>'Model outputs - Interventions'!P31</f>
        <v>0</v>
      </c>
    </row>
    <row r="96" spans="1:7">
      <c r="A96" s="1348"/>
      <c r="B96" s="1177" t="s">
        <v>5326</v>
      </c>
      <c r="C96" s="1348" t="s">
        <v>5327</v>
      </c>
      <c r="D96" s="1348" t="s">
        <v>165</v>
      </c>
      <c r="E96" s="1348" t="s">
        <v>5143</v>
      </c>
      <c r="F96" s="1348" t="str">
        <f>'Model outputs - Interventions'!F32</f>
        <v/>
      </c>
      <c r="G96" s="1176">
        <f>'Model outputs - Interventions'!P32</f>
        <v>0</v>
      </c>
    </row>
    <row r="97" spans="1:7">
      <c r="A97" s="1348"/>
      <c r="B97" s="1177" t="s">
        <v>5328</v>
      </c>
      <c r="C97" s="1348" t="s">
        <v>5329</v>
      </c>
      <c r="D97" s="1348" t="s">
        <v>165</v>
      </c>
      <c r="E97" s="1348" t="s">
        <v>5143</v>
      </c>
      <c r="F97" s="1348" t="str">
        <f>'Model outputs - Interventions'!F33</f>
        <v/>
      </c>
      <c r="G97" s="1176">
        <f>'Model outputs - Interventions'!P33</f>
        <v>0</v>
      </c>
    </row>
    <row r="98" spans="1:7">
      <c r="A98" s="1348"/>
      <c r="B98" s="1177" t="s">
        <v>5330</v>
      </c>
      <c r="C98" s="1348" t="s">
        <v>5331</v>
      </c>
      <c r="D98" s="1348" t="s">
        <v>165</v>
      </c>
      <c r="E98" s="1348" t="s">
        <v>5143</v>
      </c>
      <c r="F98" s="1348" t="str">
        <f>'Model outputs - Interventions'!F34</f>
        <v/>
      </c>
      <c r="G98" s="1176">
        <f>'Model outputs - Interventions'!P34</f>
        <v>0</v>
      </c>
    </row>
    <row r="99" spans="1:7">
      <c r="A99" s="1348"/>
      <c r="B99" s="1177" t="s">
        <v>5332</v>
      </c>
      <c r="C99" s="1348" t="s">
        <v>5333</v>
      </c>
      <c r="D99" s="1348" t="s">
        <v>165</v>
      </c>
      <c r="E99" s="1348" t="s">
        <v>5143</v>
      </c>
      <c r="F99" s="1348" t="str">
        <f>'Model outputs - Interventions'!F35</f>
        <v>PR19ANH_7</v>
      </c>
      <c r="G99" s="1176">
        <f>'Model outputs - Interventions'!P35</f>
        <v>-0.76607999999999832</v>
      </c>
    </row>
    <row r="100" spans="1:7">
      <c r="A100" s="1348"/>
      <c r="B100" s="1177" t="s">
        <v>5334</v>
      </c>
      <c r="C100" s="1348" t="s">
        <v>5335</v>
      </c>
      <c r="D100" s="1348" t="s">
        <v>165</v>
      </c>
      <c r="E100" s="1348" t="s">
        <v>5143</v>
      </c>
      <c r="F100" s="1348" t="str">
        <f>'Model outputs - Interventions'!F36</f>
        <v>PR19ANH_8</v>
      </c>
      <c r="G100" s="1176">
        <f>'Model outputs - Interventions'!P36</f>
        <v>-9.8345000000000002</v>
      </c>
    </row>
    <row r="101" spans="1:7">
      <c r="A101" s="1348"/>
      <c r="B101" s="1177" t="s">
        <v>5336</v>
      </c>
      <c r="C101" s="1348" t="s">
        <v>5337</v>
      </c>
      <c r="D101" s="1348" t="s">
        <v>165</v>
      </c>
      <c r="E101" s="1348" t="s">
        <v>5143</v>
      </c>
      <c r="F101" s="1348" t="str">
        <f>'Model outputs - Interventions'!F37</f>
        <v>PR19ANH_13</v>
      </c>
      <c r="G101" s="1176">
        <f>'Model outputs - Interventions'!P37</f>
        <v>0</v>
      </c>
    </row>
    <row r="102" spans="1:7">
      <c r="A102" s="1348"/>
      <c r="B102" s="1177" t="s">
        <v>5338</v>
      </c>
      <c r="C102" s="1348" t="s">
        <v>5339</v>
      </c>
      <c r="D102" s="1348" t="s">
        <v>165</v>
      </c>
      <c r="E102" s="1348" t="s">
        <v>5143</v>
      </c>
      <c r="F102" s="1348" t="str">
        <f>'Model outputs - Interventions'!F38</f>
        <v>PR19ANH_14</v>
      </c>
      <c r="G102" s="1176">
        <f>'Model outputs - Interventions'!P38</f>
        <v>0</v>
      </c>
    </row>
    <row r="103" spans="1:7">
      <c r="A103" s="1348"/>
      <c r="B103" s="1177" t="s">
        <v>5340</v>
      </c>
      <c r="C103" s="1348" t="s">
        <v>5341</v>
      </c>
      <c r="D103" s="1348" t="s">
        <v>165</v>
      </c>
      <c r="E103" s="1348" t="s">
        <v>5143</v>
      </c>
      <c r="F103" s="1348" t="str">
        <f>'Model outputs - Interventions'!F39</f>
        <v>PR19ANH_17</v>
      </c>
      <c r="G103" s="1176">
        <f>'Model outputs - Interventions'!P39</f>
        <v>-5.1836570000000002</v>
      </c>
    </row>
    <row r="104" spans="1:7">
      <c r="A104" s="1348"/>
      <c r="B104" s="1177" t="s">
        <v>5342</v>
      </c>
      <c r="C104" s="1348" t="s">
        <v>5343</v>
      </c>
      <c r="D104" s="1348" t="s">
        <v>165</v>
      </c>
      <c r="E104" s="1348" t="s">
        <v>5143</v>
      </c>
      <c r="F104" s="1348" t="str">
        <f>'Model outputs - Interventions'!F40</f>
        <v>PR19ANH_19</v>
      </c>
      <c r="G104" s="1176">
        <f>'Model outputs - Interventions'!P40</f>
        <v>-1.1240000000000001</v>
      </c>
    </row>
    <row r="105" spans="1:7">
      <c r="A105" s="1348"/>
      <c r="B105" s="1177" t="s">
        <v>5344</v>
      </c>
      <c r="C105" s="1348" t="s">
        <v>5345</v>
      </c>
      <c r="D105" s="1348" t="s">
        <v>165</v>
      </c>
      <c r="E105" s="1348" t="s">
        <v>5143</v>
      </c>
      <c r="F105" s="1348" t="str">
        <f>'Model outputs - Interventions'!F41</f>
        <v>PR19ANH_32</v>
      </c>
      <c r="G105" s="1176">
        <f>'Model outputs - Interventions'!P41</f>
        <v>0</v>
      </c>
    </row>
    <row r="106" spans="1:7">
      <c r="A106" s="1348"/>
      <c r="B106" s="1177" t="s">
        <v>5346</v>
      </c>
      <c r="C106" s="1348" t="s">
        <v>5347</v>
      </c>
      <c r="D106" s="1348" t="s">
        <v>165</v>
      </c>
      <c r="E106" s="1348" t="s">
        <v>5143</v>
      </c>
      <c r="F106" s="1348" t="str">
        <f>'Model outputs - Interventions'!F42</f>
        <v>PR19ANH_42</v>
      </c>
      <c r="G106" s="1176">
        <f>'Model outputs - Interventions'!P42</f>
        <v>0</v>
      </c>
    </row>
    <row r="107" spans="1:7">
      <c r="A107" s="1348"/>
      <c r="B107" s="1177" t="s">
        <v>5348</v>
      </c>
      <c r="C107" s="1348" t="s">
        <v>5349</v>
      </c>
      <c r="D107" s="1348" t="s">
        <v>165</v>
      </c>
      <c r="E107" s="1348" t="s">
        <v>5143</v>
      </c>
      <c r="F107" s="1348" t="str">
        <f>'Model outputs - Interventions'!F43</f>
        <v>PR19CMA_ANH-01</v>
      </c>
      <c r="G107" s="1176">
        <f>'Model outputs - Interventions'!P43</f>
        <v>0</v>
      </c>
    </row>
    <row r="108" spans="1:7">
      <c r="A108" s="1348"/>
      <c r="B108" s="1177" t="s">
        <v>5350</v>
      </c>
      <c r="C108" s="1348" t="s">
        <v>5351</v>
      </c>
      <c r="D108" s="1348" t="s">
        <v>165</v>
      </c>
      <c r="E108" s="1348" t="s">
        <v>5143</v>
      </c>
      <c r="F108" s="1348" t="str">
        <f>'Model outputs - Interventions'!F44</f>
        <v/>
      </c>
      <c r="G108" s="1176">
        <f>'Model outputs - Interventions'!P44</f>
        <v>0</v>
      </c>
    </row>
    <row r="109" spans="1:7">
      <c r="A109" s="1348"/>
      <c r="B109" s="1177" t="s">
        <v>5352</v>
      </c>
      <c r="C109" s="1348" t="s">
        <v>5353</v>
      </c>
      <c r="D109" s="1348" t="s">
        <v>165</v>
      </c>
      <c r="E109" s="1348" t="s">
        <v>5143</v>
      </c>
      <c r="F109" s="1348" t="str">
        <f>'Model outputs - Interventions'!F45</f>
        <v/>
      </c>
      <c r="G109" s="1176">
        <f>'Model outputs - Interventions'!P45</f>
        <v>0</v>
      </c>
    </row>
    <row r="110" spans="1:7">
      <c r="A110" s="1348"/>
      <c r="B110" s="1177" t="s">
        <v>5354</v>
      </c>
      <c r="C110" s="1348" t="s">
        <v>5355</v>
      </c>
      <c r="D110" s="1348" t="s">
        <v>165</v>
      </c>
      <c r="E110" s="1348" t="s">
        <v>5143</v>
      </c>
      <c r="F110" s="1348" t="str">
        <f>'Model outputs - Interventions'!F46</f>
        <v/>
      </c>
      <c r="G110" s="1176">
        <f>'Model outputs - Interventions'!P46</f>
        <v>0</v>
      </c>
    </row>
    <row r="111" spans="1:7">
      <c r="A111" s="1348"/>
      <c r="B111" s="1177" t="s">
        <v>5356</v>
      </c>
      <c r="C111" s="1348" t="s">
        <v>5357</v>
      </c>
      <c r="D111" s="1348" t="s">
        <v>165</v>
      </c>
      <c r="E111" s="1348" t="s">
        <v>5143</v>
      </c>
      <c r="F111" s="1348" t="str">
        <f>'Model outputs - Interventions'!F47</f>
        <v/>
      </c>
      <c r="G111" s="1176">
        <f>'Model outputs - Interventions'!P47</f>
        <v>0</v>
      </c>
    </row>
    <row r="112" spans="1:7">
      <c r="A112" s="1348"/>
      <c r="B112" s="1177" t="s">
        <v>5358</v>
      </c>
      <c r="C112" s="1348" t="s">
        <v>5359</v>
      </c>
      <c r="D112" s="1348" t="s">
        <v>165</v>
      </c>
      <c r="E112" s="1348" t="s">
        <v>5143</v>
      </c>
      <c r="F112" s="1348" t="str">
        <f>'Model outputs - Interventions'!F48</f>
        <v/>
      </c>
      <c r="G112" s="1176">
        <f>'Model outputs - Interventions'!P48</f>
        <v>0</v>
      </c>
    </row>
    <row r="113" spans="1:7">
      <c r="A113" s="1348"/>
      <c r="B113" s="1177" t="s">
        <v>5360</v>
      </c>
      <c r="C113" s="1348" t="s">
        <v>5361</v>
      </c>
      <c r="D113" s="1348" t="s">
        <v>165</v>
      </c>
      <c r="E113" s="1348" t="s">
        <v>5143</v>
      </c>
      <c r="F113" s="1348" t="str">
        <f>'Model outputs - Interventions'!F49</f>
        <v/>
      </c>
      <c r="G113" s="1176">
        <f>'Model outputs - Interventions'!P49</f>
        <v>0</v>
      </c>
    </row>
    <row r="114" spans="1:7">
      <c r="A114" s="1348"/>
      <c r="B114" s="1177" t="s">
        <v>5362</v>
      </c>
      <c r="C114" s="1348" t="s">
        <v>5363</v>
      </c>
      <c r="D114" s="1348" t="s">
        <v>165</v>
      </c>
      <c r="E114" s="1348" t="s">
        <v>5143</v>
      </c>
      <c r="F114" s="1348" t="str">
        <f>'Model outputs - Interventions'!F50</f>
        <v/>
      </c>
      <c r="G114" s="1176">
        <f>'Model outputs - Interventions'!P50</f>
        <v>0</v>
      </c>
    </row>
    <row r="115" spans="1:7">
      <c r="A115" s="1348"/>
      <c r="B115" s="1177" t="s">
        <v>5364</v>
      </c>
      <c r="C115" s="1348" t="s">
        <v>5365</v>
      </c>
      <c r="D115" s="1348" t="s">
        <v>165</v>
      </c>
      <c r="E115" s="1348" t="s">
        <v>5143</v>
      </c>
      <c r="F115" s="1348" t="str">
        <f>'Model outputs - Interventions'!F51</f>
        <v/>
      </c>
      <c r="G115" s="1176">
        <f>'Model outputs - Interventions'!P51</f>
        <v>0</v>
      </c>
    </row>
    <row r="116" spans="1:7">
      <c r="A116" s="1348"/>
      <c r="B116" s="1177" t="s">
        <v>5366</v>
      </c>
      <c r="C116" s="1348" t="s">
        <v>5367</v>
      </c>
      <c r="D116" s="1348" t="s">
        <v>165</v>
      </c>
      <c r="E116" s="1348" t="s">
        <v>5143</v>
      </c>
      <c r="F116" s="1348" t="str">
        <f>'Model outputs - Interventions'!F52</f>
        <v/>
      </c>
      <c r="G116" s="1176">
        <f>'Model outputs - Interventions'!P52</f>
        <v>0</v>
      </c>
    </row>
    <row r="117" spans="1:7">
      <c r="A117" s="1348"/>
      <c r="B117" s="1348" t="s">
        <v>5368</v>
      </c>
      <c r="C117" s="1348" t="s">
        <v>5369</v>
      </c>
      <c r="D117" s="1348" t="s">
        <v>2007</v>
      </c>
      <c r="E117" s="1348" t="s">
        <v>5143</v>
      </c>
      <c r="F117" s="1348"/>
      <c r="G117" s="2026" t="str">
        <f ca="1">CONCATENATE("[…]", TEXT(NOW(),"dd/mm/yyy hh:mm:ss"))</f>
        <v>[…]15/07/2025 17:18:47</v>
      </c>
    </row>
    <row r="118" spans="1:7">
      <c r="A118" s="1348"/>
      <c r="B118" s="1348" t="s">
        <v>5370</v>
      </c>
      <c r="C118" s="1348" t="s">
        <v>5371</v>
      </c>
      <c r="D118" s="1348" t="s">
        <v>2007</v>
      </c>
      <c r="E118" s="1348" t="s">
        <v>5143</v>
      </c>
      <c r="F118" s="1348"/>
      <c r="G118" s="1474" t="e">
        <f ca="1">MID(CELL("filename"),SEARCH("[",CELL("filename"))+1,SEARCH("]",CELL("filename"))-SEARCH("[",CELL("filename"))-1)</f>
        <v>#VALUE!</v>
      </c>
    </row>
    <row r="119" spans="1:7">
      <c r="B119" s="1348" t="s">
        <v>5372</v>
      </c>
      <c r="C119" s="1347" t="s">
        <v>5373</v>
      </c>
      <c r="D119" s="1348" t="s">
        <v>2007</v>
      </c>
      <c r="E119" s="1348" t="s">
        <v>5143</v>
      </c>
      <c r="F119"/>
      <c r="G119" s="1347" t="s">
        <v>1895</v>
      </c>
    </row>
    <row r="120" spans="1:7">
      <c r="B120" s="1348" t="s">
        <v>5374</v>
      </c>
      <c r="C120" s="1347" t="s">
        <v>5375</v>
      </c>
      <c r="D120" s="1348" t="s">
        <v>1857</v>
      </c>
      <c r="E120" s="1348" t="s">
        <v>5143</v>
      </c>
      <c r="F120"/>
      <c r="G120" s="1347" t="s">
        <v>1895</v>
      </c>
    </row>
  </sheetData>
  <sheetProtection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25"/>
  <sheetData>
    <row r="1" spans="1:1">
      <c r="A1" s="2332"/>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25"/>
  <cols>
    <col min="2" max="2" width="13.625" style="1206" customWidth="1"/>
    <col min="3" max="3" width="24.25" customWidth="1"/>
    <col min="4" max="4" width="43.375" style="1208" customWidth="1"/>
    <col min="5" max="5" width="12" style="1208" customWidth="1"/>
    <col min="6" max="6" width="13.375" style="1207" customWidth="1"/>
    <col min="7" max="7" width="12.375" style="1207" customWidth="1"/>
    <col min="8" max="8" width="45.375" style="1207" customWidth="1"/>
    <col min="9" max="9" width="9.125" style="1207" customWidth="1"/>
    <col min="10" max="10" width="12.125" style="1207" customWidth="1"/>
    <col min="11" max="11" width="17.75" style="1207" customWidth="1"/>
    <col min="12" max="12" width="95.625" style="1208"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44.25">
      <c r="A1" s="2301"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5">
      <c r="A2" s="1329" t="s">
        <v>5377</v>
      </c>
      <c r="B2" s="1474"/>
      <c r="D2" s="2372" t="s">
        <v>5378</v>
      </c>
      <c r="E2" s="2372"/>
      <c r="F2" s="1519"/>
      <c r="G2" s="1519"/>
      <c r="H2" s="1519"/>
      <c r="I2" s="1519"/>
      <c r="J2" s="1519"/>
      <c r="K2" s="1519"/>
      <c r="L2" s="2372"/>
    </row>
    <row r="3" spans="1:107" s="1329" customFormat="1" ht="14.45" customHeight="1">
      <c r="A3" s="1520"/>
      <c r="B3" s="1474" t="s">
        <v>5379</v>
      </c>
      <c r="D3" s="2371" t="s">
        <v>5380</v>
      </c>
      <c r="E3" s="2457" t="s">
        <v>5381</v>
      </c>
      <c r="F3" s="2458"/>
      <c r="G3" s="1519"/>
      <c r="H3" s="1519"/>
      <c r="I3" s="1519"/>
      <c r="J3" s="1519"/>
      <c r="K3" s="1519"/>
      <c r="L3" s="2372"/>
    </row>
    <row r="4" spans="1:107" s="1329" customFormat="1" ht="15">
      <c r="A4" s="1521"/>
      <c r="B4" s="1474" t="s">
        <v>5382</v>
      </c>
      <c r="D4" s="2371"/>
      <c r="E4" s="2371"/>
      <c r="F4" s="1519"/>
      <c r="G4" s="1519"/>
      <c r="H4" s="1519"/>
      <c r="I4" s="1519"/>
      <c r="J4" s="1519"/>
      <c r="K4" s="1519"/>
      <c r="L4" s="2372"/>
    </row>
    <row r="5" spans="1:107" s="1329" customFormat="1" ht="15">
      <c r="A5" s="1522"/>
      <c r="B5" s="1474" t="s">
        <v>5383</v>
      </c>
      <c r="D5" s="2371"/>
      <c r="E5" s="2371"/>
      <c r="F5" s="1519"/>
      <c r="G5" s="1519"/>
      <c r="H5" s="1519"/>
      <c r="I5" s="1519"/>
      <c r="J5" s="1519"/>
      <c r="K5" s="1519"/>
      <c r="L5" s="2372"/>
    </row>
    <row r="6" spans="1:107" s="1329" customFormat="1" ht="15">
      <c r="A6" s="1822"/>
      <c r="B6" s="1474" t="s">
        <v>5384</v>
      </c>
      <c r="D6" s="2372"/>
      <c r="E6" s="2372"/>
      <c r="F6" s="1519"/>
      <c r="G6" s="1519"/>
      <c r="H6" s="1519"/>
      <c r="I6" s="1519"/>
      <c r="J6" s="1519"/>
      <c r="K6" s="1519"/>
      <c r="L6" s="2372"/>
    </row>
    <row r="7" spans="1:107" s="1329" customFormat="1" ht="15">
      <c r="A7" s="2189"/>
      <c r="B7" s="1474" t="s">
        <v>5385</v>
      </c>
      <c r="D7" s="2372"/>
      <c r="E7" s="2372"/>
      <c r="F7" s="1519"/>
      <c r="G7" s="1519"/>
      <c r="H7" s="1519"/>
      <c r="I7" s="1519"/>
      <c r="J7" s="1519"/>
      <c r="K7" s="1519"/>
      <c r="L7" s="2372"/>
    </row>
    <row r="8" spans="1:107" s="1329" customFormat="1" ht="15">
      <c r="A8" s="2139"/>
      <c r="B8" s="1474"/>
      <c r="D8" s="2372"/>
      <c r="E8" s="2372"/>
      <c r="F8" s="1519"/>
      <c r="G8" s="1519"/>
      <c r="H8" s="1519"/>
      <c r="I8" s="1519"/>
      <c r="J8" s="1519"/>
      <c r="K8" s="1519"/>
      <c r="L8" s="2372"/>
    </row>
    <row r="9" spans="1:107" s="1329" customFormat="1" ht="30">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5">
      <c r="A10" s="1518">
        <v>1</v>
      </c>
      <c r="B10" s="1528" t="s">
        <v>1102</v>
      </c>
      <c r="C10" s="1529" t="s">
        <v>1103</v>
      </c>
      <c r="D10" s="1529" t="s">
        <v>5397</v>
      </c>
      <c r="E10" s="1529" t="s">
        <v>5398</v>
      </c>
      <c r="F10" s="1518" t="s">
        <v>1078</v>
      </c>
      <c r="G10" s="1518">
        <v>77</v>
      </c>
      <c r="H10" s="1518" t="s">
        <v>2157</v>
      </c>
      <c r="I10" s="1518" t="s">
        <v>1847</v>
      </c>
      <c r="J10" s="1530">
        <v>2</v>
      </c>
      <c r="K10" s="1530">
        <v>1.5</v>
      </c>
      <c r="L10" s="1529" t="s">
        <v>5399</v>
      </c>
      <c r="M10" s="1531">
        <v>44287</v>
      </c>
    </row>
    <row r="11" spans="1:107" s="1329" customFormat="1" ht="15">
      <c r="A11" s="1518">
        <v>2</v>
      </c>
      <c r="B11" s="1528" t="s">
        <v>1102</v>
      </c>
      <c r="C11" s="1529" t="s">
        <v>1103</v>
      </c>
      <c r="D11" s="1529" t="s">
        <v>5397</v>
      </c>
      <c r="E11" s="1529" t="s">
        <v>5398</v>
      </c>
      <c r="F11" s="1518" t="s">
        <v>1078</v>
      </c>
      <c r="G11" s="1518">
        <v>77</v>
      </c>
      <c r="H11" s="1518" t="s">
        <v>2157</v>
      </c>
      <c r="I11" s="1518" t="s">
        <v>1853</v>
      </c>
      <c r="J11" s="1530">
        <v>2</v>
      </c>
      <c r="K11" s="1530">
        <v>1.5</v>
      </c>
      <c r="L11" s="1529" t="s">
        <v>5399</v>
      </c>
      <c r="M11" s="1531">
        <v>44287</v>
      </c>
    </row>
    <row r="12" spans="1:107" s="1329" customFormat="1" ht="15">
      <c r="A12" s="1518">
        <v>3</v>
      </c>
      <c r="B12" s="1528" t="s">
        <v>1102</v>
      </c>
      <c r="C12" s="1529" t="s">
        <v>1103</v>
      </c>
      <c r="D12" s="1529" t="s">
        <v>5397</v>
      </c>
      <c r="E12" s="1529" t="s">
        <v>5398</v>
      </c>
      <c r="F12" s="1518" t="s">
        <v>1078</v>
      </c>
      <c r="G12" s="1518">
        <v>77</v>
      </c>
      <c r="H12" s="1518" t="s">
        <v>2157</v>
      </c>
      <c r="I12" s="1518" t="s">
        <v>129</v>
      </c>
      <c r="J12" s="1530">
        <v>2</v>
      </c>
      <c r="K12" s="1530">
        <v>1.5</v>
      </c>
      <c r="L12" s="1529" t="s">
        <v>5399</v>
      </c>
      <c r="M12" s="1531">
        <v>44287</v>
      </c>
    </row>
    <row r="13" spans="1:107" s="1329" customFormat="1" ht="15">
      <c r="A13" s="1518">
        <v>4</v>
      </c>
      <c r="B13" s="1528" t="s">
        <v>1102</v>
      </c>
      <c r="C13" s="1529" t="s">
        <v>1105</v>
      </c>
      <c r="D13" s="1529" t="s">
        <v>705</v>
      </c>
      <c r="E13" s="1529" t="s">
        <v>5398</v>
      </c>
      <c r="F13" s="1518" t="s">
        <v>1078</v>
      </c>
      <c r="G13" s="1518">
        <v>92</v>
      </c>
      <c r="H13" s="1518" t="s">
        <v>2160</v>
      </c>
      <c r="I13" s="1518" t="s">
        <v>1830</v>
      </c>
      <c r="J13" s="1530" t="s">
        <v>4430</v>
      </c>
      <c r="K13" s="1530" t="s">
        <v>5400</v>
      </c>
      <c r="L13" s="1529" t="s">
        <v>5401</v>
      </c>
      <c r="M13" s="1531">
        <v>44287</v>
      </c>
    </row>
    <row r="14" spans="1:107" s="1329" customFormat="1" ht="15">
      <c r="A14" s="1518">
        <v>5</v>
      </c>
      <c r="B14" s="1528" t="s">
        <v>1102</v>
      </c>
      <c r="C14" s="1529" t="s">
        <v>1105</v>
      </c>
      <c r="D14" s="1529" t="s">
        <v>705</v>
      </c>
      <c r="E14" s="1529" t="s">
        <v>5398</v>
      </c>
      <c r="F14" s="1518" t="s">
        <v>1078</v>
      </c>
      <c r="G14" s="1518">
        <v>92</v>
      </c>
      <c r="H14" s="1518" t="s">
        <v>2160</v>
      </c>
      <c r="I14" s="1518" t="s">
        <v>1840</v>
      </c>
      <c r="J14" s="1530" t="s">
        <v>4430</v>
      </c>
      <c r="K14" s="1530" t="s">
        <v>5400</v>
      </c>
      <c r="L14" s="1529" t="s">
        <v>5401</v>
      </c>
      <c r="M14" s="1531">
        <v>44287</v>
      </c>
    </row>
    <row r="15" spans="1:107" s="1329" customFormat="1" ht="15">
      <c r="A15" s="1518">
        <v>6</v>
      </c>
      <c r="B15" s="1528" t="s">
        <v>1102</v>
      </c>
      <c r="C15" s="1529" t="s">
        <v>1105</v>
      </c>
      <c r="D15" s="1529" t="s">
        <v>705</v>
      </c>
      <c r="E15" s="1529" t="s">
        <v>5398</v>
      </c>
      <c r="F15" s="1518" t="s">
        <v>1078</v>
      </c>
      <c r="G15" s="1518">
        <v>92</v>
      </c>
      <c r="H15" s="1518" t="s">
        <v>2160</v>
      </c>
      <c r="I15" s="1518" t="s">
        <v>1847</v>
      </c>
      <c r="J15" s="1530" t="s">
        <v>4430</v>
      </c>
      <c r="K15" s="1530" t="s">
        <v>5400</v>
      </c>
      <c r="L15" s="1529" t="s">
        <v>5401</v>
      </c>
      <c r="M15" s="1531">
        <v>44287</v>
      </c>
    </row>
    <row r="16" spans="1:107" s="1329" customFormat="1" ht="15">
      <c r="A16" s="1518">
        <v>7</v>
      </c>
      <c r="B16" s="1528" t="s">
        <v>1102</v>
      </c>
      <c r="C16" s="1529" t="s">
        <v>1105</v>
      </c>
      <c r="D16" s="1529" t="s">
        <v>705</v>
      </c>
      <c r="E16" s="1529" t="s">
        <v>5398</v>
      </c>
      <c r="F16" s="1518" t="s">
        <v>1078</v>
      </c>
      <c r="G16" s="1518">
        <v>92</v>
      </c>
      <c r="H16" s="1518" t="s">
        <v>2160</v>
      </c>
      <c r="I16" s="1518" t="s">
        <v>1853</v>
      </c>
      <c r="J16" s="1530" t="s">
        <v>4430</v>
      </c>
      <c r="K16" s="1530" t="s">
        <v>5400</v>
      </c>
      <c r="L16" s="1529" t="s">
        <v>5401</v>
      </c>
      <c r="M16" s="1531">
        <v>44287</v>
      </c>
    </row>
    <row r="17" spans="1:13" s="1329" customFormat="1" ht="15">
      <c r="A17" s="1518">
        <v>8</v>
      </c>
      <c r="B17" s="1528" t="s">
        <v>1102</v>
      </c>
      <c r="C17" s="1529" t="s">
        <v>1105</v>
      </c>
      <c r="D17" s="1529" t="s">
        <v>705</v>
      </c>
      <c r="E17" s="1529" t="s">
        <v>5398</v>
      </c>
      <c r="F17" s="1518" t="s">
        <v>1078</v>
      </c>
      <c r="G17" s="1518">
        <v>92</v>
      </c>
      <c r="H17" s="1518" t="s">
        <v>2160</v>
      </c>
      <c r="I17" s="1518" t="s">
        <v>129</v>
      </c>
      <c r="J17" s="1530" t="s">
        <v>4430</v>
      </c>
      <c r="K17" s="1530" t="s">
        <v>5400</v>
      </c>
      <c r="L17" s="1529" t="s">
        <v>5401</v>
      </c>
      <c r="M17" s="1531">
        <v>44287</v>
      </c>
    </row>
    <row r="18" spans="1:13" s="1329" customFormat="1" ht="45">
      <c r="A18" s="1518">
        <v>9</v>
      </c>
      <c r="B18" s="1528" t="s">
        <v>1102</v>
      </c>
      <c r="C18" s="1529" t="s">
        <v>1105</v>
      </c>
      <c r="D18" s="1529" t="s">
        <v>705</v>
      </c>
      <c r="E18" s="1529" t="s">
        <v>5398</v>
      </c>
      <c r="F18" s="1518" t="s">
        <v>1078</v>
      </c>
      <c r="G18" s="1518">
        <v>97</v>
      </c>
      <c r="H18" s="1532" t="s">
        <v>2206</v>
      </c>
      <c r="I18" s="1518" t="s">
        <v>1895</v>
      </c>
      <c r="J18" s="1530">
        <v>-0.28038099999999999</v>
      </c>
      <c r="K18" s="1530">
        <v>-0.7</v>
      </c>
      <c r="L18" s="1529" t="s">
        <v>5402</v>
      </c>
      <c r="M18" s="1531">
        <v>44287</v>
      </c>
    </row>
    <row r="19" spans="1:13" s="1329" customFormat="1" ht="15">
      <c r="A19" s="1518">
        <v>10</v>
      </c>
      <c r="B19" s="1528" t="s">
        <v>1102</v>
      </c>
      <c r="C19" s="1529" t="s">
        <v>1105</v>
      </c>
      <c r="D19" s="1529" t="s">
        <v>705</v>
      </c>
      <c r="E19" s="1529" t="s">
        <v>5398</v>
      </c>
      <c r="F19" s="1518" t="s">
        <v>1078</v>
      </c>
      <c r="G19" s="1518">
        <v>100</v>
      </c>
      <c r="H19" s="1518" t="s">
        <v>2208</v>
      </c>
      <c r="I19" s="1518" t="s">
        <v>1895</v>
      </c>
      <c r="J19" s="1530">
        <v>-0.78239599999999998</v>
      </c>
      <c r="K19" s="1530" t="s">
        <v>5400</v>
      </c>
      <c r="L19" s="1529" t="s">
        <v>5403</v>
      </c>
      <c r="M19" s="1531">
        <v>44287</v>
      </c>
    </row>
    <row r="20" spans="1:13" s="1329" customFormat="1" ht="15">
      <c r="A20" s="1518">
        <v>11</v>
      </c>
      <c r="B20" s="1528" t="s">
        <v>1102</v>
      </c>
      <c r="C20" s="1529" t="s">
        <v>1105</v>
      </c>
      <c r="D20" s="1529" t="s">
        <v>705</v>
      </c>
      <c r="E20" s="1529" t="s">
        <v>5398</v>
      </c>
      <c r="F20" s="1518" t="s">
        <v>1078</v>
      </c>
      <c r="G20" s="1518">
        <v>104</v>
      </c>
      <c r="H20" s="1518" t="s">
        <v>2212</v>
      </c>
      <c r="I20" s="1518" t="s">
        <v>1895</v>
      </c>
      <c r="J20" s="1530">
        <v>0.78239599999999998</v>
      </c>
      <c r="K20" s="1530" t="s">
        <v>5400</v>
      </c>
      <c r="L20" s="1529" t="s">
        <v>5403</v>
      </c>
      <c r="M20" s="1531">
        <v>44287</v>
      </c>
    </row>
    <row r="21" spans="1:13" s="1329" customFormat="1" ht="15">
      <c r="A21" s="1518">
        <v>12</v>
      </c>
      <c r="B21" s="1528" t="s">
        <v>1102</v>
      </c>
      <c r="C21" s="1529" t="s">
        <v>1096</v>
      </c>
      <c r="D21" s="1529" t="s">
        <v>788</v>
      </c>
      <c r="E21" s="1529" t="s">
        <v>5398</v>
      </c>
      <c r="F21" s="1518" t="s">
        <v>1078</v>
      </c>
      <c r="G21" s="1518">
        <v>72</v>
      </c>
      <c r="H21" s="1518" t="s">
        <v>2156</v>
      </c>
      <c r="I21" s="1518" t="s">
        <v>1830</v>
      </c>
      <c r="J21" s="1530">
        <v>36.756999999999998</v>
      </c>
      <c r="K21" s="1530">
        <v>41.6</v>
      </c>
      <c r="L21" s="1529" t="s">
        <v>5404</v>
      </c>
      <c r="M21" s="1531">
        <v>44287</v>
      </c>
    </row>
    <row r="22" spans="1:13" s="1329" customFormat="1" ht="15">
      <c r="A22" s="1518">
        <v>13</v>
      </c>
      <c r="B22" s="1528" t="s">
        <v>1102</v>
      </c>
      <c r="C22" s="1529" t="s">
        <v>1096</v>
      </c>
      <c r="D22" s="1529" t="s">
        <v>788</v>
      </c>
      <c r="E22" s="1529" t="s">
        <v>5398</v>
      </c>
      <c r="F22" s="1518" t="s">
        <v>1078</v>
      </c>
      <c r="G22" s="1518">
        <v>72</v>
      </c>
      <c r="H22" s="1518" t="s">
        <v>2156</v>
      </c>
      <c r="I22" s="1518" t="s">
        <v>1840</v>
      </c>
      <c r="J22" s="1530">
        <v>36.756999999999998</v>
      </c>
      <c r="K22" s="1530">
        <v>41.6</v>
      </c>
      <c r="L22" s="1529" t="s">
        <v>5404</v>
      </c>
      <c r="M22" s="1531">
        <v>44287</v>
      </c>
    </row>
    <row r="23" spans="1:13" s="1329" customFormat="1" ht="15">
      <c r="A23" s="1518">
        <v>14</v>
      </c>
      <c r="B23" s="1528" t="s">
        <v>1102</v>
      </c>
      <c r="C23" s="1529" t="s">
        <v>1096</v>
      </c>
      <c r="D23" s="1529" t="s">
        <v>788</v>
      </c>
      <c r="E23" s="1529" t="s">
        <v>5398</v>
      </c>
      <c r="F23" s="1518" t="s">
        <v>1078</v>
      </c>
      <c r="G23" s="1518">
        <v>72</v>
      </c>
      <c r="H23" s="1518" t="s">
        <v>2156</v>
      </c>
      <c r="I23" s="1518" t="s">
        <v>1847</v>
      </c>
      <c r="J23" s="1530">
        <v>36.756999999999998</v>
      </c>
      <c r="K23" s="1530">
        <v>41.6</v>
      </c>
      <c r="L23" s="1529" t="s">
        <v>5404</v>
      </c>
      <c r="M23" s="1531">
        <v>44287</v>
      </c>
    </row>
    <row r="24" spans="1:13" s="1329" customFormat="1" ht="15">
      <c r="A24" s="1518">
        <v>15</v>
      </c>
      <c r="B24" s="1528" t="s">
        <v>1102</v>
      </c>
      <c r="C24" s="1529" t="s">
        <v>1096</v>
      </c>
      <c r="D24" s="1529" t="s">
        <v>788</v>
      </c>
      <c r="E24" s="1529" t="s">
        <v>5398</v>
      </c>
      <c r="F24" s="1518" t="s">
        <v>1078</v>
      </c>
      <c r="G24" s="1518">
        <v>72</v>
      </c>
      <c r="H24" s="1518" t="s">
        <v>2156</v>
      </c>
      <c r="I24" s="1518" t="s">
        <v>1853</v>
      </c>
      <c r="J24" s="1530">
        <v>36.756999999999998</v>
      </c>
      <c r="K24" s="1530">
        <v>41.6</v>
      </c>
      <c r="L24" s="1529" t="s">
        <v>5404</v>
      </c>
      <c r="M24" s="1531">
        <v>44287</v>
      </c>
    </row>
    <row r="25" spans="1:13" s="1329" customFormat="1" ht="15">
      <c r="A25" s="1518">
        <v>16</v>
      </c>
      <c r="B25" s="1528" t="s">
        <v>1102</v>
      </c>
      <c r="C25" s="1529" t="s">
        <v>1096</v>
      </c>
      <c r="D25" s="1529" t="s">
        <v>788</v>
      </c>
      <c r="E25" s="1529" t="s">
        <v>5398</v>
      </c>
      <c r="F25" s="1518" t="s">
        <v>1078</v>
      </c>
      <c r="G25" s="1518">
        <v>72</v>
      </c>
      <c r="H25" s="1518" t="s">
        <v>2156</v>
      </c>
      <c r="I25" s="1518" t="s">
        <v>129</v>
      </c>
      <c r="J25" s="1530">
        <v>36.756999999999998</v>
      </c>
      <c r="K25" s="1530">
        <v>41.6</v>
      </c>
      <c r="L25" s="1529" t="s">
        <v>5404</v>
      </c>
      <c r="M25" s="1531">
        <v>44287</v>
      </c>
    </row>
    <row r="26" spans="1:13" s="1329" customFormat="1" ht="15">
      <c r="A26" s="1518">
        <v>17</v>
      </c>
      <c r="B26" s="1528" t="s">
        <v>1102</v>
      </c>
      <c r="C26" s="1529" t="s">
        <v>1107</v>
      </c>
      <c r="D26" s="1529" t="s">
        <v>5405</v>
      </c>
      <c r="E26" s="1529" t="s">
        <v>5398</v>
      </c>
      <c r="F26" s="1518" t="s">
        <v>1078</v>
      </c>
      <c r="G26" s="1518">
        <v>77</v>
      </c>
      <c r="H26" s="1518" t="s">
        <v>2157</v>
      </c>
      <c r="I26" s="1518" t="s">
        <v>1830</v>
      </c>
      <c r="J26" s="1530" t="s">
        <v>5400</v>
      </c>
      <c r="K26" s="1530">
        <v>150.1</v>
      </c>
      <c r="L26" s="1529" t="s">
        <v>5406</v>
      </c>
      <c r="M26" s="1531">
        <v>44287</v>
      </c>
    </row>
    <row r="27" spans="1:13" s="1329" customFormat="1" ht="15">
      <c r="A27" s="1518">
        <v>18</v>
      </c>
      <c r="B27" s="1528" t="s">
        <v>1102</v>
      </c>
      <c r="C27" s="1529" t="s">
        <v>1107</v>
      </c>
      <c r="D27" s="1529" t="s">
        <v>5405</v>
      </c>
      <c r="E27" s="1529" t="s">
        <v>5398</v>
      </c>
      <c r="F27" s="1518" t="s">
        <v>1078</v>
      </c>
      <c r="G27" s="1518">
        <v>77</v>
      </c>
      <c r="H27" s="1518" t="s">
        <v>2157</v>
      </c>
      <c r="I27" s="1518" t="s">
        <v>1840</v>
      </c>
      <c r="J27" s="1530" t="s">
        <v>5400</v>
      </c>
      <c r="K27" s="1530">
        <v>148.1</v>
      </c>
      <c r="L27" s="1529" t="s">
        <v>5406</v>
      </c>
      <c r="M27" s="1531">
        <v>44287</v>
      </c>
    </row>
    <row r="28" spans="1:13" s="1329" customFormat="1" ht="15">
      <c r="A28" s="1518">
        <v>19</v>
      </c>
      <c r="B28" s="1528" t="s">
        <v>1102</v>
      </c>
      <c r="C28" s="1529" t="s">
        <v>1107</v>
      </c>
      <c r="D28" s="1529" t="s">
        <v>5405</v>
      </c>
      <c r="E28" s="1529" t="s">
        <v>5398</v>
      </c>
      <c r="F28" s="1518" t="s">
        <v>1078</v>
      </c>
      <c r="G28" s="1518">
        <v>77</v>
      </c>
      <c r="H28" s="1518" t="s">
        <v>2157</v>
      </c>
      <c r="I28" s="1518" t="s">
        <v>1847</v>
      </c>
      <c r="J28" s="1530" t="s">
        <v>5400</v>
      </c>
      <c r="K28" s="1530">
        <v>146.19999999999999</v>
      </c>
      <c r="L28" s="1529" t="s">
        <v>5406</v>
      </c>
      <c r="M28" s="1531">
        <v>44287</v>
      </c>
    </row>
    <row r="29" spans="1:13" s="1329" customFormat="1" ht="15">
      <c r="A29" s="1518">
        <v>20</v>
      </c>
      <c r="B29" s="1528" t="s">
        <v>1102</v>
      </c>
      <c r="C29" s="1529" t="s">
        <v>1107</v>
      </c>
      <c r="D29" s="1529" t="s">
        <v>5405</v>
      </c>
      <c r="E29" s="1529" t="s">
        <v>5398</v>
      </c>
      <c r="F29" s="1518" t="s">
        <v>1078</v>
      </c>
      <c r="G29" s="1518">
        <v>77</v>
      </c>
      <c r="H29" s="1518" t="s">
        <v>2157</v>
      </c>
      <c r="I29" s="1518" t="s">
        <v>1853</v>
      </c>
      <c r="J29" s="1530" t="s">
        <v>5400</v>
      </c>
      <c r="K29" s="1530">
        <v>144.19999999999999</v>
      </c>
      <c r="L29" s="1529" t="s">
        <v>5406</v>
      </c>
      <c r="M29" s="1531">
        <v>44287</v>
      </c>
    </row>
    <row r="30" spans="1:13" s="1329" customFormat="1" ht="15">
      <c r="A30" s="1518">
        <v>21</v>
      </c>
      <c r="B30" s="1528" t="s">
        <v>1102</v>
      </c>
      <c r="C30" s="1529" t="s">
        <v>1107</v>
      </c>
      <c r="D30" s="1529" t="s">
        <v>5405</v>
      </c>
      <c r="E30" s="1529" t="s">
        <v>5398</v>
      </c>
      <c r="F30" s="1518" t="s">
        <v>1078</v>
      </c>
      <c r="G30" s="1518">
        <v>77</v>
      </c>
      <c r="H30" s="1518" t="s">
        <v>2157</v>
      </c>
      <c r="I30" s="1518" t="s">
        <v>129</v>
      </c>
      <c r="J30" s="1530" t="s">
        <v>5400</v>
      </c>
      <c r="K30" s="1530">
        <v>142.30000000000001</v>
      </c>
      <c r="L30" s="1529" t="s">
        <v>5406</v>
      </c>
      <c r="M30" s="1531">
        <v>44287</v>
      </c>
    </row>
    <row r="31" spans="1:13" s="1329" customFormat="1" ht="15">
      <c r="A31" s="1518">
        <v>22</v>
      </c>
      <c r="B31" s="1528" t="s">
        <v>1102</v>
      </c>
      <c r="C31" s="1529" t="s">
        <v>1108</v>
      </c>
      <c r="D31" s="1529" t="s">
        <v>5407</v>
      </c>
      <c r="E31" s="1529" t="s">
        <v>5398</v>
      </c>
      <c r="F31" s="1518" t="s">
        <v>1078</v>
      </c>
      <c r="G31" s="1518">
        <v>77</v>
      </c>
      <c r="H31" s="1518" t="s">
        <v>2157</v>
      </c>
      <c r="I31" s="1518" t="s">
        <v>1830</v>
      </c>
      <c r="J31" s="1530" t="s">
        <v>5400</v>
      </c>
      <c r="K31" s="1530">
        <v>2.81</v>
      </c>
      <c r="L31" s="1529" t="s">
        <v>5408</v>
      </c>
      <c r="M31" s="1531">
        <v>44287</v>
      </c>
    </row>
    <row r="32" spans="1:13" s="1329" customFormat="1" ht="15">
      <c r="A32" s="1518">
        <v>23</v>
      </c>
      <c r="B32" s="1528" t="s">
        <v>1102</v>
      </c>
      <c r="C32" s="1529" t="s">
        <v>1108</v>
      </c>
      <c r="D32" s="1529" t="s">
        <v>5407</v>
      </c>
      <c r="E32" s="1529" t="s">
        <v>5398</v>
      </c>
      <c r="F32" s="1518" t="s">
        <v>1078</v>
      </c>
      <c r="G32" s="1518">
        <v>77</v>
      </c>
      <c r="H32" s="1518" t="s">
        <v>2157</v>
      </c>
      <c r="I32" s="1518" t="s">
        <v>1840</v>
      </c>
      <c r="J32" s="1530" t="s">
        <v>5400</v>
      </c>
      <c r="K32" s="1530">
        <v>2.81</v>
      </c>
      <c r="L32" s="1529" t="s">
        <v>5408</v>
      </c>
      <c r="M32" s="1531">
        <v>44287</v>
      </c>
    </row>
    <row r="33" spans="1:13" s="1329" customFormat="1" ht="15">
      <c r="A33" s="1518">
        <v>24</v>
      </c>
      <c r="B33" s="1528" t="s">
        <v>1102</v>
      </c>
      <c r="C33" s="1529" t="s">
        <v>1108</v>
      </c>
      <c r="D33" s="1529" t="s">
        <v>5407</v>
      </c>
      <c r="E33" s="1529" t="s">
        <v>5398</v>
      </c>
      <c r="F33" s="1518" t="s">
        <v>1078</v>
      </c>
      <c r="G33" s="1518">
        <v>77</v>
      </c>
      <c r="H33" s="1518" t="s">
        <v>2157</v>
      </c>
      <c r="I33" s="1518" t="s">
        <v>1847</v>
      </c>
      <c r="J33" s="1530" t="s">
        <v>5400</v>
      </c>
      <c r="K33" s="1530">
        <v>2.81</v>
      </c>
      <c r="L33" s="1529" t="s">
        <v>5408</v>
      </c>
      <c r="M33" s="1531">
        <v>44287</v>
      </c>
    </row>
    <row r="34" spans="1:13" s="1329" customFormat="1" ht="15">
      <c r="A34" s="1518">
        <v>25</v>
      </c>
      <c r="B34" s="1528" t="s">
        <v>1102</v>
      </c>
      <c r="C34" s="1529" t="s">
        <v>1108</v>
      </c>
      <c r="D34" s="1529" t="s">
        <v>5407</v>
      </c>
      <c r="E34" s="1529" t="s">
        <v>5398</v>
      </c>
      <c r="F34" s="1518" t="s">
        <v>1078</v>
      </c>
      <c r="G34" s="1518">
        <v>77</v>
      </c>
      <c r="H34" s="1518" t="s">
        <v>2157</v>
      </c>
      <c r="I34" s="1518" t="s">
        <v>1853</v>
      </c>
      <c r="J34" s="1530" t="s">
        <v>5400</v>
      </c>
      <c r="K34" s="1530">
        <v>2.81</v>
      </c>
      <c r="L34" s="1529" t="s">
        <v>5408</v>
      </c>
      <c r="M34" s="1531">
        <v>44287</v>
      </c>
    </row>
    <row r="35" spans="1:13" s="1329" customFormat="1" ht="15">
      <c r="A35" s="1518">
        <v>26</v>
      </c>
      <c r="B35" s="1528" t="s">
        <v>1102</v>
      </c>
      <c r="C35" s="1529" t="s">
        <v>1108</v>
      </c>
      <c r="D35" s="1529" t="s">
        <v>5407</v>
      </c>
      <c r="E35" s="1529" t="s">
        <v>5398</v>
      </c>
      <c r="F35" s="1518" t="s">
        <v>1078</v>
      </c>
      <c r="G35" s="1518">
        <v>77</v>
      </c>
      <c r="H35" s="1518" t="s">
        <v>2157</v>
      </c>
      <c r="I35" s="1518" t="s">
        <v>129</v>
      </c>
      <c r="J35" s="1530" t="s">
        <v>5400</v>
      </c>
      <c r="K35" s="1530">
        <v>2.81</v>
      </c>
      <c r="L35" s="1529" t="s">
        <v>5408</v>
      </c>
      <c r="M35" s="1531">
        <v>44287</v>
      </c>
    </row>
    <row r="36" spans="1:13" s="1329" customFormat="1" ht="15">
      <c r="A36" s="1533">
        <v>27</v>
      </c>
      <c r="B36" s="1534" t="s">
        <v>1102</v>
      </c>
      <c r="C36" s="1535" t="s">
        <v>1339</v>
      </c>
      <c r="D36" s="1535" t="s">
        <v>2390</v>
      </c>
      <c r="E36" s="1535" t="s">
        <v>913</v>
      </c>
      <c r="F36" s="1533" t="s">
        <v>1078</v>
      </c>
      <c r="G36" s="1533">
        <v>41</v>
      </c>
      <c r="H36" s="1533" t="s">
        <v>5409</v>
      </c>
      <c r="I36" s="1533" t="s">
        <v>1830</v>
      </c>
      <c r="J36" s="1536">
        <v>-87</v>
      </c>
      <c r="K36" s="1536">
        <v>0</v>
      </c>
      <c r="L36" s="1535" t="s">
        <v>5410</v>
      </c>
      <c r="M36" s="1537">
        <v>44225</v>
      </c>
    </row>
    <row r="37" spans="1:13" s="1329" customFormat="1" ht="15">
      <c r="A37" s="1533">
        <v>28</v>
      </c>
      <c r="B37" s="1534" t="s">
        <v>1102</v>
      </c>
      <c r="C37" s="1535" t="s">
        <v>1339</v>
      </c>
      <c r="D37" s="1535" t="s">
        <v>2390</v>
      </c>
      <c r="E37" s="1535" t="s">
        <v>913</v>
      </c>
      <c r="F37" s="1533" t="s">
        <v>1078</v>
      </c>
      <c r="G37" s="1533">
        <v>41</v>
      </c>
      <c r="H37" s="1533" t="s">
        <v>5409</v>
      </c>
      <c r="I37" s="1533" t="s">
        <v>1840</v>
      </c>
      <c r="J37" s="1536">
        <v>-87</v>
      </c>
      <c r="K37" s="1536">
        <v>0</v>
      </c>
      <c r="L37" s="1535" t="s">
        <v>5410</v>
      </c>
      <c r="M37" s="1537">
        <v>44225</v>
      </c>
    </row>
    <row r="38" spans="1:13" s="1329" customFormat="1" ht="15">
      <c r="A38" s="1533">
        <v>29</v>
      </c>
      <c r="B38" s="1534" t="s">
        <v>1102</v>
      </c>
      <c r="C38" s="1535" t="s">
        <v>1339</v>
      </c>
      <c r="D38" s="1535" t="s">
        <v>2390</v>
      </c>
      <c r="E38" s="1535" t="s">
        <v>913</v>
      </c>
      <c r="F38" s="1533" t="s">
        <v>1078</v>
      </c>
      <c r="G38" s="1533">
        <v>41</v>
      </c>
      <c r="H38" s="1533" t="s">
        <v>5409</v>
      </c>
      <c r="I38" s="1533" t="s">
        <v>1847</v>
      </c>
      <c r="J38" s="1536">
        <v>-87</v>
      </c>
      <c r="K38" s="1536">
        <v>0</v>
      </c>
      <c r="L38" s="1535" t="s">
        <v>5410</v>
      </c>
      <c r="M38" s="1537">
        <v>44225</v>
      </c>
    </row>
    <row r="39" spans="1:13" s="1329" customFormat="1" ht="15">
      <c r="A39" s="1533">
        <v>30</v>
      </c>
      <c r="B39" s="1534" t="s">
        <v>1102</v>
      </c>
      <c r="C39" s="1535" t="s">
        <v>1339</v>
      </c>
      <c r="D39" s="1535" t="s">
        <v>2390</v>
      </c>
      <c r="E39" s="1535" t="s">
        <v>913</v>
      </c>
      <c r="F39" s="1533" t="s">
        <v>1078</v>
      </c>
      <c r="G39" s="1533">
        <v>41</v>
      </c>
      <c r="H39" s="1533" t="s">
        <v>5409</v>
      </c>
      <c r="I39" s="1533" t="s">
        <v>1853</v>
      </c>
      <c r="J39" s="1536">
        <v>-87</v>
      </c>
      <c r="K39" s="1536">
        <v>0</v>
      </c>
      <c r="L39" s="1535" t="s">
        <v>5410</v>
      </c>
      <c r="M39" s="1537">
        <v>44225</v>
      </c>
    </row>
    <row r="40" spans="1:13" s="1329" customFormat="1" ht="15">
      <c r="A40" s="1533">
        <v>31</v>
      </c>
      <c r="B40" s="1534" t="s">
        <v>1102</v>
      </c>
      <c r="C40" s="1535" t="s">
        <v>1339</v>
      </c>
      <c r="D40" s="1535" t="s">
        <v>2390</v>
      </c>
      <c r="E40" s="1535" t="s">
        <v>913</v>
      </c>
      <c r="F40" s="1533" t="s">
        <v>1078</v>
      </c>
      <c r="G40" s="1533">
        <v>41</v>
      </c>
      <c r="H40" s="1533" t="s">
        <v>5409</v>
      </c>
      <c r="I40" s="1533" t="s">
        <v>129</v>
      </c>
      <c r="J40" s="1536">
        <v>-87</v>
      </c>
      <c r="K40" s="1536">
        <v>0</v>
      </c>
      <c r="L40" s="1535" t="s">
        <v>5410</v>
      </c>
      <c r="M40" s="1537">
        <v>44225</v>
      </c>
    </row>
    <row r="41" spans="1:13" s="1329" customFormat="1" ht="15">
      <c r="A41" s="1533">
        <v>32</v>
      </c>
      <c r="B41" s="1534" t="s">
        <v>1102</v>
      </c>
      <c r="C41" s="1535" t="s">
        <v>1339</v>
      </c>
      <c r="D41" s="1535" t="s">
        <v>2390</v>
      </c>
      <c r="E41" s="1535" t="s">
        <v>913</v>
      </c>
      <c r="F41" s="1533" t="s">
        <v>1078</v>
      </c>
      <c r="G41" s="1533">
        <v>72</v>
      </c>
      <c r="H41" s="1533" t="s">
        <v>2156</v>
      </c>
      <c r="I41" s="1533" t="s">
        <v>1830</v>
      </c>
      <c r="J41" s="1536">
        <v>2634</v>
      </c>
      <c r="K41" s="1536">
        <v>648</v>
      </c>
      <c r="L41" s="1535" t="s">
        <v>5410</v>
      </c>
      <c r="M41" s="1537">
        <v>44225</v>
      </c>
    </row>
    <row r="42" spans="1:13" s="1329" customFormat="1" ht="15">
      <c r="A42" s="1533">
        <v>33</v>
      </c>
      <c r="B42" s="1534" t="s">
        <v>1102</v>
      </c>
      <c r="C42" s="1535" t="s">
        <v>1339</v>
      </c>
      <c r="D42" s="1535" t="s">
        <v>2390</v>
      </c>
      <c r="E42" s="1535" t="s">
        <v>913</v>
      </c>
      <c r="F42" s="1533" t="s">
        <v>1078</v>
      </c>
      <c r="G42" s="1533">
        <v>72</v>
      </c>
      <c r="H42" s="1533" t="s">
        <v>2156</v>
      </c>
      <c r="I42" s="1533" t="s">
        <v>1840</v>
      </c>
      <c r="J42" s="1536">
        <v>2634</v>
      </c>
      <c r="K42" s="1536">
        <v>648</v>
      </c>
      <c r="L42" s="1535" t="s">
        <v>5410</v>
      </c>
      <c r="M42" s="1537">
        <v>44225</v>
      </c>
    </row>
    <row r="43" spans="1:13" s="1329" customFormat="1" ht="15">
      <c r="A43" s="1533">
        <v>34</v>
      </c>
      <c r="B43" s="1534" t="s">
        <v>1102</v>
      </c>
      <c r="C43" s="1535" t="s">
        <v>1339</v>
      </c>
      <c r="D43" s="1535" t="s">
        <v>2390</v>
      </c>
      <c r="E43" s="1535" t="s">
        <v>913</v>
      </c>
      <c r="F43" s="1533" t="s">
        <v>1078</v>
      </c>
      <c r="G43" s="1533">
        <v>72</v>
      </c>
      <c r="H43" s="1533" t="s">
        <v>2156</v>
      </c>
      <c r="I43" s="1533" t="s">
        <v>1847</v>
      </c>
      <c r="J43" s="1536">
        <v>2634</v>
      </c>
      <c r="K43" s="1536">
        <v>648</v>
      </c>
      <c r="L43" s="1535" t="s">
        <v>5410</v>
      </c>
      <c r="M43" s="1537">
        <v>44225</v>
      </c>
    </row>
    <row r="44" spans="1:13" s="1329" customFormat="1" ht="15">
      <c r="A44" s="1533">
        <v>35</v>
      </c>
      <c r="B44" s="1534" t="s">
        <v>1102</v>
      </c>
      <c r="C44" s="1535" t="s">
        <v>1339</v>
      </c>
      <c r="D44" s="1535" t="s">
        <v>2390</v>
      </c>
      <c r="E44" s="1535" t="s">
        <v>913</v>
      </c>
      <c r="F44" s="1533" t="s">
        <v>1078</v>
      </c>
      <c r="G44" s="1533">
        <v>72</v>
      </c>
      <c r="H44" s="1533" t="s">
        <v>2156</v>
      </c>
      <c r="I44" s="1533" t="s">
        <v>1853</v>
      </c>
      <c r="J44" s="1536">
        <v>2634</v>
      </c>
      <c r="K44" s="1536">
        <v>648</v>
      </c>
      <c r="L44" s="1535" t="s">
        <v>5410</v>
      </c>
      <c r="M44" s="1537">
        <v>44225</v>
      </c>
    </row>
    <row r="45" spans="1:13" s="1329" customFormat="1" ht="15">
      <c r="A45" s="1533">
        <v>36</v>
      </c>
      <c r="B45" s="1534" t="s">
        <v>1102</v>
      </c>
      <c r="C45" s="1535" t="s">
        <v>1339</v>
      </c>
      <c r="D45" s="1535" t="s">
        <v>2390</v>
      </c>
      <c r="E45" s="1535" t="s">
        <v>913</v>
      </c>
      <c r="F45" s="1533" t="s">
        <v>1078</v>
      </c>
      <c r="G45" s="1533">
        <v>72</v>
      </c>
      <c r="H45" s="1533" t="s">
        <v>2156</v>
      </c>
      <c r="I45" s="1533" t="s">
        <v>129</v>
      </c>
      <c r="J45" s="1536">
        <v>2634</v>
      </c>
      <c r="K45" s="1536">
        <v>648</v>
      </c>
      <c r="L45" s="1535" t="s">
        <v>5410</v>
      </c>
      <c r="M45" s="1537">
        <v>44225</v>
      </c>
    </row>
    <row r="46" spans="1:13" s="1329" customFormat="1" ht="15">
      <c r="A46" s="1533">
        <v>37</v>
      </c>
      <c r="B46" s="1534" t="s">
        <v>1102</v>
      </c>
      <c r="C46" s="1535" t="s">
        <v>1339</v>
      </c>
      <c r="D46" s="1535" t="s">
        <v>2390</v>
      </c>
      <c r="E46" s="1535" t="s">
        <v>913</v>
      </c>
      <c r="F46" s="1533" t="s">
        <v>1078</v>
      </c>
      <c r="G46" s="1533">
        <v>87</v>
      </c>
      <c r="H46" s="1533" t="s">
        <v>2159</v>
      </c>
      <c r="I46" s="1533" t="s">
        <v>1830</v>
      </c>
      <c r="J46" s="1536">
        <v>-8886</v>
      </c>
      <c r="K46" s="1536">
        <v>-1848</v>
      </c>
      <c r="L46" s="1535" t="s">
        <v>5410</v>
      </c>
      <c r="M46" s="1537">
        <v>44225</v>
      </c>
    </row>
    <row r="47" spans="1:13" s="1329" customFormat="1" ht="15">
      <c r="A47" s="1533">
        <v>38</v>
      </c>
      <c r="B47" s="1534" t="s">
        <v>1102</v>
      </c>
      <c r="C47" s="1535" t="s">
        <v>1339</v>
      </c>
      <c r="D47" s="1535" t="s">
        <v>2390</v>
      </c>
      <c r="E47" s="1535" t="s">
        <v>913</v>
      </c>
      <c r="F47" s="1533" t="s">
        <v>1078</v>
      </c>
      <c r="G47" s="1533">
        <v>87</v>
      </c>
      <c r="H47" s="1533" t="s">
        <v>2159</v>
      </c>
      <c r="I47" s="1533" t="s">
        <v>1840</v>
      </c>
      <c r="J47" s="1536">
        <v>-8886</v>
      </c>
      <c r="K47" s="1536">
        <v>-1848</v>
      </c>
      <c r="L47" s="1535" t="s">
        <v>5410</v>
      </c>
      <c r="M47" s="1537">
        <v>44225</v>
      </c>
    </row>
    <row r="48" spans="1:13" s="1329" customFormat="1" ht="15">
      <c r="A48" s="1533">
        <v>39</v>
      </c>
      <c r="B48" s="1534" t="s">
        <v>1102</v>
      </c>
      <c r="C48" s="1535" t="s">
        <v>1339</v>
      </c>
      <c r="D48" s="1535" t="s">
        <v>2390</v>
      </c>
      <c r="E48" s="1535" t="s">
        <v>913</v>
      </c>
      <c r="F48" s="1533" t="s">
        <v>1078</v>
      </c>
      <c r="G48" s="1533">
        <v>87</v>
      </c>
      <c r="H48" s="1533" t="s">
        <v>2159</v>
      </c>
      <c r="I48" s="1533" t="s">
        <v>1847</v>
      </c>
      <c r="J48" s="1536">
        <v>-8886</v>
      </c>
      <c r="K48" s="1536">
        <v>-1848</v>
      </c>
      <c r="L48" s="1535" t="s">
        <v>5410</v>
      </c>
      <c r="M48" s="1537">
        <v>44225</v>
      </c>
    </row>
    <row r="49" spans="1:13" s="1329" customFormat="1" ht="15">
      <c r="A49" s="1533">
        <v>40</v>
      </c>
      <c r="B49" s="1534" t="s">
        <v>1102</v>
      </c>
      <c r="C49" s="1535" t="s">
        <v>1339</v>
      </c>
      <c r="D49" s="1535" t="s">
        <v>2390</v>
      </c>
      <c r="E49" s="1535" t="s">
        <v>913</v>
      </c>
      <c r="F49" s="1533" t="s">
        <v>1078</v>
      </c>
      <c r="G49" s="1533">
        <v>87</v>
      </c>
      <c r="H49" s="1533" t="s">
        <v>2159</v>
      </c>
      <c r="I49" s="1533" t="s">
        <v>1853</v>
      </c>
      <c r="J49" s="1536">
        <v>-8886</v>
      </c>
      <c r="K49" s="1536">
        <v>-1848</v>
      </c>
      <c r="L49" s="1535" t="s">
        <v>5410</v>
      </c>
      <c r="M49" s="1537">
        <v>44225</v>
      </c>
    </row>
    <row r="50" spans="1:13" s="1329" customFormat="1" ht="15">
      <c r="A50" s="1533">
        <v>41</v>
      </c>
      <c r="B50" s="1534" t="s">
        <v>1102</v>
      </c>
      <c r="C50" s="1535" t="s">
        <v>1339</v>
      </c>
      <c r="D50" s="1535" t="s">
        <v>2390</v>
      </c>
      <c r="E50" s="1535" t="s">
        <v>913</v>
      </c>
      <c r="F50" s="1533" t="s">
        <v>1078</v>
      </c>
      <c r="G50" s="1533">
        <v>87</v>
      </c>
      <c r="H50" s="1533" t="s">
        <v>2159</v>
      </c>
      <c r="I50" s="1533" t="s">
        <v>129</v>
      </c>
      <c r="J50" s="1536">
        <v>-8886</v>
      </c>
      <c r="K50" s="1536">
        <v>-1848</v>
      </c>
      <c r="L50" s="1535" t="s">
        <v>5410</v>
      </c>
      <c r="M50" s="1537">
        <v>44225</v>
      </c>
    </row>
    <row r="51" spans="1:13" s="1329" customFormat="1" ht="45">
      <c r="A51" s="1518">
        <v>42</v>
      </c>
      <c r="B51" s="1528" t="s">
        <v>1102</v>
      </c>
      <c r="C51" s="1529" t="s">
        <v>1390</v>
      </c>
      <c r="D51" s="1529" t="s">
        <v>2432</v>
      </c>
      <c r="E51" s="1529" t="s">
        <v>5398</v>
      </c>
      <c r="F51" s="1518" t="s">
        <v>1078</v>
      </c>
      <c r="G51" s="1518">
        <v>97</v>
      </c>
      <c r="H51" s="1532" t="s">
        <v>2205</v>
      </c>
      <c r="I51" s="1518" t="s">
        <v>1895</v>
      </c>
      <c r="J51" s="1538">
        <v>-1.4E-5</v>
      </c>
      <c r="K51" s="1538">
        <v>-3.0000000000000001E-5</v>
      </c>
      <c r="L51" s="1529" t="s">
        <v>5411</v>
      </c>
      <c r="M51" s="1531">
        <v>44287</v>
      </c>
    </row>
    <row r="52" spans="1:13" s="1329" customFormat="1" ht="15">
      <c r="A52" s="1518">
        <v>43</v>
      </c>
      <c r="B52" s="1528" t="s">
        <v>1102</v>
      </c>
      <c r="C52" s="1529" t="s">
        <v>1407</v>
      </c>
      <c r="D52" s="1529" t="s">
        <v>2078</v>
      </c>
      <c r="E52" s="1529" t="s">
        <v>5398</v>
      </c>
      <c r="F52" s="1518" t="s">
        <v>1078</v>
      </c>
      <c r="G52" s="1518">
        <v>41</v>
      </c>
      <c r="H52" s="1518" t="s">
        <v>5409</v>
      </c>
      <c r="I52" s="1518" t="s">
        <v>129</v>
      </c>
      <c r="J52" s="1530">
        <v>355.2</v>
      </c>
      <c r="K52" s="1530">
        <v>382.4</v>
      </c>
      <c r="L52" s="1529" t="s">
        <v>5412</v>
      </c>
      <c r="M52" s="1531">
        <v>44287</v>
      </c>
    </row>
    <row r="53" spans="1:13" s="1329" customFormat="1" ht="90">
      <c r="A53" s="1518">
        <v>44</v>
      </c>
      <c r="B53" s="1528" t="s">
        <v>1102</v>
      </c>
      <c r="C53" s="1529" t="s">
        <v>1407</v>
      </c>
      <c r="D53" s="1529" t="s">
        <v>2078</v>
      </c>
      <c r="E53" s="1529" t="s">
        <v>5398</v>
      </c>
      <c r="F53" s="1518" t="s">
        <v>1078</v>
      </c>
      <c r="G53" s="1518">
        <v>97</v>
      </c>
      <c r="H53" s="1532" t="s">
        <v>2205</v>
      </c>
      <c r="I53" s="1518" t="s">
        <v>1895</v>
      </c>
      <c r="J53" s="1539">
        <v>-6.83E-2</v>
      </c>
      <c r="K53" s="1539">
        <v>-0.46</v>
      </c>
      <c r="L53" s="1529" t="s">
        <v>5413</v>
      </c>
      <c r="M53" s="1531">
        <v>44287</v>
      </c>
    </row>
    <row r="54" spans="1:13" s="1329" customFormat="1" ht="30">
      <c r="A54" s="1518">
        <v>45</v>
      </c>
      <c r="B54" s="1528" t="s">
        <v>1102</v>
      </c>
      <c r="C54" s="1529" t="s">
        <v>1424</v>
      </c>
      <c r="D54" s="1529" t="s">
        <v>2437</v>
      </c>
      <c r="E54" s="1529" t="s">
        <v>5398</v>
      </c>
      <c r="F54" s="1518" t="s">
        <v>1078</v>
      </c>
      <c r="G54" s="1518">
        <v>97</v>
      </c>
      <c r="H54" s="1532" t="s">
        <v>2205</v>
      </c>
      <c r="I54" s="1518" t="s">
        <v>1895</v>
      </c>
      <c r="J54" s="1539">
        <v>-4.3099999999999999E-2</v>
      </c>
      <c r="K54" s="1539">
        <v>-6.4799999999999996E-2</v>
      </c>
      <c r="L54" s="1529" t="s">
        <v>5414</v>
      </c>
      <c r="M54" s="1531">
        <v>44287</v>
      </c>
    </row>
    <row r="55" spans="1:13" s="1329" customFormat="1" ht="30">
      <c r="A55" s="1518">
        <v>46</v>
      </c>
      <c r="B55" s="1528" t="s">
        <v>1102</v>
      </c>
      <c r="C55" s="1529" t="s">
        <v>1528</v>
      </c>
      <c r="D55" s="1529" t="s">
        <v>2438</v>
      </c>
      <c r="E55" s="1529" t="s">
        <v>5398</v>
      </c>
      <c r="F55" s="1518" t="s">
        <v>1078</v>
      </c>
      <c r="G55" s="1518">
        <v>97</v>
      </c>
      <c r="H55" s="1532" t="s">
        <v>2205</v>
      </c>
      <c r="I55" s="1518" t="s">
        <v>1895</v>
      </c>
      <c r="J55" s="1539">
        <v>-4.6199999999999998E-2</v>
      </c>
      <c r="K55" s="1539">
        <v>-5.9499999999999997E-2</v>
      </c>
      <c r="L55" s="1529" t="s">
        <v>5415</v>
      </c>
      <c r="M55" s="1531">
        <v>44287</v>
      </c>
    </row>
    <row r="56" spans="1:13" s="1329" customFormat="1" ht="15">
      <c r="A56" s="1518">
        <v>47</v>
      </c>
      <c r="B56" s="1528" t="s">
        <v>1260</v>
      </c>
      <c r="C56" s="1529" t="s">
        <v>1117</v>
      </c>
      <c r="D56" s="1529" t="s">
        <v>5397</v>
      </c>
      <c r="E56" s="1529" t="s">
        <v>5398</v>
      </c>
      <c r="F56" s="1518" t="s">
        <v>1078</v>
      </c>
      <c r="G56" s="1518">
        <v>77</v>
      </c>
      <c r="H56" s="1518" t="s">
        <v>2157</v>
      </c>
      <c r="I56" s="1518" t="s">
        <v>1847</v>
      </c>
      <c r="J56" s="1540">
        <v>2</v>
      </c>
      <c r="K56" s="1540">
        <v>1.5</v>
      </c>
      <c r="L56" s="1529" t="s">
        <v>5399</v>
      </c>
      <c r="M56" s="1531">
        <v>44287</v>
      </c>
    </row>
    <row r="57" spans="1:13" s="1329" customFormat="1" ht="15">
      <c r="A57" s="1518">
        <v>48</v>
      </c>
      <c r="B57" s="1528" t="s">
        <v>1260</v>
      </c>
      <c r="C57" s="1529" t="s">
        <v>1117</v>
      </c>
      <c r="D57" s="1529" t="s">
        <v>5397</v>
      </c>
      <c r="E57" s="1529" t="s">
        <v>5398</v>
      </c>
      <c r="F57" s="1518" t="s">
        <v>1078</v>
      </c>
      <c r="G57" s="1518">
        <v>77</v>
      </c>
      <c r="H57" s="1518" t="s">
        <v>2157</v>
      </c>
      <c r="I57" s="1518" t="s">
        <v>1853</v>
      </c>
      <c r="J57" s="1540">
        <v>2</v>
      </c>
      <c r="K57" s="1540">
        <v>1.5</v>
      </c>
      <c r="L57" s="1529" t="s">
        <v>5399</v>
      </c>
      <c r="M57" s="1531">
        <v>44287</v>
      </c>
    </row>
    <row r="58" spans="1:13" s="1329" customFormat="1" ht="15">
      <c r="A58" s="1518">
        <v>49</v>
      </c>
      <c r="B58" s="1528" t="s">
        <v>1260</v>
      </c>
      <c r="C58" s="1529" t="s">
        <v>1117</v>
      </c>
      <c r="D58" s="1529" t="s">
        <v>5397</v>
      </c>
      <c r="E58" s="1529" t="s">
        <v>5398</v>
      </c>
      <c r="F58" s="1518" t="s">
        <v>1078</v>
      </c>
      <c r="G58" s="1518">
        <v>77</v>
      </c>
      <c r="H58" s="1518" t="s">
        <v>2157</v>
      </c>
      <c r="I58" s="1518" t="s">
        <v>129</v>
      </c>
      <c r="J58" s="1540">
        <v>2</v>
      </c>
      <c r="K58" s="1540">
        <v>1.5</v>
      </c>
      <c r="L58" s="1529" t="s">
        <v>5399</v>
      </c>
      <c r="M58" s="1531">
        <v>44287</v>
      </c>
    </row>
    <row r="59" spans="1:13" s="1329" customFormat="1" ht="15">
      <c r="A59" s="1518">
        <v>50</v>
      </c>
      <c r="B59" s="1528" t="s">
        <v>1260</v>
      </c>
      <c r="C59" s="1529" t="s">
        <v>1121</v>
      </c>
      <c r="D59" s="1529" t="s">
        <v>5405</v>
      </c>
      <c r="E59" s="1529" t="s">
        <v>5398</v>
      </c>
      <c r="F59" s="1518" t="s">
        <v>1078</v>
      </c>
      <c r="G59" s="1518">
        <v>77</v>
      </c>
      <c r="H59" s="1518" t="s">
        <v>2157</v>
      </c>
      <c r="I59" s="1518" t="s">
        <v>1830</v>
      </c>
      <c r="J59" s="1530" t="s">
        <v>5400</v>
      </c>
      <c r="K59" s="1541">
        <v>148.4</v>
      </c>
      <c r="L59" s="1529" t="s">
        <v>5406</v>
      </c>
      <c r="M59" s="1531">
        <v>44287</v>
      </c>
    </row>
    <row r="60" spans="1:13" s="1329" customFormat="1" ht="15">
      <c r="A60" s="1518">
        <v>51</v>
      </c>
      <c r="B60" s="1528" t="s">
        <v>1260</v>
      </c>
      <c r="C60" s="1529" t="s">
        <v>1121</v>
      </c>
      <c r="D60" s="1529" t="s">
        <v>5405</v>
      </c>
      <c r="E60" s="1529" t="s">
        <v>5398</v>
      </c>
      <c r="F60" s="1518" t="s">
        <v>1078</v>
      </c>
      <c r="G60" s="1518">
        <v>77</v>
      </c>
      <c r="H60" s="1518" t="s">
        <v>2157</v>
      </c>
      <c r="I60" s="1518" t="s">
        <v>1840</v>
      </c>
      <c r="J60" s="1530" t="s">
        <v>5400</v>
      </c>
      <c r="K60" s="1541">
        <v>146.5</v>
      </c>
      <c r="L60" s="1529" t="s">
        <v>5406</v>
      </c>
      <c r="M60" s="1531">
        <v>44287</v>
      </c>
    </row>
    <row r="61" spans="1:13" s="1329" customFormat="1" ht="15">
      <c r="A61" s="1518">
        <v>52</v>
      </c>
      <c r="B61" s="1528" t="s">
        <v>1260</v>
      </c>
      <c r="C61" s="1529" t="s">
        <v>1121</v>
      </c>
      <c r="D61" s="1529" t="s">
        <v>5405</v>
      </c>
      <c r="E61" s="1529" t="s">
        <v>5398</v>
      </c>
      <c r="F61" s="1518" t="s">
        <v>1078</v>
      </c>
      <c r="G61" s="1518">
        <v>77</v>
      </c>
      <c r="H61" s="1518" t="s">
        <v>2157</v>
      </c>
      <c r="I61" s="1518" t="s">
        <v>1847</v>
      </c>
      <c r="J61" s="1530" t="s">
        <v>5400</v>
      </c>
      <c r="K61" s="1541">
        <v>144.6</v>
      </c>
      <c r="L61" s="1529" t="s">
        <v>5406</v>
      </c>
      <c r="M61" s="1531">
        <v>44287</v>
      </c>
    </row>
    <row r="62" spans="1:13" s="1329" customFormat="1" ht="15">
      <c r="A62" s="1518">
        <v>53</v>
      </c>
      <c r="B62" s="1528" t="s">
        <v>1260</v>
      </c>
      <c r="C62" s="1529" t="s">
        <v>1121</v>
      </c>
      <c r="D62" s="1529" t="s">
        <v>5405</v>
      </c>
      <c r="E62" s="1529" t="s">
        <v>5398</v>
      </c>
      <c r="F62" s="1518" t="s">
        <v>1078</v>
      </c>
      <c r="G62" s="1518">
        <v>77</v>
      </c>
      <c r="H62" s="1518" t="s">
        <v>2157</v>
      </c>
      <c r="I62" s="1518" t="s">
        <v>1853</v>
      </c>
      <c r="J62" s="1530" t="s">
        <v>5400</v>
      </c>
      <c r="K62" s="1541">
        <v>142.69999999999999</v>
      </c>
      <c r="L62" s="1529" t="s">
        <v>5406</v>
      </c>
      <c r="M62" s="1531">
        <v>44287</v>
      </c>
    </row>
    <row r="63" spans="1:13" s="1329" customFormat="1" ht="15">
      <c r="A63" s="1518">
        <v>54</v>
      </c>
      <c r="B63" s="1528" t="s">
        <v>1260</v>
      </c>
      <c r="C63" s="1529" t="s">
        <v>1121</v>
      </c>
      <c r="D63" s="1529" t="s">
        <v>5405</v>
      </c>
      <c r="E63" s="1529" t="s">
        <v>5398</v>
      </c>
      <c r="F63" s="1518" t="s">
        <v>1078</v>
      </c>
      <c r="G63" s="1518">
        <v>77</v>
      </c>
      <c r="H63" s="1518" t="s">
        <v>2157</v>
      </c>
      <c r="I63" s="1518" t="s">
        <v>129</v>
      </c>
      <c r="J63" s="1530" t="s">
        <v>5400</v>
      </c>
      <c r="K63" s="1541">
        <v>140.69999999999999</v>
      </c>
      <c r="L63" s="1529" t="s">
        <v>5406</v>
      </c>
      <c r="M63" s="1531">
        <v>44287</v>
      </c>
    </row>
    <row r="64" spans="1:13" s="1329" customFormat="1" ht="15">
      <c r="A64" s="1518">
        <v>55</v>
      </c>
      <c r="B64" s="1528" t="s">
        <v>1260</v>
      </c>
      <c r="C64" s="1529" t="s">
        <v>1122</v>
      </c>
      <c r="D64" s="1529" t="s">
        <v>5407</v>
      </c>
      <c r="E64" s="1529" t="s">
        <v>5398</v>
      </c>
      <c r="F64" s="1518" t="s">
        <v>1078</v>
      </c>
      <c r="G64" s="1518">
        <v>77</v>
      </c>
      <c r="H64" s="1518" t="s">
        <v>2157</v>
      </c>
      <c r="I64" s="1518" t="s">
        <v>1830</v>
      </c>
      <c r="J64" s="1530" t="s">
        <v>5400</v>
      </c>
      <c r="K64" s="1540">
        <v>2.81</v>
      </c>
      <c r="L64" s="1529" t="s">
        <v>5408</v>
      </c>
      <c r="M64" s="1531">
        <v>44287</v>
      </c>
    </row>
    <row r="65" spans="1:13" s="1329" customFormat="1" ht="15">
      <c r="A65" s="1518">
        <v>56</v>
      </c>
      <c r="B65" s="1528" t="s">
        <v>1260</v>
      </c>
      <c r="C65" s="1529" t="s">
        <v>1122</v>
      </c>
      <c r="D65" s="1529" t="s">
        <v>5407</v>
      </c>
      <c r="E65" s="1529" t="s">
        <v>5398</v>
      </c>
      <c r="F65" s="1518" t="s">
        <v>1078</v>
      </c>
      <c r="G65" s="1518">
        <v>77</v>
      </c>
      <c r="H65" s="1518" t="s">
        <v>2157</v>
      </c>
      <c r="I65" s="1518" t="s">
        <v>1840</v>
      </c>
      <c r="J65" s="1530" t="s">
        <v>5400</v>
      </c>
      <c r="K65" s="1540">
        <v>2.81</v>
      </c>
      <c r="L65" s="1529" t="s">
        <v>5408</v>
      </c>
      <c r="M65" s="1531">
        <v>44287</v>
      </c>
    </row>
    <row r="66" spans="1:13" s="1329" customFormat="1" ht="15">
      <c r="A66" s="1518">
        <v>57</v>
      </c>
      <c r="B66" s="1528" t="s">
        <v>1260</v>
      </c>
      <c r="C66" s="1529" t="s">
        <v>1122</v>
      </c>
      <c r="D66" s="1529" t="s">
        <v>5407</v>
      </c>
      <c r="E66" s="1529" t="s">
        <v>5398</v>
      </c>
      <c r="F66" s="1518" t="s">
        <v>1078</v>
      </c>
      <c r="G66" s="1518">
        <v>77</v>
      </c>
      <c r="H66" s="1518" t="s">
        <v>2157</v>
      </c>
      <c r="I66" s="1518" t="s">
        <v>1847</v>
      </c>
      <c r="J66" s="1530" t="s">
        <v>5400</v>
      </c>
      <c r="K66" s="1540">
        <v>2.81</v>
      </c>
      <c r="L66" s="1529" t="s">
        <v>5408</v>
      </c>
      <c r="M66" s="1531">
        <v>44287</v>
      </c>
    </row>
    <row r="67" spans="1:13" s="1329" customFormat="1" ht="15">
      <c r="A67" s="1518">
        <v>58</v>
      </c>
      <c r="B67" s="1528" t="s">
        <v>1260</v>
      </c>
      <c r="C67" s="1529" t="s">
        <v>1122</v>
      </c>
      <c r="D67" s="1529" t="s">
        <v>5407</v>
      </c>
      <c r="E67" s="1529" t="s">
        <v>5398</v>
      </c>
      <c r="F67" s="1518" t="s">
        <v>1078</v>
      </c>
      <c r="G67" s="1518">
        <v>77</v>
      </c>
      <c r="H67" s="1518" t="s">
        <v>2157</v>
      </c>
      <c r="I67" s="1518" t="s">
        <v>1853</v>
      </c>
      <c r="J67" s="1530" t="s">
        <v>5400</v>
      </c>
      <c r="K67" s="1540">
        <v>2.81</v>
      </c>
      <c r="L67" s="1529" t="s">
        <v>5408</v>
      </c>
      <c r="M67" s="1531">
        <v>44287</v>
      </c>
    </row>
    <row r="68" spans="1:13" s="1329" customFormat="1" ht="15">
      <c r="A68" s="1518">
        <v>59</v>
      </c>
      <c r="B68" s="1528" t="s">
        <v>1260</v>
      </c>
      <c r="C68" s="1529" t="s">
        <v>1122</v>
      </c>
      <c r="D68" s="1529" t="s">
        <v>5407</v>
      </c>
      <c r="E68" s="1529" t="s">
        <v>5398</v>
      </c>
      <c r="F68" s="1518" t="s">
        <v>1078</v>
      </c>
      <c r="G68" s="1518">
        <v>77</v>
      </c>
      <c r="H68" s="1518" t="s">
        <v>2157</v>
      </c>
      <c r="I68" s="1518" t="s">
        <v>129</v>
      </c>
      <c r="J68" s="1530" t="s">
        <v>5400</v>
      </c>
      <c r="K68" s="1540">
        <v>2.81</v>
      </c>
      <c r="L68" s="1529" t="s">
        <v>5408</v>
      </c>
      <c r="M68" s="1531">
        <v>44287</v>
      </c>
    </row>
    <row r="69" spans="1:13" s="1329" customFormat="1" ht="45">
      <c r="A69" s="1518">
        <v>60</v>
      </c>
      <c r="B69" s="1528" t="s">
        <v>1260</v>
      </c>
      <c r="C69" s="1529" t="s">
        <v>1119</v>
      </c>
      <c r="D69" s="1529" t="s">
        <v>705</v>
      </c>
      <c r="E69" s="1529" t="s">
        <v>5398</v>
      </c>
      <c r="F69" s="1518" t="s">
        <v>1078</v>
      </c>
      <c r="G69" s="1518">
        <v>97</v>
      </c>
      <c r="H69" s="1532" t="s">
        <v>2206</v>
      </c>
      <c r="I69" s="1518" t="s">
        <v>1895</v>
      </c>
      <c r="J69" s="1530">
        <v>-6.3549999999999995E-2</v>
      </c>
      <c r="K69" s="1530">
        <v>-0.26200000000000001</v>
      </c>
      <c r="L69" s="1529" t="s">
        <v>5416</v>
      </c>
      <c r="M69" s="1531">
        <v>44287</v>
      </c>
    </row>
    <row r="70" spans="1:13" s="1329" customFormat="1" ht="30">
      <c r="A70" s="1518">
        <v>61</v>
      </c>
      <c r="B70" s="1528" t="s">
        <v>1260</v>
      </c>
      <c r="C70" s="1529" t="s">
        <v>1120</v>
      </c>
      <c r="D70" s="1529" t="s">
        <v>1084</v>
      </c>
      <c r="E70" s="1529" t="s">
        <v>5398</v>
      </c>
      <c r="F70" s="1518" t="s">
        <v>1078</v>
      </c>
      <c r="G70" s="1518">
        <v>97</v>
      </c>
      <c r="H70" s="1532" t="s">
        <v>2205</v>
      </c>
      <c r="I70" s="1518" t="s">
        <v>1895</v>
      </c>
      <c r="J70" s="1530">
        <v>-6.6600000000000006E-2</v>
      </c>
      <c r="K70" s="1530">
        <v>-0.03</v>
      </c>
      <c r="L70" s="1529" t="s">
        <v>5417</v>
      </c>
      <c r="M70" s="1531">
        <v>44287</v>
      </c>
    </row>
    <row r="71" spans="1:13" s="1329" customFormat="1" ht="30">
      <c r="A71" s="1518">
        <v>62</v>
      </c>
      <c r="B71" s="1528" t="s">
        <v>1260</v>
      </c>
      <c r="C71" s="1529" t="s">
        <v>1120</v>
      </c>
      <c r="D71" s="1529" t="s">
        <v>1084</v>
      </c>
      <c r="E71" s="1529" t="s">
        <v>5398</v>
      </c>
      <c r="F71" s="1518" t="s">
        <v>1078</v>
      </c>
      <c r="G71" s="1518">
        <v>101</v>
      </c>
      <c r="H71" s="1532" t="s">
        <v>2209</v>
      </c>
      <c r="I71" s="1518" t="s">
        <v>1895</v>
      </c>
      <c r="J71" s="1530">
        <v>5.5500000000000001E-2</v>
      </c>
      <c r="K71" s="1530">
        <v>2.5000000000000001E-2</v>
      </c>
      <c r="L71" s="1529" t="s">
        <v>5417</v>
      </c>
      <c r="M71" s="1531">
        <v>44287</v>
      </c>
    </row>
    <row r="72" spans="1:13" s="1329" customFormat="1" ht="30">
      <c r="A72" s="1518">
        <v>63</v>
      </c>
      <c r="B72" s="1528" t="s">
        <v>1260</v>
      </c>
      <c r="C72" s="1529" t="s">
        <v>1408</v>
      </c>
      <c r="D72" s="1529" t="s">
        <v>5418</v>
      </c>
      <c r="E72" s="1529" t="s">
        <v>5398</v>
      </c>
      <c r="F72" s="1518" t="s">
        <v>1078</v>
      </c>
      <c r="G72" s="1518">
        <v>97</v>
      </c>
      <c r="H72" s="1532" t="s">
        <v>2205</v>
      </c>
      <c r="I72" s="1518" t="s">
        <v>1895</v>
      </c>
      <c r="J72" s="1530">
        <v>-0.40036899999999997</v>
      </c>
      <c r="K72" s="1530">
        <v>-0.45300000000000001</v>
      </c>
      <c r="L72" s="1529" t="s">
        <v>5419</v>
      </c>
      <c r="M72" s="1531">
        <v>44287</v>
      </c>
    </row>
    <row r="73" spans="1:13" s="1329" customFormat="1" ht="30">
      <c r="A73" s="1518">
        <v>64</v>
      </c>
      <c r="B73" s="1528" t="s">
        <v>1260</v>
      </c>
      <c r="C73" s="1529" t="s">
        <v>1408</v>
      </c>
      <c r="D73" s="1529" t="s">
        <v>5418</v>
      </c>
      <c r="E73" s="1529" t="s">
        <v>5398</v>
      </c>
      <c r="F73" s="1518" t="s">
        <v>1078</v>
      </c>
      <c r="G73" s="1518">
        <v>101</v>
      </c>
      <c r="H73" s="1532" t="s">
        <v>2209</v>
      </c>
      <c r="I73" s="1518" t="s">
        <v>1895</v>
      </c>
      <c r="J73" s="1530">
        <v>0.606595</v>
      </c>
      <c r="K73" s="1530">
        <v>0.55400000000000005</v>
      </c>
      <c r="L73" s="1529" t="s">
        <v>5419</v>
      </c>
      <c r="M73" s="1531">
        <v>44287</v>
      </c>
    </row>
    <row r="74" spans="1:13" s="1329" customFormat="1" ht="30">
      <c r="A74" s="1518">
        <v>65</v>
      </c>
      <c r="B74" s="1528" t="s">
        <v>1260</v>
      </c>
      <c r="C74" s="1529" t="s">
        <v>1465</v>
      </c>
      <c r="D74" s="1529" t="s">
        <v>5420</v>
      </c>
      <c r="E74" s="1529" t="s">
        <v>5398</v>
      </c>
      <c r="F74" s="1518" t="s">
        <v>1078</v>
      </c>
      <c r="G74" s="1518">
        <v>97</v>
      </c>
      <c r="H74" s="1532" t="s">
        <v>2205</v>
      </c>
      <c r="I74" s="1518" t="s">
        <v>1895</v>
      </c>
      <c r="J74" s="1542">
        <v>-2.3E-3</v>
      </c>
      <c r="K74" s="1542">
        <v>-2.3800000000000002E-3</v>
      </c>
      <c r="L74" s="1529" t="s">
        <v>5421</v>
      </c>
      <c r="M74" s="1531">
        <v>44287</v>
      </c>
    </row>
    <row r="75" spans="1:13" s="1329" customFormat="1" ht="30">
      <c r="A75" s="1518">
        <v>66</v>
      </c>
      <c r="B75" s="1528" t="s">
        <v>1260</v>
      </c>
      <c r="C75" s="1529" t="s">
        <v>1485</v>
      </c>
      <c r="D75" s="1529" t="s">
        <v>5422</v>
      </c>
      <c r="E75" s="1529" t="s">
        <v>5398</v>
      </c>
      <c r="F75" s="1518" t="s">
        <v>1078</v>
      </c>
      <c r="G75" s="1518">
        <v>97</v>
      </c>
      <c r="H75" s="1532" t="s">
        <v>2205</v>
      </c>
      <c r="I75" s="1518" t="s">
        <v>1895</v>
      </c>
      <c r="J75" s="1539">
        <v>-4.6899999999999997E-2</v>
      </c>
      <c r="K75" s="1539">
        <v>-5.3100000000000001E-2</v>
      </c>
      <c r="L75" s="1529" t="s">
        <v>5423</v>
      </c>
      <c r="M75" s="1531">
        <v>44287</v>
      </c>
    </row>
    <row r="76" spans="1:13" s="1329" customFormat="1" ht="15">
      <c r="A76" s="1518">
        <v>67</v>
      </c>
      <c r="B76" s="1528" t="s">
        <v>1143</v>
      </c>
      <c r="C76" s="1529" t="s">
        <v>1146</v>
      </c>
      <c r="D76" s="1529" t="s">
        <v>5424</v>
      </c>
      <c r="E76" s="1529" t="s">
        <v>5398</v>
      </c>
      <c r="F76" s="1518" t="s">
        <v>1078</v>
      </c>
      <c r="G76" s="1518">
        <v>67</v>
      </c>
      <c r="H76" s="1518" t="s">
        <v>1815</v>
      </c>
      <c r="I76" s="1518" t="s">
        <v>1830</v>
      </c>
      <c r="J76" s="1530">
        <v>186.57761434904049</v>
      </c>
      <c r="K76" s="1530" t="s">
        <v>5400</v>
      </c>
      <c r="L76" s="1529" t="s">
        <v>5401</v>
      </c>
      <c r="M76" s="1531">
        <v>44287</v>
      </c>
    </row>
    <row r="77" spans="1:13" s="1329" customFormat="1" ht="15">
      <c r="A77" s="1518">
        <v>68</v>
      </c>
      <c r="B77" s="1528" t="s">
        <v>1143</v>
      </c>
      <c r="C77" s="1529" t="s">
        <v>1146</v>
      </c>
      <c r="D77" s="1529" t="s">
        <v>5424</v>
      </c>
      <c r="E77" s="1529" t="s">
        <v>5398</v>
      </c>
      <c r="F77" s="1518" t="s">
        <v>1078</v>
      </c>
      <c r="G77" s="1518">
        <v>67</v>
      </c>
      <c r="H77" s="1518" t="s">
        <v>1815</v>
      </c>
      <c r="I77" s="1518" t="s">
        <v>1840</v>
      </c>
      <c r="J77" s="1530">
        <v>186.57761434904049</v>
      </c>
      <c r="K77" s="1530" t="s">
        <v>5400</v>
      </c>
      <c r="L77" s="1529" t="s">
        <v>5401</v>
      </c>
      <c r="M77" s="1531">
        <v>44287</v>
      </c>
    </row>
    <row r="78" spans="1:13" s="1329" customFormat="1" ht="15">
      <c r="A78" s="1518">
        <v>69</v>
      </c>
      <c r="B78" s="1528" t="s">
        <v>1143</v>
      </c>
      <c r="C78" s="1529" t="s">
        <v>1146</v>
      </c>
      <c r="D78" s="1529" t="s">
        <v>5424</v>
      </c>
      <c r="E78" s="1529" t="s">
        <v>5398</v>
      </c>
      <c r="F78" s="1518" t="s">
        <v>1078</v>
      </c>
      <c r="G78" s="1518">
        <v>67</v>
      </c>
      <c r="H78" s="1518" t="s">
        <v>1815</v>
      </c>
      <c r="I78" s="1518" t="s">
        <v>1847</v>
      </c>
      <c r="J78" s="1530">
        <v>186.57761434904049</v>
      </c>
      <c r="K78" s="1530" t="s">
        <v>5400</v>
      </c>
      <c r="L78" s="1529" t="s">
        <v>5401</v>
      </c>
      <c r="M78" s="1531">
        <v>44287</v>
      </c>
    </row>
    <row r="79" spans="1:13" s="1329" customFormat="1" ht="15">
      <c r="A79" s="1518">
        <v>70</v>
      </c>
      <c r="B79" s="1528" t="s">
        <v>1143</v>
      </c>
      <c r="C79" s="1529" t="s">
        <v>1146</v>
      </c>
      <c r="D79" s="1529" t="s">
        <v>5424</v>
      </c>
      <c r="E79" s="1529" t="s">
        <v>5398</v>
      </c>
      <c r="F79" s="1518" t="s">
        <v>1078</v>
      </c>
      <c r="G79" s="1518">
        <v>67</v>
      </c>
      <c r="H79" s="1518" t="s">
        <v>1815</v>
      </c>
      <c r="I79" s="1518" t="s">
        <v>1853</v>
      </c>
      <c r="J79" s="1530">
        <v>186.57761434904049</v>
      </c>
      <c r="K79" s="1530" t="s">
        <v>5400</v>
      </c>
      <c r="L79" s="1529" t="s">
        <v>5401</v>
      </c>
      <c r="M79" s="1531">
        <v>44287</v>
      </c>
    </row>
    <row r="80" spans="1:13" s="1329" customFormat="1" ht="15">
      <c r="A80" s="1518">
        <v>71</v>
      </c>
      <c r="B80" s="1528" t="s">
        <v>1143</v>
      </c>
      <c r="C80" s="1529" t="s">
        <v>1146</v>
      </c>
      <c r="D80" s="1529" t="s">
        <v>5424</v>
      </c>
      <c r="E80" s="1529" t="s">
        <v>5398</v>
      </c>
      <c r="F80" s="1518" t="s">
        <v>1078</v>
      </c>
      <c r="G80" s="1518">
        <v>67</v>
      </c>
      <c r="H80" s="1518" t="s">
        <v>1815</v>
      </c>
      <c r="I80" s="1518" t="s">
        <v>129</v>
      </c>
      <c r="J80" s="1530">
        <v>186.57761434904049</v>
      </c>
      <c r="K80" s="1530" t="s">
        <v>5400</v>
      </c>
      <c r="L80" s="1529" t="s">
        <v>5401</v>
      </c>
      <c r="M80" s="1531">
        <v>44287</v>
      </c>
    </row>
    <row r="81" spans="1:13" s="1329" customFormat="1" ht="15">
      <c r="A81" s="1518">
        <v>72</v>
      </c>
      <c r="B81" s="1528" t="s">
        <v>1143</v>
      </c>
      <c r="C81" s="1529" t="s">
        <v>1160</v>
      </c>
      <c r="D81" s="1529" t="s">
        <v>5425</v>
      </c>
      <c r="E81" s="1529" t="s">
        <v>5398</v>
      </c>
      <c r="F81" s="1518" t="s">
        <v>1078</v>
      </c>
      <c r="G81" s="1518">
        <v>67</v>
      </c>
      <c r="H81" s="1518" t="s">
        <v>1815</v>
      </c>
      <c r="I81" s="1518" t="s">
        <v>1830</v>
      </c>
      <c r="J81" s="1530">
        <v>109.90615346050799</v>
      </c>
      <c r="K81" s="1530" t="s">
        <v>5400</v>
      </c>
      <c r="L81" s="1529" t="s">
        <v>5401</v>
      </c>
      <c r="M81" s="1531">
        <v>44287</v>
      </c>
    </row>
    <row r="82" spans="1:13" s="1329" customFormat="1" ht="15">
      <c r="A82" s="1518">
        <v>73</v>
      </c>
      <c r="B82" s="1528" t="s">
        <v>1143</v>
      </c>
      <c r="C82" s="1529" t="s">
        <v>1160</v>
      </c>
      <c r="D82" s="1529" t="s">
        <v>5425</v>
      </c>
      <c r="E82" s="1529" t="s">
        <v>5398</v>
      </c>
      <c r="F82" s="1518" t="s">
        <v>1078</v>
      </c>
      <c r="G82" s="1518">
        <v>67</v>
      </c>
      <c r="H82" s="1518" t="s">
        <v>1815</v>
      </c>
      <c r="I82" s="1518" t="s">
        <v>1840</v>
      </c>
      <c r="J82" s="1530">
        <v>109.90615346050799</v>
      </c>
      <c r="K82" s="1530" t="s">
        <v>5400</v>
      </c>
      <c r="L82" s="1529" t="s">
        <v>5401</v>
      </c>
      <c r="M82" s="1531">
        <v>44287</v>
      </c>
    </row>
    <row r="83" spans="1:13" s="1329" customFormat="1" ht="15">
      <c r="A83" s="1518">
        <v>74</v>
      </c>
      <c r="B83" s="1528" t="s">
        <v>1143</v>
      </c>
      <c r="C83" s="1529" t="s">
        <v>1160</v>
      </c>
      <c r="D83" s="1529" t="s">
        <v>5425</v>
      </c>
      <c r="E83" s="1529" t="s">
        <v>5398</v>
      </c>
      <c r="F83" s="1518" t="s">
        <v>1078</v>
      </c>
      <c r="G83" s="1518">
        <v>67</v>
      </c>
      <c r="H83" s="1518" t="s">
        <v>1815</v>
      </c>
      <c r="I83" s="1518" t="s">
        <v>1847</v>
      </c>
      <c r="J83" s="1530">
        <v>109.90615346050799</v>
      </c>
      <c r="K83" s="1530" t="s">
        <v>5400</v>
      </c>
      <c r="L83" s="1529" t="s">
        <v>5401</v>
      </c>
      <c r="M83" s="1531">
        <v>44287</v>
      </c>
    </row>
    <row r="84" spans="1:13" s="1329" customFormat="1" ht="15">
      <c r="A84" s="1518">
        <v>75</v>
      </c>
      <c r="B84" s="1528" t="s">
        <v>1143</v>
      </c>
      <c r="C84" s="1529" t="s">
        <v>1160</v>
      </c>
      <c r="D84" s="1529" t="s">
        <v>5425</v>
      </c>
      <c r="E84" s="1529" t="s">
        <v>5398</v>
      </c>
      <c r="F84" s="1518" t="s">
        <v>1078</v>
      </c>
      <c r="G84" s="1518">
        <v>67</v>
      </c>
      <c r="H84" s="1518" t="s">
        <v>1815</v>
      </c>
      <c r="I84" s="1518" t="s">
        <v>1853</v>
      </c>
      <c r="J84" s="1530">
        <v>109.90615346050799</v>
      </c>
      <c r="K84" s="1530" t="s">
        <v>5400</v>
      </c>
      <c r="L84" s="1529" t="s">
        <v>5401</v>
      </c>
      <c r="M84" s="1531">
        <v>44287</v>
      </c>
    </row>
    <row r="85" spans="1:13" s="1329" customFormat="1" ht="15">
      <c r="A85" s="1518">
        <v>76</v>
      </c>
      <c r="B85" s="1528" t="s">
        <v>1143</v>
      </c>
      <c r="C85" s="1529" t="s">
        <v>1160</v>
      </c>
      <c r="D85" s="1529" t="s">
        <v>5425</v>
      </c>
      <c r="E85" s="1529" t="s">
        <v>5398</v>
      </c>
      <c r="F85" s="1518" t="s">
        <v>1078</v>
      </c>
      <c r="G85" s="1518">
        <v>67</v>
      </c>
      <c r="H85" s="1518" t="s">
        <v>1815</v>
      </c>
      <c r="I85" s="1518" t="s">
        <v>129</v>
      </c>
      <c r="J85" s="1530">
        <v>109.90615346050799</v>
      </c>
      <c r="K85" s="1530" t="s">
        <v>5400</v>
      </c>
      <c r="L85" s="1529" t="s">
        <v>5401</v>
      </c>
      <c r="M85" s="1531">
        <v>44287</v>
      </c>
    </row>
    <row r="86" spans="1:13" s="1329" customFormat="1" ht="15">
      <c r="A86" s="1518">
        <v>77</v>
      </c>
      <c r="B86" s="1528" t="s">
        <v>1143</v>
      </c>
      <c r="C86" s="1529" t="s">
        <v>1144</v>
      </c>
      <c r="D86" s="1529" t="s">
        <v>5397</v>
      </c>
      <c r="E86" s="1529" t="s">
        <v>5398</v>
      </c>
      <c r="F86" s="1518" t="s">
        <v>1078</v>
      </c>
      <c r="G86" s="1518">
        <v>77</v>
      </c>
      <c r="H86" s="1518" t="s">
        <v>2157</v>
      </c>
      <c r="I86" s="1518" t="s">
        <v>1847</v>
      </c>
      <c r="J86" s="1530">
        <v>2</v>
      </c>
      <c r="K86" s="1530">
        <v>1.5</v>
      </c>
      <c r="L86" s="1529" t="s">
        <v>5399</v>
      </c>
      <c r="M86" s="1531">
        <v>44287</v>
      </c>
    </row>
    <row r="87" spans="1:13" s="1329" customFormat="1" ht="15">
      <c r="A87" s="1518">
        <v>78</v>
      </c>
      <c r="B87" s="1528" t="s">
        <v>1143</v>
      </c>
      <c r="C87" s="1529" t="s">
        <v>1144</v>
      </c>
      <c r="D87" s="1529" t="s">
        <v>5397</v>
      </c>
      <c r="E87" s="1529" t="s">
        <v>5398</v>
      </c>
      <c r="F87" s="1518" t="s">
        <v>1078</v>
      </c>
      <c r="G87" s="1518">
        <v>77</v>
      </c>
      <c r="H87" s="1518" t="s">
        <v>2157</v>
      </c>
      <c r="I87" s="1518" t="s">
        <v>1853</v>
      </c>
      <c r="J87" s="1530">
        <v>2</v>
      </c>
      <c r="K87" s="1530">
        <v>1.5</v>
      </c>
      <c r="L87" s="1529" t="s">
        <v>5399</v>
      </c>
      <c r="M87" s="1531">
        <v>44287</v>
      </c>
    </row>
    <row r="88" spans="1:13" s="1329" customFormat="1" ht="15">
      <c r="A88" s="1518">
        <v>79</v>
      </c>
      <c r="B88" s="1528" t="s">
        <v>1143</v>
      </c>
      <c r="C88" s="1529" t="s">
        <v>1144</v>
      </c>
      <c r="D88" s="1529" t="s">
        <v>5397</v>
      </c>
      <c r="E88" s="1529" t="s">
        <v>5398</v>
      </c>
      <c r="F88" s="1518" t="s">
        <v>1078</v>
      </c>
      <c r="G88" s="1518">
        <v>77</v>
      </c>
      <c r="H88" s="1518" t="s">
        <v>2157</v>
      </c>
      <c r="I88" s="1518" t="s">
        <v>129</v>
      </c>
      <c r="J88" s="1530">
        <v>2</v>
      </c>
      <c r="K88" s="1530">
        <v>1.5</v>
      </c>
      <c r="L88" s="1529" t="s">
        <v>5399</v>
      </c>
      <c r="M88" s="1531">
        <v>44287</v>
      </c>
    </row>
    <row r="89" spans="1:13" s="1329" customFormat="1" ht="15">
      <c r="A89" s="1518">
        <v>80</v>
      </c>
      <c r="B89" s="1543" t="s">
        <v>1143</v>
      </c>
      <c r="C89" s="1529" t="s">
        <v>1148</v>
      </c>
      <c r="D89" s="1529" t="s">
        <v>5405</v>
      </c>
      <c r="E89" s="1529" t="s">
        <v>5398</v>
      </c>
      <c r="F89" s="1518" t="s">
        <v>1078</v>
      </c>
      <c r="G89" s="1518">
        <v>77</v>
      </c>
      <c r="H89" s="1518" t="s">
        <v>2157</v>
      </c>
      <c r="I89" s="1518" t="s">
        <v>1830</v>
      </c>
      <c r="J89" s="1530" t="s">
        <v>5400</v>
      </c>
      <c r="K89" s="1541">
        <v>151.9</v>
      </c>
      <c r="L89" s="1529" t="s">
        <v>5406</v>
      </c>
      <c r="M89" s="1531">
        <v>44287</v>
      </c>
    </row>
    <row r="90" spans="1:13" s="1329" customFormat="1" ht="15">
      <c r="A90" s="1518">
        <v>81</v>
      </c>
      <c r="B90" s="1543" t="s">
        <v>1143</v>
      </c>
      <c r="C90" s="1529" t="s">
        <v>1148</v>
      </c>
      <c r="D90" s="1529" t="s">
        <v>5405</v>
      </c>
      <c r="E90" s="1529" t="s">
        <v>5398</v>
      </c>
      <c r="F90" s="1518" t="s">
        <v>1078</v>
      </c>
      <c r="G90" s="1518">
        <v>77</v>
      </c>
      <c r="H90" s="1518" t="s">
        <v>2157</v>
      </c>
      <c r="I90" s="1518" t="s">
        <v>1840</v>
      </c>
      <c r="J90" s="1530" t="s">
        <v>5400</v>
      </c>
      <c r="K90" s="1541">
        <v>147.1</v>
      </c>
      <c r="L90" s="1529" t="s">
        <v>5406</v>
      </c>
      <c r="M90" s="1531">
        <v>44287</v>
      </c>
    </row>
    <row r="91" spans="1:13" s="1329" customFormat="1" ht="15">
      <c r="A91" s="1518">
        <v>82</v>
      </c>
      <c r="B91" s="1543" t="s">
        <v>1143</v>
      </c>
      <c r="C91" s="1529" t="s">
        <v>1148</v>
      </c>
      <c r="D91" s="1529" t="s">
        <v>5405</v>
      </c>
      <c r="E91" s="1529" t="s">
        <v>5398</v>
      </c>
      <c r="F91" s="1518" t="s">
        <v>1078</v>
      </c>
      <c r="G91" s="1518">
        <v>77</v>
      </c>
      <c r="H91" s="1518" t="s">
        <v>2157</v>
      </c>
      <c r="I91" s="1518" t="s">
        <v>1847</v>
      </c>
      <c r="J91" s="1530" t="s">
        <v>5400</v>
      </c>
      <c r="K91" s="1541">
        <v>142.4</v>
      </c>
      <c r="L91" s="1529" t="s">
        <v>5406</v>
      </c>
      <c r="M91" s="1531">
        <v>44287</v>
      </c>
    </row>
    <row r="92" spans="1:13" s="1329" customFormat="1" ht="15">
      <c r="A92" s="1518">
        <v>83</v>
      </c>
      <c r="B92" s="1543" t="s">
        <v>1143</v>
      </c>
      <c r="C92" s="1529" t="s">
        <v>1148</v>
      </c>
      <c r="D92" s="1529" t="s">
        <v>5405</v>
      </c>
      <c r="E92" s="1529" t="s">
        <v>5398</v>
      </c>
      <c r="F92" s="1518" t="s">
        <v>1078</v>
      </c>
      <c r="G92" s="1518">
        <v>77</v>
      </c>
      <c r="H92" s="1518" t="s">
        <v>2157</v>
      </c>
      <c r="I92" s="1518" t="s">
        <v>1853</v>
      </c>
      <c r="J92" s="1530" t="s">
        <v>5400</v>
      </c>
      <c r="K92" s="1541">
        <v>137.9</v>
      </c>
      <c r="L92" s="1529" t="s">
        <v>5406</v>
      </c>
      <c r="M92" s="1531">
        <v>44287</v>
      </c>
    </row>
    <row r="93" spans="1:13" s="1329" customFormat="1" ht="15">
      <c r="A93" s="1518">
        <v>84</v>
      </c>
      <c r="B93" s="1543" t="s">
        <v>1143</v>
      </c>
      <c r="C93" s="1529" t="s">
        <v>1148</v>
      </c>
      <c r="D93" s="1529" t="s">
        <v>5405</v>
      </c>
      <c r="E93" s="1529" t="s">
        <v>5398</v>
      </c>
      <c r="F93" s="1518" t="s">
        <v>1078</v>
      </c>
      <c r="G93" s="1518">
        <v>77</v>
      </c>
      <c r="H93" s="1518" t="s">
        <v>2157</v>
      </c>
      <c r="I93" s="1518" t="s">
        <v>129</v>
      </c>
      <c r="J93" s="1530" t="s">
        <v>5400</v>
      </c>
      <c r="K93" s="1541">
        <v>133.4</v>
      </c>
      <c r="L93" s="1529" t="s">
        <v>5406</v>
      </c>
      <c r="M93" s="1531">
        <v>44287</v>
      </c>
    </row>
    <row r="94" spans="1:13" s="1329" customFormat="1" ht="15">
      <c r="A94" s="1518">
        <v>85</v>
      </c>
      <c r="B94" s="1543" t="s">
        <v>1143</v>
      </c>
      <c r="C94" s="1529" t="s">
        <v>1149</v>
      </c>
      <c r="D94" s="1529" t="s">
        <v>5407</v>
      </c>
      <c r="E94" s="1529" t="s">
        <v>5398</v>
      </c>
      <c r="F94" s="1518" t="s">
        <v>1078</v>
      </c>
      <c r="G94" s="1518">
        <v>77</v>
      </c>
      <c r="H94" s="1518" t="s">
        <v>2157</v>
      </c>
      <c r="I94" s="1518" t="s">
        <v>1830</v>
      </c>
      <c r="J94" s="1530" t="s">
        <v>5400</v>
      </c>
      <c r="K94" s="1540">
        <v>7.64</v>
      </c>
      <c r="L94" s="1529" t="s">
        <v>5426</v>
      </c>
      <c r="M94" s="1531">
        <v>44287</v>
      </c>
    </row>
    <row r="95" spans="1:13" s="1329" customFormat="1" ht="15">
      <c r="A95" s="1518">
        <v>86</v>
      </c>
      <c r="B95" s="1543" t="s">
        <v>1143</v>
      </c>
      <c r="C95" s="1529" t="s">
        <v>1149</v>
      </c>
      <c r="D95" s="1529" t="s">
        <v>5407</v>
      </c>
      <c r="E95" s="1529" t="s">
        <v>5398</v>
      </c>
      <c r="F95" s="1518" t="s">
        <v>1078</v>
      </c>
      <c r="G95" s="1518">
        <v>77</v>
      </c>
      <c r="H95" s="1518" t="s">
        <v>2157</v>
      </c>
      <c r="I95" s="1518" t="s">
        <v>1840</v>
      </c>
      <c r="J95" s="1530" t="s">
        <v>5400</v>
      </c>
      <c r="K95" s="1540">
        <v>6.43</v>
      </c>
      <c r="L95" s="1529" t="s">
        <v>5426</v>
      </c>
      <c r="M95" s="1531">
        <v>44287</v>
      </c>
    </row>
    <row r="96" spans="1:13" s="1329" customFormat="1" ht="15">
      <c r="A96" s="1518">
        <v>87</v>
      </c>
      <c r="B96" s="1543" t="s">
        <v>1143</v>
      </c>
      <c r="C96" s="1529" t="s">
        <v>1149</v>
      </c>
      <c r="D96" s="1529" t="s">
        <v>5407</v>
      </c>
      <c r="E96" s="1529" t="s">
        <v>5398</v>
      </c>
      <c r="F96" s="1518" t="s">
        <v>1078</v>
      </c>
      <c r="G96" s="1518">
        <v>77</v>
      </c>
      <c r="H96" s="1518" t="s">
        <v>2157</v>
      </c>
      <c r="I96" s="1518" t="s">
        <v>1847</v>
      </c>
      <c r="J96" s="1530" t="s">
        <v>5400</v>
      </c>
      <c r="K96" s="1540">
        <v>5.23</v>
      </c>
      <c r="L96" s="1529" t="s">
        <v>5426</v>
      </c>
      <c r="M96" s="1531">
        <v>44287</v>
      </c>
    </row>
    <row r="97" spans="1:13" s="1329" customFormat="1" ht="15">
      <c r="A97" s="1518">
        <v>88</v>
      </c>
      <c r="B97" s="1543" t="s">
        <v>1143</v>
      </c>
      <c r="C97" s="1529" t="s">
        <v>1149</v>
      </c>
      <c r="D97" s="1529" t="s">
        <v>5407</v>
      </c>
      <c r="E97" s="1529" t="s">
        <v>5398</v>
      </c>
      <c r="F97" s="1518" t="s">
        <v>1078</v>
      </c>
      <c r="G97" s="1518">
        <v>77</v>
      </c>
      <c r="H97" s="1518" t="s">
        <v>2157</v>
      </c>
      <c r="I97" s="1518" t="s">
        <v>1853</v>
      </c>
      <c r="J97" s="1530" t="s">
        <v>5400</v>
      </c>
      <c r="K97" s="1540">
        <v>4.0199999999999996</v>
      </c>
      <c r="L97" s="1529" t="s">
        <v>5426</v>
      </c>
      <c r="M97" s="1531">
        <v>44287</v>
      </c>
    </row>
    <row r="98" spans="1:13" s="1329" customFormat="1" ht="15">
      <c r="A98" s="1518">
        <v>89</v>
      </c>
      <c r="B98" s="1543" t="s">
        <v>1143</v>
      </c>
      <c r="C98" s="1529" t="s">
        <v>1149</v>
      </c>
      <c r="D98" s="1529" t="s">
        <v>5407</v>
      </c>
      <c r="E98" s="1529" t="s">
        <v>5398</v>
      </c>
      <c r="F98" s="1518" t="s">
        <v>1078</v>
      </c>
      <c r="G98" s="1518">
        <v>77</v>
      </c>
      <c r="H98" s="1518" t="s">
        <v>2157</v>
      </c>
      <c r="I98" s="1518" t="s">
        <v>129</v>
      </c>
      <c r="J98" s="1530" t="s">
        <v>5400</v>
      </c>
      <c r="K98" s="1540">
        <v>2.81</v>
      </c>
      <c r="L98" s="1529" t="s">
        <v>5426</v>
      </c>
      <c r="M98" s="1531">
        <v>44287</v>
      </c>
    </row>
    <row r="99" spans="1:13" s="1329" customFormat="1" ht="15">
      <c r="A99" s="1518">
        <v>90</v>
      </c>
      <c r="B99" s="1528" t="s">
        <v>1143</v>
      </c>
      <c r="C99" s="1529" t="s">
        <v>1146</v>
      </c>
      <c r="D99" s="1529" t="s">
        <v>5424</v>
      </c>
      <c r="E99" s="1529" t="s">
        <v>5398</v>
      </c>
      <c r="F99" s="1518" t="s">
        <v>1078</v>
      </c>
      <c r="G99" s="1518">
        <v>92</v>
      </c>
      <c r="H99" s="1518" t="s">
        <v>2160</v>
      </c>
      <c r="I99" s="1518" t="s">
        <v>1830</v>
      </c>
      <c r="J99" s="1530" t="s">
        <v>4430</v>
      </c>
      <c r="K99" s="1530" t="s">
        <v>5400</v>
      </c>
      <c r="L99" s="1529" t="s">
        <v>5401</v>
      </c>
      <c r="M99" s="1531">
        <v>44287</v>
      </c>
    </row>
    <row r="100" spans="1:13" s="1329" customFormat="1" ht="15">
      <c r="A100" s="1518">
        <v>91</v>
      </c>
      <c r="B100" s="1528" t="s">
        <v>1143</v>
      </c>
      <c r="C100" s="1529" t="s">
        <v>1146</v>
      </c>
      <c r="D100" s="1529" t="s">
        <v>5424</v>
      </c>
      <c r="E100" s="1529" t="s">
        <v>5398</v>
      </c>
      <c r="F100" s="1518" t="s">
        <v>1078</v>
      </c>
      <c r="G100" s="1518">
        <v>92</v>
      </c>
      <c r="H100" s="1518" t="s">
        <v>2160</v>
      </c>
      <c r="I100" s="1518" t="s">
        <v>1840</v>
      </c>
      <c r="J100" s="1530" t="s">
        <v>4430</v>
      </c>
      <c r="K100" s="1530" t="s">
        <v>5400</v>
      </c>
      <c r="L100" s="1529" t="s">
        <v>5401</v>
      </c>
      <c r="M100" s="1531">
        <v>44287</v>
      </c>
    </row>
    <row r="101" spans="1:13" s="1329" customFormat="1" ht="15">
      <c r="A101" s="1518">
        <v>92</v>
      </c>
      <c r="B101" s="1528" t="s">
        <v>1143</v>
      </c>
      <c r="C101" s="1529" t="s">
        <v>1146</v>
      </c>
      <c r="D101" s="1529" t="s">
        <v>5424</v>
      </c>
      <c r="E101" s="1529" t="s">
        <v>5398</v>
      </c>
      <c r="F101" s="1518" t="s">
        <v>1078</v>
      </c>
      <c r="G101" s="1518">
        <v>92</v>
      </c>
      <c r="H101" s="1518" t="s">
        <v>2160</v>
      </c>
      <c r="I101" s="1518" t="s">
        <v>1847</v>
      </c>
      <c r="J101" s="1530" t="s">
        <v>4430</v>
      </c>
      <c r="K101" s="1530" t="s">
        <v>5400</v>
      </c>
      <c r="L101" s="1529" t="s">
        <v>5401</v>
      </c>
      <c r="M101" s="1531">
        <v>44287</v>
      </c>
    </row>
    <row r="102" spans="1:13" s="1329" customFormat="1" ht="15">
      <c r="A102" s="1518">
        <v>93</v>
      </c>
      <c r="B102" s="1528" t="s">
        <v>1143</v>
      </c>
      <c r="C102" s="1529" t="s">
        <v>1146</v>
      </c>
      <c r="D102" s="1529" t="s">
        <v>5424</v>
      </c>
      <c r="E102" s="1529" t="s">
        <v>5398</v>
      </c>
      <c r="F102" s="1518" t="s">
        <v>1078</v>
      </c>
      <c r="G102" s="1518">
        <v>92</v>
      </c>
      <c r="H102" s="1518" t="s">
        <v>2160</v>
      </c>
      <c r="I102" s="1518" t="s">
        <v>1853</v>
      </c>
      <c r="J102" s="1530" t="s">
        <v>4430</v>
      </c>
      <c r="K102" s="1530" t="s">
        <v>5400</v>
      </c>
      <c r="L102" s="1529" t="s">
        <v>5401</v>
      </c>
      <c r="M102" s="1531">
        <v>44287</v>
      </c>
    </row>
    <row r="103" spans="1:13" s="1329" customFormat="1" ht="15">
      <c r="A103" s="1518">
        <v>94</v>
      </c>
      <c r="B103" s="1528" t="s">
        <v>1143</v>
      </c>
      <c r="C103" s="1529" t="s">
        <v>1146</v>
      </c>
      <c r="D103" s="1529" t="s">
        <v>5424</v>
      </c>
      <c r="E103" s="1529" t="s">
        <v>5398</v>
      </c>
      <c r="F103" s="1518" t="s">
        <v>1078</v>
      </c>
      <c r="G103" s="1518">
        <v>92</v>
      </c>
      <c r="H103" s="1518" t="s">
        <v>2160</v>
      </c>
      <c r="I103" s="1518" t="s">
        <v>129</v>
      </c>
      <c r="J103" s="1530" t="s">
        <v>4430</v>
      </c>
      <c r="K103" s="1530" t="s">
        <v>5400</v>
      </c>
      <c r="L103" s="1529" t="s">
        <v>5401</v>
      </c>
      <c r="M103" s="1531">
        <v>44287</v>
      </c>
    </row>
    <row r="104" spans="1:13" s="1329" customFormat="1" ht="15">
      <c r="A104" s="1518">
        <v>95</v>
      </c>
      <c r="B104" s="1528" t="s">
        <v>1143</v>
      </c>
      <c r="C104" s="1529" t="s">
        <v>1160</v>
      </c>
      <c r="D104" s="1529" t="s">
        <v>5425</v>
      </c>
      <c r="E104" s="1529" t="s">
        <v>5398</v>
      </c>
      <c r="F104" s="1518" t="s">
        <v>1078</v>
      </c>
      <c r="G104" s="1518">
        <v>92</v>
      </c>
      <c r="H104" s="1518" t="s">
        <v>2160</v>
      </c>
      <c r="I104" s="1518" t="s">
        <v>1830</v>
      </c>
      <c r="J104" s="1530" t="s">
        <v>4430</v>
      </c>
      <c r="K104" s="1530" t="s">
        <v>5400</v>
      </c>
      <c r="L104" s="1529" t="s">
        <v>5401</v>
      </c>
      <c r="M104" s="1531">
        <v>44287</v>
      </c>
    </row>
    <row r="105" spans="1:13" s="1329" customFormat="1" ht="15">
      <c r="A105" s="1518">
        <v>96</v>
      </c>
      <c r="B105" s="1528" t="s">
        <v>1143</v>
      </c>
      <c r="C105" s="1529" t="s">
        <v>1160</v>
      </c>
      <c r="D105" s="1529" t="s">
        <v>5425</v>
      </c>
      <c r="E105" s="1529" t="s">
        <v>5398</v>
      </c>
      <c r="F105" s="1518" t="s">
        <v>1078</v>
      </c>
      <c r="G105" s="1518">
        <v>92</v>
      </c>
      <c r="H105" s="1518" t="s">
        <v>2160</v>
      </c>
      <c r="I105" s="1518" t="s">
        <v>1840</v>
      </c>
      <c r="J105" s="1530" t="s">
        <v>4430</v>
      </c>
      <c r="K105" s="1530" t="s">
        <v>5400</v>
      </c>
      <c r="L105" s="1529" t="s">
        <v>5401</v>
      </c>
      <c r="M105" s="1531">
        <v>44287</v>
      </c>
    </row>
    <row r="106" spans="1:13" s="1329" customFormat="1" ht="15">
      <c r="A106" s="1518">
        <v>97</v>
      </c>
      <c r="B106" s="1528" t="s">
        <v>1143</v>
      </c>
      <c r="C106" s="1529" t="s">
        <v>1160</v>
      </c>
      <c r="D106" s="1529" t="s">
        <v>5425</v>
      </c>
      <c r="E106" s="1529" t="s">
        <v>5398</v>
      </c>
      <c r="F106" s="1518" t="s">
        <v>1078</v>
      </c>
      <c r="G106" s="1518">
        <v>92</v>
      </c>
      <c r="H106" s="1518" t="s">
        <v>2160</v>
      </c>
      <c r="I106" s="1518" t="s">
        <v>1847</v>
      </c>
      <c r="J106" s="1530" t="s">
        <v>4430</v>
      </c>
      <c r="K106" s="1530" t="s">
        <v>5400</v>
      </c>
      <c r="L106" s="1529" t="s">
        <v>5401</v>
      </c>
      <c r="M106" s="1531">
        <v>44287</v>
      </c>
    </row>
    <row r="107" spans="1:13" s="1329" customFormat="1" ht="15">
      <c r="A107" s="1518">
        <v>98</v>
      </c>
      <c r="B107" s="1528" t="s">
        <v>1143</v>
      </c>
      <c r="C107" s="1529" t="s">
        <v>1160</v>
      </c>
      <c r="D107" s="1529" t="s">
        <v>5425</v>
      </c>
      <c r="E107" s="1529" t="s">
        <v>5398</v>
      </c>
      <c r="F107" s="1518" t="s">
        <v>1078</v>
      </c>
      <c r="G107" s="1518">
        <v>92</v>
      </c>
      <c r="H107" s="1518" t="s">
        <v>2160</v>
      </c>
      <c r="I107" s="1518" t="s">
        <v>1853</v>
      </c>
      <c r="J107" s="1530" t="s">
        <v>4430</v>
      </c>
      <c r="K107" s="1530" t="s">
        <v>5400</v>
      </c>
      <c r="L107" s="1529" t="s">
        <v>5401</v>
      </c>
      <c r="M107" s="1531">
        <v>44287</v>
      </c>
    </row>
    <row r="108" spans="1:13" s="1329" customFormat="1" ht="15">
      <c r="A108" s="1518">
        <v>99</v>
      </c>
      <c r="B108" s="1528" t="s">
        <v>1143</v>
      </c>
      <c r="C108" s="1529" t="s">
        <v>1160</v>
      </c>
      <c r="D108" s="1529" t="s">
        <v>5425</v>
      </c>
      <c r="E108" s="1529" t="s">
        <v>5398</v>
      </c>
      <c r="F108" s="1518" t="s">
        <v>1078</v>
      </c>
      <c r="G108" s="1518">
        <v>92</v>
      </c>
      <c r="H108" s="1518" t="s">
        <v>2160</v>
      </c>
      <c r="I108" s="1518" t="s">
        <v>129</v>
      </c>
      <c r="J108" s="1530" t="s">
        <v>4430</v>
      </c>
      <c r="K108" s="1530" t="s">
        <v>5400</v>
      </c>
      <c r="L108" s="1529" t="s">
        <v>5401</v>
      </c>
      <c r="M108" s="1531">
        <v>44287</v>
      </c>
    </row>
    <row r="109" spans="1:13" s="1329" customFormat="1" ht="45">
      <c r="A109" s="1518">
        <v>100</v>
      </c>
      <c r="B109" s="1528" t="s">
        <v>1143</v>
      </c>
      <c r="C109" s="1529" t="s">
        <v>1146</v>
      </c>
      <c r="D109" s="1529" t="s">
        <v>5424</v>
      </c>
      <c r="E109" s="1529" t="s">
        <v>5398</v>
      </c>
      <c r="F109" s="1518" t="s">
        <v>1078</v>
      </c>
      <c r="G109" s="1518">
        <v>97</v>
      </c>
      <c r="H109" s="1544" t="s">
        <v>2206</v>
      </c>
      <c r="I109" s="1518" t="s">
        <v>1895</v>
      </c>
      <c r="J109" s="1530" t="s">
        <v>5400</v>
      </c>
      <c r="K109" s="1530">
        <v>-0.17499999999999999</v>
      </c>
      <c r="L109" s="1529" t="s">
        <v>5427</v>
      </c>
      <c r="M109" s="1531">
        <v>44287</v>
      </c>
    </row>
    <row r="110" spans="1:13" s="1329" customFormat="1" ht="45">
      <c r="A110" s="1518">
        <v>101</v>
      </c>
      <c r="B110" s="1528" t="s">
        <v>1143</v>
      </c>
      <c r="C110" s="1529" t="s">
        <v>1160</v>
      </c>
      <c r="D110" s="1529" t="s">
        <v>5425</v>
      </c>
      <c r="E110" s="1529" t="s">
        <v>5398</v>
      </c>
      <c r="F110" s="1518" t="s">
        <v>1078</v>
      </c>
      <c r="G110" s="1518">
        <v>97</v>
      </c>
      <c r="H110" s="1544" t="s">
        <v>2206</v>
      </c>
      <c r="I110" s="1518" t="s">
        <v>1895</v>
      </c>
      <c r="J110" s="1530" t="s">
        <v>5400</v>
      </c>
      <c r="K110" s="1530">
        <v>-0.18</v>
      </c>
      <c r="L110" s="1529" t="s">
        <v>5428</v>
      </c>
      <c r="M110" s="1531">
        <v>44287</v>
      </c>
    </row>
    <row r="111" spans="1:13" s="1329" customFormat="1" ht="45">
      <c r="A111" s="1518">
        <v>102</v>
      </c>
      <c r="B111" s="1543" t="s">
        <v>1143</v>
      </c>
      <c r="C111" s="1544" t="s">
        <v>1466</v>
      </c>
      <c r="D111" s="1544" t="s">
        <v>2818</v>
      </c>
      <c r="E111" s="1529" t="s">
        <v>5398</v>
      </c>
      <c r="F111" s="1518" t="s">
        <v>1078</v>
      </c>
      <c r="G111" s="1518">
        <v>97</v>
      </c>
      <c r="H111" s="1544" t="s">
        <v>2205</v>
      </c>
      <c r="I111" s="1518" t="s">
        <v>1895</v>
      </c>
      <c r="J111" s="1530">
        <v>-0.29430000000000001</v>
      </c>
      <c r="K111" s="1530">
        <v>-0.36899999999999999</v>
      </c>
      <c r="L111" s="1529" t="s">
        <v>5429</v>
      </c>
      <c r="M111" s="1531">
        <v>44287</v>
      </c>
    </row>
    <row r="112" spans="1:13" s="1329" customFormat="1" ht="30">
      <c r="A112" s="1518">
        <v>103</v>
      </c>
      <c r="B112" s="1543" t="s">
        <v>1143</v>
      </c>
      <c r="C112" s="1544" t="s">
        <v>1474</v>
      </c>
      <c r="D112" s="1544" t="s">
        <v>2822</v>
      </c>
      <c r="E112" s="1529" t="s">
        <v>5398</v>
      </c>
      <c r="F112" s="1518" t="s">
        <v>1078</v>
      </c>
      <c r="G112" s="1518">
        <v>97</v>
      </c>
      <c r="H112" s="1544" t="s">
        <v>2205</v>
      </c>
      <c r="I112" s="1518" t="s">
        <v>1895</v>
      </c>
      <c r="J112" s="1539">
        <v>-4.7399999999999998E-2</v>
      </c>
      <c r="K112" s="1539">
        <v>-4.6199999999999998E-2</v>
      </c>
      <c r="L112" s="1529" t="s">
        <v>5430</v>
      </c>
      <c r="M112" s="1531">
        <v>44287</v>
      </c>
    </row>
    <row r="113" spans="1:13" s="1329" customFormat="1" ht="30">
      <c r="A113" s="1518">
        <v>104</v>
      </c>
      <c r="B113" s="1543" t="s">
        <v>1143</v>
      </c>
      <c r="C113" s="1544" t="s">
        <v>1480</v>
      </c>
      <c r="D113" s="1544" t="s">
        <v>2825</v>
      </c>
      <c r="E113" s="1529" t="s">
        <v>5398</v>
      </c>
      <c r="F113" s="1518" t="s">
        <v>1078</v>
      </c>
      <c r="G113" s="1518">
        <v>97</v>
      </c>
      <c r="H113" s="1544" t="s">
        <v>2205</v>
      </c>
      <c r="I113" s="1518" t="s">
        <v>1895</v>
      </c>
      <c r="J113" s="1530">
        <v>-0.19900000000000001</v>
      </c>
      <c r="K113" s="1530">
        <v>-0.19400000000000001</v>
      </c>
      <c r="L113" s="1529" t="s">
        <v>5431</v>
      </c>
      <c r="M113" s="1531">
        <v>44287</v>
      </c>
    </row>
    <row r="114" spans="1:13" s="1329" customFormat="1" ht="30">
      <c r="A114" s="1518">
        <v>105</v>
      </c>
      <c r="B114" s="1543" t="s">
        <v>1143</v>
      </c>
      <c r="C114" s="1544" t="s">
        <v>1539</v>
      </c>
      <c r="D114" s="1544" t="s">
        <v>5432</v>
      </c>
      <c r="E114" s="1529" t="s">
        <v>5398</v>
      </c>
      <c r="F114" s="1518" t="s">
        <v>1078</v>
      </c>
      <c r="G114" s="1518">
        <v>97</v>
      </c>
      <c r="H114" s="1544" t="s">
        <v>2205</v>
      </c>
      <c r="I114" s="1518" t="s">
        <v>1895</v>
      </c>
      <c r="J114" s="1539">
        <v>-9.74E-2</v>
      </c>
      <c r="K114" s="1530">
        <v>-0.127</v>
      </c>
      <c r="L114" s="1529" t="s">
        <v>5433</v>
      </c>
      <c r="M114" s="1531">
        <v>44287</v>
      </c>
    </row>
    <row r="115" spans="1:13" s="1329" customFormat="1" ht="45">
      <c r="A115" s="1518">
        <v>106</v>
      </c>
      <c r="B115" s="1543" t="s">
        <v>1143</v>
      </c>
      <c r="C115" s="1544" t="s">
        <v>1486</v>
      </c>
      <c r="D115" s="1544" t="s">
        <v>2832</v>
      </c>
      <c r="E115" s="1529" t="s">
        <v>5398</v>
      </c>
      <c r="F115" s="1518" t="s">
        <v>1078</v>
      </c>
      <c r="G115" s="1518">
        <v>97</v>
      </c>
      <c r="H115" s="1544" t="s">
        <v>2205</v>
      </c>
      <c r="I115" s="1518" t="s">
        <v>1895</v>
      </c>
      <c r="J115" s="1539">
        <v>-7.1000000000000004E-3</v>
      </c>
      <c r="K115" s="1539">
        <v>-7.3000000000000001E-3</v>
      </c>
      <c r="L115" s="1529" t="s">
        <v>5434</v>
      </c>
      <c r="M115" s="1531">
        <v>44287</v>
      </c>
    </row>
    <row r="116" spans="1:13" s="1329" customFormat="1" ht="30">
      <c r="A116" s="1518">
        <v>107</v>
      </c>
      <c r="B116" s="1543" t="s">
        <v>1143</v>
      </c>
      <c r="C116" s="1544" t="s">
        <v>1557</v>
      </c>
      <c r="D116" s="1544" t="s">
        <v>2843</v>
      </c>
      <c r="E116" s="1529" t="s">
        <v>5398</v>
      </c>
      <c r="F116" s="1518" t="s">
        <v>1078</v>
      </c>
      <c r="G116" s="1518">
        <v>97</v>
      </c>
      <c r="H116" s="1544" t="s">
        <v>2205</v>
      </c>
      <c r="I116" s="1518" t="s">
        <v>1895</v>
      </c>
      <c r="J116" s="1539">
        <v>-2.0899999999999998E-2</v>
      </c>
      <c r="K116" s="1539">
        <v>-2.7400000000000001E-2</v>
      </c>
      <c r="L116" s="1529" t="s">
        <v>5435</v>
      </c>
      <c r="M116" s="1531">
        <v>44287</v>
      </c>
    </row>
    <row r="117" spans="1:13" s="1329" customFormat="1" ht="30">
      <c r="A117" s="1518">
        <v>108</v>
      </c>
      <c r="B117" s="1543" t="s">
        <v>1143</v>
      </c>
      <c r="C117" s="1544" t="s">
        <v>1548</v>
      </c>
      <c r="D117" s="1544" t="s">
        <v>2416</v>
      </c>
      <c r="E117" s="1529" t="s">
        <v>5398</v>
      </c>
      <c r="F117" s="1518" t="s">
        <v>1078</v>
      </c>
      <c r="G117" s="1518">
        <v>97</v>
      </c>
      <c r="H117" s="1544" t="s">
        <v>2205</v>
      </c>
      <c r="I117" s="1518" t="s">
        <v>1895</v>
      </c>
      <c r="J117" s="1539">
        <v>-1.78E-2</v>
      </c>
      <c r="K117" s="1539">
        <v>-1.83E-2</v>
      </c>
      <c r="L117" s="1529" t="s">
        <v>5436</v>
      </c>
      <c r="M117" s="1531">
        <v>44287</v>
      </c>
    </row>
    <row r="118" spans="1:13" s="1329" customFormat="1" ht="15">
      <c r="A118" s="1518">
        <v>109</v>
      </c>
      <c r="B118" s="1528" t="s">
        <v>1143</v>
      </c>
      <c r="C118" s="1529" t="s">
        <v>1146</v>
      </c>
      <c r="D118" s="1529" t="s">
        <v>5424</v>
      </c>
      <c r="E118" s="1529" t="s">
        <v>5398</v>
      </c>
      <c r="F118" s="1518" t="s">
        <v>1078</v>
      </c>
      <c r="G118" s="1518">
        <v>100</v>
      </c>
      <c r="H118" s="1518" t="s">
        <v>2208</v>
      </c>
      <c r="I118" s="1518" t="s">
        <v>1895</v>
      </c>
      <c r="J118" s="1530">
        <v>-0.26645000000000002</v>
      </c>
      <c r="K118" s="1530" t="s">
        <v>5400</v>
      </c>
      <c r="L118" s="1529" t="s">
        <v>5401</v>
      </c>
      <c r="M118" s="1531">
        <v>44287</v>
      </c>
    </row>
    <row r="119" spans="1:13" s="1329" customFormat="1" ht="15">
      <c r="A119" s="1518">
        <v>110</v>
      </c>
      <c r="B119" s="1528" t="s">
        <v>1143</v>
      </c>
      <c r="C119" s="1529" t="s">
        <v>1160</v>
      </c>
      <c r="D119" s="1529" t="s">
        <v>5425</v>
      </c>
      <c r="E119" s="1529" t="s">
        <v>5398</v>
      </c>
      <c r="F119" s="1518" t="s">
        <v>1078</v>
      </c>
      <c r="G119" s="1518">
        <v>100</v>
      </c>
      <c r="H119" s="1518" t="s">
        <v>2208</v>
      </c>
      <c r="I119" s="1518" t="s">
        <v>1895</v>
      </c>
      <c r="J119" s="1530">
        <v>-0.48801299999999997</v>
      </c>
      <c r="K119" s="1530" t="s">
        <v>5400</v>
      </c>
      <c r="L119" s="1529" t="s">
        <v>5401</v>
      </c>
      <c r="M119" s="1531">
        <v>44287</v>
      </c>
    </row>
    <row r="120" spans="1:13" s="1329" customFormat="1" ht="15">
      <c r="A120" s="1518">
        <v>111</v>
      </c>
      <c r="B120" s="1528" t="s">
        <v>1143</v>
      </c>
      <c r="C120" s="1529" t="s">
        <v>1146</v>
      </c>
      <c r="D120" s="1529" t="s">
        <v>5424</v>
      </c>
      <c r="E120" s="1529" t="s">
        <v>5398</v>
      </c>
      <c r="F120" s="1518" t="s">
        <v>1078</v>
      </c>
      <c r="G120" s="1518">
        <v>104</v>
      </c>
      <c r="H120" s="1518" t="s">
        <v>2212</v>
      </c>
      <c r="I120" s="1518" t="s">
        <v>1895</v>
      </c>
      <c r="J120" s="1530">
        <v>0.26645000000000002</v>
      </c>
      <c r="K120" s="1530" t="s">
        <v>5400</v>
      </c>
      <c r="L120" s="1529" t="s">
        <v>5401</v>
      </c>
      <c r="M120" s="1531">
        <v>44287</v>
      </c>
    </row>
    <row r="121" spans="1:13" s="1329" customFormat="1" ht="15">
      <c r="A121" s="1518">
        <v>112</v>
      </c>
      <c r="B121" s="1528" t="s">
        <v>1143</v>
      </c>
      <c r="C121" s="1529" t="s">
        <v>1160</v>
      </c>
      <c r="D121" s="1529" t="s">
        <v>5425</v>
      </c>
      <c r="E121" s="1529" t="s">
        <v>5398</v>
      </c>
      <c r="F121" s="1518" t="s">
        <v>1078</v>
      </c>
      <c r="G121" s="1518">
        <v>104</v>
      </c>
      <c r="H121" s="1518" t="s">
        <v>2212</v>
      </c>
      <c r="I121" s="1518" t="s">
        <v>1895</v>
      </c>
      <c r="J121" s="1530">
        <v>0.48801299999999997</v>
      </c>
      <c r="K121" s="1530" t="s">
        <v>5400</v>
      </c>
      <c r="L121" s="1529" t="s">
        <v>5401</v>
      </c>
      <c r="M121" s="1531">
        <v>44287</v>
      </c>
    </row>
    <row r="122" spans="1:13" s="1329" customFormat="1" ht="45">
      <c r="A122" s="1518">
        <v>113</v>
      </c>
      <c r="B122" s="1543" t="s">
        <v>1143</v>
      </c>
      <c r="C122" s="1544" t="s">
        <v>5437</v>
      </c>
      <c r="D122" s="1529" t="s">
        <v>5438</v>
      </c>
      <c r="E122" s="1529" t="s">
        <v>5398</v>
      </c>
      <c r="F122" s="1518" t="s">
        <v>1078</v>
      </c>
      <c r="G122" s="1518"/>
      <c r="H122" s="1518"/>
      <c r="I122" s="1518"/>
      <c r="J122" s="1530" t="s">
        <v>5439</v>
      </c>
      <c r="K122" s="1530" t="s">
        <v>5439</v>
      </c>
      <c r="L122" s="1529" t="s">
        <v>5440</v>
      </c>
      <c r="M122" s="1531">
        <v>44287</v>
      </c>
    </row>
    <row r="123" spans="1:13" s="1329" customFormat="1" ht="15">
      <c r="A123" s="1518">
        <v>114</v>
      </c>
      <c r="B123" s="1543" t="s">
        <v>1241</v>
      </c>
      <c r="C123" s="1544" t="s">
        <v>1288</v>
      </c>
      <c r="D123" s="1544" t="s">
        <v>5397</v>
      </c>
      <c r="E123" s="1529" t="s">
        <v>5398</v>
      </c>
      <c r="F123" s="1518" t="s">
        <v>1078</v>
      </c>
      <c r="G123" s="1518">
        <v>77</v>
      </c>
      <c r="H123" s="1518" t="s">
        <v>2157</v>
      </c>
      <c r="I123" s="1518" t="s">
        <v>1847</v>
      </c>
      <c r="J123" s="1530">
        <v>2</v>
      </c>
      <c r="K123" s="1530">
        <v>1.5</v>
      </c>
      <c r="L123" s="1529" t="s">
        <v>5399</v>
      </c>
      <c r="M123" s="1531">
        <v>44287</v>
      </c>
    </row>
    <row r="124" spans="1:13" s="1329" customFormat="1" ht="15">
      <c r="A124" s="1518">
        <v>115</v>
      </c>
      <c r="B124" s="1543" t="s">
        <v>1241</v>
      </c>
      <c r="C124" s="1544" t="s">
        <v>1288</v>
      </c>
      <c r="D124" s="1544" t="s">
        <v>5397</v>
      </c>
      <c r="E124" s="1529" t="s">
        <v>5398</v>
      </c>
      <c r="F124" s="1518" t="s">
        <v>1078</v>
      </c>
      <c r="G124" s="1518">
        <v>77</v>
      </c>
      <c r="H124" s="1518" t="s">
        <v>2157</v>
      </c>
      <c r="I124" s="1518" t="s">
        <v>1853</v>
      </c>
      <c r="J124" s="1530">
        <v>2</v>
      </c>
      <c r="K124" s="1530">
        <v>1.5</v>
      </c>
      <c r="L124" s="1529" t="s">
        <v>5399</v>
      </c>
      <c r="M124" s="1531">
        <v>44287</v>
      </c>
    </row>
    <row r="125" spans="1:13" s="1329" customFormat="1" ht="15">
      <c r="A125" s="1518">
        <v>116</v>
      </c>
      <c r="B125" s="1543" t="s">
        <v>1241</v>
      </c>
      <c r="C125" s="1544" t="s">
        <v>1288</v>
      </c>
      <c r="D125" s="1544" t="s">
        <v>5397</v>
      </c>
      <c r="E125" s="1529" t="s">
        <v>5398</v>
      </c>
      <c r="F125" s="1518" t="s">
        <v>1078</v>
      </c>
      <c r="G125" s="1518">
        <v>77</v>
      </c>
      <c r="H125" s="1518" t="s">
        <v>2157</v>
      </c>
      <c r="I125" s="1518" t="s">
        <v>129</v>
      </c>
      <c r="J125" s="1530">
        <v>2</v>
      </c>
      <c r="K125" s="1530">
        <v>1.5</v>
      </c>
      <c r="L125" s="1529" t="s">
        <v>5399</v>
      </c>
      <c r="M125" s="1531">
        <v>44287</v>
      </c>
    </row>
    <row r="126" spans="1:13" s="1329" customFormat="1" ht="15">
      <c r="A126" s="1518">
        <v>117</v>
      </c>
      <c r="B126" s="1528" t="s">
        <v>1241</v>
      </c>
      <c r="C126" s="1529" t="s">
        <v>1300</v>
      </c>
      <c r="D126" s="1529" t="s">
        <v>705</v>
      </c>
      <c r="E126" s="1529" t="s">
        <v>5398</v>
      </c>
      <c r="F126" s="1518" t="s">
        <v>1078</v>
      </c>
      <c r="G126" s="1518">
        <v>67</v>
      </c>
      <c r="H126" s="1518" t="s">
        <v>2155</v>
      </c>
      <c r="I126" s="1518" t="s">
        <v>1830</v>
      </c>
      <c r="J126" s="1530">
        <v>348.76805357173879</v>
      </c>
      <c r="K126" s="1530" t="s">
        <v>5400</v>
      </c>
      <c r="L126" s="1529" t="s">
        <v>5401</v>
      </c>
      <c r="M126" s="1531">
        <v>44287</v>
      </c>
    </row>
    <row r="127" spans="1:13" s="1329" customFormat="1" ht="15">
      <c r="A127" s="1518">
        <v>118</v>
      </c>
      <c r="B127" s="1528" t="s">
        <v>1241</v>
      </c>
      <c r="C127" s="1529" t="s">
        <v>1300</v>
      </c>
      <c r="D127" s="1529" t="s">
        <v>705</v>
      </c>
      <c r="E127" s="1529" t="s">
        <v>5398</v>
      </c>
      <c r="F127" s="1518" t="s">
        <v>1078</v>
      </c>
      <c r="G127" s="1518">
        <v>67</v>
      </c>
      <c r="H127" s="1518" t="s">
        <v>2155</v>
      </c>
      <c r="I127" s="1518" t="s">
        <v>1840</v>
      </c>
      <c r="J127" s="1530">
        <v>348.76805357173879</v>
      </c>
      <c r="K127" s="1530" t="s">
        <v>5400</v>
      </c>
      <c r="L127" s="1529" t="s">
        <v>5401</v>
      </c>
      <c r="M127" s="1531">
        <v>44287</v>
      </c>
    </row>
    <row r="128" spans="1:13" s="1329" customFormat="1" ht="15">
      <c r="A128" s="1518">
        <v>119</v>
      </c>
      <c r="B128" s="1528" t="s">
        <v>1241</v>
      </c>
      <c r="C128" s="1529" t="s">
        <v>1300</v>
      </c>
      <c r="D128" s="1529" t="s">
        <v>705</v>
      </c>
      <c r="E128" s="1529" t="s">
        <v>5398</v>
      </c>
      <c r="F128" s="1518" t="s">
        <v>1078</v>
      </c>
      <c r="G128" s="1518">
        <v>67</v>
      </c>
      <c r="H128" s="1518" t="s">
        <v>2155</v>
      </c>
      <c r="I128" s="1518" t="s">
        <v>1847</v>
      </c>
      <c r="J128" s="1530">
        <v>348.76805357173879</v>
      </c>
      <c r="K128" s="1530" t="s">
        <v>5400</v>
      </c>
      <c r="L128" s="1529" t="s">
        <v>5401</v>
      </c>
      <c r="M128" s="1531">
        <v>44287</v>
      </c>
    </row>
    <row r="129" spans="1:13" s="1329" customFormat="1" ht="15">
      <c r="A129" s="1518">
        <v>120</v>
      </c>
      <c r="B129" s="1528" t="s">
        <v>1241</v>
      </c>
      <c r="C129" s="1529" t="s">
        <v>1300</v>
      </c>
      <c r="D129" s="1529" t="s">
        <v>705</v>
      </c>
      <c r="E129" s="1529" t="s">
        <v>5398</v>
      </c>
      <c r="F129" s="1518" t="s">
        <v>1078</v>
      </c>
      <c r="G129" s="1518">
        <v>67</v>
      </c>
      <c r="H129" s="1518" t="s">
        <v>2155</v>
      </c>
      <c r="I129" s="1518" t="s">
        <v>1853</v>
      </c>
      <c r="J129" s="1530">
        <v>348.76805357173879</v>
      </c>
      <c r="K129" s="1530" t="s">
        <v>5400</v>
      </c>
      <c r="L129" s="1529" t="s">
        <v>5401</v>
      </c>
      <c r="M129" s="1531">
        <v>44287</v>
      </c>
    </row>
    <row r="130" spans="1:13" s="1329" customFormat="1" ht="15">
      <c r="A130" s="1518">
        <v>121</v>
      </c>
      <c r="B130" s="1528" t="s">
        <v>1241</v>
      </c>
      <c r="C130" s="1529" t="s">
        <v>1300</v>
      </c>
      <c r="D130" s="1529" t="s">
        <v>705</v>
      </c>
      <c r="E130" s="1529" t="s">
        <v>5398</v>
      </c>
      <c r="F130" s="1518" t="s">
        <v>1078</v>
      </c>
      <c r="G130" s="1518">
        <v>67</v>
      </c>
      <c r="H130" s="1518" t="s">
        <v>2155</v>
      </c>
      <c r="I130" s="1518" t="s">
        <v>129</v>
      </c>
      <c r="J130" s="1530">
        <v>348.76805357173879</v>
      </c>
      <c r="K130" s="1530" t="s">
        <v>5400</v>
      </c>
      <c r="L130" s="1529" t="s">
        <v>5401</v>
      </c>
      <c r="M130" s="1531">
        <v>44287</v>
      </c>
    </row>
    <row r="131" spans="1:13" s="1329" customFormat="1" ht="15">
      <c r="A131" s="1518">
        <v>122</v>
      </c>
      <c r="B131" s="1528" t="s">
        <v>1241</v>
      </c>
      <c r="C131" s="1529" t="s">
        <v>1300</v>
      </c>
      <c r="D131" s="1529" t="s">
        <v>705</v>
      </c>
      <c r="E131" s="1529" t="s">
        <v>5398</v>
      </c>
      <c r="F131" s="1518" t="s">
        <v>1078</v>
      </c>
      <c r="G131" s="1518">
        <v>92</v>
      </c>
      <c r="H131" s="1518" t="s">
        <v>2160</v>
      </c>
      <c r="I131" s="1518" t="s">
        <v>1830</v>
      </c>
      <c r="J131" s="1530" t="s">
        <v>4430</v>
      </c>
      <c r="K131" s="1530" t="s">
        <v>5400</v>
      </c>
      <c r="L131" s="1529" t="s">
        <v>5401</v>
      </c>
      <c r="M131" s="1531">
        <v>44287</v>
      </c>
    </row>
    <row r="132" spans="1:13" s="1329" customFormat="1" ht="15">
      <c r="A132" s="1518">
        <v>123</v>
      </c>
      <c r="B132" s="1528" t="s">
        <v>1241</v>
      </c>
      <c r="C132" s="1529" t="s">
        <v>1300</v>
      </c>
      <c r="D132" s="1529" t="s">
        <v>705</v>
      </c>
      <c r="E132" s="1529" t="s">
        <v>5398</v>
      </c>
      <c r="F132" s="1518" t="s">
        <v>1078</v>
      </c>
      <c r="G132" s="1518">
        <v>92</v>
      </c>
      <c r="H132" s="1518" t="s">
        <v>2160</v>
      </c>
      <c r="I132" s="1518" t="s">
        <v>1840</v>
      </c>
      <c r="J132" s="1530" t="s">
        <v>4430</v>
      </c>
      <c r="K132" s="1530" t="s">
        <v>5400</v>
      </c>
      <c r="L132" s="1529" t="s">
        <v>5401</v>
      </c>
      <c r="M132" s="1531">
        <v>44287</v>
      </c>
    </row>
    <row r="133" spans="1:13" s="1329" customFormat="1" ht="15">
      <c r="A133" s="1518">
        <v>124</v>
      </c>
      <c r="B133" s="1528" t="s">
        <v>1241</v>
      </c>
      <c r="C133" s="1529" t="s">
        <v>1300</v>
      </c>
      <c r="D133" s="1529" t="s">
        <v>705</v>
      </c>
      <c r="E133" s="1529" t="s">
        <v>5398</v>
      </c>
      <c r="F133" s="1518" t="s">
        <v>1078</v>
      </c>
      <c r="G133" s="1518">
        <v>92</v>
      </c>
      <c r="H133" s="1518" t="s">
        <v>2160</v>
      </c>
      <c r="I133" s="1518" t="s">
        <v>1847</v>
      </c>
      <c r="J133" s="1530" t="s">
        <v>4430</v>
      </c>
      <c r="K133" s="1530" t="s">
        <v>5400</v>
      </c>
      <c r="L133" s="1529" t="s">
        <v>5401</v>
      </c>
      <c r="M133" s="1531">
        <v>44287</v>
      </c>
    </row>
    <row r="134" spans="1:13" s="1329" customFormat="1" ht="15">
      <c r="A134" s="1518">
        <v>125</v>
      </c>
      <c r="B134" s="1528" t="s">
        <v>1241</v>
      </c>
      <c r="C134" s="1529" t="s">
        <v>1300</v>
      </c>
      <c r="D134" s="1529" t="s">
        <v>705</v>
      </c>
      <c r="E134" s="1529" t="s">
        <v>5398</v>
      </c>
      <c r="F134" s="1518" t="s">
        <v>1078</v>
      </c>
      <c r="G134" s="1518">
        <v>92</v>
      </c>
      <c r="H134" s="1518" t="s">
        <v>2160</v>
      </c>
      <c r="I134" s="1518" t="s">
        <v>1853</v>
      </c>
      <c r="J134" s="1530" t="s">
        <v>4430</v>
      </c>
      <c r="K134" s="1530" t="s">
        <v>5400</v>
      </c>
      <c r="L134" s="1529" t="s">
        <v>5401</v>
      </c>
      <c r="M134" s="1531">
        <v>44287</v>
      </c>
    </row>
    <row r="135" spans="1:13" s="1329" customFormat="1" ht="15">
      <c r="A135" s="1518">
        <v>126</v>
      </c>
      <c r="B135" s="1528" t="s">
        <v>1241</v>
      </c>
      <c r="C135" s="1529" t="s">
        <v>1300</v>
      </c>
      <c r="D135" s="1529" t="s">
        <v>705</v>
      </c>
      <c r="E135" s="1529" t="s">
        <v>5398</v>
      </c>
      <c r="F135" s="1518" t="s">
        <v>1078</v>
      </c>
      <c r="G135" s="1518">
        <v>92</v>
      </c>
      <c r="H135" s="1518" t="s">
        <v>2160</v>
      </c>
      <c r="I135" s="1518" t="s">
        <v>129</v>
      </c>
      <c r="J135" s="1530" t="s">
        <v>4430</v>
      </c>
      <c r="K135" s="1530" t="s">
        <v>5400</v>
      </c>
      <c r="L135" s="1529" t="s">
        <v>5401</v>
      </c>
      <c r="M135" s="1531">
        <v>44287</v>
      </c>
    </row>
    <row r="136" spans="1:13" s="1329" customFormat="1" ht="45">
      <c r="A136" s="1518">
        <v>127</v>
      </c>
      <c r="B136" s="1528" t="s">
        <v>1241</v>
      </c>
      <c r="C136" s="1529" t="s">
        <v>1300</v>
      </c>
      <c r="D136" s="1529" t="s">
        <v>705</v>
      </c>
      <c r="E136" s="1529" t="s">
        <v>5398</v>
      </c>
      <c r="F136" s="1518" t="s">
        <v>1078</v>
      </c>
      <c r="G136" s="1518">
        <v>97</v>
      </c>
      <c r="H136" s="1532" t="s">
        <v>2206</v>
      </c>
      <c r="I136" s="1518" t="s">
        <v>1895</v>
      </c>
      <c r="J136" s="1530" t="s">
        <v>5400</v>
      </c>
      <c r="K136" s="1530">
        <v>-0.253</v>
      </c>
      <c r="L136" s="1529" t="s">
        <v>5441</v>
      </c>
      <c r="M136" s="1531">
        <v>44287</v>
      </c>
    </row>
    <row r="137" spans="1:13" s="1329" customFormat="1" ht="15">
      <c r="A137" s="1518">
        <v>128</v>
      </c>
      <c r="B137" s="1528" t="s">
        <v>1241</v>
      </c>
      <c r="C137" s="1529" t="s">
        <v>1300</v>
      </c>
      <c r="D137" s="1529" t="s">
        <v>705</v>
      </c>
      <c r="E137" s="1529" t="s">
        <v>5398</v>
      </c>
      <c r="F137" s="1518" t="s">
        <v>1078</v>
      </c>
      <c r="G137" s="1518">
        <v>100</v>
      </c>
      <c r="H137" s="1518" t="s">
        <v>2208</v>
      </c>
      <c r="I137" s="1518" t="s">
        <v>1895</v>
      </c>
      <c r="J137" s="1530">
        <v>-0.70199387493371368</v>
      </c>
      <c r="K137" s="1530" t="s">
        <v>5400</v>
      </c>
      <c r="L137" s="1529" t="s">
        <v>5401</v>
      </c>
      <c r="M137" s="1531">
        <v>44287</v>
      </c>
    </row>
    <row r="138" spans="1:13" s="1329" customFormat="1" ht="15">
      <c r="A138" s="1518">
        <v>129</v>
      </c>
      <c r="B138" s="1528" t="s">
        <v>1241</v>
      </c>
      <c r="C138" s="1529" t="s">
        <v>1300</v>
      </c>
      <c r="D138" s="1529" t="s">
        <v>705</v>
      </c>
      <c r="E138" s="1529" t="s">
        <v>5398</v>
      </c>
      <c r="F138" s="1518" t="s">
        <v>1078</v>
      </c>
      <c r="G138" s="1518">
        <v>104</v>
      </c>
      <c r="H138" s="1518" t="s">
        <v>2212</v>
      </c>
      <c r="I138" s="1518" t="s">
        <v>1895</v>
      </c>
      <c r="J138" s="1530">
        <v>0.70199387493371368</v>
      </c>
      <c r="K138" s="1530" t="s">
        <v>5400</v>
      </c>
      <c r="L138" s="1529" t="s">
        <v>5401</v>
      </c>
      <c r="M138" s="1531">
        <v>44287</v>
      </c>
    </row>
    <row r="139" spans="1:13" s="1329" customFormat="1" ht="15">
      <c r="A139" s="1518">
        <v>130</v>
      </c>
      <c r="B139" s="1528" t="s">
        <v>1241</v>
      </c>
      <c r="C139" s="1529" t="s">
        <v>1293</v>
      </c>
      <c r="D139" s="1529" t="s">
        <v>5407</v>
      </c>
      <c r="E139" s="1529" t="s">
        <v>5398</v>
      </c>
      <c r="F139" s="1518" t="s">
        <v>1078</v>
      </c>
      <c r="G139" s="1518">
        <v>77</v>
      </c>
      <c r="H139" s="1518" t="s">
        <v>2157</v>
      </c>
      <c r="I139" s="1518" t="s">
        <v>1830</v>
      </c>
      <c r="J139" s="1530" t="s">
        <v>5400</v>
      </c>
      <c r="K139" s="1530">
        <v>6.14</v>
      </c>
      <c r="L139" s="1529" t="s">
        <v>5426</v>
      </c>
      <c r="M139" s="1531">
        <v>44287</v>
      </c>
    </row>
    <row r="140" spans="1:13" s="1329" customFormat="1" ht="15">
      <c r="A140" s="1518">
        <v>131</v>
      </c>
      <c r="B140" s="1528" t="s">
        <v>1241</v>
      </c>
      <c r="C140" s="1529" t="s">
        <v>1293</v>
      </c>
      <c r="D140" s="1529" t="s">
        <v>5407</v>
      </c>
      <c r="E140" s="1529" t="s">
        <v>5398</v>
      </c>
      <c r="F140" s="1518" t="s">
        <v>1078</v>
      </c>
      <c r="G140" s="1518">
        <v>77</v>
      </c>
      <c r="H140" s="1518" t="s">
        <v>2157</v>
      </c>
      <c r="I140" s="1518" t="s">
        <v>1840</v>
      </c>
      <c r="J140" s="1530" t="s">
        <v>5400</v>
      </c>
      <c r="K140" s="1530">
        <v>5.3</v>
      </c>
      <c r="L140" s="1529" t="s">
        <v>5426</v>
      </c>
      <c r="M140" s="1531">
        <v>44287</v>
      </c>
    </row>
    <row r="141" spans="1:13" s="1329" customFormat="1" ht="15">
      <c r="A141" s="1518">
        <v>132</v>
      </c>
      <c r="B141" s="1528" t="s">
        <v>1241</v>
      </c>
      <c r="C141" s="1529" t="s">
        <v>1293</v>
      </c>
      <c r="D141" s="1529" t="s">
        <v>5407</v>
      </c>
      <c r="E141" s="1529" t="s">
        <v>5398</v>
      </c>
      <c r="F141" s="1518" t="s">
        <v>1078</v>
      </c>
      <c r="G141" s="1518">
        <v>77</v>
      </c>
      <c r="H141" s="1518" t="s">
        <v>2157</v>
      </c>
      <c r="I141" s="1518" t="s">
        <v>1847</v>
      </c>
      <c r="J141" s="1530" t="s">
        <v>5400</v>
      </c>
      <c r="K141" s="1530">
        <v>4.4800000000000004</v>
      </c>
      <c r="L141" s="1529" t="s">
        <v>5426</v>
      </c>
      <c r="M141" s="1531">
        <v>44287</v>
      </c>
    </row>
    <row r="142" spans="1:13" s="1329" customFormat="1" ht="15">
      <c r="A142" s="1518">
        <v>133</v>
      </c>
      <c r="B142" s="1528" t="s">
        <v>1241</v>
      </c>
      <c r="C142" s="1529" t="s">
        <v>1293</v>
      </c>
      <c r="D142" s="1529" t="s">
        <v>5407</v>
      </c>
      <c r="E142" s="1529" t="s">
        <v>5398</v>
      </c>
      <c r="F142" s="1518" t="s">
        <v>1078</v>
      </c>
      <c r="G142" s="1518">
        <v>77</v>
      </c>
      <c r="H142" s="1518" t="s">
        <v>2157</v>
      </c>
      <c r="I142" s="1518" t="s">
        <v>1853</v>
      </c>
      <c r="J142" s="1530" t="s">
        <v>5400</v>
      </c>
      <c r="K142" s="1530">
        <v>3.64</v>
      </c>
      <c r="L142" s="1529" t="s">
        <v>5426</v>
      </c>
      <c r="M142" s="1531">
        <v>44287</v>
      </c>
    </row>
    <row r="143" spans="1:13" s="1329" customFormat="1" ht="15">
      <c r="A143" s="1518">
        <v>134</v>
      </c>
      <c r="B143" s="1528" t="s">
        <v>1241</v>
      </c>
      <c r="C143" s="1529" t="s">
        <v>1293</v>
      </c>
      <c r="D143" s="1529" t="s">
        <v>5407</v>
      </c>
      <c r="E143" s="1529" t="s">
        <v>5398</v>
      </c>
      <c r="F143" s="1518" t="s">
        <v>1078</v>
      </c>
      <c r="G143" s="1518">
        <v>77</v>
      </c>
      <c r="H143" s="1518" t="s">
        <v>2157</v>
      </c>
      <c r="I143" s="1518" t="s">
        <v>129</v>
      </c>
      <c r="J143" s="1530" t="s">
        <v>5400</v>
      </c>
      <c r="K143" s="1530">
        <v>2.81</v>
      </c>
      <c r="L143" s="1529" t="s">
        <v>5426</v>
      </c>
      <c r="M143" s="1531">
        <v>44287</v>
      </c>
    </row>
    <row r="144" spans="1:13" s="1329" customFormat="1" ht="15">
      <c r="A144" s="1518">
        <v>135</v>
      </c>
      <c r="B144" s="1528" t="s">
        <v>1241</v>
      </c>
      <c r="C144" s="1529" t="s">
        <v>1292</v>
      </c>
      <c r="D144" s="1529" t="s">
        <v>5405</v>
      </c>
      <c r="E144" s="1529" t="s">
        <v>5398</v>
      </c>
      <c r="F144" s="1518" t="s">
        <v>1078</v>
      </c>
      <c r="G144" s="1518">
        <v>77</v>
      </c>
      <c r="H144" s="1518" t="s">
        <v>2157</v>
      </c>
      <c r="I144" s="1518" t="s">
        <v>1830</v>
      </c>
      <c r="J144" s="1530" t="s">
        <v>5400</v>
      </c>
      <c r="K144" s="1530">
        <v>196.1</v>
      </c>
      <c r="L144" s="1529" t="s">
        <v>5406</v>
      </c>
      <c r="M144" s="1531">
        <v>44287</v>
      </c>
    </row>
    <row r="145" spans="1:13" s="1329" customFormat="1" ht="15">
      <c r="A145" s="1518">
        <v>136</v>
      </c>
      <c r="B145" s="1528" t="s">
        <v>1241</v>
      </c>
      <c r="C145" s="1529" t="s">
        <v>1292</v>
      </c>
      <c r="D145" s="1529" t="s">
        <v>5405</v>
      </c>
      <c r="E145" s="1529" t="s">
        <v>5398</v>
      </c>
      <c r="F145" s="1518" t="s">
        <v>1078</v>
      </c>
      <c r="G145" s="1518">
        <v>77</v>
      </c>
      <c r="H145" s="1518" t="s">
        <v>2157</v>
      </c>
      <c r="I145" s="1518" t="s">
        <v>1840</v>
      </c>
      <c r="J145" s="1530" t="s">
        <v>5400</v>
      </c>
      <c r="K145" s="1530">
        <v>193.6</v>
      </c>
      <c r="L145" s="1529" t="s">
        <v>5406</v>
      </c>
      <c r="M145" s="1531">
        <v>44287</v>
      </c>
    </row>
    <row r="146" spans="1:13" s="1329" customFormat="1" ht="15">
      <c r="A146" s="1518">
        <v>137</v>
      </c>
      <c r="B146" s="1528" t="s">
        <v>1241</v>
      </c>
      <c r="C146" s="1529" t="s">
        <v>1292</v>
      </c>
      <c r="D146" s="1529" t="s">
        <v>5405</v>
      </c>
      <c r="E146" s="1529" t="s">
        <v>5398</v>
      </c>
      <c r="F146" s="1518" t="s">
        <v>1078</v>
      </c>
      <c r="G146" s="1518">
        <v>77</v>
      </c>
      <c r="H146" s="1518" t="s">
        <v>2157</v>
      </c>
      <c r="I146" s="1518" t="s">
        <v>1847</v>
      </c>
      <c r="J146" s="1530" t="s">
        <v>5400</v>
      </c>
      <c r="K146" s="1530">
        <v>191</v>
      </c>
      <c r="L146" s="1529" t="s">
        <v>5406</v>
      </c>
      <c r="M146" s="1531">
        <v>44287</v>
      </c>
    </row>
    <row r="147" spans="1:13" s="1329" customFormat="1" ht="15">
      <c r="A147" s="1518">
        <v>138</v>
      </c>
      <c r="B147" s="1528" t="s">
        <v>1241</v>
      </c>
      <c r="C147" s="1529" t="s">
        <v>1292</v>
      </c>
      <c r="D147" s="1529" t="s">
        <v>5405</v>
      </c>
      <c r="E147" s="1529" t="s">
        <v>5398</v>
      </c>
      <c r="F147" s="1518" t="s">
        <v>1078</v>
      </c>
      <c r="G147" s="1518">
        <v>77</v>
      </c>
      <c r="H147" s="1518" t="s">
        <v>2157</v>
      </c>
      <c r="I147" s="1518" t="s">
        <v>1853</v>
      </c>
      <c r="J147" s="1530" t="s">
        <v>5400</v>
      </c>
      <c r="K147" s="1530">
        <v>188.4</v>
      </c>
      <c r="L147" s="1529" t="s">
        <v>5406</v>
      </c>
      <c r="M147" s="1531">
        <v>44287</v>
      </c>
    </row>
    <row r="148" spans="1:13" s="1329" customFormat="1" ht="15">
      <c r="A148" s="1518">
        <v>139</v>
      </c>
      <c r="B148" s="1528" t="s">
        <v>1241</v>
      </c>
      <c r="C148" s="1529" t="s">
        <v>1292</v>
      </c>
      <c r="D148" s="1529" t="s">
        <v>5405</v>
      </c>
      <c r="E148" s="1529" t="s">
        <v>5398</v>
      </c>
      <c r="F148" s="1518" t="s">
        <v>1078</v>
      </c>
      <c r="G148" s="1518">
        <v>77</v>
      </c>
      <c r="H148" s="1518" t="s">
        <v>2157</v>
      </c>
      <c r="I148" s="1518" t="s">
        <v>129</v>
      </c>
      <c r="J148" s="1530" t="s">
        <v>5400</v>
      </c>
      <c r="K148" s="1530">
        <v>185.8</v>
      </c>
      <c r="L148" s="1529" t="s">
        <v>5406</v>
      </c>
      <c r="M148" s="1531">
        <v>44287</v>
      </c>
    </row>
    <row r="149" spans="1:13" s="1329" customFormat="1" ht="30">
      <c r="A149" s="1518">
        <v>140</v>
      </c>
      <c r="B149" s="1528" t="s">
        <v>1241</v>
      </c>
      <c r="C149" s="1529" t="s">
        <v>1438</v>
      </c>
      <c r="D149" s="1529" t="s">
        <v>2297</v>
      </c>
      <c r="E149" s="1529" t="s">
        <v>5398</v>
      </c>
      <c r="F149" s="1518" t="s">
        <v>1078</v>
      </c>
      <c r="G149" s="1518">
        <v>101</v>
      </c>
      <c r="H149" s="1532" t="s">
        <v>2209</v>
      </c>
      <c r="I149" s="1518" t="s">
        <v>1895</v>
      </c>
      <c r="J149" s="1530">
        <v>0.139214</v>
      </c>
      <c r="K149" s="1530" t="s">
        <v>5400</v>
      </c>
      <c r="L149" s="1529" t="s">
        <v>5442</v>
      </c>
      <c r="M149" s="1531">
        <v>44287</v>
      </c>
    </row>
    <row r="150" spans="1:13" s="1329" customFormat="1" ht="30">
      <c r="A150" s="1533">
        <v>141</v>
      </c>
      <c r="B150" s="1534" t="s">
        <v>1287</v>
      </c>
      <c r="C150" s="1535" t="s">
        <v>1364</v>
      </c>
      <c r="D150" s="1535" t="s">
        <v>3343</v>
      </c>
      <c r="E150" s="1535" t="s">
        <v>913</v>
      </c>
      <c r="F150" s="1533" t="s">
        <v>1078</v>
      </c>
      <c r="G150" s="1533">
        <v>20</v>
      </c>
      <c r="H150" s="1533" t="s">
        <v>2171</v>
      </c>
      <c r="I150" s="1533" t="s">
        <v>1895</v>
      </c>
      <c r="J150" s="1536" t="s">
        <v>1897</v>
      </c>
      <c r="K150" s="1536" t="s">
        <v>2439</v>
      </c>
      <c r="L150" s="1535" t="s">
        <v>5443</v>
      </c>
      <c r="M150" s="1537">
        <v>44225</v>
      </c>
    </row>
    <row r="151" spans="1:13" s="1329" customFormat="1" ht="30">
      <c r="A151" s="1533">
        <v>142</v>
      </c>
      <c r="B151" s="1534" t="s">
        <v>1287</v>
      </c>
      <c r="C151" s="1535" t="s">
        <v>1431</v>
      </c>
      <c r="D151" s="1535" t="s">
        <v>3379</v>
      </c>
      <c r="E151" s="1535" t="s">
        <v>913</v>
      </c>
      <c r="F151" s="1533" t="s">
        <v>1078</v>
      </c>
      <c r="G151" s="1533">
        <v>41</v>
      </c>
      <c r="H151" s="1533" t="s">
        <v>5409</v>
      </c>
      <c r="I151" s="1533" t="s">
        <v>1847</v>
      </c>
      <c r="J151" s="1536">
        <v>44.9</v>
      </c>
      <c r="K151" s="1536">
        <v>55.1</v>
      </c>
      <c r="L151" s="1535" t="s">
        <v>5443</v>
      </c>
      <c r="M151" s="1537">
        <v>44225</v>
      </c>
    </row>
    <row r="152" spans="1:13" s="1329" customFormat="1" ht="15">
      <c r="A152" s="1533">
        <v>143</v>
      </c>
      <c r="B152" s="1545" t="s">
        <v>1199</v>
      </c>
      <c r="C152" s="1546" t="s">
        <v>1533</v>
      </c>
      <c r="D152" s="1546" t="s">
        <v>3756</v>
      </c>
      <c r="E152" s="1546" t="s">
        <v>913</v>
      </c>
      <c r="F152" s="1547" t="s">
        <v>1078</v>
      </c>
      <c r="G152" s="1547">
        <v>62</v>
      </c>
      <c r="H152" s="1547" t="s">
        <v>1816</v>
      </c>
      <c r="I152" s="1547" t="s">
        <v>1830</v>
      </c>
      <c r="J152" s="1548" t="s">
        <v>5400</v>
      </c>
      <c r="K152" s="1548" t="s">
        <v>210</v>
      </c>
      <c r="L152" s="1546" t="s">
        <v>5444</v>
      </c>
      <c r="M152" s="1549">
        <v>44225</v>
      </c>
    </row>
    <row r="153" spans="1:13" s="1329" customFormat="1" ht="15">
      <c r="A153" s="1533">
        <v>144</v>
      </c>
      <c r="B153" s="1545" t="s">
        <v>1199</v>
      </c>
      <c r="C153" s="1546" t="s">
        <v>1533</v>
      </c>
      <c r="D153" s="1546" t="s">
        <v>3756</v>
      </c>
      <c r="E153" s="1546" t="s">
        <v>913</v>
      </c>
      <c r="F153" s="1547" t="s">
        <v>1078</v>
      </c>
      <c r="G153" s="1547">
        <v>62</v>
      </c>
      <c r="H153" s="1547" t="s">
        <v>1816</v>
      </c>
      <c r="I153" s="1547" t="s">
        <v>1840</v>
      </c>
      <c r="J153" s="1548" t="s">
        <v>5400</v>
      </c>
      <c r="K153" s="1548" t="s">
        <v>210</v>
      </c>
      <c r="L153" s="1546" t="s">
        <v>5444</v>
      </c>
      <c r="M153" s="1549">
        <v>44225</v>
      </c>
    </row>
    <row r="154" spans="1:13" s="1329" customFormat="1" ht="15">
      <c r="A154" s="1533">
        <v>145</v>
      </c>
      <c r="B154" s="1545" t="s">
        <v>1199</v>
      </c>
      <c r="C154" s="1546" t="s">
        <v>1533</v>
      </c>
      <c r="D154" s="1546" t="s">
        <v>3756</v>
      </c>
      <c r="E154" s="1546" t="s">
        <v>913</v>
      </c>
      <c r="F154" s="1547" t="s">
        <v>1078</v>
      </c>
      <c r="G154" s="1547">
        <v>62</v>
      </c>
      <c r="H154" s="1547" t="s">
        <v>1816</v>
      </c>
      <c r="I154" s="1547" t="s">
        <v>1847</v>
      </c>
      <c r="J154" s="1548" t="s">
        <v>5400</v>
      </c>
      <c r="K154" s="1548" t="s">
        <v>210</v>
      </c>
      <c r="L154" s="1546" t="s">
        <v>5444</v>
      </c>
      <c r="M154" s="1549">
        <v>44225</v>
      </c>
    </row>
    <row r="155" spans="1:13" s="1329" customFormat="1" ht="15">
      <c r="A155" s="1533">
        <v>146</v>
      </c>
      <c r="B155" s="1545" t="s">
        <v>1199</v>
      </c>
      <c r="C155" s="1546" t="s">
        <v>1533</v>
      </c>
      <c r="D155" s="1546" t="s">
        <v>3756</v>
      </c>
      <c r="E155" s="1546" t="s">
        <v>913</v>
      </c>
      <c r="F155" s="1547" t="s">
        <v>1078</v>
      </c>
      <c r="G155" s="1547">
        <v>62</v>
      </c>
      <c r="H155" s="1547" t="s">
        <v>1816</v>
      </c>
      <c r="I155" s="1547" t="s">
        <v>1853</v>
      </c>
      <c r="J155" s="1548" t="s">
        <v>5400</v>
      </c>
      <c r="K155" s="1548" t="s">
        <v>210</v>
      </c>
      <c r="L155" s="1546" t="s">
        <v>5444</v>
      </c>
      <c r="M155" s="1549">
        <v>44225</v>
      </c>
    </row>
    <row r="156" spans="1:13" s="1329" customFormat="1" ht="15">
      <c r="A156" s="1533">
        <v>147</v>
      </c>
      <c r="B156" s="1534" t="s">
        <v>1213</v>
      </c>
      <c r="C156" s="1535" t="s">
        <v>1281</v>
      </c>
      <c r="D156" s="1535" t="s">
        <v>705</v>
      </c>
      <c r="E156" s="1535" t="s">
        <v>913</v>
      </c>
      <c r="F156" s="1533" t="s">
        <v>1078</v>
      </c>
      <c r="G156" s="1533">
        <v>41</v>
      </c>
      <c r="H156" s="1533" t="s">
        <v>5409</v>
      </c>
      <c r="I156" s="1533" t="s">
        <v>1830</v>
      </c>
      <c r="J156" s="1536">
        <v>-0.8</v>
      </c>
      <c r="K156" s="1536">
        <v>0.8</v>
      </c>
      <c r="L156" s="1535" t="s">
        <v>5445</v>
      </c>
      <c r="M156" s="1537">
        <v>44225</v>
      </c>
    </row>
    <row r="157" spans="1:13" s="1329" customFormat="1" ht="15">
      <c r="A157" s="1533">
        <v>148</v>
      </c>
      <c r="B157" s="1534" t="s">
        <v>1213</v>
      </c>
      <c r="C157" s="1535" t="s">
        <v>1281</v>
      </c>
      <c r="D157" s="1535" t="s">
        <v>705</v>
      </c>
      <c r="E157" s="1535" t="s">
        <v>913</v>
      </c>
      <c r="F157" s="1533" t="s">
        <v>1078</v>
      </c>
      <c r="G157" s="1533">
        <v>41</v>
      </c>
      <c r="H157" s="1533" t="s">
        <v>5409</v>
      </c>
      <c r="I157" s="1533" t="s">
        <v>1840</v>
      </c>
      <c r="J157" s="1536">
        <v>-1.9</v>
      </c>
      <c r="K157" s="1536">
        <v>1.9</v>
      </c>
      <c r="L157" s="1535" t="s">
        <v>5445</v>
      </c>
      <c r="M157" s="1537">
        <v>44225</v>
      </c>
    </row>
    <row r="158" spans="1:13" s="1329" customFormat="1" ht="15">
      <c r="A158" s="1533">
        <v>149</v>
      </c>
      <c r="B158" s="1534" t="s">
        <v>1213</v>
      </c>
      <c r="C158" s="1535" t="s">
        <v>1281</v>
      </c>
      <c r="D158" s="1535" t="s">
        <v>705</v>
      </c>
      <c r="E158" s="1535" t="s">
        <v>913</v>
      </c>
      <c r="F158" s="1533" t="s">
        <v>1078</v>
      </c>
      <c r="G158" s="1533">
        <v>41</v>
      </c>
      <c r="H158" s="1533" t="s">
        <v>5409</v>
      </c>
      <c r="I158" s="1533" t="s">
        <v>1847</v>
      </c>
      <c r="J158" s="1536">
        <v>-3.7</v>
      </c>
      <c r="K158" s="1536">
        <v>3.7</v>
      </c>
      <c r="L158" s="1535" t="s">
        <v>5445</v>
      </c>
      <c r="M158" s="1537">
        <v>44225</v>
      </c>
    </row>
    <row r="159" spans="1:13" s="1329" customFormat="1" ht="15">
      <c r="A159" s="1533">
        <v>150</v>
      </c>
      <c r="B159" s="1534" t="s">
        <v>1213</v>
      </c>
      <c r="C159" s="1535" t="s">
        <v>1281</v>
      </c>
      <c r="D159" s="1535" t="s">
        <v>705</v>
      </c>
      <c r="E159" s="1535" t="s">
        <v>913</v>
      </c>
      <c r="F159" s="1533" t="s">
        <v>1078</v>
      </c>
      <c r="G159" s="1533">
        <v>41</v>
      </c>
      <c r="H159" s="1533" t="s">
        <v>5409</v>
      </c>
      <c r="I159" s="1533" t="s">
        <v>1853</v>
      </c>
      <c r="J159" s="1536">
        <v>-6.6</v>
      </c>
      <c r="K159" s="1536">
        <v>6.6</v>
      </c>
      <c r="L159" s="1535" t="s">
        <v>5445</v>
      </c>
      <c r="M159" s="1537">
        <v>44225</v>
      </c>
    </row>
    <row r="160" spans="1:13" s="1329" customFormat="1" ht="15">
      <c r="A160" s="1533">
        <v>151</v>
      </c>
      <c r="B160" s="1534" t="s">
        <v>1213</v>
      </c>
      <c r="C160" s="1535" t="s">
        <v>1281</v>
      </c>
      <c r="D160" s="1535" t="s">
        <v>705</v>
      </c>
      <c r="E160" s="1535" t="s">
        <v>913</v>
      </c>
      <c r="F160" s="1533" t="s">
        <v>1078</v>
      </c>
      <c r="G160" s="1533">
        <v>41</v>
      </c>
      <c r="H160" s="1533" t="s">
        <v>5409</v>
      </c>
      <c r="I160" s="1533" t="s">
        <v>129</v>
      </c>
      <c r="J160" s="1536">
        <v>-10.8</v>
      </c>
      <c r="K160" s="1536">
        <v>10.8</v>
      </c>
      <c r="L160" s="1535" t="s">
        <v>5445</v>
      </c>
      <c r="M160" s="1537">
        <v>44225</v>
      </c>
    </row>
    <row r="161" spans="1:13" s="1329" customFormat="1" ht="15">
      <c r="A161" s="1533">
        <v>152</v>
      </c>
      <c r="B161" s="1534" t="s">
        <v>1213</v>
      </c>
      <c r="C161" s="1535" t="s">
        <v>1281</v>
      </c>
      <c r="D161" s="1535" t="s">
        <v>705</v>
      </c>
      <c r="E161" s="1535" t="s">
        <v>913</v>
      </c>
      <c r="F161" s="1533" t="s">
        <v>1078</v>
      </c>
      <c r="G161" s="1533">
        <v>72</v>
      </c>
      <c r="H161" s="1533" t="s">
        <v>2156</v>
      </c>
      <c r="I161" s="1533" t="s">
        <v>1830</v>
      </c>
      <c r="J161" s="1536">
        <v>5</v>
      </c>
      <c r="K161" s="1536">
        <v>-5</v>
      </c>
      <c r="L161" s="1535" t="s">
        <v>5445</v>
      </c>
      <c r="M161" s="1537">
        <v>44225</v>
      </c>
    </row>
    <row r="162" spans="1:13" s="1329" customFormat="1" ht="15">
      <c r="A162" s="1533">
        <v>153</v>
      </c>
      <c r="B162" s="1534" t="s">
        <v>1213</v>
      </c>
      <c r="C162" s="1535" t="s">
        <v>1281</v>
      </c>
      <c r="D162" s="1535" t="s">
        <v>705</v>
      </c>
      <c r="E162" s="1535" t="s">
        <v>913</v>
      </c>
      <c r="F162" s="1533" t="s">
        <v>1078</v>
      </c>
      <c r="G162" s="1533">
        <v>72</v>
      </c>
      <c r="H162" s="1533" t="s">
        <v>2156</v>
      </c>
      <c r="I162" s="1533" t="s">
        <v>1840</v>
      </c>
      <c r="J162" s="1536">
        <v>5</v>
      </c>
      <c r="K162" s="1536">
        <v>-5</v>
      </c>
      <c r="L162" s="1535" t="s">
        <v>5445</v>
      </c>
      <c r="M162" s="1537">
        <v>44225</v>
      </c>
    </row>
    <row r="163" spans="1:13" s="1329" customFormat="1" ht="15">
      <c r="A163" s="1533">
        <v>154</v>
      </c>
      <c r="B163" s="1534" t="s">
        <v>1213</v>
      </c>
      <c r="C163" s="1535" t="s">
        <v>1281</v>
      </c>
      <c r="D163" s="1535" t="s">
        <v>705</v>
      </c>
      <c r="E163" s="1535" t="s">
        <v>913</v>
      </c>
      <c r="F163" s="1533" t="s">
        <v>1078</v>
      </c>
      <c r="G163" s="1533">
        <v>72</v>
      </c>
      <c r="H163" s="1533" t="s">
        <v>2156</v>
      </c>
      <c r="I163" s="1533" t="s">
        <v>1847</v>
      </c>
      <c r="J163" s="1536">
        <v>5</v>
      </c>
      <c r="K163" s="1536">
        <v>-5</v>
      </c>
      <c r="L163" s="1535" t="s">
        <v>5445</v>
      </c>
      <c r="M163" s="1537">
        <v>44225</v>
      </c>
    </row>
    <row r="164" spans="1:13" s="1329" customFormat="1" ht="15">
      <c r="A164" s="1533">
        <v>155</v>
      </c>
      <c r="B164" s="1534" t="s">
        <v>1213</v>
      </c>
      <c r="C164" s="1535" t="s">
        <v>1281</v>
      </c>
      <c r="D164" s="1535" t="s">
        <v>705</v>
      </c>
      <c r="E164" s="1535" t="s">
        <v>913</v>
      </c>
      <c r="F164" s="1533" t="s">
        <v>1078</v>
      </c>
      <c r="G164" s="1533">
        <v>72</v>
      </c>
      <c r="H164" s="1533" t="s">
        <v>2156</v>
      </c>
      <c r="I164" s="1533" t="s">
        <v>1853</v>
      </c>
      <c r="J164" s="1536">
        <v>5</v>
      </c>
      <c r="K164" s="1536">
        <v>-5</v>
      </c>
      <c r="L164" s="1535" t="s">
        <v>5445</v>
      </c>
      <c r="M164" s="1537">
        <v>44225</v>
      </c>
    </row>
    <row r="165" spans="1:13" s="1329" customFormat="1" ht="15">
      <c r="A165" s="1533">
        <v>156</v>
      </c>
      <c r="B165" s="1534" t="s">
        <v>1213</v>
      </c>
      <c r="C165" s="1535" t="s">
        <v>1281</v>
      </c>
      <c r="D165" s="1535" t="s">
        <v>705</v>
      </c>
      <c r="E165" s="1535" t="s">
        <v>913</v>
      </c>
      <c r="F165" s="1533" t="s">
        <v>1078</v>
      </c>
      <c r="G165" s="1533">
        <v>72</v>
      </c>
      <c r="H165" s="1533" t="s">
        <v>2156</v>
      </c>
      <c r="I165" s="1533" t="s">
        <v>129</v>
      </c>
      <c r="J165" s="1536">
        <v>5</v>
      </c>
      <c r="K165" s="1536">
        <v>-5</v>
      </c>
      <c r="L165" s="1535" t="s">
        <v>5445</v>
      </c>
      <c r="M165" s="1537">
        <v>44225</v>
      </c>
    </row>
    <row r="166" spans="1:13" s="1329" customFormat="1" ht="15">
      <c r="A166" s="1533">
        <v>157</v>
      </c>
      <c r="B166" s="1534" t="s">
        <v>1213</v>
      </c>
      <c r="C166" s="1535" t="s">
        <v>1281</v>
      </c>
      <c r="D166" s="1535" t="s">
        <v>705</v>
      </c>
      <c r="E166" s="1535" t="s">
        <v>913</v>
      </c>
      <c r="F166" s="1533" t="s">
        <v>1078</v>
      </c>
      <c r="G166" s="1533">
        <v>87</v>
      </c>
      <c r="H166" s="1533" t="s">
        <v>2159</v>
      </c>
      <c r="I166" s="1533" t="s">
        <v>1830</v>
      </c>
      <c r="J166" s="1536">
        <v>-2.5</v>
      </c>
      <c r="K166" s="1536">
        <v>2.5</v>
      </c>
      <c r="L166" s="1535" t="s">
        <v>5445</v>
      </c>
      <c r="M166" s="1537">
        <v>44225</v>
      </c>
    </row>
    <row r="167" spans="1:13" s="1329" customFormat="1" ht="15">
      <c r="A167" s="1533">
        <v>158</v>
      </c>
      <c r="B167" s="1534" t="s">
        <v>1213</v>
      </c>
      <c r="C167" s="1535" t="s">
        <v>1281</v>
      </c>
      <c r="D167" s="1535" t="s">
        <v>705</v>
      </c>
      <c r="E167" s="1535" t="s">
        <v>913</v>
      </c>
      <c r="F167" s="1533" t="s">
        <v>1078</v>
      </c>
      <c r="G167" s="1533">
        <v>87</v>
      </c>
      <c r="H167" s="1533" t="s">
        <v>2159</v>
      </c>
      <c r="I167" s="1533" t="s">
        <v>1840</v>
      </c>
      <c r="J167" s="1536">
        <v>-5.0999999999999996</v>
      </c>
      <c r="K167" s="1536">
        <v>5.0999999999999996</v>
      </c>
      <c r="L167" s="1535" t="s">
        <v>5445</v>
      </c>
      <c r="M167" s="1537">
        <v>44225</v>
      </c>
    </row>
    <row r="168" spans="1:13" s="1329" customFormat="1" ht="15">
      <c r="A168" s="1533">
        <v>159</v>
      </c>
      <c r="B168" s="1534" t="s">
        <v>1213</v>
      </c>
      <c r="C168" s="1535" t="s">
        <v>1281</v>
      </c>
      <c r="D168" s="1535" t="s">
        <v>705</v>
      </c>
      <c r="E168" s="1535" t="s">
        <v>913</v>
      </c>
      <c r="F168" s="1533" t="s">
        <v>1078</v>
      </c>
      <c r="G168" s="1533">
        <v>87</v>
      </c>
      <c r="H168" s="1533" t="s">
        <v>2159</v>
      </c>
      <c r="I168" s="1533" t="s">
        <v>1847</v>
      </c>
      <c r="J168" s="1536">
        <v>-8.9</v>
      </c>
      <c r="K168" s="1536">
        <v>8.9</v>
      </c>
      <c r="L168" s="1535" t="s">
        <v>5445</v>
      </c>
      <c r="M168" s="1537">
        <v>44225</v>
      </c>
    </row>
    <row r="169" spans="1:13" s="1329" customFormat="1" ht="15">
      <c r="A169" s="1533">
        <v>160</v>
      </c>
      <c r="B169" s="1534" t="s">
        <v>1213</v>
      </c>
      <c r="C169" s="1535" t="s">
        <v>1281</v>
      </c>
      <c r="D169" s="1535" t="s">
        <v>705</v>
      </c>
      <c r="E169" s="1535" t="s">
        <v>913</v>
      </c>
      <c r="F169" s="1533" t="s">
        <v>1078</v>
      </c>
      <c r="G169" s="1533">
        <v>87</v>
      </c>
      <c r="H169" s="1533" t="s">
        <v>2159</v>
      </c>
      <c r="I169" s="1533" t="s">
        <v>1853</v>
      </c>
      <c r="J169" s="1536">
        <v>-13.200000000000001</v>
      </c>
      <c r="K169" s="1536">
        <v>13.2</v>
      </c>
      <c r="L169" s="1535" t="s">
        <v>5445</v>
      </c>
      <c r="M169" s="1537">
        <v>44225</v>
      </c>
    </row>
    <row r="170" spans="1:13" s="1329" customFormat="1" ht="15">
      <c r="A170" s="1533">
        <v>161</v>
      </c>
      <c r="B170" s="1534" t="s">
        <v>1213</v>
      </c>
      <c r="C170" s="1535" t="s">
        <v>1281</v>
      </c>
      <c r="D170" s="1535" t="s">
        <v>705</v>
      </c>
      <c r="E170" s="1535" t="s">
        <v>913</v>
      </c>
      <c r="F170" s="1533" t="s">
        <v>1078</v>
      </c>
      <c r="G170" s="1533">
        <v>87</v>
      </c>
      <c r="H170" s="1533" t="s">
        <v>2159</v>
      </c>
      <c r="I170" s="1533" t="s">
        <v>129</v>
      </c>
      <c r="J170" s="1536">
        <v>-17.200000000000003</v>
      </c>
      <c r="K170" s="1536">
        <v>17.2</v>
      </c>
      <c r="L170" s="1535" t="s">
        <v>5445</v>
      </c>
      <c r="M170" s="1537">
        <v>44225</v>
      </c>
    </row>
    <row r="171" spans="1:13" s="1329" customFormat="1" ht="45">
      <c r="A171" s="1533">
        <v>162</v>
      </c>
      <c r="B171" s="1534" t="s">
        <v>5446</v>
      </c>
      <c r="C171" s="1535" t="s">
        <v>1895</v>
      </c>
      <c r="D171" s="1535" t="s">
        <v>5447</v>
      </c>
      <c r="E171" s="1535" t="s">
        <v>5448</v>
      </c>
      <c r="F171" s="1533" t="s">
        <v>5449</v>
      </c>
      <c r="G171" s="1533">
        <v>22</v>
      </c>
      <c r="H171" s="1550" t="s">
        <v>5450</v>
      </c>
      <c r="I171" s="1533" t="s">
        <v>259</v>
      </c>
      <c r="J171" s="1536" t="s">
        <v>5400</v>
      </c>
      <c r="K171" s="1551">
        <v>0</v>
      </c>
      <c r="L171" s="1535" t="s">
        <v>5451</v>
      </c>
      <c r="M171" s="1537">
        <v>44327</v>
      </c>
    </row>
    <row r="172" spans="1:13" s="1329" customFormat="1" ht="15">
      <c r="A172" s="1533">
        <v>163</v>
      </c>
      <c r="B172" s="1534" t="s">
        <v>1227</v>
      </c>
      <c r="C172" s="1535" t="s">
        <v>1585</v>
      </c>
      <c r="D172" s="1535" t="s">
        <v>4269</v>
      </c>
      <c r="E172" s="1535" t="s">
        <v>913</v>
      </c>
      <c r="F172" s="1533" t="s">
        <v>1078</v>
      </c>
      <c r="G172" s="1533">
        <v>97</v>
      </c>
      <c r="H172" s="1533" t="s">
        <v>5452</v>
      </c>
      <c r="I172" s="1533" t="s">
        <v>1895</v>
      </c>
      <c r="J172" s="1533">
        <v>-0.2888</v>
      </c>
      <c r="K172" s="1552">
        <v>-4.2500000000000003E-2</v>
      </c>
      <c r="L172" s="1535" t="s">
        <v>5453</v>
      </c>
      <c r="M172" s="1537">
        <v>44328</v>
      </c>
    </row>
    <row r="173" spans="1:13" s="1329" customFormat="1" ht="15">
      <c r="A173" s="1533">
        <v>164</v>
      </c>
      <c r="B173" s="1534" t="s">
        <v>1116</v>
      </c>
      <c r="C173" s="1535" t="s">
        <v>1571</v>
      </c>
      <c r="D173" s="1535" t="s">
        <v>4120</v>
      </c>
      <c r="E173" s="1535" t="s">
        <v>913</v>
      </c>
      <c r="F173" s="1533" t="s">
        <v>1078</v>
      </c>
      <c r="G173" s="1533">
        <v>97</v>
      </c>
      <c r="H173" s="1533" t="s">
        <v>5452</v>
      </c>
      <c r="I173" s="1533" t="s">
        <v>1895</v>
      </c>
      <c r="J173" s="1553">
        <v>-8.0000000000000004E-4</v>
      </c>
      <c r="K173" s="1553">
        <v>-7.6000000000000004E-4</v>
      </c>
      <c r="L173" s="1535" t="s">
        <v>5454</v>
      </c>
      <c r="M173" s="1537">
        <v>44328</v>
      </c>
    </row>
    <row r="174" spans="1:13" s="1329" customFormat="1" ht="45">
      <c r="A174" s="1533">
        <v>165</v>
      </c>
      <c r="B174" s="1554" t="s">
        <v>1278</v>
      </c>
      <c r="C174" s="1535" t="s">
        <v>1186</v>
      </c>
      <c r="D174" s="1535" t="s">
        <v>5455</v>
      </c>
      <c r="E174" s="1535" t="s">
        <v>5448</v>
      </c>
      <c r="F174" s="1533" t="s">
        <v>1078</v>
      </c>
      <c r="G174" s="1533">
        <v>41</v>
      </c>
      <c r="H174" s="1533" t="s">
        <v>5409</v>
      </c>
      <c r="I174" s="1533" t="s">
        <v>1936</v>
      </c>
      <c r="J174" s="1550" t="s">
        <v>5456</v>
      </c>
      <c r="K174" s="1550" t="s">
        <v>5457</v>
      </c>
      <c r="L174" s="1535" t="s">
        <v>5458</v>
      </c>
      <c r="M174" s="1537">
        <v>44328</v>
      </c>
    </row>
    <row r="175" spans="1:13" s="1329" customFormat="1" ht="45">
      <c r="A175" s="1533">
        <v>166</v>
      </c>
      <c r="B175" s="1534" t="s">
        <v>1278</v>
      </c>
      <c r="C175" s="1535" t="s">
        <v>1202</v>
      </c>
      <c r="D175" s="1535" t="s">
        <v>705</v>
      </c>
      <c r="E175" s="1535" t="s">
        <v>5448</v>
      </c>
      <c r="F175" s="1533" t="s">
        <v>1078</v>
      </c>
      <c r="G175" s="1533">
        <v>41</v>
      </c>
      <c r="H175" s="1533" t="s">
        <v>5409</v>
      </c>
      <c r="I175" s="1533" t="s">
        <v>1936</v>
      </c>
      <c r="J175" s="1550" t="s">
        <v>5457</v>
      </c>
      <c r="K175" s="1550" t="s">
        <v>5459</v>
      </c>
      <c r="L175" s="1535" t="s">
        <v>5458</v>
      </c>
      <c r="M175" s="1537">
        <v>44328</v>
      </c>
    </row>
    <row r="176" spans="1:13" s="1329" customFormat="1" ht="45">
      <c r="A176" s="1533">
        <v>167</v>
      </c>
      <c r="B176" s="1554" t="s">
        <v>1278</v>
      </c>
      <c r="C176" s="1535" t="s">
        <v>1190</v>
      </c>
      <c r="D176" s="1535" t="s">
        <v>5405</v>
      </c>
      <c r="E176" s="1535" t="s">
        <v>5448</v>
      </c>
      <c r="F176" s="1533" t="s">
        <v>1078</v>
      </c>
      <c r="G176" s="1533">
        <v>41</v>
      </c>
      <c r="H176" s="1533" t="s">
        <v>5409</v>
      </c>
      <c r="I176" s="1533" t="s">
        <v>1936</v>
      </c>
      <c r="J176" s="1550" t="s">
        <v>5457</v>
      </c>
      <c r="K176" s="1550" t="s">
        <v>5459</v>
      </c>
      <c r="L176" s="1535" t="s">
        <v>5460</v>
      </c>
      <c r="M176" s="1537">
        <v>44328</v>
      </c>
    </row>
    <row r="177" spans="1:13" s="1329" customFormat="1" ht="45">
      <c r="A177" s="1533">
        <v>168</v>
      </c>
      <c r="B177" s="1534" t="s">
        <v>1278</v>
      </c>
      <c r="C177" s="1535" t="s">
        <v>1732</v>
      </c>
      <c r="D177" s="1535" t="s">
        <v>2745</v>
      </c>
      <c r="E177" s="1535" t="s">
        <v>5448</v>
      </c>
      <c r="F177" s="1533" t="s">
        <v>1078</v>
      </c>
      <c r="G177" s="1533">
        <v>41</v>
      </c>
      <c r="H177" s="1533" t="s">
        <v>5409</v>
      </c>
      <c r="I177" s="1533" t="s">
        <v>1936</v>
      </c>
      <c r="J177" s="1550" t="s">
        <v>5457</v>
      </c>
      <c r="K177" s="1550" t="s">
        <v>5456</v>
      </c>
      <c r="L177" s="1535" t="s">
        <v>5458</v>
      </c>
      <c r="M177" s="1537">
        <v>44328</v>
      </c>
    </row>
    <row r="178" spans="1:13" s="1329" customFormat="1" ht="45">
      <c r="A178" s="1533">
        <v>169</v>
      </c>
      <c r="B178" s="1554" t="s">
        <v>1278</v>
      </c>
      <c r="C178" s="1535" t="s">
        <v>1362</v>
      </c>
      <c r="D178" s="1535" t="s">
        <v>5461</v>
      </c>
      <c r="E178" s="1535" t="s">
        <v>5448</v>
      </c>
      <c r="F178" s="1533" t="s">
        <v>1078</v>
      </c>
      <c r="G178" s="1533">
        <v>41</v>
      </c>
      <c r="H178" s="1533" t="s">
        <v>5409</v>
      </c>
      <c r="I178" s="1533" t="s">
        <v>1936</v>
      </c>
      <c r="J178" s="1550" t="s">
        <v>5459</v>
      </c>
      <c r="K178" s="1550" t="s">
        <v>5457</v>
      </c>
      <c r="L178" s="1535" t="s">
        <v>5458</v>
      </c>
      <c r="M178" s="1537">
        <v>44328</v>
      </c>
    </row>
    <row r="179" spans="1:13" s="1329" customFormat="1" ht="45">
      <c r="A179" s="1533">
        <v>170</v>
      </c>
      <c r="B179" s="1534" t="s">
        <v>1278</v>
      </c>
      <c r="C179" s="1535" t="s">
        <v>1413</v>
      </c>
      <c r="D179" s="1535" t="s">
        <v>3094</v>
      </c>
      <c r="E179" s="1535" t="s">
        <v>5448</v>
      </c>
      <c r="F179" s="1533" t="s">
        <v>1078</v>
      </c>
      <c r="G179" s="1533">
        <v>41</v>
      </c>
      <c r="H179" s="1533" t="s">
        <v>5409</v>
      </c>
      <c r="I179" s="1533" t="s">
        <v>1936</v>
      </c>
      <c r="J179" s="1550" t="s">
        <v>5456</v>
      </c>
      <c r="K179" s="1550" t="s">
        <v>5459</v>
      </c>
      <c r="L179" s="1535" t="s">
        <v>5458</v>
      </c>
      <c r="M179" s="1537">
        <v>44328</v>
      </c>
    </row>
    <row r="180" spans="1:13" s="1329" customFormat="1" ht="45">
      <c r="A180" s="1533">
        <v>171</v>
      </c>
      <c r="B180" s="1554" t="s">
        <v>1278</v>
      </c>
      <c r="C180" s="1535" t="s">
        <v>1749</v>
      </c>
      <c r="D180" s="1535" t="s">
        <v>3116</v>
      </c>
      <c r="E180" s="1535" t="s">
        <v>5448</v>
      </c>
      <c r="F180" s="1533" t="s">
        <v>1078</v>
      </c>
      <c r="G180" s="1533">
        <v>41</v>
      </c>
      <c r="H180" s="1533" t="s">
        <v>5409</v>
      </c>
      <c r="I180" s="1550" t="s">
        <v>5462</v>
      </c>
      <c r="J180" s="1550" t="s">
        <v>5456</v>
      </c>
      <c r="K180" s="1550" t="s">
        <v>5459</v>
      </c>
      <c r="L180" s="1535" t="s">
        <v>5458</v>
      </c>
      <c r="M180" s="1537">
        <v>44328</v>
      </c>
    </row>
    <row r="181" spans="1:13" s="1329" customFormat="1" ht="45">
      <c r="A181" s="1533">
        <v>172</v>
      </c>
      <c r="B181" s="1534" t="s">
        <v>5446</v>
      </c>
      <c r="C181" s="1534" t="s">
        <v>1895</v>
      </c>
      <c r="D181" s="1535" t="s">
        <v>5463</v>
      </c>
      <c r="E181" s="1535" t="s">
        <v>913</v>
      </c>
      <c r="F181" s="1533" t="s">
        <v>1078</v>
      </c>
      <c r="G181" s="1550" t="s">
        <v>5464</v>
      </c>
      <c r="H181" s="1533" t="s">
        <v>5465</v>
      </c>
      <c r="I181" s="1533" t="s">
        <v>1895</v>
      </c>
      <c r="J181" s="1550" t="s">
        <v>5466</v>
      </c>
      <c r="K181" s="1550" t="s">
        <v>5467</v>
      </c>
      <c r="L181" s="1555" t="s">
        <v>5468</v>
      </c>
      <c r="M181" s="1537">
        <v>44329</v>
      </c>
    </row>
    <row r="182" spans="1:13" s="1329" customFormat="1" ht="45">
      <c r="A182" s="1533">
        <v>173</v>
      </c>
      <c r="B182" s="1534" t="s">
        <v>1116</v>
      </c>
      <c r="C182" s="1535" t="s">
        <v>1271</v>
      </c>
      <c r="D182" s="1535" t="s">
        <v>5469</v>
      </c>
      <c r="E182" s="1535" t="s">
        <v>5448</v>
      </c>
      <c r="F182" s="1533" t="s">
        <v>1078</v>
      </c>
      <c r="G182" s="1533">
        <v>87</v>
      </c>
      <c r="H182" s="1533" t="s">
        <v>2159</v>
      </c>
      <c r="I182" s="1533" t="s">
        <v>1830</v>
      </c>
      <c r="J182" s="1556">
        <v>1.1805555555555564E-3</v>
      </c>
      <c r="K182" s="1556">
        <v>3.4606481481481485E-3</v>
      </c>
      <c r="L182" s="1535" t="s">
        <v>5470</v>
      </c>
      <c r="M182" s="1537">
        <v>44334</v>
      </c>
    </row>
    <row r="183" spans="1:13" s="1329" customFormat="1" ht="45">
      <c r="A183" s="1533">
        <v>174</v>
      </c>
      <c r="B183" s="1534" t="s">
        <v>1116</v>
      </c>
      <c r="C183" s="1535" t="s">
        <v>1271</v>
      </c>
      <c r="D183" s="1535" t="s">
        <v>5469</v>
      </c>
      <c r="E183" s="1535" t="s">
        <v>5448</v>
      </c>
      <c r="F183" s="1533" t="s">
        <v>1078</v>
      </c>
      <c r="G183" s="1533">
        <v>87</v>
      </c>
      <c r="H183" s="1533" t="s">
        <v>2159</v>
      </c>
      <c r="I183" s="1533" t="s">
        <v>1840</v>
      </c>
      <c r="J183" s="1556">
        <v>1.2037037037037038E-3</v>
      </c>
      <c r="K183" s="1556">
        <v>3.0092592592592588E-3</v>
      </c>
      <c r="L183" s="1535" t="s">
        <v>5470</v>
      </c>
      <c r="M183" s="1537">
        <v>44334</v>
      </c>
    </row>
    <row r="184" spans="1:13" s="1329" customFormat="1" ht="45">
      <c r="A184" s="1533">
        <v>175</v>
      </c>
      <c r="B184" s="1534" t="s">
        <v>1116</v>
      </c>
      <c r="C184" s="1535" t="s">
        <v>1271</v>
      </c>
      <c r="D184" s="1535" t="s">
        <v>5469</v>
      </c>
      <c r="E184" s="1535" t="s">
        <v>5448</v>
      </c>
      <c r="F184" s="1533" t="s">
        <v>1078</v>
      </c>
      <c r="G184" s="1533">
        <v>87</v>
      </c>
      <c r="H184" s="1533" t="s">
        <v>2159</v>
      </c>
      <c r="I184" s="1533" t="s">
        <v>1847</v>
      </c>
      <c r="J184" s="1556">
        <v>1.1458333333333342E-3</v>
      </c>
      <c r="K184" s="1556">
        <v>2.615740740740741E-3</v>
      </c>
      <c r="L184" s="1535" t="s">
        <v>5470</v>
      </c>
      <c r="M184" s="1537">
        <v>44334</v>
      </c>
    </row>
    <row r="185" spans="1:13" s="1329" customFormat="1" ht="45">
      <c r="A185" s="1533">
        <v>176</v>
      </c>
      <c r="B185" s="1534" t="s">
        <v>1116</v>
      </c>
      <c r="C185" s="1535" t="s">
        <v>1271</v>
      </c>
      <c r="D185" s="1535" t="s">
        <v>5469</v>
      </c>
      <c r="E185" s="1535" t="s">
        <v>5448</v>
      </c>
      <c r="F185" s="1533" t="s">
        <v>1078</v>
      </c>
      <c r="G185" s="1533">
        <v>87</v>
      </c>
      <c r="H185" s="1533" t="s">
        <v>2159</v>
      </c>
      <c r="I185" s="1533" t="s">
        <v>1853</v>
      </c>
      <c r="J185" s="1556">
        <v>1.3773148148148147E-3</v>
      </c>
      <c r="K185" s="1556">
        <v>2.1990740740740742E-3</v>
      </c>
      <c r="L185" s="1535" t="s">
        <v>5470</v>
      </c>
      <c r="M185" s="1537">
        <v>44334</v>
      </c>
    </row>
    <row r="186" spans="1:13" s="1329" customFormat="1" ht="45">
      <c r="A186" s="1533">
        <v>177</v>
      </c>
      <c r="B186" s="1534" t="s">
        <v>1116</v>
      </c>
      <c r="C186" s="1535" t="s">
        <v>1271</v>
      </c>
      <c r="D186" s="1535" t="s">
        <v>5469</v>
      </c>
      <c r="E186" s="1535" t="s">
        <v>5448</v>
      </c>
      <c r="F186" s="1533" t="s">
        <v>1078</v>
      </c>
      <c r="G186" s="1533">
        <v>87</v>
      </c>
      <c r="H186" s="1533" t="s">
        <v>2159</v>
      </c>
      <c r="I186" s="1533" t="s">
        <v>129</v>
      </c>
      <c r="J186" s="1556">
        <v>1.3888888888888889E-3</v>
      </c>
      <c r="K186" s="1556">
        <v>1.8865740740740742E-3</v>
      </c>
      <c r="L186" s="1535" t="s">
        <v>5470</v>
      </c>
      <c r="M186" s="1537">
        <v>44334</v>
      </c>
    </row>
    <row r="187" spans="1:13" s="1329" customFormat="1" ht="45">
      <c r="A187" s="1533">
        <v>178</v>
      </c>
      <c r="B187" s="1534" t="s">
        <v>1116</v>
      </c>
      <c r="C187" s="1535" t="s">
        <v>5471</v>
      </c>
      <c r="D187" s="1535" t="s">
        <v>5472</v>
      </c>
      <c r="E187" s="1535" t="s">
        <v>5448</v>
      </c>
      <c r="F187" s="1533" t="s">
        <v>1078</v>
      </c>
      <c r="G187" s="1533">
        <v>87</v>
      </c>
      <c r="H187" s="1533" t="s">
        <v>2159</v>
      </c>
      <c r="I187" s="1533" t="s">
        <v>1830</v>
      </c>
      <c r="J187" s="1536" t="s">
        <v>5400</v>
      </c>
      <c r="K187" s="1551">
        <v>5</v>
      </c>
      <c r="L187" s="1535" t="s">
        <v>5470</v>
      </c>
      <c r="M187" s="1537">
        <v>44334</v>
      </c>
    </row>
    <row r="188" spans="1:13" s="1329" customFormat="1" ht="45">
      <c r="A188" s="1533">
        <v>179</v>
      </c>
      <c r="B188" s="1534" t="s">
        <v>1116</v>
      </c>
      <c r="C188" s="1535" t="s">
        <v>5471</v>
      </c>
      <c r="D188" s="1535" t="s">
        <v>5472</v>
      </c>
      <c r="E188" s="1535" t="s">
        <v>5448</v>
      </c>
      <c r="F188" s="1533" t="s">
        <v>1078</v>
      </c>
      <c r="G188" s="1533">
        <v>87</v>
      </c>
      <c r="H188" s="1533" t="s">
        <v>2159</v>
      </c>
      <c r="I188" s="1533" t="s">
        <v>1840</v>
      </c>
      <c r="J188" s="1536" t="s">
        <v>5400</v>
      </c>
      <c r="K188" s="1551">
        <v>50</v>
      </c>
      <c r="L188" s="1535" t="s">
        <v>5470</v>
      </c>
      <c r="M188" s="1537">
        <v>44334</v>
      </c>
    </row>
    <row r="189" spans="1:13" s="1329" customFormat="1" ht="45">
      <c r="A189" s="1533">
        <v>180</v>
      </c>
      <c r="B189" s="1534" t="s">
        <v>1116</v>
      </c>
      <c r="C189" s="1535" t="s">
        <v>5471</v>
      </c>
      <c r="D189" s="1535" t="s">
        <v>5472</v>
      </c>
      <c r="E189" s="1535" t="s">
        <v>5448</v>
      </c>
      <c r="F189" s="1533" t="s">
        <v>1078</v>
      </c>
      <c r="G189" s="1533">
        <v>87</v>
      </c>
      <c r="H189" s="1533" t="s">
        <v>2159</v>
      </c>
      <c r="I189" s="1533" t="s">
        <v>1847</v>
      </c>
      <c r="J189" s="1536" t="s">
        <v>5400</v>
      </c>
      <c r="K189" s="1551">
        <v>100</v>
      </c>
      <c r="L189" s="1535" t="s">
        <v>5470</v>
      </c>
      <c r="M189" s="1537">
        <v>44334</v>
      </c>
    </row>
    <row r="190" spans="1:13" s="1329" customFormat="1" ht="45">
      <c r="A190" s="1533">
        <v>181</v>
      </c>
      <c r="B190" s="1534" t="s">
        <v>1116</v>
      </c>
      <c r="C190" s="1535" t="s">
        <v>5471</v>
      </c>
      <c r="D190" s="1535" t="s">
        <v>5472</v>
      </c>
      <c r="E190" s="1535" t="s">
        <v>5448</v>
      </c>
      <c r="F190" s="1533" t="s">
        <v>1078</v>
      </c>
      <c r="G190" s="1533">
        <v>87</v>
      </c>
      <c r="H190" s="1533" t="s">
        <v>2159</v>
      </c>
      <c r="I190" s="1533" t="s">
        <v>1853</v>
      </c>
      <c r="J190" s="1536" t="s">
        <v>5400</v>
      </c>
      <c r="K190" s="1551">
        <v>250</v>
      </c>
      <c r="L190" s="1535" t="s">
        <v>5470</v>
      </c>
      <c r="M190" s="1537">
        <v>44334</v>
      </c>
    </row>
    <row r="191" spans="1:13" s="1329" customFormat="1" ht="45">
      <c r="A191" s="1533">
        <v>182</v>
      </c>
      <c r="B191" s="1534" t="s">
        <v>1241</v>
      </c>
      <c r="C191" s="1535" t="s">
        <v>1537</v>
      </c>
      <c r="D191" s="1535" t="s">
        <v>2378</v>
      </c>
      <c r="E191" s="1535" t="s">
        <v>5448</v>
      </c>
      <c r="F191" s="1533" t="s">
        <v>1078</v>
      </c>
      <c r="G191" s="1533">
        <v>87</v>
      </c>
      <c r="H191" s="1533" t="s">
        <v>2159</v>
      </c>
      <c r="I191" s="1533" t="s">
        <v>1830</v>
      </c>
      <c r="J191" s="1536">
        <v>3154.7</v>
      </c>
      <c r="K191" s="1557">
        <v>3924</v>
      </c>
      <c r="L191" s="1535" t="s">
        <v>5470</v>
      </c>
      <c r="M191" s="1537">
        <v>44335</v>
      </c>
    </row>
    <row r="192" spans="1:13" s="1329" customFormat="1" ht="45">
      <c r="A192" s="1533">
        <v>183</v>
      </c>
      <c r="B192" s="1534" t="s">
        <v>1241</v>
      </c>
      <c r="C192" s="1535" t="s">
        <v>1537</v>
      </c>
      <c r="D192" s="1535" t="s">
        <v>2378</v>
      </c>
      <c r="E192" s="1535" t="s">
        <v>5448</v>
      </c>
      <c r="F192" s="1533" t="s">
        <v>1078</v>
      </c>
      <c r="G192" s="1533">
        <v>87</v>
      </c>
      <c r="H192" s="1533" t="s">
        <v>2159</v>
      </c>
      <c r="I192" s="1533" t="s">
        <v>1840</v>
      </c>
      <c r="J192" s="1536">
        <v>2927.4000000000005</v>
      </c>
      <c r="K192" s="1557">
        <v>3702</v>
      </c>
      <c r="L192" s="1535" t="s">
        <v>5470</v>
      </c>
      <c r="M192" s="1537">
        <v>44335</v>
      </c>
    </row>
    <row r="193" spans="1:13" s="1329" customFormat="1" ht="45">
      <c r="A193" s="1533">
        <v>184</v>
      </c>
      <c r="B193" s="1534" t="s">
        <v>1241</v>
      </c>
      <c r="C193" s="1535" t="s">
        <v>1537</v>
      </c>
      <c r="D193" s="1535" t="s">
        <v>2378</v>
      </c>
      <c r="E193" s="1535" t="s">
        <v>5448</v>
      </c>
      <c r="F193" s="1533" t="s">
        <v>1078</v>
      </c>
      <c r="G193" s="1533">
        <v>87</v>
      </c>
      <c r="H193" s="1533" t="s">
        <v>2159</v>
      </c>
      <c r="I193" s="1533" t="s">
        <v>1847</v>
      </c>
      <c r="J193" s="1536">
        <v>2662.0999999999995</v>
      </c>
      <c r="K193" s="1557">
        <v>3519</v>
      </c>
      <c r="L193" s="1535" t="s">
        <v>5470</v>
      </c>
      <c r="M193" s="1537">
        <v>44335</v>
      </c>
    </row>
    <row r="194" spans="1:13" s="1329" customFormat="1" ht="45">
      <c r="A194" s="1533">
        <v>185</v>
      </c>
      <c r="B194" s="1534" t="s">
        <v>1241</v>
      </c>
      <c r="C194" s="1535" t="s">
        <v>1537</v>
      </c>
      <c r="D194" s="1535" t="s">
        <v>2378</v>
      </c>
      <c r="E194" s="1535" t="s">
        <v>5448</v>
      </c>
      <c r="F194" s="1533" t="s">
        <v>1078</v>
      </c>
      <c r="G194" s="1533">
        <v>87</v>
      </c>
      <c r="H194" s="1533" t="s">
        <v>2159</v>
      </c>
      <c r="I194" s="1533" t="s">
        <v>1853</v>
      </c>
      <c r="J194" s="1536">
        <v>2368.8000000000002</v>
      </c>
      <c r="K194" s="1557">
        <v>3248</v>
      </c>
      <c r="L194" s="1535" t="s">
        <v>5470</v>
      </c>
      <c r="M194" s="1537">
        <v>44335</v>
      </c>
    </row>
    <row r="195" spans="1:13" s="1329" customFormat="1" ht="45">
      <c r="A195" s="1533">
        <v>186</v>
      </c>
      <c r="B195" s="1534" t="s">
        <v>1241</v>
      </c>
      <c r="C195" s="1535" t="s">
        <v>1537</v>
      </c>
      <c r="D195" s="1535" t="s">
        <v>2378</v>
      </c>
      <c r="E195" s="1535" t="s">
        <v>5448</v>
      </c>
      <c r="F195" s="1533" t="s">
        <v>1078</v>
      </c>
      <c r="G195" s="1533">
        <v>87</v>
      </c>
      <c r="H195" s="1533" t="s">
        <v>2159</v>
      </c>
      <c r="I195" s="1533" t="s">
        <v>129</v>
      </c>
      <c r="J195" s="1536">
        <v>2246.5</v>
      </c>
      <c r="K195" s="1557">
        <v>2957</v>
      </c>
      <c r="L195" s="1535" t="s">
        <v>5470</v>
      </c>
      <c r="M195" s="1537">
        <v>44335</v>
      </c>
    </row>
    <row r="196" spans="1:13" s="1329" customFormat="1" ht="45">
      <c r="A196" s="1533">
        <v>187</v>
      </c>
      <c r="B196" s="1535" t="s">
        <v>5473</v>
      </c>
      <c r="C196" s="1535" t="s">
        <v>1895</v>
      </c>
      <c r="D196" s="1535" t="s">
        <v>5447</v>
      </c>
      <c r="E196" s="1535" t="s">
        <v>5448</v>
      </c>
      <c r="F196" s="1533" t="s">
        <v>1078</v>
      </c>
      <c r="G196" s="1533">
        <v>22</v>
      </c>
      <c r="H196" s="1533" t="s">
        <v>5474</v>
      </c>
      <c r="I196" s="1533" t="s">
        <v>1895</v>
      </c>
      <c r="J196" s="1550" t="s">
        <v>5466</v>
      </c>
      <c r="K196" s="1533" t="s">
        <v>5475</v>
      </c>
      <c r="L196" s="1535" t="s">
        <v>5476</v>
      </c>
      <c r="M196" s="1537">
        <v>44335</v>
      </c>
    </row>
    <row r="197" spans="1:13" s="1329" customFormat="1" ht="60">
      <c r="A197" s="1533">
        <v>188</v>
      </c>
      <c r="B197" s="1535" t="s">
        <v>5477</v>
      </c>
      <c r="C197" s="1535" t="s">
        <v>1895</v>
      </c>
      <c r="D197" s="1535" t="s">
        <v>5447</v>
      </c>
      <c r="E197" s="1535" t="s">
        <v>5448</v>
      </c>
      <c r="F197" s="1533" t="s">
        <v>1078</v>
      </c>
      <c r="G197" s="1533">
        <v>22</v>
      </c>
      <c r="H197" s="1533" t="s">
        <v>5474</v>
      </c>
      <c r="I197" s="1533" t="s">
        <v>1895</v>
      </c>
      <c r="J197" s="1550" t="s">
        <v>5466</v>
      </c>
      <c r="K197" s="1533" t="s">
        <v>5475</v>
      </c>
      <c r="L197" s="1535" t="s">
        <v>5476</v>
      </c>
      <c r="M197" s="1537">
        <v>44335</v>
      </c>
    </row>
    <row r="198" spans="1:13" s="1329" customFormat="1" ht="45">
      <c r="A198" s="1533">
        <v>189</v>
      </c>
      <c r="B198" s="1534" t="s">
        <v>1260</v>
      </c>
      <c r="C198" s="1535" t="s">
        <v>1118</v>
      </c>
      <c r="D198" s="1535" t="s">
        <v>2220</v>
      </c>
      <c r="E198" s="1535" t="s">
        <v>5448</v>
      </c>
      <c r="F198" s="1533" t="s">
        <v>1078</v>
      </c>
      <c r="G198" s="1533">
        <v>87</v>
      </c>
      <c r="H198" s="1533" t="s">
        <v>2159</v>
      </c>
      <c r="I198" s="1533" t="s">
        <v>1830</v>
      </c>
      <c r="J198" s="1558">
        <v>3.7166666670000001</v>
      </c>
      <c r="K198" s="1556">
        <v>1.8171296296296297E-3</v>
      </c>
      <c r="L198" s="1535" t="s">
        <v>5478</v>
      </c>
      <c r="M198" s="1537">
        <v>44335</v>
      </c>
    </row>
    <row r="199" spans="1:13" s="1329" customFormat="1" ht="45">
      <c r="A199" s="1533">
        <v>190</v>
      </c>
      <c r="B199" s="1534" t="s">
        <v>1260</v>
      </c>
      <c r="C199" s="1535" t="s">
        <v>1121</v>
      </c>
      <c r="D199" s="1535" t="s">
        <v>2220</v>
      </c>
      <c r="E199" s="1535" t="s">
        <v>5448</v>
      </c>
      <c r="F199" s="1533" t="s">
        <v>1078</v>
      </c>
      <c r="G199" s="1533">
        <v>87</v>
      </c>
      <c r="H199" s="1533" t="s">
        <v>2159</v>
      </c>
      <c r="I199" s="1533" t="s">
        <v>1840</v>
      </c>
      <c r="J199" s="1558">
        <v>3.6666666663333336</v>
      </c>
      <c r="K199" s="1556">
        <v>1.6203703703703703E-3</v>
      </c>
      <c r="L199" s="1535" t="s">
        <v>5478</v>
      </c>
      <c r="M199" s="1537">
        <v>44335</v>
      </c>
    </row>
    <row r="200" spans="1:13" s="1329" customFormat="1" ht="45">
      <c r="A200" s="1533">
        <v>191</v>
      </c>
      <c r="B200" s="1534" t="s">
        <v>1260</v>
      </c>
      <c r="C200" s="1535" t="s">
        <v>1122</v>
      </c>
      <c r="D200" s="1535" t="s">
        <v>2220</v>
      </c>
      <c r="E200" s="1535" t="s">
        <v>5448</v>
      </c>
      <c r="F200" s="1533" t="s">
        <v>1078</v>
      </c>
      <c r="G200" s="1533">
        <v>87</v>
      </c>
      <c r="H200" s="1533" t="s">
        <v>2159</v>
      </c>
      <c r="I200" s="1533" t="s">
        <v>1847</v>
      </c>
      <c r="J200" s="1558">
        <v>3.583333333000001</v>
      </c>
      <c r="K200" s="1556">
        <v>1.0416666666666667E-3</v>
      </c>
      <c r="L200" s="1535" t="s">
        <v>5478</v>
      </c>
      <c r="M200" s="1537">
        <v>44335</v>
      </c>
    </row>
    <row r="201" spans="1:13" s="1329" customFormat="1" ht="45">
      <c r="A201" s="1533">
        <v>192</v>
      </c>
      <c r="B201" s="1534" t="s">
        <v>1260</v>
      </c>
      <c r="C201" s="1535" t="s">
        <v>1127</v>
      </c>
      <c r="D201" s="1535" t="s">
        <v>2220</v>
      </c>
      <c r="E201" s="1535" t="s">
        <v>5448</v>
      </c>
      <c r="F201" s="1533" t="s">
        <v>1078</v>
      </c>
      <c r="G201" s="1533">
        <v>87</v>
      </c>
      <c r="H201" s="1533" t="s">
        <v>2159</v>
      </c>
      <c r="I201" s="1533" t="s">
        <v>1853</v>
      </c>
      <c r="J201" s="1558">
        <v>3.5166666663333337</v>
      </c>
      <c r="K201" s="1556">
        <v>1.0416666666666667E-3</v>
      </c>
      <c r="L201" s="1535" t="s">
        <v>5478</v>
      </c>
      <c r="M201" s="1537">
        <v>44335</v>
      </c>
    </row>
    <row r="202" spans="1:13" s="1329" customFormat="1" ht="45">
      <c r="A202" s="1533">
        <v>193</v>
      </c>
      <c r="B202" s="1534" t="s">
        <v>1260</v>
      </c>
      <c r="C202" s="1535" t="s">
        <v>1306</v>
      </c>
      <c r="D202" s="1535" t="s">
        <v>2220</v>
      </c>
      <c r="E202" s="1535" t="s">
        <v>5448</v>
      </c>
      <c r="F202" s="1533" t="s">
        <v>1078</v>
      </c>
      <c r="G202" s="1533">
        <v>87</v>
      </c>
      <c r="H202" s="1533" t="s">
        <v>2159</v>
      </c>
      <c r="I202" s="1533" t="s">
        <v>129</v>
      </c>
      <c r="J202" s="1558">
        <v>3.5</v>
      </c>
      <c r="K202" s="1556">
        <v>1.0416666666666667E-3</v>
      </c>
      <c r="L202" s="1535" t="s">
        <v>5478</v>
      </c>
      <c r="M202" s="1537">
        <v>44335</v>
      </c>
    </row>
    <row r="203" spans="1:13" s="1329" customFormat="1" ht="45">
      <c r="A203" s="1533">
        <v>194</v>
      </c>
      <c r="B203" s="1534" t="s">
        <v>1260</v>
      </c>
      <c r="C203" s="1559" t="s">
        <v>1485</v>
      </c>
      <c r="D203" s="1559" t="s">
        <v>2547</v>
      </c>
      <c r="E203" s="1535" t="s">
        <v>5448</v>
      </c>
      <c r="F203" s="1533" t="s">
        <v>1078</v>
      </c>
      <c r="G203" s="1533">
        <v>23</v>
      </c>
      <c r="H203" s="1533" t="s">
        <v>2045</v>
      </c>
      <c r="I203" s="1533" t="s">
        <v>5479</v>
      </c>
      <c r="J203" s="1536" t="s">
        <v>1828</v>
      </c>
      <c r="K203" s="1536" t="s">
        <v>1838</v>
      </c>
      <c r="L203" s="1535" t="s">
        <v>5478</v>
      </c>
      <c r="M203" s="1537">
        <v>44335</v>
      </c>
    </row>
    <row r="204" spans="1:13" s="1329" customFormat="1" ht="45">
      <c r="A204" s="1533">
        <v>195</v>
      </c>
      <c r="B204" s="1534" t="s">
        <v>5446</v>
      </c>
      <c r="C204" s="1535" t="s">
        <v>5446</v>
      </c>
      <c r="D204" s="1535" t="s">
        <v>5446</v>
      </c>
      <c r="E204" s="1535" t="s">
        <v>5448</v>
      </c>
      <c r="F204" s="1533" t="s">
        <v>1078</v>
      </c>
      <c r="G204" s="1533">
        <v>22</v>
      </c>
      <c r="H204" s="1533" t="s">
        <v>156</v>
      </c>
      <c r="I204" s="1533" t="s">
        <v>1895</v>
      </c>
      <c r="J204" s="1550" t="s">
        <v>5466</v>
      </c>
      <c r="K204" s="1560" t="s">
        <v>5467</v>
      </c>
      <c r="L204" s="1535" t="s">
        <v>5480</v>
      </c>
      <c r="M204" s="1537">
        <v>44336</v>
      </c>
    </row>
    <row r="205" spans="1:13" s="1329" customFormat="1" ht="45">
      <c r="A205" s="1533">
        <v>196</v>
      </c>
      <c r="B205" s="1534" t="s">
        <v>1260</v>
      </c>
      <c r="C205" s="1559" t="s">
        <v>1485</v>
      </c>
      <c r="D205" s="1559" t="s">
        <v>2547</v>
      </c>
      <c r="E205" s="1535" t="s">
        <v>5448</v>
      </c>
      <c r="F205" s="1533" t="s">
        <v>1078</v>
      </c>
      <c r="G205" s="1533">
        <v>20</v>
      </c>
      <c r="H205" s="1533" t="s">
        <v>2171</v>
      </c>
      <c r="I205" s="1533" t="s">
        <v>5479</v>
      </c>
      <c r="J205" s="1533" t="s">
        <v>321</v>
      </c>
      <c r="K205" s="1533" t="s">
        <v>1857</v>
      </c>
      <c r="L205" s="1535" t="s">
        <v>5478</v>
      </c>
      <c r="M205" s="1537">
        <v>44336</v>
      </c>
    </row>
    <row r="206" spans="1:13" s="1329" customFormat="1" ht="45">
      <c r="A206" s="1533">
        <v>197</v>
      </c>
      <c r="B206" s="1534" t="s">
        <v>1171</v>
      </c>
      <c r="C206" s="1559" t="s">
        <v>1568</v>
      </c>
      <c r="D206" s="1535" t="s">
        <v>3618</v>
      </c>
      <c r="E206" s="1535" t="s">
        <v>5448</v>
      </c>
      <c r="F206" s="1533" t="s">
        <v>1078</v>
      </c>
      <c r="G206" s="1533">
        <v>41</v>
      </c>
      <c r="H206" s="1533" t="s">
        <v>5481</v>
      </c>
      <c r="I206" s="1533" t="s">
        <v>5479</v>
      </c>
      <c r="J206" s="1561">
        <v>0</v>
      </c>
      <c r="K206" s="1536" t="s">
        <v>5482</v>
      </c>
      <c r="L206" s="1535" t="s">
        <v>5483</v>
      </c>
      <c r="M206" s="1537">
        <v>44340</v>
      </c>
    </row>
    <row r="207" spans="1:13" s="1329" customFormat="1" ht="45">
      <c r="A207" s="1533">
        <v>198</v>
      </c>
      <c r="B207" s="1534" t="s">
        <v>1116</v>
      </c>
      <c r="C207" s="1535" t="s">
        <v>1545</v>
      </c>
      <c r="D207" s="1535" t="s">
        <v>4042</v>
      </c>
      <c r="E207" s="1535" t="s">
        <v>5448</v>
      </c>
      <c r="F207" s="1533" t="s">
        <v>1078</v>
      </c>
      <c r="G207" s="1533">
        <v>41</v>
      </c>
      <c r="H207" s="1533" t="s">
        <v>5481</v>
      </c>
      <c r="I207" s="1533" t="s">
        <v>1830</v>
      </c>
      <c r="J207" s="1533">
        <v>319.89999999999998</v>
      </c>
      <c r="K207" s="1536">
        <v>86.5</v>
      </c>
      <c r="L207" s="1535" t="s">
        <v>5484</v>
      </c>
      <c r="M207" s="1537">
        <v>44340</v>
      </c>
    </row>
    <row r="208" spans="1:13" s="1329" customFormat="1" ht="75">
      <c r="A208" s="1533">
        <v>199</v>
      </c>
      <c r="B208" s="1534" t="s">
        <v>1278</v>
      </c>
      <c r="C208" s="1535" t="s">
        <v>1708</v>
      </c>
      <c r="D208" s="1535" t="s">
        <v>3057</v>
      </c>
      <c r="E208" s="1535" t="s">
        <v>5448</v>
      </c>
      <c r="F208" s="1533" t="s">
        <v>1078</v>
      </c>
      <c r="G208" s="1533">
        <v>21</v>
      </c>
      <c r="H208" s="1533" t="s">
        <v>2172</v>
      </c>
      <c r="I208" s="1533" t="s">
        <v>5479</v>
      </c>
      <c r="J208" s="1550" t="s">
        <v>5485</v>
      </c>
      <c r="K208" s="1550" t="s">
        <v>3059</v>
      </c>
      <c r="L208" s="1535" t="s">
        <v>5486</v>
      </c>
      <c r="M208" s="1537">
        <v>44340</v>
      </c>
    </row>
    <row r="209" spans="1:13" s="1329" customFormat="1" ht="75">
      <c r="A209" s="1533">
        <v>200</v>
      </c>
      <c r="B209" s="1534" t="s">
        <v>1278</v>
      </c>
      <c r="C209" s="1535" t="s">
        <v>1725</v>
      </c>
      <c r="D209" s="1535" t="s">
        <v>3074</v>
      </c>
      <c r="E209" s="1535" t="s">
        <v>5448</v>
      </c>
      <c r="F209" s="1533" t="s">
        <v>1078</v>
      </c>
      <c r="G209" s="1533">
        <v>21</v>
      </c>
      <c r="H209" s="1533" t="s">
        <v>2172</v>
      </c>
      <c r="I209" s="1533" t="s">
        <v>5479</v>
      </c>
      <c r="J209" s="1550" t="s">
        <v>5485</v>
      </c>
      <c r="K209" s="1550" t="s">
        <v>3059</v>
      </c>
      <c r="L209" s="1535" t="s">
        <v>5486</v>
      </c>
      <c r="M209" s="1537">
        <v>44340</v>
      </c>
    </row>
    <row r="210" spans="1:13" s="1329" customFormat="1" ht="45">
      <c r="A210" s="1533">
        <v>201</v>
      </c>
      <c r="B210" s="1534" t="s">
        <v>1278</v>
      </c>
      <c r="C210" s="1535" t="s">
        <v>1708</v>
      </c>
      <c r="D210" s="1535" t="s">
        <v>3057</v>
      </c>
      <c r="E210" s="1535" t="s">
        <v>5448</v>
      </c>
      <c r="F210" s="1533" t="s">
        <v>1078</v>
      </c>
      <c r="G210" s="1533">
        <v>20</v>
      </c>
      <c r="H210" s="1533" t="s">
        <v>5487</v>
      </c>
      <c r="I210" s="1533" t="s">
        <v>5479</v>
      </c>
      <c r="J210" s="1533" t="s">
        <v>321</v>
      </c>
      <c r="K210" s="1533" t="s">
        <v>1897</v>
      </c>
      <c r="L210" s="1535" t="s">
        <v>5486</v>
      </c>
      <c r="M210" s="1537">
        <v>44340</v>
      </c>
    </row>
    <row r="211" spans="1:13" s="1329" customFormat="1" ht="45">
      <c r="A211" s="1533">
        <v>202</v>
      </c>
      <c r="B211" s="1534" t="s">
        <v>1278</v>
      </c>
      <c r="C211" s="1535" t="s">
        <v>1725</v>
      </c>
      <c r="D211" s="1535" t="s">
        <v>3074</v>
      </c>
      <c r="E211" s="1535" t="s">
        <v>5448</v>
      </c>
      <c r="F211" s="1533" t="s">
        <v>1078</v>
      </c>
      <c r="G211" s="1533">
        <v>20</v>
      </c>
      <c r="H211" s="1533" t="s">
        <v>5487</v>
      </c>
      <c r="I211" s="1533" t="s">
        <v>5479</v>
      </c>
      <c r="J211" s="1533" t="s">
        <v>321</v>
      </c>
      <c r="K211" s="1533" t="s">
        <v>1897</v>
      </c>
      <c r="L211" s="1535" t="s">
        <v>5486</v>
      </c>
      <c r="M211" s="1537">
        <v>44340</v>
      </c>
    </row>
    <row r="212" spans="1:13" s="1329" customFormat="1" ht="15">
      <c r="A212" s="1518">
        <v>203</v>
      </c>
      <c r="B212" s="1528" t="s">
        <v>1241</v>
      </c>
      <c r="C212" s="1529" t="s">
        <v>1438</v>
      </c>
      <c r="D212" s="1529" t="s">
        <v>2297</v>
      </c>
      <c r="E212" s="1529" t="s">
        <v>5398</v>
      </c>
      <c r="F212" s="1518" t="s">
        <v>1078</v>
      </c>
      <c r="G212" s="1518">
        <v>82</v>
      </c>
      <c r="H212" s="1518" t="s">
        <v>2158</v>
      </c>
      <c r="I212" s="1518" t="s">
        <v>1830</v>
      </c>
      <c r="J212" s="1530">
        <v>11</v>
      </c>
      <c r="K212" s="1530" t="s">
        <v>5400</v>
      </c>
      <c r="L212" s="1543" t="s">
        <v>5488</v>
      </c>
      <c r="M212" s="1531">
        <v>44341</v>
      </c>
    </row>
    <row r="213" spans="1:13" s="1329" customFormat="1" ht="15">
      <c r="A213" s="1518">
        <v>204</v>
      </c>
      <c r="B213" s="1528" t="s">
        <v>1241</v>
      </c>
      <c r="C213" s="1529" t="s">
        <v>1438</v>
      </c>
      <c r="D213" s="1529" t="s">
        <v>2297</v>
      </c>
      <c r="E213" s="1529" t="s">
        <v>5398</v>
      </c>
      <c r="F213" s="1518" t="s">
        <v>1078</v>
      </c>
      <c r="G213" s="1518">
        <v>82</v>
      </c>
      <c r="H213" s="1518" t="s">
        <v>2158</v>
      </c>
      <c r="I213" s="1518" t="s">
        <v>1840</v>
      </c>
      <c r="J213" s="1530">
        <v>11</v>
      </c>
      <c r="K213" s="1530" t="s">
        <v>5400</v>
      </c>
      <c r="L213" s="1543" t="s">
        <v>5488</v>
      </c>
      <c r="M213" s="1531">
        <v>44341</v>
      </c>
    </row>
    <row r="214" spans="1:13" s="1329" customFormat="1" ht="15">
      <c r="A214" s="1518">
        <v>205</v>
      </c>
      <c r="B214" s="1528" t="s">
        <v>1241</v>
      </c>
      <c r="C214" s="1529" t="s">
        <v>1438</v>
      </c>
      <c r="D214" s="1529" t="s">
        <v>2297</v>
      </c>
      <c r="E214" s="1529" t="s">
        <v>5398</v>
      </c>
      <c r="F214" s="1518" t="s">
        <v>1078</v>
      </c>
      <c r="G214" s="1518">
        <v>82</v>
      </c>
      <c r="H214" s="1518" t="s">
        <v>2158</v>
      </c>
      <c r="I214" s="1518" t="s">
        <v>1847</v>
      </c>
      <c r="J214" s="1530">
        <v>11</v>
      </c>
      <c r="K214" s="1530" t="s">
        <v>5400</v>
      </c>
      <c r="L214" s="1543" t="s">
        <v>5488</v>
      </c>
      <c r="M214" s="1531">
        <v>44341</v>
      </c>
    </row>
    <row r="215" spans="1:13" s="1329" customFormat="1" ht="15">
      <c r="A215" s="1518">
        <v>206</v>
      </c>
      <c r="B215" s="1528" t="s">
        <v>1241</v>
      </c>
      <c r="C215" s="1529" t="s">
        <v>1438</v>
      </c>
      <c r="D215" s="1529" t="s">
        <v>2297</v>
      </c>
      <c r="E215" s="1529" t="s">
        <v>5398</v>
      </c>
      <c r="F215" s="1518" t="s">
        <v>1078</v>
      </c>
      <c r="G215" s="1518">
        <v>82</v>
      </c>
      <c r="H215" s="1518" t="s">
        <v>2158</v>
      </c>
      <c r="I215" s="1518" t="s">
        <v>1853</v>
      </c>
      <c r="J215" s="1530">
        <v>11</v>
      </c>
      <c r="K215" s="1530" t="s">
        <v>5400</v>
      </c>
      <c r="L215" s="1543" t="s">
        <v>5488</v>
      </c>
      <c r="M215" s="1531">
        <v>44341</v>
      </c>
    </row>
    <row r="216" spans="1:13" s="1329" customFormat="1" ht="15">
      <c r="A216" s="1518">
        <v>207</v>
      </c>
      <c r="B216" s="1528" t="s">
        <v>1241</v>
      </c>
      <c r="C216" s="1529" t="s">
        <v>1438</v>
      </c>
      <c r="D216" s="1529" t="s">
        <v>2297</v>
      </c>
      <c r="E216" s="1529" t="s">
        <v>5398</v>
      </c>
      <c r="F216" s="1518" t="s">
        <v>1078</v>
      </c>
      <c r="G216" s="1518">
        <v>82</v>
      </c>
      <c r="H216" s="1518" t="s">
        <v>2158</v>
      </c>
      <c r="I216" s="1518" t="s">
        <v>129</v>
      </c>
      <c r="J216" s="1530">
        <v>11</v>
      </c>
      <c r="K216" s="1530" t="s">
        <v>5400</v>
      </c>
      <c r="L216" s="1543" t="s">
        <v>5488</v>
      </c>
      <c r="M216" s="1531">
        <v>44341</v>
      </c>
    </row>
    <row r="217" spans="1:13" s="1329" customFormat="1" ht="15">
      <c r="A217" s="1518">
        <v>208</v>
      </c>
      <c r="B217" s="1528" t="s">
        <v>1143</v>
      </c>
      <c r="C217" s="1529" t="s">
        <v>1146</v>
      </c>
      <c r="D217" s="1529" t="s">
        <v>2679</v>
      </c>
      <c r="E217" s="1529" t="s">
        <v>5398</v>
      </c>
      <c r="F217" s="1518" t="s">
        <v>1078</v>
      </c>
      <c r="G217" s="1518">
        <v>41</v>
      </c>
      <c r="H217" s="1518" t="s">
        <v>5409</v>
      </c>
      <c r="I217" s="1518" t="s">
        <v>1830</v>
      </c>
      <c r="J217" s="1541">
        <v>134</v>
      </c>
      <c r="K217" s="1541">
        <f>'App1'!AQ142</f>
        <v>0</v>
      </c>
      <c r="L217" s="1529" t="s">
        <v>5489</v>
      </c>
      <c r="M217" s="1531">
        <v>44341</v>
      </c>
    </row>
    <row r="218" spans="1:13" s="1329" customFormat="1" ht="15">
      <c r="A218" s="1518">
        <v>209</v>
      </c>
      <c r="B218" s="1528" t="s">
        <v>1143</v>
      </c>
      <c r="C218" s="1529" t="s">
        <v>1146</v>
      </c>
      <c r="D218" s="1529" t="s">
        <v>2679</v>
      </c>
      <c r="E218" s="1529" t="s">
        <v>5398</v>
      </c>
      <c r="F218" s="1518" t="s">
        <v>1078</v>
      </c>
      <c r="G218" s="1518">
        <v>41</v>
      </c>
      <c r="H218" s="1518" t="s">
        <v>5409</v>
      </c>
      <c r="I218" s="1518" t="s">
        <v>1840</v>
      </c>
      <c r="J218" s="1541">
        <v>132.6</v>
      </c>
      <c r="K218" s="1541">
        <f>'App1'!AR142</f>
        <v>0</v>
      </c>
      <c r="L218" s="1529" t="s">
        <v>5489</v>
      </c>
      <c r="M218" s="1531">
        <v>44341</v>
      </c>
    </row>
    <row r="219" spans="1:13" s="1329" customFormat="1" ht="15">
      <c r="A219" s="1518">
        <v>210</v>
      </c>
      <c r="B219" s="1528" t="s">
        <v>1143</v>
      </c>
      <c r="C219" s="1529" t="s">
        <v>1146</v>
      </c>
      <c r="D219" s="1529" t="s">
        <v>2679</v>
      </c>
      <c r="E219" s="1529" t="s">
        <v>5398</v>
      </c>
      <c r="F219" s="1518" t="s">
        <v>1078</v>
      </c>
      <c r="G219" s="1518">
        <v>41</v>
      </c>
      <c r="H219" s="1518" t="s">
        <v>5409</v>
      </c>
      <c r="I219" s="1518" t="s">
        <v>1847</v>
      </c>
      <c r="J219" s="1541">
        <v>128.4</v>
      </c>
      <c r="K219" s="1541">
        <f>'App1'!AS142</f>
        <v>0</v>
      </c>
      <c r="L219" s="1529" t="s">
        <v>5489</v>
      </c>
      <c r="M219" s="1531">
        <v>44341</v>
      </c>
    </row>
    <row r="220" spans="1:13" s="1329" customFormat="1" ht="15">
      <c r="A220" s="1518">
        <v>211</v>
      </c>
      <c r="B220" s="1528" t="s">
        <v>1143</v>
      </c>
      <c r="C220" s="1529" t="s">
        <v>1146</v>
      </c>
      <c r="D220" s="1529" t="s">
        <v>2679</v>
      </c>
      <c r="E220" s="1529" t="s">
        <v>5398</v>
      </c>
      <c r="F220" s="1518" t="s">
        <v>1078</v>
      </c>
      <c r="G220" s="1518">
        <v>41</v>
      </c>
      <c r="H220" s="1518" t="s">
        <v>5409</v>
      </c>
      <c r="I220" s="1518" t="s">
        <v>1853</v>
      </c>
      <c r="J220" s="1541">
        <v>124.4</v>
      </c>
      <c r="K220" s="1541">
        <f>'App1'!AT142</f>
        <v>0</v>
      </c>
      <c r="L220" s="1529" t="s">
        <v>5489</v>
      </c>
      <c r="M220" s="1531">
        <v>44341</v>
      </c>
    </row>
    <row r="221" spans="1:13" s="1329" customFormat="1" ht="15">
      <c r="A221" s="1518">
        <v>212</v>
      </c>
      <c r="B221" s="1528" t="s">
        <v>1143</v>
      </c>
      <c r="C221" s="1529" t="s">
        <v>1146</v>
      </c>
      <c r="D221" s="1529" t="s">
        <v>2679</v>
      </c>
      <c r="E221" s="1529" t="s">
        <v>5398</v>
      </c>
      <c r="F221" s="1518" t="s">
        <v>1078</v>
      </c>
      <c r="G221" s="1518">
        <v>41</v>
      </c>
      <c r="H221" s="1518" t="s">
        <v>5409</v>
      </c>
      <c r="I221" s="1518" t="s">
        <v>129</v>
      </c>
      <c r="J221" s="1541">
        <v>120.3</v>
      </c>
      <c r="K221" s="1541">
        <f>'App1'!AU142</f>
        <v>0</v>
      </c>
      <c r="L221" s="1529" t="s">
        <v>5489</v>
      </c>
      <c r="M221" s="1531">
        <v>44341</v>
      </c>
    </row>
    <row r="222" spans="1:13" s="1329" customFormat="1" ht="15">
      <c r="A222" s="1518">
        <v>213</v>
      </c>
      <c r="B222" s="1528" t="s">
        <v>1143</v>
      </c>
      <c r="C222" s="1529" t="s">
        <v>1160</v>
      </c>
      <c r="D222" s="1529" t="s">
        <v>2683</v>
      </c>
      <c r="E222" s="1529" t="s">
        <v>5398</v>
      </c>
      <c r="F222" s="1518" t="s">
        <v>1078</v>
      </c>
      <c r="G222" s="1518">
        <v>41</v>
      </c>
      <c r="H222" s="1518" t="s">
        <v>5409</v>
      </c>
      <c r="I222" s="1518" t="s">
        <v>1830</v>
      </c>
      <c r="J222" s="1541">
        <v>58.2</v>
      </c>
      <c r="K222" s="1541">
        <f>'App1'!AQ143</f>
        <v>0</v>
      </c>
      <c r="L222" s="1529" t="s">
        <v>5489</v>
      </c>
      <c r="M222" s="1531">
        <v>44341</v>
      </c>
    </row>
    <row r="223" spans="1:13" s="1329" customFormat="1" ht="15">
      <c r="A223" s="1518">
        <v>214</v>
      </c>
      <c r="B223" s="1528" t="s">
        <v>1143</v>
      </c>
      <c r="C223" s="1529" t="s">
        <v>1160</v>
      </c>
      <c r="D223" s="1529" t="s">
        <v>2683</v>
      </c>
      <c r="E223" s="1529" t="s">
        <v>5398</v>
      </c>
      <c r="F223" s="1518" t="s">
        <v>1078</v>
      </c>
      <c r="G223" s="1518">
        <v>41</v>
      </c>
      <c r="H223" s="1518" t="s">
        <v>5409</v>
      </c>
      <c r="I223" s="1518" t="s">
        <v>1840</v>
      </c>
      <c r="J223" s="1541">
        <v>56.8</v>
      </c>
      <c r="K223" s="1541">
        <f>'App1'!AR143</f>
        <v>0</v>
      </c>
      <c r="L223" s="1529" t="s">
        <v>5489</v>
      </c>
      <c r="M223" s="1531">
        <v>44341</v>
      </c>
    </row>
    <row r="224" spans="1:13" s="1329" customFormat="1" ht="15">
      <c r="A224" s="1518">
        <v>215</v>
      </c>
      <c r="B224" s="1528" t="s">
        <v>1143</v>
      </c>
      <c r="C224" s="1529" t="s">
        <v>1160</v>
      </c>
      <c r="D224" s="1529" t="s">
        <v>2683</v>
      </c>
      <c r="E224" s="1529" t="s">
        <v>5398</v>
      </c>
      <c r="F224" s="1518" t="s">
        <v>1078</v>
      </c>
      <c r="G224" s="1518">
        <v>41</v>
      </c>
      <c r="H224" s="1518" t="s">
        <v>5409</v>
      </c>
      <c r="I224" s="1518" t="s">
        <v>1847</v>
      </c>
      <c r="J224" s="1541">
        <v>54.7</v>
      </c>
      <c r="K224" s="1541">
        <f>'App1'!AS143</f>
        <v>0</v>
      </c>
      <c r="L224" s="1529" t="s">
        <v>5489</v>
      </c>
      <c r="M224" s="1531">
        <v>44341</v>
      </c>
    </row>
    <row r="225" spans="1:13" s="1329" customFormat="1" ht="15">
      <c r="A225" s="1518">
        <v>216</v>
      </c>
      <c r="B225" s="1528" t="s">
        <v>1143</v>
      </c>
      <c r="C225" s="1529" t="s">
        <v>1160</v>
      </c>
      <c r="D225" s="1529" t="s">
        <v>2683</v>
      </c>
      <c r="E225" s="1529" t="s">
        <v>5398</v>
      </c>
      <c r="F225" s="1518" t="s">
        <v>1078</v>
      </c>
      <c r="G225" s="1518">
        <v>41</v>
      </c>
      <c r="H225" s="1518" t="s">
        <v>5409</v>
      </c>
      <c r="I225" s="1518" t="s">
        <v>1853</v>
      </c>
      <c r="J225" s="1541">
        <v>52.6</v>
      </c>
      <c r="K225" s="1541">
        <f>'App1'!AT143</f>
        <v>0</v>
      </c>
      <c r="L225" s="1529" t="s">
        <v>5489</v>
      </c>
      <c r="M225" s="1531">
        <v>44341</v>
      </c>
    </row>
    <row r="226" spans="1:13" s="1329" customFormat="1" ht="15">
      <c r="A226" s="1518">
        <v>217</v>
      </c>
      <c r="B226" s="1528" t="s">
        <v>1143</v>
      </c>
      <c r="C226" s="1529" t="s">
        <v>1160</v>
      </c>
      <c r="D226" s="1529" t="s">
        <v>2683</v>
      </c>
      <c r="E226" s="1529" t="s">
        <v>5398</v>
      </c>
      <c r="F226" s="1518" t="s">
        <v>1078</v>
      </c>
      <c r="G226" s="1518">
        <v>41</v>
      </c>
      <c r="H226" s="1518" t="s">
        <v>5409</v>
      </c>
      <c r="I226" s="1518" t="s">
        <v>129</v>
      </c>
      <c r="J226" s="1541">
        <v>50.6</v>
      </c>
      <c r="K226" s="1541">
        <f>'App1'!AU143</f>
        <v>0</v>
      </c>
      <c r="L226" s="1529" t="s">
        <v>5489</v>
      </c>
      <c r="M226" s="1531">
        <v>44341</v>
      </c>
    </row>
    <row r="227" spans="1:13" s="1329" customFormat="1" ht="15">
      <c r="A227" s="1518">
        <v>218</v>
      </c>
      <c r="B227" s="1528" t="s">
        <v>1143</v>
      </c>
      <c r="C227" s="1529" t="s">
        <v>1146</v>
      </c>
      <c r="D227" s="1529" t="s">
        <v>2679</v>
      </c>
      <c r="E227" s="1529" t="s">
        <v>5398</v>
      </c>
      <c r="F227" s="1518" t="s">
        <v>1078</v>
      </c>
      <c r="G227" s="1518">
        <v>72</v>
      </c>
      <c r="H227" s="1518" t="s">
        <v>2156</v>
      </c>
      <c r="I227" s="1518" t="s">
        <v>1830</v>
      </c>
      <c r="J227" s="1541">
        <v>162</v>
      </c>
      <c r="K227" s="1541">
        <v>186</v>
      </c>
      <c r="L227" s="1529" t="s">
        <v>5490</v>
      </c>
      <c r="M227" s="1531">
        <v>44341</v>
      </c>
    </row>
    <row r="228" spans="1:13" s="1329" customFormat="1" ht="15">
      <c r="A228" s="1518">
        <v>219</v>
      </c>
      <c r="B228" s="1528" t="s">
        <v>1143</v>
      </c>
      <c r="C228" s="1529" t="s">
        <v>1146</v>
      </c>
      <c r="D228" s="1529" t="s">
        <v>2679</v>
      </c>
      <c r="E228" s="1529" t="s">
        <v>5398</v>
      </c>
      <c r="F228" s="1518" t="s">
        <v>1078</v>
      </c>
      <c r="G228" s="1518">
        <v>72</v>
      </c>
      <c r="H228" s="1518" t="s">
        <v>2156</v>
      </c>
      <c r="I228" s="1518" t="s">
        <v>1840</v>
      </c>
      <c r="J228" s="1541">
        <v>162</v>
      </c>
      <c r="K228" s="1541">
        <v>186</v>
      </c>
      <c r="L228" s="1529" t="s">
        <v>5490</v>
      </c>
      <c r="M228" s="1531">
        <v>44341</v>
      </c>
    </row>
    <row r="229" spans="1:13" s="1329" customFormat="1" ht="15">
      <c r="A229" s="1518">
        <v>220</v>
      </c>
      <c r="B229" s="1528" t="s">
        <v>1143</v>
      </c>
      <c r="C229" s="1529" t="s">
        <v>1146</v>
      </c>
      <c r="D229" s="1529" t="s">
        <v>2679</v>
      </c>
      <c r="E229" s="1529" t="s">
        <v>5398</v>
      </c>
      <c r="F229" s="1518" t="s">
        <v>1078</v>
      </c>
      <c r="G229" s="1518">
        <v>72</v>
      </c>
      <c r="H229" s="1518" t="s">
        <v>2156</v>
      </c>
      <c r="I229" s="1518" t="s">
        <v>1847</v>
      </c>
      <c r="J229" s="1541">
        <v>162</v>
      </c>
      <c r="K229" s="1541">
        <v>186</v>
      </c>
      <c r="L229" s="1529" t="s">
        <v>5490</v>
      </c>
      <c r="M229" s="1531">
        <v>44341</v>
      </c>
    </row>
    <row r="230" spans="1:13" s="1329" customFormat="1" ht="15">
      <c r="A230" s="1518">
        <v>221</v>
      </c>
      <c r="B230" s="1528" t="s">
        <v>1143</v>
      </c>
      <c r="C230" s="1529" t="s">
        <v>1146</v>
      </c>
      <c r="D230" s="1529" t="s">
        <v>2679</v>
      </c>
      <c r="E230" s="1529" t="s">
        <v>5398</v>
      </c>
      <c r="F230" s="1518" t="s">
        <v>1078</v>
      </c>
      <c r="G230" s="1518">
        <v>72</v>
      </c>
      <c r="H230" s="1518" t="s">
        <v>2156</v>
      </c>
      <c r="I230" s="1518" t="s">
        <v>1853</v>
      </c>
      <c r="J230" s="1541">
        <v>162</v>
      </c>
      <c r="K230" s="1541">
        <v>186</v>
      </c>
      <c r="L230" s="1529" t="s">
        <v>5490</v>
      </c>
      <c r="M230" s="1531">
        <v>44341</v>
      </c>
    </row>
    <row r="231" spans="1:13" s="1329" customFormat="1" ht="15">
      <c r="A231" s="1518">
        <v>222</v>
      </c>
      <c r="B231" s="1528" t="s">
        <v>1143</v>
      </c>
      <c r="C231" s="1529" t="s">
        <v>1146</v>
      </c>
      <c r="D231" s="1529" t="s">
        <v>2679</v>
      </c>
      <c r="E231" s="1529" t="s">
        <v>5398</v>
      </c>
      <c r="F231" s="1518" t="s">
        <v>1078</v>
      </c>
      <c r="G231" s="1518">
        <v>72</v>
      </c>
      <c r="H231" s="1518" t="s">
        <v>2156</v>
      </c>
      <c r="I231" s="1518" t="s">
        <v>129</v>
      </c>
      <c r="J231" s="1541">
        <v>162</v>
      </c>
      <c r="K231" s="1541">
        <v>186</v>
      </c>
      <c r="L231" s="1529" t="s">
        <v>5490</v>
      </c>
      <c r="M231" s="1531">
        <v>44341</v>
      </c>
    </row>
    <row r="232" spans="1:13" s="1329" customFormat="1" ht="15">
      <c r="A232" s="1518">
        <v>223</v>
      </c>
      <c r="B232" s="1528" t="s">
        <v>1143</v>
      </c>
      <c r="C232" s="1529" t="s">
        <v>1160</v>
      </c>
      <c r="D232" s="1529" t="s">
        <v>2683</v>
      </c>
      <c r="E232" s="1529" t="s">
        <v>5398</v>
      </c>
      <c r="F232" s="1518" t="s">
        <v>1078</v>
      </c>
      <c r="G232" s="1518">
        <v>72</v>
      </c>
      <c r="H232" s="1518" t="s">
        <v>2156</v>
      </c>
      <c r="I232" s="1518" t="s">
        <v>1830</v>
      </c>
      <c r="J232" s="1541">
        <v>97.1</v>
      </c>
      <c r="K232" s="1541">
        <v>115.6</v>
      </c>
      <c r="L232" s="1529" t="s">
        <v>5490</v>
      </c>
      <c r="M232" s="1531">
        <v>44341</v>
      </c>
    </row>
    <row r="233" spans="1:13" s="1329" customFormat="1" ht="15">
      <c r="A233" s="1518">
        <v>224</v>
      </c>
      <c r="B233" s="1528" t="s">
        <v>1143</v>
      </c>
      <c r="C233" s="1529" t="s">
        <v>1160</v>
      </c>
      <c r="D233" s="1529" t="s">
        <v>2683</v>
      </c>
      <c r="E233" s="1529" t="s">
        <v>5398</v>
      </c>
      <c r="F233" s="1518" t="s">
        <v>1078</v>
      </c>
      <c r="G233" s="1518">
        <v>72</v>
      </c>
      <c r="H233" s="1518" t="s">
        <v>2156</v>
      </c>
      <c r="I233" s="1518" t="s">
        <v>1840</v>
      </c>
      <c r="J233" s="1541">
        <v>97.1</v>
      </c>
      <c r="K233" s="1541">
        <v>115.6</v>
      </c>
      <c r="L233" s="1529" t="s">
        <v>5490</v>
      </c>
      <c r="M233" s="1531">
        <v>44341</v>
      </c>
    </row>
    <row r="234" spans="1:13" s="1329" customFormat="1" ht="15">
      <c r="A234" s="1518">
        <v>225</v>
      </c>
      <c r="B234" s="1528" t="s">
        <v>1143</v>
      </c>
      <c r="C234" s="1529" t="s">
        <v>1160</v>
      </c>
      <c r="D234" s="1529" t="s">
        <v>2683</v>
      </c>
      <c r="E234" s="1529" t="s">
        <v>5398</v>
      </c>
      <c r="F234" s="1518" t="s">
        <v>1078</v>
      </c>
      <c r="G234" s="1518">
        <v>72</v>
      </c>
      <c r="H234" s="1518" t="s">
        <v>2156</v>
      </c>
      <c r="I234" s="1518" t="s">
        <v>1847</v>
      </c>
      <c r="J234" s="1541">
        <v>97.1</v>
      </c>
      <c r="K234" s="1541">
        <v>115.6</v>
      </c>
      <c r="L234" s="1529" t="s">
        <v>5490</v>
      </c>
      <c r="M234" s="1531">
        <v>44341</v>
      </c>
    </row>
    <row r="235" spans="1:13" s="1329" customFormat="1" ht="15">
      <c r="A235" s="1518">
        <v>226</v>
      </c>
      <c r="B235" s="1528" t="s">
        <v>1143</v>
      </c>
      <c r="C235" s="1529" t="s">
        <v>1160</v>
      </c>
      <c r="D235" s="1529" t="s">
        <v>2683</v>
      </c>
      <c r="E235" s="1529" t="s">
        <v>5398</v>
      </c>
      <c r="F235" s="1518" t="s">
        <v>1078</v>
      </c>
      <c r="G235" s="1518">
        <v>72</v>
      </c>
      <c r="H235" s="1518" t="s">
        <v>2156</v>
      </c>
      <c r="I235" s="1518" t="s">
        <v>1853</v>
      </c>
      <c r="J235" s="1541">
        <v>97.1</v>
      </c>
      <c r="K235" s="1541">
        <v>115.6</v>
      </c>
      <c r="L235" s="1529" t="s">
        <v>5490</v>
      </c>
      <c r="M235" s="1531">
        <v>44341</v>
      </c>
    </row>
    <row r="236" spans="1:13" s="1329" customFormat="1" ht="15">
      <c r="A236" s="1518">
        <v>227</v>
      </c>
      <c r="B236" s="1528" t="s">
        <v>1143</v>
      </c>
      <c r="C236" s="1529" t="s">
        <v>1160</v>
      </c>
      <c r="D236" s="1529" t="s">
        <v>2683</v>
      </c>
      <c r="E236" s="1529" t="s">
        <v>5398</v>
      </c>
      <c r="F236" s="1518" t="s">
        <v>1078</v>
      </c>
      <c r="G236" s="1518">
        <v>72</v>
      </c>
      <c r="H236" s="1518" t="s">
        <v>2156</v>
      </c>
      <c r="I236" s="1518" t="s">
        <v>129</v>
      </c>
      <c r="J236" s="1541">
        <v>97.1</v>
      </c>
      <c r="K236" s="1541">
        <v>115.6</v>
      </c>
      <c r="L236" s="1529" t="s">
        <v>5490</v>
      </c>
      <c r="M236" s="1531">
        <v>44341</v>
      </c>
    </row>
    <row r="237" spans="1:13" s="1329" customFormat="1" ht="45">
      <c r="A237" s="1533">
        <v>228</v>
      </c>
      <c r="B237" s="1534" t="s">
        <v>1143</v>
      </c>
      <c r="C237" s="1535" t="s">
        <v>1146</v>
      </c>
      <c r="D237" s="1535" t="s">
        <v>2679</v>
      </c>
      <c r="E237" s="1535" t="s">
        <v>5448</v>
      </c>
      <c r="F237" s="1533" t="s">
        <v>1078</v>
      </c>
      <c r="G237" s="1533">
        <v>87</v>
      </c>
      <c r="H237" s="1535" t="s">
        <v>2159</v>
      </c>
      <c r="I237" s="1533" t="s">
        <v>1830</v>
      </c>
      <c r="J237" s="1562">
        <v>84.3</v>
      </c>
      <c r="K237" s="1562">
        <v>84</v>
      </c>
      <c r="L237" s="1535" t="s">
        <v>5491</v>
      </c>
      <c r="M237" s="1537">
        <v>44341</v>
      </c>
    </row>
    <row r="238" spans="1:13" s="1329" customFormat="1" ht="45">
      <c r="A238" s="1533">
        <v>229</v>
      </c>
      <c r="B238" s="1534" t="s">
        <v>1143</v>
      </c>
      <c r="C238" s="1535" t="s">
        <v>1146</v>
      </c>
      <c r="D238" s="1535" t="s">
        <v>2679</v>
      </c>
      <c r="E238" s="1535" t="s">
        <v>5448</v>
      </c>
      <c r="F238" s="1533" t="s">
        <v>1078</v>
      </c>
      <c r="G238" s="1533">
        <v>87</v>
      </c>
      <c r="H238" s="1535" t="s">
        <v>2159</v>
      </c>
      <c r="I238" s="1533" t="s">
        <v>1840</v>
      </c>
      <c r="J238" s="1562">
        <v>83.4</v>
      </c>
      <c r="K238" s="1562">
        <v>83.2</v>
      </c>
      <c r="L238" s="1535" t="s">
        <v>5491</v>
      </c>
      <c r="M238" s="1537">
        <v>44341</v>
      </c>
    </row>
    <row r="239" spans="1:13" s="1329" customFormat="1" ht="45">
      <c r="A239" s="1533">
        <v>230</v>
      </c>
      <c r="B239" s="1534" t="s">
        <v>1143</v>
      </c>
      <c r="C239" s="1535" t="s">
        <v>1146</v>
      </c>
      <c r="D239" s="1535" t="s">
        <v>2679</v>
      </c>
      <c r="E239" s="1535" t="s">
        <v>5448</v>
      </c>
      <c r="F239" s="1533" t="s">
        <v>1078</v>
      </c>
      <c r="G239" s="1533">
        <v>87</v>
      </c>
      <c r="H239" s="1535" t="s">
        <v>2159</v>
      </c>
      <c r="I239" s="1533" t="s">
        <v>1847</v>
      </c>
      <c r="J239" s="1562">
        <v>82.2</v>
      </c>
      <c r="K239" s="1562">
        <v>82</v>
      </c>
      <c r="L239" s="1535" t="s">
        <v>5491</v>
      </c>
      <c r="M239" s="1537">
        <v>44341</v>
      </c>
    </row>
    <row r="240" spans="1:13" s="1329" customFormat="1" ht="45">
      <c r="A240" s="1533">
        <v>231</v>
      </c>
      <c r="B240" s="1534" t="s">
        <v>1143</v>
      </c>
      <c r="C240" s="1535" t="s">
        <v>1146</v>
      </c>
      <c r="D240" s="1535" t="s">
        <v>2679</v>
      </c>
      <c r="E240" s="1535" t="s">
        <v>5448</v>
      </c>
      <c r="F240" s="1533" t="s">
        <v>1078</v>
      </c>
      <c r="G240" s="1533">
        <v>87</v>
      </c>
      <c r="H240" s="1535" t="s">
        <v>2159</v>
      </c>
      <c r="I240" s="1533" t="s">
        <v>1853</v>
      </c>
      <c r="J240" s="1562">
        <v>80.7</v>
      </c>
      <c r="K240" s="1562">
        <v>80.5</v>
      </c>
      <c r="L240" s="1535" t="s">
        <v>5491</v>
      </c>
      <c r="M240" s="1537">
        <v>44341</v>
      </c>
    </row>
    <row r="241" spans="1:13" s="1329" customFormat="1" ht="45">
      <c r="A241" s="1533">
        <v>232</v>
      </c>
      <c r="B241" s="1534" t="s">
        <v>1143</v>
      </c>
      <c r="C241" s="1535" t="s">
        <v>1146</v>
      </c>
      <c r="D241" s="1535" t="s">
        <v>2679</v>
      </c>
      <c r="E241" s="1535" t="s">
        <v>5448</v>
      </c>
      <c r="F241" s="1533" t="s">
        <v>1078</v>
      </c>
      <c r="G241" s="1533">
        <v>87</v>
      </c>
      <c r="H241" s="1535" t="s">
        <v>2159</v>
      </c>
      <c r="I241" s="1533" t="s">
        <v>129</v>
      </c>
      <c r="J241" s="1562">
        <v>78.099999999999994</v>
      </c>
      <c r="K241" s="1562">
        <v>77.900000000000006</v>
      </c>
      <c r="L241" s="1535" t="s">
        <v>5491</v>
      </c>
      <c r="M241" s="1537">
        <v>44341</v>
      </c>
    </row>
    <row r="242" spans="1:13" s="1329" customFormat="1" ht="45">
      <c r="A242" s="1533">
        <v>233</v>
      </c>
      <c r="B242" s="1534" t="s">
        <v>1143</v>
      </c>
      <c r="C242" s="1535" t="s">
        <v>1160</v>
      </c>
      <c r="D242" s="1535" t="s">
        <v>2683</v>
      </c>
      <c r="E242" s="1535" t="s">
        <v>5448</v>
      </c>
      <c r="F242" s="1533" t="s">
        <v>1078</v>
      </c>
      <c r="G242" s="1533">
        <v>87</v>
      </c>
      <c r="H242" s="1535" t="s">
        <v>2159</v>
      </c>
      <c r="I242" s="1533" t="s">
        <v>1830</v>
      </c>
      <c r="J242" s="1558">
        <v>50.7</v>
      </c>
      <c r="K242" s="1558">
        <v>53.3</v>
      </c>
      <c r="L242" s="1535" t="s">
        <v>5491</v>
      </c>
      <c r="M242" s="1537">
        <v>44341</v>
      </c>
    </row>
    <row r="243" spans="1:13" s="1329" customFormat="1" ht="45">
      <c r="A243" s="1533">
        <v>234</v>
      </c>
      <c r="B243" s="1534" t="s">
        <v>1143</v>
      </c>
      <c r="C243" s="1535" t="s">
        <v>1160</v>
      </c>
      <c r="D243" s="1535" t="s">
        <v>2683</v>
      </c>
      <c r="E243" s="1535" t="s">
        <v>5448</v>
      </c>
      <c r="F243" s="1533" t="s">
        <v>1078</v>
      </c>
      <c r="G243" s="1533">
        <v>87</v>
      </c>
      <c r="H243" s="1535" t="s">
        <v>2159</v>
      </c>
      <c r="I243" s="1533" t="s">
        <v>1840</v>
      </c>
      <c r="J243" s="1558">
        <v>50</v>
      </c>
      <c r="K243" s="1558">
        <v>52.6</v>
      </c>
      <c r="L243" s="1535" t="s">
        <v>5491</v>
      </c>
      <c r="M243" s="1537">
        <v>44341</v>
      </c>
    </row>
    <row r="244" spans="1:13" s="1329" customFormat="1" ht="45">
      <c r="A244" s="1533">
        <v>235</v>
      </c>
      <c r="B244" s="1534" t="s">
        <v>1143</v>
      </c>
      <c r="C244" s="1535" t="s">
        <v>1160</v>
      </c>
      <c r="D244" s="1535" t="s">
        <v>2683</v>
      </c>
      <c r="E244" s="1535" t="s">
        <v>5448</v>
      </c>
      <c r="F244" s="1533" t="s">
        <v>1078</v>
      </c>
      <c r="G244" s="1533">
        <v>87</v>
      </c>
      <c r="H244" s="1535" t="s">
        <v>2159</v>
      </c>
      <c r="I244" s="1533" t="s">
        <v>1847</v>
      </c>
      <c r="J244" s="1558">
        <v>49.1</v>
      </c>
      <c r="K244" s="1558">
        <v>51.6</v>
      </c>
      <c r="L244" s="1535" t="s">
        <v>5491</v>
      </c>
      <c r="M244" s="1537">
        <v>44341</v>
      </c>
    </row>
    <row r="245" spans="1:13" s="1329" customFormat="1" ht="45">
      <c r="A245" s="1533">
        <v>236</v>
      </c>
      <c r="B245" s="1534" t="s">
        <v>1143</v>
      </c>
      <c r="C245" s="1535" t="s">
        <v>1160</v>
      </c>
      <c r="D245" s="1535" t="s">
        <v>2683</v>
      </c>
      <c r="E245" s="1535" t="s">
        <v>5448</v>
      </c>
      <c r="F245" s="1533" t="s">
        <v>1078</v>
      </c>
      <c r="G245" s="1533">
        <v>87</v>
      </c>
      <c r="H245" s="1535" t="s">
        <v>2159</v>
      </c>
      <c r="I245" s="1533" t="s">
        <v>1853</v>
      </c>
      <c r="J245" s="1558">
        <v>47.9</v>
      </c>
      <c r="K245" s="1558">
        <v>50.4</v>
      </c>
      <c r="L245" s="1535" t="s">
        <v>5491</v>
      </c>
      <c r="M245" s="1537">
        <v>44341</v>
      </c>
    </row>
    <row r="246" spans="1:13" s="1329" customFormat="1" ht="45">
      <c r="A246" s="1533">
        <v>237</v>
      </c>
      <c r="B246" s="1534" t="s">
        <v>1143</v>
      </c>
      <c r="C246" s="1535" t="s">
        <v>1160</v>
      </c>
      <c r="D246" s="1535" t="s">
        <v>2683</v>
      </c>
      <c r="E246" s="1535" t="s">
        <v>5448</v>
      </c>
      <c r="F246" s="1533" t="s">
        <v>1078</v>
      </c>
      <c r="G246" s="1533">
        <v>87</v>
      </c>
      <c r="H246" s="1535" t="s">
        <v>2159</v>
      </c>
      <c r="I246" s="1533" t="s">
        <v>129</v>
      </c>
      <c r="J246" s="1558">
        <v>46.6</v>
      </c>
      <c r="K246" s="1558">
        <v>49</v>
      </c>
      <c r="L246" s="1535" t="s">
        <v>5491</v>
      </c>
      <c r="M246" s="1537">
        <v>44341</v>
      </c>
    </row>
    <row r="247" spans="1:13" s="1329" customFormat="1" ht="45">
      <c r="A247" s="1533">
        <v>238</v>
      </c>
      <c r="B247" s="1534" t="s">
        <v>1143</v>
      </c>
      <c r="C247" s="1535" t="s">
        <v>1124</v>
      </c>
      <c r="D247" s="1535" t="s">
        <v>788</v>
      </c>
      <c r="E247" s="1535" t="s">
        <v>5448</v>
      </c>
      <c r="F247" s="1533" t="s">
        <v>1078</v>
      </c>
      <c r="G247" s="1533">
        <v>100</v>
      </c>
      <c r="H247" s="1533" t="s">
        <v>2208</v>
      </c>
      <c r="I247" s="1533" t="s">
        <v>5492</v>
      </c>
      <c r="J247" s="1536">
        <v>-0.874</v>
      </c>
      <c r="K247" s="1536">
        <v>-0.877</v>
      </c>
      <c r="L247" s="1535" t="s">
        <v>5493</v>
      </c>
      <c r="M247" s="1537">
        <v>44341</v>
      </c>
    </row>
    <row r="248" spans="1:13" s="1329" customFormat="1" ht="45">
      <c r="A248" s="1533">
        <v>239</v>
      </c>
      <c r="B248" s="1534" t="s">
        <v>1143</v>
      </c>
      <c r="C248" s="1535" t="s">
        <v>1308</v>
      </c>
      <c r="D248" s="1535" t="s">
        <v>2731</v>
      </c>
      <c r="E248" s="1535" t="s">
        <v>5448</v>
      </c>
      <c r="F248" s="1533" t="s">
        <v>1078</v>
      </c>
      <c r="G248" s="1533">
        <v>6</v>
      </c>
      <c r="H248" s="1533" t="s">
        <v>5494</v>
      </c>
      <c r="I248" s="1533" t="s">
        <v>5492</v>
      </c>
      <c r="J248" s="1536" t="s">
        <v>5492</v>
      </c>
      <c r="K248" s="1536" t="s">
        <v>5492</v>
      </c>
      <c r="L248" s="1535" t="s">
        <v>5495</v>
      </c>
      <c r="M248" s="1537">
        <v>44341</v>
      </c>
    </row>
    <row r="249" spans="1:13" s="1329" customFormat="1" ht="45">
      <c r="A249" s="1533">
        <v>240</v>
      </c>
      <c r="B249" s="1534" t="s">
        <v>1143</v>
      </c>
      <c r="C249" s="1535" t="s">
        <v>1147</v>
      </c>
      <c r="D249" s="1535" t="s">
        <v>1084</v>
      </c>
      <c r="E249" s="1535" t="s">
        <v>5448</v>
      </c>
      <c r="F249" s="1533" t="s">
        <v>1078</v>
      </c>
      <c r="G249" s="1533">
        <v>41</v>
      </c>
      <c r="H249" s="1533" t="s">
        <v>5409</v>
      </c>
      <c r="I249" s="1533" t="s">
        <v>1830</v>
      </c>
      <c r="J249" s="1562">
        <v>142.5</v>
      </c>
      <c r="K249" s="1562">
        <v>149.4</v>
      </c>
      <c r="L249" s="1535" t="s">
        <v>5496</v>
      </c>
      <c r="M249" s="1537">
        <v>44341</v>
      </c>
    </row>
    <row r="250" spans="1:13" s="1329" customFormat="1" ht="45">
      <c r="A250" s="1533">
        <v>241</v>
      </c>
      <c r="B250" s="1534" t="s">
        <v>1143</v>
      </c>
      <c r="C250" s="1535" t="s">
        <v>1147</v>
      </c>
      <c r="D250" s="1535" t="s">
        <v>1084</v>
      </c>
      <c r="E250" s="1535" t="s">
        <v>5448</v>
      </c>
      <c r="F250" s="1533" t="s">
        <v>1078</v>
      </c>
      <c r="G250" s="1533">
        <v>41</v>
      </c>
      <c r="H250" s="1533" t="s">
        <v>5409</v>
      </c>
      <c r="I250" s="1533" t="s">
        <v>1840</v>
      </c>
      <c r="J250" s="1562">
        <v>141</v>
      </c>
      <c r="K250" s="1562">
        <v>147.9</v>
      </c>
      <c r="L250" s="1535" t="s">
        <v>5496</v>
      </c>
      <c r="M250" s="1537">
        <v>44341</v>
      </c>
    </row>
    <row r="251" spans="1:13" s="1329" customFormat="1" ht="45">
      <c r="A251" s="1533">
        <v>242</v>
      </c>
      <c r="B251" s="1534" t="s">
        <v>1143</v>
      </c>
      <c r="C251" s="1535" t="s">
        <v>1147</v>
      </c>
      <c r="D251" s="1535" t="s">
        <v>1084</v>
      </c>
      <c r="E251" s="1535" t="s">
        <v>5448</v>
      </c>
      <c r="F251" s="1533" t="s">
        <v>1078</v>
      </c>
      <c r="G251" s="1533">
        <v>41</v>
      </c>
      <c r="H251" s="1533" t="s">
        <v>5409</v>
      </c>
      <c r="I251" s="1533" t="s">
        <v>1847</v>
      </c>
      <c r="J251" s="1562">
        <v>139.4</v>
      </c>
      <c r="K251" s="1562">
        <v>146.19999999999999</v>
      </c>
      <c r="L251" s="1535" t="s">
        <v>5496</v>
      </c>
      <c r="M251" s="1537">
        <v>44341</v>
      </c>
    </row>
    <row r="252" spans="1:13" s="1329" customFormat="1" ht="45">
      <c r="A252" s="1533">
        <v>243</v>
      </c>
      <c r="B252" s="1534" t="s">
        <v>1143</v>
      </c>
      <c r="C252" s="1535" t="s">
        <v>1147</v>
      </c>
      <c r="D252" s="1535" t="s">
        <v>1084</v>
      </c>
      <c r="E252" s="1535" t="s">
        <v>5448</v>
      </c>
      <c r="F252" s="1533" t="s">
        <v>1078</v>
      </c>
      <c r="G252" s="1533">
        <v>41</v>
      </c>
      <c r="H252" s="1533" t="s">
        <v>5409</v>
      </c>
      <c r="I252" s="1533" t="s">
        <v>1853</v>
      </c>
      <c r="J252" s="1562">
        <v>137.69999999999999</v>
      </c>
      <c r="K252" s="1562">
        <v>144.4</v>
      </c>
      <c r="L252" s="1535" t="s">
        <v>5496</v>
      </c>
      <c r="M252" s="1537">
        <v>44341</v>
      </c>
    </row>
    <row r="253" spans="1:13" s="1329" customFormat="1" ht="45">
      <c r="A253" s="1533">
        <v>244</v>
      </c>
      <c r="B253" s="1534" t="s">
        <v>1143</v>
      </c>
      <c r="C253" s="1535" t="s">
        <v>1147</v>
      </c>
      <c r="D253" s="1535" t="s">
        <v>1084</v>
      </c>
      <c r="E253" s="1535" t="s">
        <v>5448</v>
      </c>
      <c r="F253" s="1533" t="s">
        <v>1078</v>
      </c>
      <c r="G253" s="1533">
        <v>41</v>
      </c>
      <c r="H253" s="1533" t="s">
        <v>5409</v>
      </c>
      <c r="I253" s="1533" t="s">
        <v>129</v>
      </c>
      <c r="J253" s="1562">
        <v>136</v>
      </c>
      <c r="K253" s="1562">
        <v>142.6</v>
      </c>
      <c r="L253" s="1535" t="s">
        <v>5496</v>
      </c>
      <c r="M253" s="1537">
        <v>44341</v>
      </c>
    </row>
    <row r="254" spans="1:13" s="1329" customFormat="1" ht="30">
      <c r="A254" s="1518">
        <v>245</v>
      </c>
      <c r="B254" s="1528" t="s">
        <v>1143</v>
      </c>
      <c r="C254" s="1529" t="s">
        <v>1486</v>
      </c>
      <c r="D254" s="1529" t="s">
        <v>5497</v>
      </c>
      <c r="E254" s="1529" t="s">
        <v>5398</v>
      </c>
      <c r="F254" s="1518" t="s">
        <v>1078</v>
      </c>
      <c r="G254" s="1518">
        <v>97</v>
      </c>
      <c r="H254" s="1532" t="s">
        <v>2206</v>
      </c>
      <c r="I254" s="1518" t="s">
        <v>5492</v>
      </c>
      <c r="J254" s="1530" t="s">
        <v>5400</v>
      </c>
      <c r="K254" s="1539">
        <v>-4.1700000000000001E-2</v>
      </c>
      <c r="L254" s="1529" t="s">
        <v>5498</v>
      </c>
      <c r="M254" s="1531">
        <v>44341</v>
      </c>
    </row>
    <row r="255" spans="1:13" s="1329" customFormat="1" ht="15">
      <c r="A255" s="1533">
        <v>246</v>
      </c>
      <c r="B255" s="1534" t="s">
        <v>1102</v>
      </c>
      <c r="C255" s="1535" t="s">
        <v>1104</v>
      </c>
      <c r="D255" s="1535" t="s">
        <v>179</v>
      </c>
      <c r="E255" s="1535" t="s">
        <v>913</v>
      </c>
      <c r="F255" s="1533" t="s">
        <v>1078</v>
      </c>
      <c r="G255" s="1533">
        <v>41</v>
      </c>
      <c r="H255" s="1533" t="s">
        <v>5499</v>
      </c>
      <c r="I255" s="1533" t="s">
        <v>1936</v>
      </c>
      <c r="J255" s="1536" t="s">
        <v>5500</v>
      </c>
      <c r="K255" s="1536" t="s">
        <v>5501</v>
      </c>
      <c r="L255" s="1535" t="s">
        <v>5502</v>
      </c>
      <c r="M255" s="1537">
        <v>44342</v>
      </c>
    </row>
    <row r="256" spans="1:13" s="1329" customFormat="1" ht="15">
      <c r="A256" s="1533">
        <v>247</v>
      </c>
      <c r="B256" s="1534" t="s">
        <v>1102</v>
      </c>
      <c r="C256" s="1535" t="s">
        <v>1104</v>
      </c>
      <c r="D256" s="1535" t="s">
        <v>179</v>
      </c>
      <c r="E256" s="1535" t="s">
        <v>913</v>
      </c>
      <c r="F256" s="1533" t="s">
        <v>1078</v>
      </c>
      <c r="G256" s="1533">
        <v>77</v>
      </c>
      <c r="H256" s="1533" t="s">
        <v>1813</v>
      </c>
      <c r="I256" s="1533" t="s">
        <v>1936</v>
      </c>
      <c r="J256" s="1536" t="s">
        <v>5500</v>
      </c>
      <c r="K256" s="1536" t="s">
        <v>5501</v>
      </c>
      <c r="L256" s="1535" t="s">
        <v>5502</v>
      </c>
      <c r="M256" s="1537">
        <v>44342</v>
      </c>
    </row>
    <row r="257" spans="1:13" s="1329" customFormat="1" ht="15">
      <c r="A257" s="1533">
        <v>248</v>
      </c>
      <c r="B257" s="1534" t="s">
        <v>1102</v>
      </c>
      <c r="C257" s="1535" t="s">
        <v>1104</v>
      </c>
      <c r="D257" s="1535" t="s">
        <v>179</v>
      </c>
      <c r="E257" s="1535" t="s">
        <v>913</v>
      </c>
      <c r="F257" s="1533" t="s">
        <v>1078</v>
      </c>
      <c r="G257" s="1533">
        <v>87</v>
      </c>
      <c r="H257" s="1533" t="s">
        <v>1809</v>
      </c>
      <c r="I257" s="1533" t="s">
        <v>1936</v>
      </c>
      <c r="J257" s="1536" t="s">
        <v>5500</v>
      </c>
      <c r="K257" s="1536" t="s">
        <v>5501</v>
      </c>
      <c r="L257" s="1535" t="s">
        <v>5502</v>
      </c>
      <c r="M257" s="1537">
        <v>44342</v>
      </c>
    </row>
    <row r="258" spans="1:13" s="1329" customFormat="1" ht="15">
      <c r="A258" s="1518">
        <v>249</v>
      </c>
      <c r="B258" s="1528" t="s">
        <v>1102</v>
      </c>
      <c r="C258" s="1529" t="s">
        <v>1104</v>
      </c>
      <c r="D258" s="1529" t="s">
        <v>179</v>
      </c>
      <c r="E258" s="1529" t="s">
        <v>913</v>
      </c>
      <c r="F258" s="1518" t="s">
        <v>1078</v>
      </c>
      <c r="G258" s="1518">
        <v>67</v>
      </c>
      <c r="H258" s="1518" t="s">
        <v>2155</v>
      </c>
      <c r="I258" s="1518" t="s">
        <v>1936</v>
      </c>
      <c r="J258" s="1541">
        <v>384.6</v>
      </c>
      <c r="K258" s="1541">
        <v>0</v>
      </c>
      <c r="L258" s="1529" t="s">
        <v>5503</v>
      </c>
      <c r="M258" s="1531">
        <v>44342</v>
      </c>
    </row>
    <row r="259" spans="1:13" s="1329" customFormat="1" ht="15">
      <c r="A259" s="1518">
        <v>250</v>
      </c>
      <c r="B259" s="1528" t="s">
        <v>1102</v>
      </c>
      <c r="C259" s="1529" t="s">
        <v>1104</v>
      </c>
      <c r="D259" s="1529" t="s">
        <v>179</v>
      </c>
      <c r="E259" s="1529" t="s">
        <v>913</v>
      </c>
      <c r="F259" s="1518" t="s">
        <v>1078</v>
      </c>
      <c r="G259" s="1518">
        <v>72</v>
      </c>
      <c r="H259" s="1518" t="s">
        <v>2156</v>
      </c>
      <c r="I259" s="1518" t="s">
        <v>1936</v>
      </c>
      <c r="J259" s="1541">
        <v>332</v>
      </c>
      <c r="K259" s="1541">
        <v>384.6</v>
      </c>
      <c r="L259" s="1529" t="s">
        <v>5490</v>
      </c>
      <c r="M259" s="1531">
        <v>44342</v>
      </c>
    </row>
    <row r="260" spans="1:13" s="1329" customFormat="1" ht="15">
      <c r="A260" s="1533">
        <v>251</v>
      </c>
      <c r="B260" s="1534" t="s">
        <v>1102</v>
      </c>
      <c r="C260" s="1535" t="s">
        <v>1095</v>
      </c>
      <c r="D260" s="1535" t="s">
        <v>784</v>
      </c>
      <c r="E260" s="1535" t="s">
        <v>913</v>
      </c>
      <c r="F260" s="1533" t="s">
        <v>1078</v>
      </c>
      <c r="G260" s="1533">
        <v>87</v>
      </c>
      <c r="H260" s="1533" t="s">
        <v>2159</v>
      </c>
      <c r="I260" s="1533" t="s">
        <v>1830</v>
      </c>
      <c r="J260" s="1533">
        <v>1.62</v>
      </c>
      <c r="K260" s="1533">
        <v>1.35</v>
      </c>
      <c r="L260" s="1535" t="s">
        <v>5504</v>
      </c>
      <c r="M260" s="1537">
        <v>44342</v>
      </c>
    </row>
    <row r="261" spans="1:13" s="1329" customFormat="1" ht="15">
      <c r="A261" s="1533">
        <v>252</v>
      </c>
      <c r="B261" s="1534" t="s">
        <v>1102</v>
      </c>
      <c r="C261" s="1535" t="s">
        <v>1095</v>
      </c>
      <c r="D261" s="1535" t="s">
        <v>784</v>
      </c>
      <c r="E261" s="1535" t="s">
        <v>913</v>
      </c>
      <c r="F261" s="1533" t="s">
        <v>1078</v>
      </c>
      <c r="G261" s="1533">
        <v>87</v>
      </c>
      <c r="H261" s="1533" t="s">
        <v>2159</v>
      </c>
      <c r="I261" s="1533" t="s">
        <v>1840</v>
      </c>
      <c r="J261" s="1533">
        <v>1.52</v>
      </c>
      <c r="K261" s="1533">
        <v>1.3</v>
      </c>
      <c r="L261" s="1535" t="s">
        <v>5504</v>
      </c>
      <c r="M261" s="1537">
        <v>44342</v>
      </c>
    </row>
    <row r="262" spans="1:13" s="1329" customFormat="1" ht="15">
      <c r="A262" s="1533">
        <v>253</v>
      </c>
      <c r="B262" s="1534" t="s">
        <v>1102</v>
      </c>
      <c r="C262" s="1535" t="s">
        <v>1095</v>
      </c>
      <c r="D262" s="1535" t="s">
        <v>784</v>
      </c>
      <c r="E262" s="1535" t="s">
        <v>913</v>
      </c>
      <c r="F262" s="1533" t="s">
        <v>1078</v>
      </c>
      <c r="G262" s="1533">
        <v>87</v>
      </c>
      <c r="H262" s="1533" t="s">
        <v>2159</v>
      </c>
      <c r="I262" s="1533" t="s">
        <v>1847</v>
      </c>
      <c r="J262" s="1533">
        <v>1.43</v>
      </c>
      <c r="K262" s="1533">
        <v>1.25</v>
      </c>
      <c r="L262" s="1535" t="s">
        <v>5504</v>
      </c>
      <c r="M262" s="1537">
        <v>44342</v>
      </c>
    </row>
    <row r="263" spans="1:13" s="1329" customFormat="1" ht="15">
      <c r="A263" s="1533">
        <v>254</v>
      </c>
      <c r="B263" s="1534" t="s">
        <v>1102</v>
      </c>
      <c r="C263" s="1535" t="s">
        <v>1095</v>
      </c>
      <c r="D263" s="1535" t="s">
        <v>784</v>
      </c>
      <c r="E263" s="1535" t="s">
        <v>913</v>
      </c>
      <c r="F263" s="1533" t="s">
        <v>1078</v>
      </c>
      <c r="G263" s="1533">
        <v>87</v>
      </c>
      <c r="H263" s="1533" t="s">
        <v>2159</v>
      </c>
      <c r="I263" s="1533" t="s">
        <v>1853</v>
      </c>
      <c r="J263" s="1533">
        <v>1.23</v>
      </c>
      <c r="K263" s="1533">
        <v>1.1100000000000001</v>
      </c>
      <c r="L263" s="1535" t="s">
        <v>5504</v>
      </c>
      <c r="M263" s="1537">
        <v>44342</v>
      </c>
    </row>
    <row r="264" spans="1:13" s="1329" customFormat="1" ht="15">
      <c r="A264" s="1533">
        <v>255</v>
      </c>
      <c r="B264" s="1534" t="s">
        <v>1102</v>
      </c>
      <c r="C264" s="1535" t="s">
        <v>1095</v>
      </c>
      <c r="D264" s="1535" t="s">
        <v>784</v>
      </c>
      <c r="E264" s="1535" t="s">
        <v>913</v>
      </c>
      <c r="F264" s="1533" t="s">
        <v>1078</v>
      </c>
      <c r="G264" s="1533">
        <v>87</v>
      </c>
      <c r="H264" s="1533" t="s">
        <v>2159</v>
      </c>
      <c r="I264" s="1533" t="s">
        <v>129</v>
      </c>
      <c r="J264" s="1533">
        <v>1.07</v>
      </c>
      <c r="K264" s="1533">
        <v>1.01</v>
      </c>
      <c r="L264" s="1535" t="s">
        <v>5504</v>
      </c>
      <c r="M264" s="1537">
        <v>44342</v>
      </c>
    </row>
    <row r="265" spans="1:13" s="1329" customFormat="1" ht="15">
      <c r="A265" s="1533">
        <v>256</v>
      </c>
      <c r="B265" s="1534" t="s">
        <v>1102</v>
      </c>
      <c r="C265" s="1535" t="s">
        <v>1096</v>
      </c>
      <c r="D265" s="1535" t="s">
        <v>788</v>
      </c>
      <c r="E265" s="1535" t="s">
        <v>913</v>
      </c>
      <c r="F265" s="1533" t="s">
        <v>1078</v>
      </c>
      <c r="G265" s="1533">
        <v>87</v>
      </c>
      <c r="H265" s="1533" t="s">
        <v>2159</v>
      </c>
      <c r="I265" s="1533" t="s">
        <v>1830</v>
      </c>
      <c r="J265" s="1558">
        <v>17</v>
      </c>
      <c r="K265" s="1558">
        <v>9.51</v>
      </c>
      <c r="L265" s="1535" t="s">
        <v>5504</v>
      </c>
      <c r="M265" s="1537">
        <v>44342</v>
      </c>
    </row>
    <row r="266" spans="1:13" s="1329" customFormat="1" ht="15">
      <c r="A266" s="1533">
        <v>257</v>
      </c>
      <c r="B266" s="1534" t="s">
        <v>1102</v>
      </c>
      <c r="C266" s="1535" t="s">
        <v>1096</v>
      </c>
      <c r="D266" s="1535" t="s">
        <v>788</v>
      </c>
      <c r="E266" s="1535" t="s">
        <v>913</v>
      </c>
      <c r="F266" s="1533" t="s">
        <v>1078</v>
      </c>
      <c r="G266" s="1533">
        <v>87</v>
      </c>
      <c r="H266" s="1533" t="s">
        <v>2159</v>
      </c>
      <c r="I266" s="1533" t="s">
        <v>1840</v>
      </c>
      <c r="J266" s="1558">
        <v>16.5</v>
      </c>
      <c r="K266" s="1558">
        <v>8.74</v>
      </c>
      <c r="L266" s="1535" t="s">
        <v>5504</v>
      </c>
      <c r="M266" s="1537">
        <v>44342</v>
      </c>
    </row>
    <row r="267" spans="1:13" s="1329" customFormat="1" ht="15">
      <c r="A267" s="1533">
        <v>258</v>
      </c>
      <c r="B267" s="1534" t="s">
        <v>1102</v>
      </c>
      <c r="C267" s="1535" t="s">
        <v>1096</v>
      </c>
      <c r="D267" s="1535" t="s">
        <v>788</v>
      </c>
      <c r="E267" s="1535" t="s">
        <v>913</v>
      </c>
      <c r="F267" s="1533" t="s">
        <v>1078</v>
      </c>
      <c r="G267" s="1533">
        <v>87</v>
      </c>
      <c r="H267" s="1533" t="s">
        <v>2159</v>
      </c>
      <c r="I267" s="1533" t="s">
        <v>1847</v>
      </c>
      <c r="J267" s="1558">
        <v>16</v>
      </c>
      <c r="K267" s="1558">
        <v>8</v>
      </c>
      <c r="L267" s="1535" t="s">
        <v>5504</v>
      </c>
      <c r="M267" s="1537">
        <v>44342</v>
      </c>
    </row>
    <row r="268" spans="1:13" s="1329" customFormat="1" ht="15">
      <c r="A268" s="1533">
        <v>259</v>
      </c>
      <c r="B268" s="1534" t="s">
        <v>1102</v>
      </c>
      <c r="C268" s="1535" t="s">
        <v>1096</v>
      </c>
      <c r="D268" s="1535" t="s">
        <v>788</v>
      </c>
      <c r="E268" s="1535" t="s">
        <v>913</v>
      </c>
      <c r="F268" s="1533" t="s">
        <v>1078</v>
      </c>
      <c r="G268" s="1533">
        <v>87</v>
      </c>
      <c r="H268" s="1533" t="s">
        <v>2159</v>
      </c>
      <c r="I268" s="1533" t="s">
        <v>1853</v>
      </c>
      <c r="J268" s="1558">
        <v>15.5</v>
      </c>
      <c r="K268" s="1558">
        <v>7.4</v>
      </c>
      <c r="L268" s="1535" t="s">
        <v>5504</v>
      </c>
      <c r="M268" s="1537">
        <v>44342</v>
      </c>
    </row>
    <row r="269" spans="1:13" s="1329" customFormat="1" ht="15">
      <c r="A269" s="1533">
        <v>260</v>
      </c>
      <c r="B269" s="1534" t="s">
        <v>1102</v>
      </c>
      <c r="C269" s="1535" t="s">
        <v>1096</v>
      </c>
      <c r="D269" s="1535" t="s">
        <v>788</v>
      </c>
      <c r="E269" s="1535" t="s">
        <v>913</v>
      </c>
      <c r="F269" s="1533" t="s">
        <v>1078</v>
      </c>
      <c r="G269" s="1533">
        <v>87</v>
      </c>
      <c r="H269" s="1533" t="s">
        <v>2159</v>
      </c>
      <c r="I269" s="1533" t="s">
        <v>129</v>
      </c>
      <c r="J269" s="1558">
        <v>15</v>
      </c>
      <c r="K269" s="1558">
        <v>4.5</v>
      </c>
      <c r="L269" s="1535" t="s">
        <v>5504</v>
      </c>
      <c r="M269" s="1537">
        <v>44342</v>
      </c>
    </row>
    <row r="270" spans="1:13" s="1329" customFormat="1" ht="30">
      <c r="A270" s="1533">
        <v>261</v>
      </c>
      <c r="B270" s="1534" t="s">
        <v>1269</v>
      </c>
      <c r="C270" s="1802" t="s">
        <v>1168</v>
      </c>
      <c r="D270" s="1535" t="s">
        <v>567</v>
      </c>
      <c r="E270" s="1535" t="s">
        <v>913</v>
      </c>
      <c r="F270" s="1533" t="s">
        <v>1078</v>
      </c>
      <c r="G270" s="1533">
        <v>41</v>
      </c>
      <c r="H270" s="1533" t="s">
        <v>5409</v>
      </c>
      <c r="I270" s="1533" t="s">
        <v>1830</v>
      </c>
      <c r="J270" s="1533">
        <v>0.8</v>
      </c>
      <c r="K270" s="1563">
        <v>0.84</v>
      </c>
      <c r="L270" s="1535" t="s">
        <v>5505</v>
      </c>
      <c r="M270" s="1537">
        <v>44342</v>
      </c>
    </row>
    <row r="271" spans="1:13" s="1329" customFormat="1" ht="30">
      <c r="A271" s="1533">
        <v>262</v>
      </c>
      <c r="B271" s="1534" t="s">
        <v>1269</v>
      </c>
      <c r="C271" s="1802" t="s">
        <v>1168</v>
      </c>
      <c r="D271" s="1535" t="s">
        <v>567</v>
      </c>
      <c r="E271" s="1535" t="s">
        <v>913</v>
      </c>
      <c r="F271" s="1533" t="s">
        <v>1078</v>
      </c>
      <c r="G271" s="1533">
        <v>41</v>
      </c>
      <c r="H271" s="1533" t="s">
        <v>5409</v>
      </c>
      <c r="I271" s="1533" t="s">
        <v>1840</v>
      </c>
      <c r="J271" s="1533">
        <v>0.8</v>
      </c>
      <c r="K271" s="1563">
        <v>0.84</v>
      </c>
      <c r="L271" s="1535" t="s">
        <v>5505</v>
      </c>
      <c r="M271" s="1537">
        <v>44342</v>
      </c>
    </row>
    <row r="272" spans="1:13" s="1329" customFormat="1" ht="30">
      <c r="A272" s="1533">
        <v>263</v>
      </c>
      <c r="B272" s="1534" t="s">
        <v>1269</v>
      </c>
      <c r="C272" s="1802" t="s">
        <v>1168</v>
      </c>
      <c r="D272" s="1535" t="s">
        <v>567</v>
      </c>
      <c r="E272" s="1535" t="s">
        <v>913</v>
      </c>
      <c r="F272" s="1533" t="s">
        <v>1078</v>
      </c>
      <c r="G272" s="1533">
        <v>41</v>
      </c>
      <c r="H272" s="1533" t="s">
        <v>5409</v>
      </c>
      <c r="I272" s="1533" t="s">
        <v>1847</v>
      </c>
      <c r="J272" s="1533">
        <v>0.8</v>
      </c>
      <c r="K272" s="1563">
        <v>0.76</v>
      </c>
      <c r="L272" s="1535" t="s">
        <v>5505</v>
      </c>
      <c r="M272" s="1537">
        <v>44342</v>
      </c>
    </row>
    <row r="273" spans="1:13" s="1329" customFormat="1" ht="30">
      <c r="A273" s="1533">
        <v>264</v>
      </c>
      <c r="B273" s="1534" t="s">
        <v>1269</v>
      </c>
      <c r="C273" s="1802" t="s">
        <v>1168</v>
      </c>
      <c r="D273" s="1535" t="s">
        <v>567</v>
      </c>
      <c r="E273" s="1535" t="s">
        <v>913</v>
      </c>
      <c r="F273" s="1533" t="s">
        <v>1078</v>
      </c>
      <c r="G273" s="1533">
        <v>41</v>
      </c>
      <c r="H273" s="1533" t="s">
        <v>5409</v>
      </c>
      <c r="I273" s="1533" t="s">
        <v>1853</v>
      </c>
      <c r="J273" s="1533">
        <v>0.7</v>
      </c>
      <c r="K273" s="1563">
        <v>0.68</v>
      </c>
      <c r="L273" s="1535" t="s">
        <v>5505</v>
      </c>
      <c r="M273" s="1537">
        <v>44342</v>
      </c>
    </row>
    <row r="274" spans="1:13" s="1329" customFormat="1" ht="30">
      <c r="A274" s="1533">
        <v>265</v>
      </c>
      <c r="B274" s="1534" t="s">
        <v>1269</v>
      </c>
      <c r="C274" s="1802" t="s">
        <v>1168</v>
      </c>
      <c r="D274" s="1535" t="s">
        <v>567</v>
      </c>
      <c r="E274" s="1535" t="s">
        <v>913</v>
      </c>
      <c r="F274" s="1533" t="s">
        <v>1078</v>
      </c>
      <c r="G274" s="1533">
        <v>41</v>
      </c>
      <c r="H274" s="1533" t="s">
        <v>5409</v>
      </c>
      <c r="I274" s="1533" t="s">
        <v>129</v>
      </c>
      <c r="J274" s="1533">
        <v>0.3</v>
      </c>
      <c r="K274" s="1563">
        <v>0.32</v>
      </c>
      <c r="L274" s="1535" t="s">
        <v>5505</v>
      </c>
      <c r="M274" s="1537">
        <v>44342</v>
      </c>
    </row>
    <row r="275" spans="1:13" s="1329" customFormat="1" ht="15">
      <c r="A275" s="1518">
        <v>266</v>
      </c>
      <c r="B275" s="1528" t="s">
        <v>1102</v>
      </c>
      <c r="C275" s="1544" t="s">
        <v>1407</v>
      </c>
      <c r="D275" s="1529" t="s">
        <v>2078</v>
      </c>
      <c r="E275" s="1529" t="s">
        <v>913</v>
      </c>
      <c r="F275" s="1518" t="s">
        <v>1078</v>
      </c>
      <c r="G275" s="1518">
        <v>41</v>
      </c>
      <c r="H275" s="1518" t="s">
        <v>5409</v>
      </c>
      <c r="I275" s="1518" t="s">
        <v>1840</v>
      </c>
      <c r="J275" s="1518">
        <v>3.3</v>
      </c>
      <c r="K275" s="1518">
        <v>0</v>
      </c>
      <c r="L275" s="1529" t="s">
        <v>5506</v>
      </c>
      <c r="M275" s="1531">
        <v>44343</v>
      </c>
    </row>
    <row r="276" spans="1:13" s="1329" customFormat="1" ht="15">
      <c r="A276" s="1518">
        <v>267</v>
      </c>
      <c r="B276" s="1528" t="s">
        <v>1102</v>
      </c>
      <c r="C276" s="1544" t="s">
        <v>1407</v>
      </c>
      <c r="D276" s="1529" t="s">
        <v>2078</v>
      </c>
      <c r="E276" s="1529" t="s">
        <v>913</v>
      </c>
      <c r="F276" s="1518" t="s">
        <v>1078</v>
      </c>
      <c r="G276" s="1518">
        <v>41</v>
      </c>
      <c r="H276" s="1518" t="s">
        <v>5409</v>
      </c>
      <c r="I276" s="1518" t="s">
        <v>1847</v>
      </c>
      <c r="J276" s="1518">
        <v>45.8</v>
      </c>
      <c r="K276" s="1518">
        <v>0</v>
      </c>
      <c r="L276" s="1529" t="s">
        <v>5506</v>
      </c>
      <c r="M276" s="1531">
        <v>44343</v>
      </c>
    </row>
    <row r="277" spans="1:13" s="1329" customFormat="1" ht="15">
      <c r="A277" s="1518">
        <v>268</v>
      </c>
      <c r="B277" s="1528" t="s">
        <v>1102</v>
      </c>
      <c r="C277" s="1544" t="s">
        <v>1407</v>
      </c>
      <c r="D277" s="1529" t="s">
        <v>2078</v>
      </c>
      <c r="E277" s="1529" t="s">
        <v>913</v>
      </c>
      <c r="F277" s="1518" t="s">
        <v>1078</v>
      </c>
      <c r="G277" s="1518">
        <v>41</v>
      </c>
      <c r="H277" s="1518" t="s">
        <v>5409</v>
      </c>
      <c r="I277" s="1518" t="s">
        <v>1853</v>
      </c>
      <c r="J277" s="1518">
        <v>45.8</v>
      </c>
      <c r="K277" s="1518">
        <v>0</v>
      </c>
      <c r="L277" s="1529" t="s">
        <v>5506</v>
      </c>
      <c r="M277" s="1531">
        <v>44343</v>
      </c>
    </row>
    <row r="278" spans="1:13" s="1329" customFormat="1" ht="45">
      <c r="A278" s="1533">
        <v>269</v>
      </c>
      <c r="B278" s="1534" t="s">
        <v>1213</v>
      </c>
      <c r="C278" s="1803" t="s">
        <v>1462</v>
      </c>
      <c r="D278" s="1535" t="s">
        <v>2178</v>
      </c>
      <c r="E278" s="1535" t="s">
        <v>5448</v>
      </c>
      <c r="F278" s="1533" t="s">
        <v>1078</v>
      </c>
      <c r="G278" s="1533">
        <v>20</v>
      </c>
      <c r="H278" s="1533" t="s">
        <v>2171</v>
      </c>
      <c r="I278" s="1533" t="s">
        <v>5479</v>
      </c>
      <c r="J278" s="1533" t="s">
        <v>1857</v>
      </c>
      <c r="K278" s="1533" t="s">
        <v>2291</v>
      </c>
      <c r="L278" s="1535" t="s">
        <v>5507</v>
      </c>
      <c r="M278" s="1537">
        <v>44344</v>
      </c>
    </row>
    <row r="279" spans="1:13" s="1329" customFormat="1" ht="45">
      <c r="A279" s="1533">
        <v>270</v>
      </c>
      <c r="B279" s="1534" t="s">
        <v>1213</v>
      </c>
      <c r="C279" s="1803" t="s">
        <v>1402</v>
      </c>
      <c r="D279" s="1462" t="s">
        <v>3854</v>
      </c>
      <c r="E279" s="1535" t="s">
        <v>5448</v>
      </c>
      <c r="F279" s="1533" t="s">
        <v>1078</v>
      </c>
      <c r="G279" s="1533">
        <v>72</v>
      </c>
      <c r="H279" s="1533" t="s">
        <v>2156</v>
      </c>
      <c r="I279" s="1533" t="s">
        <v>1830</v>
      </c>
      <c r="J279" s="1533"/>
      <c r="K279" s="1533">
        <v>0</v>
      </c>
      <c r="L279" s="1535" t="s">
        <v>5507</v>
      </c>
      <c r="M279" s="1537">
        <v>44344</v>
      </c>
    </row>
    <row r="280" spans="1:13" s="1329" customFormat="1" ht="45">
      <c r="A280" s="1533">
        <v>271</v>
      </c>
      <c r="B280" s="1534" t="s">
        <v>1213</v>
      </c>
      <c r="C280" s="1803" t="s">
        <v>1402</v>
      </c>
      <c r="D280" s="1462" t="s">
        <v>3854</v>
      </c>
      <c r="E280" s="1535" t="s">
        <v>5448</v>
      </c>
      <c r="F280" s="1533" t="s">
        <v>1078</v>
      </c>
      <c r="G280" s="1533">
        <v>72</v>
      </c>
      <c r="H280" s="1533" t="s">
        <v>2156</v>
      </c>
      <c r="I280" s="1533" t="s">
        <v>1840</v>
      </c>
      <c r="J280" s="1533"/>
      <c r="K280" s="1533">
        <v>0</v>
      </c>
      <c r="L280" s="1535" t="s">
        <v>5507</v>
      </c>
      <c r="M280" s="1537">
        <v>44344</v>
      </c>
    </row>
    <row r="281" spans="1:13" s="1329" customFormat="1" ht="45">
      <c r="A281" s="1533">
        <v>272</v>
      </c>
      <c r="B281" s="1534" t="s">
        <v>1213</v>
      </c>
      <c r="C281" s="1803" t="s">
        <v>1402</v>
      </c>
      <c r="D281" s="1462" t="s">
        <v>3854</v>
      </c>
      <c r="E281" s="1535" t="s">
        <v>5448</v>
      </c>
      <c r="F281" s="1533" t="s">
        <v>1078</v>
      </c>
      <c r="G281" s="1533">
        <v>72</v>
      </c>
      <c r="H281" s="1533" t="s">
        <v>2156</v>
      </c>
      <c r="I281" s="1533" t="s">
        <v>1847</v>
      </c>
      <c r="J281" s="1533"/>
      <c r="K281" s="1533">
        <v>0</v>
      </c>
      <c r="L281" s="1535" t="s">
        <v>5507</v>
      </c>
      <c r="M281" s="1537">
        <v>44344</v>
      </c>
    </row>
    <row r="282" spans="1:13" s="1329" customFormat="1" ht="45">
      <c r="A282" s="1533">
        <v>273</v>
      </c>
      <c r="B282" s="1534" t="s">
        <v>1213</v>
      </c>
      <c r="C282" s="1803" t="s">
        <v>1402</v>
      </c>
      <c r="D282" s="1462" t="s">
        <v>3854</v>
      </c>
      <c r="E282" s="1535" t="s">
        <v>5448</v>
      </c>
      <c r="F282" s="1533" t="s">
        <v>1078</v>
      </c>
      <c r="G282" s="1533">
        <v>72</v>
      </c>
      <c r="H282" s="1533" t="s">
        <v>2156</v>
      </c>
      <c r="I282" s="1533" t="s">
        <v>1853</v>
      </c>
      <c r="J282" s="1533"/>
      <c r="K282" s="1533">
        <v>0</v>
      </c>
      <c r="L282" s="1535" t="s">
        <v>5507</v>
      </c>
      <c r="M282" s="1537">
        <v>44344</v>
      </c>
    </row>
    <row r="283" spans="1:13" s="1329" customFormat="1" ht="45">
      <c r="A283" s="1533">
        <v>274</v>
      </c>
      <c r="B283" s="1534" t="s">
        <v>1213</v>
      </c>
      <c r="C283" s="1803" t="s">
        <v>1402</v>
      </c>
      <c r="D283" s="1462" t="s">
        <v>3854</v>
      </c>
      <c r="E283" s="1535" t="s">
        <v>5448</v>
      </c>
      <c r="F283" s="1533" t="s">
        <v>1078</v>
      </c>
      <c r="G283" s="1533">
        <v>72</v>
      </c>
      <c r="H283" s="1533" t="s">
        <v>2156</v>
      </c>
      <c r="I283" s="1533" t="s">
        <v>129</v>
      </c>
      <c r="J283" s="1533"/>
      <c r="K283" s="1533">
        <v>0</v>
      </c>
      <c r="L283" s="1535" t="s">
        <v>5507</v>
      </c>
      <c r="M283" s="1537">
        <v>44344</v>
      </c>
    </row>
    <row r="284" spans="1:13" s="1329" customFormat="1" ht="45">
      <c r="A284" s="1533">
        <v>275</v>
      </c>
      <c r="B284" s="1534" t="s">
        <v>1213</v>
      </c>
      <c r="C284" s="1803" t="s">
        <v>1402</v>
      </c>
      <c r="D284" s="1462" t="s">
        <v>3854</v>
      </c>
      <c r="E284" s="1535" t="s">
        <v>5448</v>
      </c>
      <c r="F284" s="1533" t="s">
        <v>1078</v>
      </c>
      <c r="G284" s="1533">
        <v>87</v>
      </c>
      <c r="H284" s="1533" t="s">
        <v>5508</v>
      </c>
      <c r="I284" s="1533" t="s">
        <v>1830</v>
      </c>
      <c r="J284" s="1533"/>
      <c r="K284" s="1533">
        <v>0</v>
      </c>
      <c r="L284" s="1535" t="s">
        <v>5507</v>
      </c>
      <c r="M284" s="1537">
        <v>44344</v>
      </c>
    </row>
    <row r="285" spans="1:13" s="1329" customFormat="1" ht="45">
      <c r="A285" s="1533">
        <v>276</v>
      </c>
      <c r="B285" s="1534" t="s">
        <v>1213</v>
      </c>
      <c r="C285" s="1803" t="s">
        <v>1402</v>
      </c>
      <c r="D285" s="1462" t="s">
        <v>3854</v>
      </c>
      <c r="E285" s="1535" t="s">
        <v>5448</v>
      </c>
      <c r="F285" s="1533" t="s">
        <v>1078</v>
      </c>
      <c r="G285" s="1533">
        <v>87</v>
      </c>
      <c r="H285" s="1533" t="s">
        <v>5508</v>
      </c>
      <c r="I285" s="1533" t="s">
        <v>1840</v>
      </c>
      <c r="J285" s="1533"/>
      <c r="K285" s="1533">
        <v>1023</v>
      </c>
      <c r="L285" s="1535" t="s">
        <v>5507</v>
      </c>
      <c r="M285" s="1537">
        <v>44344</v>
      </c>
    </row>
    <row r="286" spans="1:13" s="1329" customFormat="1" ht="45">
      <c r="A286" s="1533">
        <v>277</v>
      </c>
      <c r="B286" s="1534" t="s">
        <v>1213</v>
      </c>
      <c r="C286" s="1803" t="s">
        <v>1402</v>
      </c>
      <c r="D286" s="1462" t="s">
        <v>3854</v>
      </c>
      <c r="E286" s="1535" t="s">
        <v>5448</v>
      </c>
      <c r="F286" s="1533" t="s">
        <v>1078</v>
      </c>
      <c r="G286" s="1533">
        <v>87</v>
      </c>
      <c r="H286" s="1533" t="s">
        <v>5508</v>
      </c>
      <c r="I286" s="1533" t="s">
        <v>1847</v>
      </c>
      <c r="J286" s="1533"/>
      <c r="K286" s="1533">
        <v>2046</v>
      </c>
      <c r="L286" s="1535" t="s">
        <v>5507</v>
      </c>
      <c r="M286" s="1537">
        <v>44344</v>
      </c>
    </row>
    <row r="287" spans="1:13" s="1329" customFormat="1" ht="45">
      <c r="A287" s="1533">
        <v>278</v>
      </c>
      <c r="B287" s="1534" t="s">
        <v>1213</v>
      </c>
      <c r="C287" s="1803" t="s">
        <v>1402</v>
      </c>
      <c r="D287" s="1462" t="s">
        <v>3854</v>
      </c>
      <c r="E287" s="1535" t="s">
        <v>5448</v>
      </c>
      <c r="F287" s="1533" t="s">
        <v>1078</v>
      </c>
      <c r="G287" s="1533">
        <v>87</v>
      </c>
      <c r="H287" s="1533" t="s">
        <v>5508</v>
      </c>
      <c r="I287" s="1533" t="s">
        <v>1853</v>
      </c>
      <c r="J287" s="1533"/>
      <c r="K287" s="1533">
        <v>3068</v>
      </c>
      <c r="L287" s="1535" t="s">
        <v>5507</v>
      </c>
      <c r="M287" s="1537">
        <v>44344</v>
      </c>
    </row>
    <row r="288" spans="1:13" s="1329" customFormat="1" ht="45">
      <c r="A288" s="1533">
        <v>279</v>
      </c>
      <c r="B288" s="1534" t="s">
        <v>1213</v>
      </c>
      <c r="C288" s="1803" t="s">
        <v>1402</v>
      </c>
      <c r="D288" s="1462" t="s">
        <v>3854</v>
      </c>
      <c r="E288" s="1535" t="s">
        <v>5448</v>
      </c>
      <c r="F288" s="1533" t="s">
        <v>1078</v>
      </c>
      <c r="G288" s="1533">
        <v>87</v>
      </c>
      <c r="H288" s="1533" t="s">
        <v>5508</v>
      </c>
      <c r="I288" s="1533" t="s">
        <v>129</v>
      </c>
      <c r="J288" s="1533"/>
      <c r="K288" s="1533">
        <v>4089</v>
      </c>
      <c r="L288" s="1535" t="s">
        <v>5507</v>
      </c>
      <c r="M288" s="1537">
        <v>44344</v>
      </c>
    </row>
    <row r="289" spans="1:13" s="1329" customFormat="1" ht="45">
      <c r="A289" s="1533">
        <v>280</v>
      </c>
      <c r="B289" s="1534" t="s">
        <v>1116</v>
      </c>
      <c r="C289" s="1803" t="s">
        <v>1403</v>
      </c>
      <c r="D289" s="1462" t="s">
        <v>4114</v>
      </c>
      <c r="E289" s="1535" t="s">
        <v>5448</v>
      </c>
      <c r="F289" s="1533" t="s">
        <v>1078</v>
      </c>
      <c r="G289" s="1533">
        <v>20</v>
      </c>
      <c r="H289" s="1533" t="s">
        <v>2171</v>
      </c>
      <c r="I289" s="1533" t="s">
        <v>5479</v>
      </c>
      <c r="J289" s="1533" t="s">
        <v>165</v>
      </c>
      <c r="K289" s="1533" t="s">
        <v>1857</v>
      </c>
      <c r="L289" s="1535" t="s">
        <v>5507</v>
      </c>
      <c r="M289" s="1537">
        <v>44344</v>
      </c>
    </row>
    <row r="290" spans="1:13" s="1329" customFormat="1" ht="45">
      <c r="A290" s="1533">
        <v>281</v>
      </c>
      <c r="B290" s="1534" t="s">
        <v>1116</v>
      </c>
      <c r="C290" s="1803" t="s">
        <v>1420</v>
      </c>
      <c r="D290" s="1463" t="s">
        <v>5509</v>
      </c>
      <c r="E290" s="1535" t="s">
        <v>5448</v>
      </c>
      <c r="F290" s="1533" t="s">
        <v>1078</v>
      </c>
      <c r="G290" s="1533">
        <v>20</v>
      </c>
      <c r="H290" s="1533" t="s">
        <v>2171</v>
      </c>
      <c r="I290" s="1533" t="s">
        <v>5479</v>
      </c>
      <c r="J290" s="1533" t="s">
        <v>165</v>
      </c>
      <c r="K290" s="1533" t="s">
        <v>1857</v>
      </c>
      <c r="L290" s="1535" t="s">
        <v>5507</v>
      </c>
      <c r="M290" s="1537">
        <v>44344</v>
      </c>
    </row>
    <row r="291" spans="1:13" s="1329" customFormat="1" ht="45">
      <c r="A291" s="1533">
        <v>282</v>
      </c>
      <c r="B291" s="1534" t="s">
        <v>1227</v>
      </c>
      <c r="C291" s="1803" t="s">
        <v>1464</v>
      </c>
      <c r="D291" s="1462" t="s">
        <v>4232</v>
      </c>
      <c r="E291" s="1535" t="s">
        <v>5448</v>
      </c>
      <c r="F291" s="1533" t="s">
        <v>1078</v>
      </c>
      <c r="G291" s="1533">
        <v>20</v>
      </c>
      <c r="H291" s="1533" t="s">
        <v>2171</v>
      </c>
      <c r="I291" s="1533" t="s">
        <v>5479</v>
      </c>
      <c r="J291" s="1533" t="s">
        <v>1857</v>
      </c>
      <c r="K291" s="1533" t="s">
        <v>4264</v>
      </c>
      <c r="L291" s="1535" t="s">
        <v>5507</v>
      </c>
      <c r="M291" s="1537">
        <v>44344</v>
      </c>
    </row>
    <row r="292" spans="1:13" s="1329" customFormat="1" ht="45">
      <c r="A292" s="1533">
        <v>283</v>
      </c>
      <c r="B292" s="1534" t="s">
        <v>1227</v>
      </c>
      <c r="C292" s="1803" t="s">
        <v>1478</v>
      </c>
      <c r="D292" s="1462" t="s">
        <v>4262</v>
      </c>
      <c r="E292" s="1535" t="s">
        <v>5448</v>
      </c>
      <c r="F292" s="1533" t="s">
        <v>1078</v>
      </c>
      <c r="G292" s="1533">
        <v>20</v>
      </c>
      <c r="H292" s="1533" t="s">
        <v>2171</v>
      </c>
      <c r="I292" s="1533" t="s">
        <v>5479</v>
      </c>
      <c r="J292" s="1533" t="s">
        <v>1857</v>
      </c>
      <c r="K292" s="1533" t="s">
        <v>4264</v>
      </c>
      <c r="L292" s="1535" t="s">
        <v>5507</v>
      </c>
      <c r="M292" s="1537">
        <v>44344</v>
      </c>
    </row>
    <row r="293" spans="1:13" s="1329" customFormat="1" ht="45">
      <c r="A293" s="1533">
        <v>284</v>
      </c>
      <c r="B293" s="1534" t="s">
        <v>1227</v>
      </c>
      <c r="C293" s="1803" t="s">
        <v>1484</v>
      </c>
      <c r="D293" s="1462" t="s">
        <v>4266</v>
      </c>
      <c r="E293" s="1535" t="s">
        <v>5448</v>
      </c>
      <c r="F293" s="1533" t="s">
        <v>1078</v>
      </c>
      <c r="G293" s="1533">
        <v>23</v>
      </c>
      <c r="H293" s="1533" t="s">
        <v>2045</v>
      </c>
      <c r="I293" s="1533" t="s">
        <v>5479</v>
      </c>
      <c r="J293" s="1533" t="s">
        <v>1828</v>
      </c>
      <c r="K293" s="1533" t="s">
        <v>1838</v>
      </c>
      <c r="L293" s="1535" t="s">
        <v>5507</v>
      </c>
      <c r="M293" s="1537">
        <v>44344</v>
      </c>
    </row>
    <row r="294" spans="1:13" s="1329" customFormat="1" ht="45">
      <c r="A294" s="1533">
        <v>285</v>
      </c>
      <c r="B294" s="1534" t="s">
        <v>1227</v>
      </c>
      <c r="C294" s="1803" t="s">
        <v>1579</v>
      </c>
      <c r="D294" s="1462" t="s">
        <v>4255</v>
      </c>
      <c r="E294" s="1535" t="s">
        <v>5448</v>
      </c>
      <c r="F294" s="1533" t="s">
        <v>1078</v>
      </c>
      <c r="G294" s="1533">
        <v>20</v>
      </c>
      <c r="H294" s="1533" t="s">
        <v>2171</v>
      </c>
      <c r="I294" s="1533" t="s">
        <v>5479</v>
      </c>
      <c r="J294" s="1533" t="s">
        <v>1857</v>
      </c>
      <c r="K294" s="1533" t="s">
        <v>1860</v>
      </c>
      <c r="L294" s="1535" t="s">
        <v>5507</v>
      </c>
      <c r="M294" s="1537">
        <v>44344</v>
      </c>
    </row>
    <row r="295" spans="1:13" s="1329" customFormat="1" ht="45">
      <c r="A295" s="1533">
        <v>286</v>
      </c>
      <c r="B295" s="1534" t="s">
        <v>1227</v>
      </c>
      <c r="C295" s="1803" t="s">
        <v>1583</v>
      </c>
      <c r="D295" s="1462" t="s">
        <v>4258</v>
      </c>
      <c r="E295" s="1535" t="s">
        <v>5448</v>
      </c>
      <c r="F295" s="1533" t="s">
        <v>1078</v>
      </c>
      <c r="G295" s="1533">
        <v>20</v>
      </c>
      <c r="H295" s="1533" t="s">
        <v>2171</v>
      </c>
      <c r="I295" s="1533" t="s">
        <v>5479</v>
      </c>
      <c r="J295" s="1533" t="s">
        <v>1857</v>
      </c>
      <c r="K295" s="1533" t="s">
        <v>1860</v>
      </c>
      <c r="L295" s="1535" t="s">
        <v>5507</v>
      </c>
      <c r="M295" s="1537">
        <v>44344</v>
      </c>
    </row>
    <row r="296" spans="1:13" s="1329" customFormat="1" ht="15">
      <c r="A296" s="1564">
        <v>287</v>
      </c>
      <c r="B296" s="1565" t="s">
        <v>1213</v>
      </c>
      <c r="C296" s="1804" t="s">
        <v>5510</v>
      </c>
      <c r="D296" s="1566" t="s">
        <v>5511</v>
      </c>
      <c r="E296" s="1566" t="s">
        <v>913</v>
      </c>
      <c r="F296" s="1564" t="s">
        <v>1078</v>
      </c>
      <c r="G296" s="1564">
        <v>41</v>
      </c>
      <c r="H296" s="1564" t="s">
        <v>5512</v>
      </c>
      <c r="I296" s="1564" t="s">
        <v>1830</v>
      </c>
      <c r="J296" s="1564">
        <v>0.76400000000000001</v>
      </c>
      <c r="K296" s="1564">
        <v>0.76</v>
      </c>
      <c r="L296" s="1566" t="s">
        <v>5513</v>
      </c>
      <c r="M296" s="1567">
        <v>44356</v>
      </c>
    </row>
    <row r="297" spans="1:13" s="1329" customFormat="1" ht="15">
      <c r="A297" s="1564">
        <v>288</v>
      </c>
      <c r="B297" s="1565" t="s">
        <v>1213</v>
      </c>
      <c r="C297" s="1804" t="s">
        <v>5510</v>
      </c>
      <c r="D297" s="1566" t="s">
        <v>5511</v>
      </c>
      <c r="E297" s="1566" t="s">
        <v>913</v>
      </c>
      <c r="F297" s="1564" t="s">
        <v>1078</v>
      </c>
      <c r="G297" s="1564">
        <v>41</v>
      </c>
      <c r="H297" s="1564" t="s">
        <v>5512</v>
      </c>
      <c r="I297" s="1564" t="s">
        <v>1840</v>
      </c>
      <c r="J297" s="1564">
        <v>0.71699999999999997</v>
      </c>
      <c r="K297" s="1564">
        <v>0.72</v>
      </c>
      <c r="L297" s="1566" t="s">
        <v>5513</v>
      </c>
      <c r="M297" s="1567">
        <v>44356</v>
      </c>
    </row>
    <row r="298" spans="1:13" s="1329" customFormat="1" ht="15">
      <c r="A298" s="1564">
        <v>289</v>
      </c>
      <c r="B298" s="1565" t="s">
        <v>1213</v>
      </c>
      <c r="C298" s="1804" t="s">
        <v>5510</v>
      </c>
      <c r="D298" s="1566" t="s">
        <v>5511</v>
      </c>
      <c r="E298" s="1566" t="s">
        <v>913</v>
      </c>
      <c r="F298" s="1564" t="s">
        <v>1078</v>
      </c>
      <c r="G298" s="1564">
        <v>41</v>
      </c>
      <c r="H298" s="1564" t="s">
        <v>5512</v>
      </c>
      <c r="I298" s="1564" t="s">
        <v>1847</v>
      </c>
      <c r="J298" s="1564">
        <v>0.67</v>
      </c>
      <c r="K298" s="1564">
        <v>0.67</v>
      </c>
      <c r="L298" s="1566" t="s">
        <v>5513</v>
      </c>
      <c r="M298" s="1567">
        <v>44356</v>
      </c>
    </row>
    <row r="299" spans="1:13" s="1329" customFormat="1" ht="15">
      <c r="A299" s="1564">
        <v>290</v>
      </c>
      <c r="B299" s="1565" t="s">
        <v>1213</v>
      </c>
      <c r="C299" s="1804" t="s">
        <v>5510</v>
      </c>
      <c r="D299" s="1566" t="s">
        <v>5511</v>
      </c>
      <c r="E299" s="1566" t="s">
        <v>913</v>
      </c>
      <c r="F299" s="1564" t="s">
        <v>1078</v>
      </c>
      <c r="G299" s="1564">
        <v>41</v>
      </c>
      <c r="H299" s="1564" t="s">
        <v>5512</v>
      </c>
      <c r="I299" s="1564" t="s">
        <v>1853</v>
      </c>
      <c r="J299" s="1564">
        <v>0.623</v>
      </c>
      <c r="K299" s="1564">
        <v>0.62</v>
      </c>
      <c r="L299" s="1566" t="s">
        <v>5513</v>
      </c>
      <c r="M299" s="1567">
        <v>44356</v>
      </c>
    </row>
    <row r="300" spans="1:13" s="1329" customFormat="1" ht="15">
      <c r="A300" s="1564">
        <v>291</v>
      </c>
      <c r="B300" s="1565" t="s">
        <v>1213</v>
      </c>
      <c r="C300" s="1804" t="s">
        <v>5510</v>
      </c>
      <c r="D300" s="1566" t="s">
        <v>5511</v>
      </c>
      <c r="E300" s="1566" t="s">
        <v>913</v>
      </c>
      <c r="F300" s="1564" t="s">
        <v>1078</v>
      </c>
      <c r="G300" s="1564">
        <v>41</v>
      </c>
      <c r="H300" s="1564" t="s">
        <v>5512</v>
      </c>
      <c r="I300" s="1564" t="s">
        <v>129</v>
      </c>
      <c r="J300" s="1564">
        <v>0.57599999999999996</v>
      </c>
      <c r="K300" s="1564">
        <v>0.57999999999999996</v>
      </c>
      <c r="L300" s="1566" t="s">
        <v>5513</v>
      </c>
      <c r="M300" s="1567">
        <v>44356</v>
      </c>
    </row>
    <row r="301" spans="1:13" s="1329" customFormat="1" ht="15">
      <c r="A301" s="1564">
        <v>292</v>
      </c>
      <c r="B301" s="1565" t="s">
        <v>1213</v>
      </c>
      <c r="C301" s="1804" t="s">
        <v>1265</v>
      </c>
      <c r="D301" s="1566" t="s">
        <v>203</v>
      </c>
      <c r="E301" s="1566" t="s">
        <v>913</v>
      </c>
      <c r="F301" s="1564" t="s">
        <v>1078</v>
      </c>
      <c r="G301" s="1564">
        <v>87</v>
      </c>
      <c r="H301" s="1564" t="s">
        <v>2159</v>
      </c>
      <c r="I301" s="1564" t="s">
        <v>1840</v>
      </c>
      <c r="J301" s="1564">
        <v>88.2</v>
      </c>
      <c r="K301" s="1564">
        <v>88.3</v>
      </c>
      <c r="L301" s="1566" t="s">
        <v>5513</v>
      </c>
      <c r="M301" s="1567">
        <v>44356</v>
      </c>
    </row>
    <row r="302" spans="1:13" s="1329" customFormat="1" ht="15">
      <c r="A302" s="1564">
        <v>293</v>
      </c>
      <c r="B302" s="1565" t="s">
        <v>1213</v>
      </c>
      <c r="C302" s="1804" t="s">
        <v>5514</v>
      </c>
      <c r="D302" s="1566" t="s">
        <v>5515</v>
      </c>
      <c r="E302" s="1566" t="s">
        <v>913</v>
      </c>
      <c r="F302" s="1564" t="s">
        <v>1078</v>
      </c>
      <c r="G302" s="1564">
        <v>97</v>
      </c>
      <c r="H302" s="1564" t="s">
        <v>2205</v>
      </c>
      <c r="I302" s="1564"/>
      <c r="J302" s="1564">
        <v>-0.05</v>
      </c>
      <c r="K302" s="1564">
        <v>-2.34</v>
      </c>
      <c r="L302" s="1566" t="s">
        <v>5513</v>
      </c>
      <c r="M302" s="1567">
        <v>44356</v>
      </c>
    </row>
    <row r="303" spans="1:13" s="1329" customFormat="1" ht="15">
      <c r="A303" s="1564">
        <v>294</v>
      </c>
      <c r="B303" s="1565" t="s">
        <v>1213</v>
      </c>
      <c r="C303" s="1804" t="s">
        <v>5514</v>
      </c>
      <c r="D303" s="1568" t="s">
        <v>5516</v>
      </c>
      <c r="E303" s="1566" t="s">
        <v>913</v>
      </c>
      <c r="F303" s="1564" t="s">
        <v>1078</v>
      </c>
      <c r="G303" s="1564">
        <v>101</v>
      </c>
      <c r="H303" s="1564" t="s">
        <v>2209</v>
      </c>
      <c r="I303" s="1564"/>
      <c r="J303" s="1564">
        <v>0.05</v>
      </c>
      <c r="K303" s="1564">
        <v>1.17</v>
      </c>
      <c r="L303" s="1566" t="s">
        <v>5513</v>
      </c>
      <c r="M303" s="1567">
        <v>44356</v>
      </c>
    </row>
    <row r="304" spans="1:13" s="1329" customFormat="1" ht="15">
      <c r="A304" s="1569">
        <v>295</v>
      </c>
      <c r="B304" s="1570" t="s">
        <v>1102</v>
      </c>
      <c r="C304" s="1638" t="s">
        <v>1105</v>
      </c>
      <c r="D304" s="1571" t="s">
        <v>705</v>
      </c>
      <c r="E304" s="1571" t="s">
        <v>913</v>
      </c>
      <c r="F304" s="1569" t="s">
        <v>1078</v>
      </c>
      <c r="G304" s="1569">
        <v>87</v>
      </c>
      <c r="H304" s="1569" t="s">
        <v>2159</v>
      </c>
      <c r="I304" s="1569" t="s">
        <v>1830</v>
      </c>
      <c r="J304" s="1569">
        <v>171.4</v>
      </c>
      <c r="K304" s="1569" t="s">
        <v>4430</v>
      </c>
      <c r="L304" s="1571" t="s">
        <v>5517</v>
      </c>
      <c r="M304" s="1572">
        <v>44356</v>
      </c>
    </row>
    <row r="305" spans="1:14" s="1329" customFormat="1" ht="15">
      <c r="A305" s="1569">
        <v>296</v>
      </c>
      <c r="B305" s="1570" t="s">
        <v>1102</v>
      </c>
      <c r="C305" s="1638" t="s">
        <v>1105</v>
      </c>
      <c r="D305" s="1571" t="s">
        <v>705</v>
      </c>
      <c r="E305" s="1571" t="s">
        <v>913</v>
      </c>
      <c r="F305" s="1569" t="s">
        <v>1078</v>
      </c>
      <c r="G305" s="1569">
        <v>87</v>
      </c>
      <c r="H305" s="1569" t="s">
        <v>2159</v>
      </c>
      <c r="I305" s="1569" t="s">
        <v>1840</v>
      </c>
      <c r="J305" s="1569">
        <v>168.5</v>
      </c>
      <c r="K305" s="1569" t="s">
        <v>4430</v>
      </c>
      <c r="L305" s="1571" t="s">
        <v>5517</v>
      </c>
      <c r="M305" s="1572">
        <v>44356</v>
      </c>
    </row>
    <row r="306" spans="1:14" s="1329" customFormat="1" ht="15">
      <c r="A306" s="1569">
        <v>297</v>
      </c>
      <c r="B306" s="1570" t="s">
        <v>1102</v>
      </c>
      <c r="C306" s="1638" t="s">
        <v>1105</v>
      </c>
      <c r="D306" s="1571" t="s">
        <v>705</v>
      </c>
      <c r="E306" s="1571" t="s">
        <v>913</v>
      </c>
      <c r="F306" s="1569" t="s">
        <v>1078</v>
      </c>
      <c r="G306" s="1569">
        <v>87</v>
      </c>
      <c r="H306" s="1569" t="s">
        <v>2159</v>
      </c>
      <c r="I306" s="1569" t="s">
        <v>1847</v>
      </c>
      <c r="J306" s="1569">
        <v>163.30000000000001</v>
      </c>
      <c r="K306" s="1569" t="s">
        <v>4430</v>
      </c>
      <c r="L306" s="1571" t="s">
        <v>5517</v>
      </c>
      <c r="M306" s="1572">
        <v>44356</v>
      </c>
    </row>
    <row r="307" spans="1:14" s="1329" customFormat="1" ht="15">
      <c r="A307" s="1569">
        <v>298</v>
      </c>
      <c r="B307" s="1570" t="s">
        <v>1102</v>
      </c>
      <c r="C307" s="1638" t="s">
        <v>1105</v>
      </c>
      <c r="D307" s="1571" t="s">
        <v>705</v>
      </c>
      <c r="E307" s="1571" t="s">
        <v>913</v>
      </c>
      <c r="F307" s="1569" t="s">
        <v>1078</v>
      </c>
      <c r="G307" s="1569">
        <v>87</v>
      </c>
      <c r="H307" s="1569" t="s">
        <v>2159</v>
      </c>
      <c r="I307" s="1569" t="s">
        <v>1853</v>
      </c>
      <c r="J307" s="1569">
        <v>156.30000000000001</v>
      </c>
      <c r="K307" s="1569" t="s">
        <v>4430</v>
      </c>
      <c r="L307" s="1571" t="s">
        <v>5517</v>
      </c>
      <c r="M307" s="1572">
        <v>44356</v>
      </c>
    </row>
    <row r="308" spans="1:14" s="1329" customFormat="1" ht="15">
      <c r="A308" s="1569">
        <v>299</v>
      </c>
      <c r="B308" s="1570" t="s">
        <v>1102</v>
      </c>
      <c r="C308" s="1638" t="s">
        <v>1105</v>
      </c>
      <c r="D308" s="1571" t="s">
        <v>705</v>
      </c>
      <c r="E308" s="1571" t="s">
        <v>913</v>
      </c>
      <c r="F308" s="1569" t="s">
        <v>1078</v>
      </c>
      <c r="G308" s="1569">
        <v>87</v>
      </c>
      <c r="H308" s="1569" t="s">
        <v>2159</v>
      </c>
      <c r="I308" s="1569" t="s">
        <v>129</v>
      </c>
      <c r="J308" s="1569">
        <v>149.19999999999999</v>
      </c>
      <c r="K308" s="1569" t="s">
        <v>4430</v>
      </c>
      <c r="L308" s="1571" t="s">
        <v>5517</v>
      </c>
      <c r="M308" s="1572">
        <v>44356</v>
      </c>
    </row>
    <row r="309" spans="1:14" s="1329" customFormat="1" ht="15">
      <c r="A309" s="1569">
        <v>300</v>
      </c>
      <c r="B309" s="1570" t="s">
        <v>1102</v>
      </c>
      <c r="C309" s="1638" t="s">
        <v>1506</v>
      </c>
      <c r="D309" s="1571" t="s">
        <v>2385</v>
      </c>
      <c r="E309" s="1571" t="s">
        <v>913</v>
      </c>
      <c r="F309" s="1569" t="s">
        <v>1078</v>
      </c>
      <c r="G309" s="1569">
        <v>62</v>
      </c>
      <c r="H309" s="1569" t="s">
        <v>1816</v>
      </c>
      <c r="I309" s="1569" t="s">
        <v>1830</v>
      </c>
      <c r="J309" s="1569" t="s">
        <v>5518</v>
      </c>
      <c r="K309" s="1569"/>
      <c r="L309" s="1571" t="s">
        <v>5519</v>
      </c>
      <c r="M309" s="1572">
        <v>44372</v>
      </c>
    </row>
    <row r="310" spans="1:14" s="1329" customFormat="1" ht="15">
      <c r="A310" s="1569">
        <v>301</v>
      </c>
      <c r="B310" s="1570" t="s">
        <v>1102</v>
      </c>
      <c r="C310" s="1805" t="s">
        <v>1506</v>
      </c>
      <c r="D310" s="1571" t="s">
        <v>2385</v>
      </c>
      <c r="E310" s="1571" t="s">
        <v>913</v>
      </c>
      <c r="F310" s="1569" t="s">
        <v>1078</v>
      </c>
      <c r="G310" s="1569">
        <v>62</v>
      </c>
      <c r="H310" s="1569" t="s">
        <v>1816</v>
      </c>
      <c r="I310" s="1569" t="s">
        <v>1840</v>
      </c>
      <c r="J310" s="1569" t="s">
        <v>5518</v>
      </c>
      <c r="K310" s="1569"/>
      <c r="L310" s="1571" t="s">
        <v>5519</v>
      </c>
      <c r="M310" s="1572">
        <v>44372</v>
      </c>
    </row>
    <row r="311" spans="1:14" s="1329" customFormat="1" ht="15">
      <c r="A311" s="1569">
        <v>302</v>
      </c>
      <c r="B311" s="1570" t="s">
        <v>1102</v>
      </c>
      <c r="C311" s="1638" t="s">
        <v>1506</v>
      </c>
      <c r="D311" s="1571" t="s">
        <v>2385</v>
      </c>
      <c r="E311" s="1571" t="s">
        <v>913</v>
      </c>
      <c r="F311" s="1569" t="s">
        <v>1078</v>
      </c>
      <c r="G311" s="1569">
        <v>62</v>
      </c>
      <c r="H311" s="1569" t="s">
        <v>1816</v>
      </c>
      <c r="I311" s="1569" t="s">
        <v>1847</v>
      </c>
      <c r="J311" s="1569" t="s">
        <v>5518</v>
      </c>
      <c r="K311" s="1569"/>
      <c r="L311" s="1571" t="s">
        <v>5519</v>
      </c>
      <c r="M311" s="1572">
        <v>44372</v>
      </c>
    </row>
    <row r="312" spans="1:14" s="1329" customFormat="1" ht="15">
      <c r="A312" s="1569">
        <v>303</v>
      </c>
      <c r="B312" s="1570" t="s">
        <v>1102</v>
      </c>
      <c r="C312" s="1805" t="s">
        <v>1506</v>
      </c>
      <c r="D312" s="1571" t="s">
        <v>2385</v>
      </c>
      <c r="E312" s="1571" t="s">
        <v>913</v>
      </c>
      <c r="F312" s="1569" t="s">
        <v>1078</v>
      </c>
      <c r="G312" s="1569">
        <v>62</v>
      </c>
      <c r="H312" s="1569" t="s">
        <v>1816</v>
      </c>
      <c r="I312" s="1569" t="s">
        <v>1853</v>
      </c>
      <c r="J312" s="1569" t="s">
        <v>5518</v>
      </c>
      <c r="K312" s="1569"/>
      <c r="L312" s="1571" t="s">
        <v>5519</v>
      </c>
      <c r="M312" s="1572">
        <v>44372</v>
      </c>
    </row>
    <row r="313" spans="1:14" s="1329" customFormat="1" ht="30">
      <c r="A313" s="1569">
        <v>304</v>
      </c>
      <c r="B313" s="1570" t="s">
        <v>1251</v>
      </c>
      <c r="C313" s="1806" t="s">
        <v>1092</v>
      </c>
      <c r="D313" s="1571" t="s">
        <v>680</v>
      </c>
      <c r="E313" s="1571" t="s">
        <v>913</v>
      </c>
      <c r="F313" s="1569" t="s">
        <v>1078</v>
      </c>
      <c r="G313" s="1569">
        <v>18</v>
      </c>
      <c r="H313" s="1569" t="s">
        <v>1804</v>
      </c>
      <c r="I313" s="1564"/>
      <c r="J313" s="1564" t="s">
        <v>1827</v>
      </c>
      <c r="K313" s="1564" t="s">
        <v>1837</v>
      </c>
      <c r="L313" s="1571" t="s">
        <v>5520</v>
      </c>
      <c r="M313" s="1572">
        <v>44539</v>
      </c>
    </row>
    <row r="314" spans="1:14" s="1332" customFormat="1" ht="30">
      <c r="A314" s="1569">
        <v>305</v>
      </c>
      <c r="B314" s="1570" t="s">
        <v>1102</v>
      </c>
      <c r="C314" s="1806" t="s">
        <v>1106</v>
      </c>
      <c r="D314" s="1571" t="s">
        <v>680</v>
      </c>
      <c r="E314" s="1571" t="s">
        <v>913</v>
      </c>
      <c r="F314" s="1569" t="s">
        <v>1078</v>
      </c>
      <c r="G314" s="1569">
        <v>18</v>
      </c>
      <c r="H314" s="1569" t="s">
        <v>1804</v>
      </c>
      <c r="I314" s="1564"/>
      <c r="J314" s="1564" t="s">
        <v>1827</v>
      </c>
      <c r="K314" s="1564" t="s">
        <v>1837</v>
      </c>
      <c r="L314" s="1571" t="s">
        <v>5520</v>
      </c>
      <c r="M314" s="1572">
        <v>44539</v>
      </c>
      <c r="N314" s="1329"/>
    </row>
    <row r="315" spans="1:14" s="1332" customFormat="1" ht="30">
      <c r="A315" s="1569">
        <v>306</v>
      </c>
      <c r="B315" s="1570" t="s">
        <v>1260</v>
      </c>
      <c r="C315" s="1806" t="s">
        <v>1120</v>
      </c>
      <c r="D315" s="1571" t="s">
        <v>680</v>
      </c>
      <c r="E315" s="1571" t="s">
        <v>913</v>
      </c>
      <c r="F315" s="1569" t="s">
        <v>1078</v>
      </c>
      <c r="G315" s="1569">
        <v>18</v>
      </c>
      <c r="H315" s="1569" t="s">
        <v>1804</v>
      </c>
      <c r="I315" s="1564"/>
      <c r="J315" s="1564" t="s">
        <v>1827</v>
      </c>
      <c r="K315" s="1564" t="s">
        <v>1837</v>
      </c>
      <c r="L315" s="1571" t="s">
        <v>5520</v>
      </c>
      <c r="M315" s="1572">
        <v>44539</v>
      </c>
      <c r="N315" s="1329"/>
    </row>
    <row r="316" spans="1:14" s="1329" customFormat="1" ht="30">
      <c r="A316" s="1569">
        <v>307</v>
      </c>
      <c r="B316" s="1570" t="s">
        <v>5521</v>
      </c>
      <c r="C316" s="1807" t="s">
        <v>1134</v>
      </c>
      <c r="D316" s="1571" t="s">
        <v>680</v>
      </c>
      <c r="E316" s="1571" t="s">
        <v>913</v>
      </c>
      <c r="F316" s="1569" t="s">
        <v>1078</v>
      </c>
      <c r="G316" s="1569">
        <v>18</v>
      </c>
      <c r="H316" s="1569" t="s">
        <v>1804</v>
      </c>
      <c r="I316" s="1564"/>
      <c r="J316" s="1564" t="s">
        <v>1827</v>
      </c>
      <c r="K316" s="1564" t="s">
        <v>1837</v>
      </c>
      <c r="L316" s="1571" t="s">
        <v>5520</v>
      </c>
      <c r="M316" s="1572">
        <v>44539</v>
      </c>
    </row>
    <row r="317" spans="1:14" s="1329" customFormat="1" ht="30">
      <c r="A317" s="1569">
        <v>308</v>
      </c>
      <c r="B317" s="1570" t="s">
        <v>1143</v>
      </c>
      <c r="C317" s="1806" t="s">
        <v>1147</v>
      </c>
      <c r="D317" s="1571" t="s">
        <v>680</v>
      </c>
      <c r="E317" s="1571" t="s">
        <v>913</v>
      </c>
      <c r="F317" s="1569" t="s">
        <v>1078</v>
      </c>
      <c r="G317" s="1569">
        <v>18</v>
      </c>
      <c r="H317" s="1569" t="s">
        <v>1804</v>
      </c>
      <c r="I317" s="1564"/>
      <c r="J317" s="1564" t="s">
        <v>1827</v>
      </c>
      <c r="K317" s="1564" t="s">
        <v>1837</v>
      </c>
      <c r="L317" s="1571" t="s">
        <v>5520</v>
      </c>
      <c r="M317" s="1572">
        <v>44539</v>
      </c>
    </row>
    <row r="318" spans="1:14" s="1329" customFormat="1" ht="30">
      <c r="A318" s="1569">
        <v>309</v>
      </c>
      <c r="B318" s="1570" t="s">
        <v>1269</v>
      </c>
      <c r="C318" s="1806" t="s">
        <v>1161</v>
      </c>
      <c r="D318" s="1571" t="s">
        <v>680</v>
      </c>
      <c r="E318" s="1571" t="s">
        <v>913</v>
      </c>
      <c r="F318" s="1569" t="s">
        <v>1078</v>
      </c>
      <c r="G318" s="1569">
        <v>18</v>
      </c>
      <c r="H318" s="1569" t="s">
        <v>1804</v>
      </c>
      <c r="I318" s="1564"/>
      <c r="J318" s="1564" t="s">
        <v>1827</v>
      </c>
      <c r="K318" s="1564" t="s">
        <v>1837</v>
      </c>
      <c r="L318" s="1571" t="s">
        <v>5520</v>
      </c>
      <c r="M318" s="1572">
        <v>44539</v>
      </c>
    </row>
    <row r="319" spans="1:14" s="1329" customFormat="1" ht="30">
      <c r="A319" s="1569">
        <v>310</v>
      </c>
      <c r="B319" s="1570" t="s">
        <v>5522</v>
      </c>
      <c r="C319" s="1806" t="s">
        <v>1175</v>
      </c>
      <c r="D319" s="1571" t="s">
        <v>680</v>
      </c>
      <c r="E319" s="1571" t="s">
        <v>913</v>
      </c>
      <c r="F319" s="1569" t="s">
        <v>1078</v>
      </c>
      <c r="G319" s="1569">
        <v>18</v>
      </c>
      <c r="H319" s="1569" t="s">
        <v>1804</v>
      </c>
      <c r="I319" s="1564"/>
      <c r="J319" s="1564" t="s">
        <v>1827</v>
      </c>
      <c r="K319" s="1564" t="s">
        <v>1837</v>
      </c>
      <c r="L319" s="1571" t="s">
        <v>5520</v>
      </c>
      <c r="M319" s="1572">
        <v>44539</v>
      </c>
    </row>
    <row r="320" spans="1:14" s="1329" customFormat="1" ht="30">
      <c r="A320" s="1569">
        <v>311</v>
      </c>
      <c r="B320" s="1570" t="s">
        <v>1278</v>
      </c>
      <c r="C320" s="1806" t="s">
        <v>1189</v>
      </c>
      <c r="D320" s="1571" t="s">
        <v>680</v>
      </c>
      <c r="E320" s="1571" t="s">
        <v>913</v>
      </c>
      <c r="F320" s="1569" t="s">
        <v>1078</v>
      </c>
      <c r="G320" s="1569">
        <v>18</v>
      </c>
      <c r="H320" s="1569" t="s">
        <v>1804</v>
      </c>
      <c r="I320" s="1564"/>
      <c r="J320" s="1564" t="s">
        <v>1827</v>
      </c>
      <c r="K320" s="1564" t="s">
        <v>1837</v>
      </c>
      <c r="L320" s="1571" t="s">
        <v>5520</v>
      </c>
      <c r="M320" s="1572">
        <v>44539</v>
      </c>
    </row>
    <row r="321" spans="1:14" s="1329" customFormat="1" ht="30">
      <c r="A321" s="1569">
        <v>312</v>
      </c>
      <c r="B321" s="1570" t="s">
        <v>1185</v>
      </c>
      <c r="C321" s="1807" t="s">
        <v>1203</v>
      </c>
      <c r="D321" s="1571" t="s">
        <v>680</v>
      </c>
      <c r="E321" s="1571" t="s">
        <v>913</v>
      </c>
      <c r="F321" s="1569" t="s">
        <v>1078</v>
      </c>
      <c r="G321" s="1569">
        <v>18</v>
      </c>
      <c r="H321" s="1569" t="s">
        <v>1804</v>
      </c>
      <c r="I321" s="1564"/>
      <c r="J321" s="1564" t="s">
        <v>1827</v>
      </c>
      <c r="K321" s="1564" t="s">
        <v>1837</v>
      </c>
      <c r="L321" s="1571" t="s">
        <v>5520</v>
      </c>
      <c r="M321" s="1572">
        <v>44539</v>
      </c>
    </row>
    <row r="322" spans="1:14" s="1329" customFormat="1" ht="30">
      <c r="A322" s="1569">
        <v>313</v>
      </c>
      <c r="B322" s="1570" t="s">
        <v>1287</v>
      </c>
      <c r="C322" s="1806" t="s">
        <v>1217</v>
      </c>
      <c r="D322" s="1571" t="s">
        <v>680</v>
      </c>
      <c r="E322" s="1571" t="s">
        <v>913</v>
      </c>
      <c r="F322" s="1569" t="s">
        <v>1078</v>
      </c>
      <c r="G322" s="1569">
        <v>18</v>
      </c>
      <c r="H322" s="1569" t="s">
        <v>1804</v>
      </c>
      <c r="I322" s="1564"/>
      <c r="J322" s="1564" t="s">
        <v>1827</v>
      </c>
      <c r="K322" s="1564" t="s">
        <v>1837</v>
      </c>
      <c r="L322" s="1571" t="s">
        <v>5520</v>
      </c>
      <c r="M322" s="1572">
        <v>44539</v>
      </c>
    </row>
    <row r="323" spans="1:14" s="1329" customFormat="1" ht="30">
      <c r="A323" s="1569">
        <v>314</v>
      </c>
      <c r="B323" s="1570" t="s">
        <v>1287</v>
      </c>
      <c r="C323" s="1806" t="s">
        <v>1231</v>
      </c>
      <c r="D323" s="1571" t="s">
        <v>680</v>
      </c>
      <c r="E323" s="1571" t="s">
        <v>913</v>
      </c>
      <c r="F323" s="1569" t="s">
        <v>1078</v>
      </c>
      <c r="G323" s="1569">
        <v>18</v>
      </c>
      <c r="H323" s="1569" t="s">
        <v>1804</v>
      </c>
      <c r="I323" s="1564"/>
      <c r="J323" s="1564" t="s">
        <v>1827</v>
      </c>
      <c r="K323" s="1564" t="s">
        <v>1837</v>
      </c>
      <c r="L323" s="1571" t="s">
        <v>5520</v>
      </c>
      <c r="M323" s="1572">
        <v>44539</v>
      </c>
    </row>
    <row r="324" spans="1:14" s="1329" customFormat="1" ht="30">
      <c r="A324" s="1569">
        <v>315</v>
      </c>
      <c r="B324" s="1570" t="s">
        <v>1157</v>
      </c>
      <c r="C324" s="1806" t="s">
        <v>1245</v>
      </c>
      <c r="D324" s="1571" t="s">
        <v>680</v>
      </c>
      <c r="E324" s="1571" t="s">
        <v>913</v>
      </c>
      <c r="F324" s="1569" t="s">
        <v>1078</v>
      </c>
      <c r="G324" s="1569">
        <v>18</v>
      </c>
      <c r="H324" s="1569" t="s">
        <v>1804</v>
      </c>
      <c r="I324" s="1564"/>
      <c r="J324" s="1564" t="s">
        <v>1827</v>
      </c>
      <c r="K324" s="1564" t="s">
        <v>1837</v>
      </c>
      <c r="L324" s="1571" t="s">
        <v>5520</v>
      </c>
      <c r="M324" s="1572">
        <v>44539</v>
      </c>
    </row>
    <row r="325" spans="1:14" s="1329" customFormat="1" ht="30">
      <c r="A325" s="1569">
        <v>316</v>
      </c>
      <c r="B325" s="1570" t="s">
        <v>1199</v>
      </c>
      <c r="C325" s="1806" t="s">
        <v>1264</v>
      </c>
      <c r="D325" s="1571" t="s">
        <v>680</v>
      </c>
      <c r="E325" s="1571" t="s">
        <v>913</v>
      </c>
      <c r="F325" s="1569" t="s">
        <v>1078</v>
      </c>
      <c r="G325" s="1569">
        <v>18</v>
      </c>
      <c r="H325" s="1569" t="s">
        <v>1804</v>
      </c>
      <c r="I325" s="1564"/>
      <c r="J325" s="1564" t="s">
        <v>1827</v>
      </c>
      <c r="K325" s="1564" t="s">
        <v>1837</v>
      </c>
      <c r="L325" s="1571" t="s">
        <v>5520</v>
      </c>
      <c r="M325" s="1572">
        <v>44539</v>
      </c>
    </row>
    <row r="326" spans="1:14" s="1329" customFormat="1" ht="30">
      <c r="A326" s="1569">
        <v>317</v>
      </c>
      <c r="B326" s="1570" t="s">
        <v>1213</v>
      </c>
      <c r="C326" s="1807" t="s">
        <v>1273</v>
      </c>
      <c r="D326" s="1571" t="s">
        <v>680</v>
      </c>
      <c r="E326" s="1571" t="s">
        <v>913</v>
      </c>
      <c r="F326" s="1569" t="s">
        <v>1078</v>
      </c>
      <c r="G326" s="1569">
        <v>18</v>
      </c>
      <c r="H326" s="1569" t="s">
        <v>1804</v>
      </c>
      <c r="I326" s="1564"/>
      <c r="J326" s="1564" t="s">
        <v>1827</v>
      </c>
      <c r="K326" s="1564" t="s">
        <v>1837</v>
      </c>
      <c r="L326" s="1571" t="s">
        <v>5520</v>
      </c>
      <c r="M326" s="1572">
        <v>44539</v>
      </c>
    </row>
    <row r="327" spans="1:14" s="1329" customFormat="1" ht="30">
      <c r="A327" s="1569">
        <v>318</v>
      </c>
      <c r="B327" s="1570" t="s">
        <v>1116</v>
      </c>
      <c r="C327" s="1806" t="s">
        <v>1282</v>
      </c>
      <c r="D327" s="1571" t="s">
        <v>680</v>
      </c>
      <c r="E327" s="1571" t="s">
        <v>913</v>
      </c>
      <c r="F327" s="1569" t="s">
        <v>1078</v>
      </c>
      <c r="G327" s="1569">
        <v>18</v>
      </c>
      <c r="H327" s="1569" t="s">
        <v>1804</v>
      </c>
      <c r="I327" s="1564"/>
      <c r="J327" s="1564" t="s">
        <v>1827</v>
      </c>
      <c r="K327" s="1564" t="s">
        <v>1837</v>
      </c>
      <c r="L327" s="1571" t="s">
        <v>5520</v>
      </c>
      <c r="M327" s="1572">
        <v>44539</v>
      </c>
    </row>
    <row r="328" spans="1:14" s="1329" customFormat="1" ht="30">
      <c r="A328" s="1569">
        <v>319</v>
      </c>
      <c r="B328" s="1570" t="s">
        <v>1227</v>
      </c>
      <c r="C328" s="1806" t="s">
        <v>1291</v>
      </c>
      <c r="D328" s="1571" t="s">
        <v>680</v>
      </c>
      <c r="E328" s="1571" t="s">
        <v>913</v>
      </c>
      <c r="F328" s="1569" t="s">
        <v>1078</v>
      </c>
      <c r="G328" s="1569">
        <v>18</v>
      </c>
      <c r="H328" s="1569" t="s">
        <v>1804</v>
      </c>
      <c r="I328" s="1564"/>
      <c r="J328" s="1564" t="s">
        <v>1827</v>
      </c>
      <c r="K328" s="1564" t="s">
        <v>1837</v>
      </c>
      <c r="L328" s="1571" t="s">
        <v>5520</v>
      </c>
      <c r="M328" s="1572">
        <v>44539</v>
      </c>
    </row>
    <row r="329" spans="1:14" s="1332" customFormat="1" ht="30">
      <c r="A329" s="1569">
        <v>320</v>
      </c>
      <c r="B329" s="1570" t="s">
        <v>1241</v>
      </c>
      <c r="C329" s="1806" t="s">
        <v>1298</v>
      </c>
      <c r="D329" s="1571" t="s">
        <v>680</v>
      </c>
      <c r="E329" s="1571" t="s">
        <v>913</v>
      </c>
      <c r="F329" s="1569" t="s">
        <v>1078</v>
      </c>
      <c r="G329" s="1569">
        <v>18</v>
      </c>
      <c r="H329" s="1569" t="s">
        <v>1804</v>
      </c>
      <c r="I329" s="1564"/>
      <c r="J329" s="1564" t="s">
        <v>1827</v>
      </c>
      <c r="K329" s="1564" t="s">
        <v>1837</v>
      </c>
      <c r="L329" s="1571" t="s">
        <v>5520</v>
      </c>
      <c r="M329" s="1572">
        <v>44539</v>
      </c>
      <c r="N329" s="1329"/>
    </row>
    <row r="330" spans="1:14" s="1329" customFormat="1" ht="45">
      <c r="A330" s="1569">
        <v>321</v>
      </c>
      <c r="B330" s="1570" t="s">
        <v>1278</v>
      </c>
      <c r="C330" s="1806" t="s">
        <v>1362</v>
      </c>
      <c r="D330" s="1571" t="s">
        <v>2091</v>
      </c>
      <c r="E330" s="1571" t="s">
        <v>913</v>
      </c>
      <c r="F330" s="1569" t="s">
        <v>1078</v>
      </c>
      <c r="G330" s="1569">
        <v>18</v>
      </c>
      <c r="H330" s="1569" t="s">
        <v>1804</v>
      </c>
      <c r="I330" s="1564"/>
      <c r="J330" s="1564" t="s">
        <v>1827</v>
      </c>
      <c r="K330" s="1564" t="s">
        <v>1837</v>
      </c>
      <c r="L330" s="1571" t="s">
        <v>5523</v>
      </c>
      <c r="M330" s="1572">
        <v>44539</v>
      </c>
    </row>
    <row r="331" spans="1:14" s="1329" customFormat="1" ht="15">
      <c r="A331" s="1569">
        <v>322</v>
      </c>
      <c r="B331" s="1573" t="s">
        <v>1143</v>
      </c>
      <c r="C331" s="1807" t="s">
        <v>1146</v>
      </c>
      <c r="D331" s="1573" t="s">
        <v>5524</v>
      </c>
      <c r="E331" s="1574" t="s">
        <v>5398</v>
      </c>
      <c r="F331" s="1575" t="s">
        <v>1078</v>
      </c>
      <c r="G331" s="1576">
        <v>87</v>
      </c>
      <c r="H331" s="1575" t="s">
        <v>1809</v>
      </c>
      <c r="I331" s="1576" t="s">
        <v>1830</v>
      </c>
      <c r="J331" s="1577">
        <v>84</v>
      </c>
      <c r="K331" s="1578" t="s">
        <v>4430</v>
      </c>
      <c r="L331" s="1574" t="s">
        <v>5517</v>
      </c>
      <c r="M331" s="1579">
        <v>44545</v>
      </c>
    </row>
    <row r="332" spans="1:14" s="1329" customFormat="1" ht="15">
      <c r="A332" s="1569">
        <v>323</v>
      </c>
      <c r="B332" s="1570" t="s">
        <v>1143</v>
      </c>
      <c r="C332" s="1806" t="s">
        <v>1146</v>
      </c>
      <c r="D332" s="1570" t="s">
        <v>5524</v>
      </c>
      <c r="E332" s="1571" t="s">
        <v>5398</v>
      </c>
      <c r="F332" s="1569" t="s">
        <v>1078</v>
      </c>
      <c r="G332" s="1569">
        <v>87</v>
      </c>
      <c r="H332" s="1569" t="s">
        <v>1809</v>
      </c>
      <c r="I332" s="1569" t="s">
        <v>1840</v>
      </c>
      <c r="J332" s="1580">
        <v>83.2</v>
      </c>
      <c r="K332" s="1564" t="s">
        <v>4430</v>
      </c>
      <c r="L332" s="1571" t="s">
        <v>5517</v>
      </c>
      <c r="M332" s="1572">
        <v>44545</v>
      </c>
    </row>
    <row r="333" spans="1:14" s="1329" customFormat="1" ht="15">
      <c r="A333" s="1569">
        <v>324</v>
      </c>
      <c r="B333" s="1570" t="s">
        <v>1143</v>
      </c>
      <c r="C333" s="1806" t="s">
        <v>1146</v>
      </c>
      <c r="D333" s="1570" t="s">
        <v>5524</v>
      </c>
      <c r="E333" s="1571" t="s">
        <v>5398</v>
      </c>
      <c r="F333" s="1569" t="s">
        <v>1078</v>
      </c>
      <c r="G333" s="1569">
        <v>87</v>
      </c>
      <c r="H333" s="1569" t="s">
        <v>1809</v>
      </c>
      <c r="I333" s="1569" t="s">
        <v>1847</v>
      </c>
      <c r="J333" s="1580">
        <v>82</v>
      </c>
      <c r="K333" s="1564" t="s">
        <v>4430</v>
      </c>
      <c r="L333" s="1571" t="s">
        <v>5517</v>
      </c>
      <c r="M333" s="1572">
        <v>44545</v>
      </c>
    </row>
    <row r="334" spans="1:14" s="1329" customFormat="1" ht="15">
      <c r="A334" s="1569">
        <v>325</v>
      </c>
      <c r="B334" s="1570" t="s">
        <v>1143</v>
      </c>
      <c r="C334" s="1806" t="s">
        <v>1146</v>
      </c>
      <c r="D334" s="1570" t="s">
        <v>5524</v>
      </c>
      <c r="E334" s="1571" t="s">
        <v>5398</v>
      </c>
      <c r="F334" s="1569" t="s">
        <v>1078</v>
      </c>
      <c r="G334" s="1569">
        <v>87</v>
      </c>
      <c r="H334" s="1569" t="s">
        <v>1809</v>
      </c>
      <c r="I334" s="1569" t="s">
        <v>1853</v>
      </c>
      <c r="J334" s="1580">
        <v>80.5</v>
      </c>
      <c r="K334" s="1564" t="s">
        <v>4430</v>
      </c>
      <c r="L334" s="1571" t="s">
        <v>5517</v>
      </c>
      <c r="M334" s="1572">
        <v>44545</v>
      </c>
    </row>
    <row r="335" spans="1:14" s="1329" customFormat="1" ht="15">
      <c r="A335" s="1569">
        <v>326</v>
      </c>
      <c r="B335" s="1581" t="s">
        <v>1143</v>
      </c>
      <c r="C335" s="1807" t="s">
        <v>1146</v>
      </c>
      <c r="D335" s="1581" t="s">
        <v>5524</v>
      </c>
      <c r="E335" s="1582" t="s">
        <v>5398</v>
      </c>
      <c r="F335" s="1583" t="s">
        <v>1078</v>
      </c>
      <c r="G335" s="1576">
        <v>87</v>
      </c>
      <c r="H335" s="1583" t="s">
        <v>1809</v>
      </c>
      <c r="I335" s="1576" t="s">
        <v>129</v>
      </c>
      <c r="J335" s="1584">
        <v>77.900000000000006</v>
      </c>
      <c r="K335" s="1585" t="s">
        <v>4430</v>
      </c>
      <c r="L335" s="1582" t="s">
        <v>5517</v>
      </c>
      <c r="M335" s="1586">
        <v>44545</v>
      </c>
    </row>
    <row r="336" spans="1:14" s="1329" customFormat="1" ht="30">
      <c r="A336" s="1569">
        <v>327</v>
      </c>
      <c r="B336" s="1570" t="s">
        <v>1157</v>
      </c>
      <c r="C336" s="1638" t="s">
        <v>1150</v>
      </c>
      <c r="D336" s="1571" t="s">
        <v>784</v>
      </c>
      <c r="E336" s="1571" t="s">
        <v>913</v>
      </c>
      <c r="F336" s="1569" t="s">
        <v>1078</v>
      </c>
      <c r="G336" s="1569">
        <v>67</v>
      </c>
      <c r="H336" s="1570" t="s">
        <v>2155</v>
      </c>
      <c r="I336" s="1569" t="s">
        <v>1830</v>
      </c>
      <c r="J336" s="1569">
        <v>2.35</v>
      </c>
      <c r="K336" s="1569">
        <v>2.56</v>
      </c>
      <c r="L336" s="1571" t="s">
        <v>5525</v>
      </c>
      <c r="M336" s="1572">
        <v>44547</v>
      </c>
    </row>
    <row r="337" spans="1:14" s="1329" customFormat="1" ht="30">
      <c r="A337" s="1569">
        <v>328</v>
      </c>
      <c r="B337" s="1570" t="s">
        <v>1157</v>
      </c>
      <c r="C337" s="1638" t="s">
        <v>1150</v>
      </c>
      <c r="D337" s="1571" t="s">
        <v>784</v>
      </c>
      <c r="E337" s="1571" t="s">
        <v>913</v>
      </c>
      <c r="F337" s="1569" t="s">
        <v>1078</v>
      </c>
      <c r="G337" s="1569">
        <v>67</v>
      </c>
      <c r="H337" s="1570" t="s">
        <v>2155</v>
      </c>
      <c r="I337" s="1569" t="s">
        <v>1840</v>
      </c>
      <c r="J337" s="1569">
        <v>2.35</v>
      </c>
      <c r="K337" s="1569">
        <v>2.56</v>
      </c>
      <c r="L337" s="1571" t="s">
        <v>5525</v>
      </c>
      <c r="M337" s="1572">
        <v>44547</v>
      </c>
    </row>
    <row r="338" spans="1:14" s="1329" customFormat="1" ht="30">
      <c r="A338" s="1569">
        <v>329</v>
      </c>
      <c r="B338" s="1570" t="s">
        <v>1157</v>
      </c>
      <c r="C338" s="1638" t="s">
        <v>1150</v>
      </c>
      <c r="D338" s="1571" t="s">
        <v>784</v>
      </c>
      <c r="E338" s="1571" t="s">
        <v>913</v>
      </c>
      <c r="F338" s="1569" t="s">
        <v>1078</v>
      </c>
      <c r="G338" s="1569">
        <v>67</v>
      </c>
      <c r="H338" s="1570" t="s">
        <v>2155</v>
      </c>
      <c r="I338" s="1569" t="s">
        <v>1847</v>
      </c>
      <c r="J338" s="1569">
        <v>2.35</v>
      </c>
      <c r="K338" s="1569">
        <v>2.56</v>
      </c>
      <c r="L338" s="1571" t="s">
        <v>5525</v>
      </c>
      <c r="M338" s="1572">
        <v>44547</v>
      </c>
    </row>
    <row r="339" spans="1:14" s="1329" customFormat="1" ht="30">
      <c r="A339" s="1569">
        <v>330</v>
      </c>
      <c r="B339" s="1570" t="s">
        <v>1157</v>
      </c>
      <c r="C339" s="1638" t="s">
        <v>1150</v>
      </c>
      <c r="D339" s="1571" t="s">
        <v>784</v>
      </c>
      <c r="E339" s="1571" t="s">
        <v>913</v>
      </c>
      <c r="F339" s="1569" t="s">
        <v>1078</v>
      </c>
      <c r="G339" s="1569">
        <v>67</v>
      </c>
      <c r="H339" s="1570" t="s">
        <v>2155</v>
      </c>
      <c r="I339" s="1569" t="s">
        <v>1853</v>
      </c>
      <c r="J339" s="1569">
        <v>2.35</v>
      </c>
      <c r="K339" s="1569">
        <v>2.56</v>
      </c>
      <c r="L339" s="1571" t="s">
        <v>5525</v>
      </c>
      <c r="M339" s="1572">
        <v>44547</v>
      </c>
    </row>
    <row r="340" spans="1:14" s="1329" customFormat="1" ht="30">
      <c r="A340" s="1569">
        <v>331</v>
      </c>
      <c r="B340" s="1570" t="s">
        <v>1157</v>
      </c>
      <c r="C340" s="1638" t="s">
        <v>1150</v>
      </c>
      <c r="D340" s="1571" t="s">
        <v>784</v>
      </c>
      <c r="E340" s="1571" t="s">
        <v>913</v>
      </c>
      <c r="F340" s="1569" t="s">
        <v>1078</v>
      </c>
      <c r="G340" s="1569">
        <v>67</v>
      </c>
      <c r="H340" s="1570" t="s">
        <v>2155</v>
      </c>
      <c r="I340" s="1569" t="s">
        <v>129</v>
      </c>
      <c r="J340" s="1569">
        <v>2.35</v>
      </c>
      <c r="K340" s="1569">
        <v>2.56</v>
      </c>
      <c r="L340" s="1571" t="s">
        <v>5525</v>
      </c>
      <c r="M340" s="1572">
        <v>44547</v>
      </c>
    </row>
    <row r="341" spans="1:14" s="1329" customFormat="1" ht="30">
      <c r="A341" s="1569">
        <v>332</v>
      </c>
      <c r="B341" s="1570" t="s">
        <v>1157</v>
      </c>
      <c r="C341" s="1638" t="s">
        <v>1150</v>
      </c>
      <c r="D341" s="1571" t="s">
        <v>784</v>
      </c>
      <c r="E341" s="1571" t="s">
        <v>913</v>
      </c>
      <c r="F341" s="1569" t="s">
        <v>1078</v>
      </c>
      <c r="G341" s="1569">
        <v>72</v>
      </c>
      <c r="H341" s="1570" t="s">
        <v>2156</v>
      </c>
      <c r="I341" s="1569" t="s">
        <v>1830</v>
      </c>
      <c r="J341" s="1569">
        <v>2.56</v>
      </c>
      <c r="K341" s="1569">
        <v>2.35</v>
      </c>
      <c r="L341" s="1571" t="s">
        <v>5525</v>
      </c>
      <c r="M341" s="1572">
        <v>44547</v>
      </c>
    </row>
    <row r="342" spans="1:14" s="1329" customFormat="1" ht="30">
      <c r="A342" s="1569">
        <v>333</v>
      </c>
      <c r="B342" s="1570" t="s">
        <v>1157</v>
      </c>
      <c r="C342" s="1638" t="s">
        <v>1150</v>
      </c>
      <c r="D342" s="1571" t="s">
        <v>784</v>
      </c>
      <c r="E342" s="1571" t="s">
        <v>913</v>
      </c>
      <c r="F342" s="1569" t="s">
        <v>1078</v>
      </c>
      <c r="G342" s="1569">
        <v>72</v>
      </c>
      <c r="H342" s="1570" t="s">
        <v>2156</v>
      </c>
      <c r="I342" s="1569" t="s">
        <v>1840</v>
      </c>
      <c r="J342" s="1569">
        <v>2.56</v>
      </c>
      <c r="K342" s="1569">
        <v>2.35</v>
      </c>
      <c r="L342" s="1571" t="s">
        <v>5525</v>
      </c>
      <c r="M342" s="1572">
        <v>44547</v>
      </c>
    </row>
    <row r="343" spans="1:14" s="1329" customFormat="1" ht="30">
      <c r="A343" s="1569">
        <v>334</v>
      </c>
      <c r="B343" s="1570" t="s">
        <v>1157</v>
      </c>
      <c r="C343" s="1638" t="s">
        <v>1150</v>
      </c>
      <c r="D343" s="1571" t="s">
        <v>784</v>
      </c>
      <c r="E343" s="1571" t="s">
        <v>913</v>
      </c>
      <c r="F343" s="1569" t="s">
        <v>1078</v>
      </c>
      <c r="G343" s="1569">
        <v>72</v>
      </c>
      <c r="H343" s="1570" t="s">
        <v>2156</v>
      </c>
      <c r="I343" s="1569" t="s">
        <v>1847</v>
      </c>
      <c r="J343" s="1569">
        <v>2.56</v>
      </c>
      <c r="K343" s="1569">
        <v>2.35</v>
      </c>
      <c r="L343" s="1571" t="s">
        <v>5525</v>
      </c>
      <c r="M343" s="1572">
        <v>44547</v>
      </c>
    </row>
    <row r="344" spans="1:14" s="1329" customFormat="1" ht="30">
      <c r="A344" s="1569">
        <v>335</v>
      </c>
      <c r="B344" s="1570" t="s">
        <v>1157</v>
      </c>
      <c r="C344" s="1638" t="s">
        <v>1150</v>
      </c>
      <c r="D344" s="1571" t="s">
        <v>784</v>
      </c>
      <c r="E344" s="1571" t="s">
        <v>913</v>
      </c>
      <c r="F344" s="1569" t="s">
        <v>1078</v>
      </c>
      <c r="G344" s="1569">
        <v>72</v>
      </c>
      <c r="H344" s="1570" t="s">
        <v>2156</v>
      </c>
      <c r="I344" s="1569" t="s">
        <v>1853</v>
      </c>
      <c r="J344" s="1569">
        <v>2.56</v>
      </c>
      <c r="K344" s="1569">
        <v>2.35</v>
      </c>
      <c r="L344" s="1571" t="s">
        <v>5525</v>
      </c>
      <c r="M344" s="1572">
        <v>44547</v>
      </c>
    </row>
    <row r="345" spans="1:14" s="1329" customFormat="1" ht="30">
      <c r="A345" s="1569">
        <v>336</v>
      </c>
      <c r="B345" s="1570" t="s">
        <v>1157</v>
      </c>
      <c r="C345" s="1638" t="s">
        <v>1150</v>
      </c>
      <c r="D345" s="1571" t="s">
        <v>784</v>
      </c>
      <c r="E345" s="1571" t="s">
        <v>913</v>
      </c>
      <c r="F345" s="1569" t="s">
        <v>1078</v>
      </c>
      <c r="G345" s="1569">
        <v>72</v>
      </c>
      <c r="H345" s="1570" t="s">
        <v>2156</v>
      </c>
      <c r="I345" s="1569" t="s">
        <v>129</v>
      </c>
      <c r="J345" s="1569">
        <v>2.56</v>
      </c>
      <c r="K345" s="1569">
        <v>2.35</v>
      </c>
      <c r="L345" s="1571" t="s">
        <v>5525</v>
      </c>
      <c r="M345" s="1572">
        <v>44547</v>
      </c>
    </row>
    <row r="346" spans="1:14" s="1332" customFormat="1" ht="30">
      <c r="A346" s="1569">
        <v>337</v>
      </c>
      <c r="B346" s="1570" t="s">
        <v>1102</v>
      </c>
      <c r="C346" s="1638" t="s">
        <v>1538</v>
      </c>
      <c r="D346" s="1571" t="s">
        <v>5526</v>
      </c>
      <c r="E346" s="1571" t="s">
        <v>5398</v>
      </c>
      <c r="F346" s="1569" t="s">
        <v>1078</v>
      </c>
      <c r="G346" s="1569">
        <v>97</v>
      </c>
      <c r="H346" s="1571" t="s">
        <v>2205</v>
      </c>
      <c r="I346" s="1569"/>
      <c r="J346" s="1569">
        <v>4.7699999999999996</v>
      </c>
      <c r="K346" s="1569">
        <v>4.7699999999999999E-2</v>
      </c>
      <c r="L346" s="1571" t="s">
        <v>5527</v>
      </c>
      <c r="M346" s="1572">
        <v>44579</v>
      </c>
      <c r="N346" s="1329"/>
    </row>
    <row r="347" spans="1:14" s="1329" customFormat="1" ht="75">
      <c r="A347" s="1569">
        <v>338</v>
      </c>
      <c r="B347" s="1570" t="s">
        <v>1143</v>
      </c>
      <c r="C347" s="1638" t="s">
        <v>1486</v>
      </c>
      <c r="D347" s="1571" t="s">
        <v>5497</v>
      </c>
      <c r="E347" s="1571" t="s">
        <v>5398</v>
      </c>
      <c r="F347" s="1569" t="s">
        <v>1078</v>
      </c>
      <c r="G347" s="1569">
        <v>97</v>
      </c>
      <c r="H347" s="1571" t="s">
        <v>2206</v>
      </c>
      <c r="I347" s="1569"/>
      <c r="J347" s="1569">
        <v>-4.1700000000000001E-2</v>
      </c>
      <c r="K347" s="1569" t="s">
        <v>5400</v>
      </c>
      <c r="L347" s="1571" t="s">
        <v>5528</v>
      </c>
      <c r="M347" s="1572">
        <v>44582</v>
      </c>
    </row>
    <row r="348" spans="1:14" s="1332" customFormat="1" ht="45">
      <c r="A348" s="1569">
        <v>339</v>
      </c>
      <c r="B348" s="1570" t="s">
        <v>1241</v>
      </c>
      <c r="C348" s="1638" t="s">
        <v>1573</v>
      </c>
      <c r="D348" s="1571" t="s">
        <v>4376</v>
      </c>
      <c r="E348" s="1571" t="s">
        <v>5398</v>
      </c>
      <c r="F348" s="1569" t="s">
        <v>1078</v>
      </c>
      <c r="G348" s="1569">
        <v>41</v>
      </c>
      <c r="H348" s="1571" t="s">
        <v>2153</v>
      </c>
      <c r="I348" s="1569" t="s">
        <v>129</v>
      </c>
      <c r="J348" s="1569" t="s">
        <v>5400</v>
      </c>
      <c r="K348" s="1464" t="s">
        <v>4379</v>
      </c>
      <c r="L348" s="1571" t="s">
        <v>5529</v>
      </c>
      <c r="M348" s="1572">
        <v>44582</v>
      </c>
      <c r="N348" s="1329"/>
    </row>
    <row r="349" spans="1:14" s="1329" customFormat="1" ht="45">
      <c r="A349" s="1569">
        <v>340</v>
      </c>
      <c r="B349" s="1570" t="s">
        <v>1143</v>
      </c>
      <c r="C349" s="1638" t="s">
        <v>1539</v>
      </c>
      <c r="D349" s="1571" t="s">
        <v>2081</v>
      </c>
      <c r="E349" s="1571" t="s">
        <v>5448</v>
      </c>
      <c r="F349" s="1569" t="s">
        <v>1078</v>
      </c>
      <c r="G349" s="1569">
        <v>20</v>
      </c>
      <c r="H349" s="1571" t="s">
        <v>2171</v>
      </c>
      <c r="I349" s="1569"/>
      <c r="J349" s="1569" t="s">
        <v>1890</v>
      </c>
      <c r="K349" s="1569" t="s">
        <v>1857</v>
      </c>
      <c r="L349" s="1566" t="s">
        <v>5513</v>
      </c>
      <c r="M349" s="1572">
        <v>44589</v>
      </c>
    </row>
    <row r="350" spans="1:14" s="1329" customFormat="1" ht="45">
      <c r="A350" s="1569">
        <v>341</v>
      </c>
      <c r="B350" s="1565" t="s">
        <v>1213</v>
      </c>
      <c r="C350" s="1804" t="s">
        <v>5510</v>
      </c>
      <c r="D350" s="1566" t="s">
        <v>5511</v>
      </c>
      <c r="E350" s="1571" t="s">
        <v>5448</v>
      </c>
      <c r="F350" s="1564" t="s">
        <v>1078</v>
      </c>
      <c r="G350" s="1569">
        <v>22</v>
      </c>
      <c r="H350" s="1571" t="s">
        <v>5450</v>
      </c>
      <c r="I350" s="1569"/>
      <c r="J350" s="1569">
        <v>2</v>
      </c>
      <c r="K350" s="1569">
        <v>3</v>
      </c>
      <c r="L350" s="1566" t="s">
        <v>5530</v>
      </c>
      <c r="M350" s="1572">
        <v>44589</v>
      </c>
    </row>
    <row r="351" spans="1:14" s="1329" customFormat="1" ht="45">
      <c r="A351" s="1569">
        <v>342</v>
      </c>
      <c r="B351" s="1570" t="s">
        <v>1143</v>
      </c>
      <c r="C351" s="1804" t="s">
        <v>1548</v>
      </c>
      <c r="D351" s="1566" t="s">
        <v>2416</v>
      </c>
      <c r="E351" s="1571" t="s">
        <v>5448</v>
      </c>
      <c r="F351" s="1569" t="s">
        <v>1078</v>
      </c>
      <c r="G351" s="1569">
        <v>62</v>
      </c>
      <c r="H351" s="1571" t="s">
        <v>1816</v>
      </c>
      <c r="I351" s="1569" t="s">
        <v>1830</v>
      </c>
      <c r="J351" s="1569" t="s">
        <v>210</v>
      </c>
      <c r="K351" s="1569"/>
      <c r="L351" s="1566" t="s">
        <v>5531</v>
      </c>
      <c r="M351" s="1572">
        <v>44592</v>
      </c>
    </row>
    <row r="352" spans="1:14" s="1329" customFormat="1" ht="45">
      <c r="A352" s="1569">
        <v>343</v>
      </c>
      <c r="B352" s="1570" t="s">
        <v>1143</v>
      </c>
      <c r="C352" s="1804" t="s">
        <v>1548</v>
      </c>
      <c r="D352" s="1566" t="s">
        <v>2416</v>
      </c>
      <c r="E352" s="1571" t="s">
        <v>5448</v>
      </c>
      <c r="F352" s="1564" t="s">
        <v>1078</v>
      </c>
      <c r="G352" s="1569">
        <v>62</v>
      </c>
      <c r="H352" s="1571" t="s">
        <v>1816</v>
      </c>
      <c r="I352" s="1569" t="s">
        <v>1840</v>
      </c>
      <c r="J352" s="1569" t="s">
        <v>210</v>
      </c>
      <c r="K352" s="1569"/>
      <c r="L352" s="1566" t="s">
        <v>5531</v>
      </c>
      <c r="M352" s="1572">
        <v>44592</v>
      </c>
    </row>
    <row r="353" spans="1:13" s="1329" customFormat="1" ht="45">
      <c r="A353" s="1569">
        <v>344</v>
      </c>
      <c r="B353" s="1570" t="s">
        <v>1143</v>
      </c>
      <c r="C353" s="1804" t="s">
        <v>1548</v>
      </c>
      <c r="D353" s="1566" t="s">
        <v>2416</v>
      </c>
      <c r="E353" s="1571" t="s">
        <v>5448</v>
      </c>
      <c r="F353" s="1569" t="s">
        <v>1078</v>
      </c>
      <c r="G353" s="1569">
        <v>62</v>
      </c>
      <c r="H353" s="1571" t="s">
        <v>1816</v>
      </c>
      <c r="I353" s="1569" t="s">
        <v>1847</v>
      </c>
      <c r="J353" s="1569" t="s">
        <v>210</v>
      </c>
      <c r="K353" s="1569"/>
      <c r="L353" s="1566" t="s">
        <v>5531</v>
      </c>
      <c r="M353" s="1572">
        <v>44592</v>
      </c>
    </row>
    <row r="354" spans="1:13" s="1329" customFormat="1" ht="45">
      <c r="A354" s="1569">
        <v>345</v>
      </c>
      <c r="B354" s="1570" t="s">
        <v>1143</v>
      </c>
      <c r="C354" s="1804" t="s">
        <v>1548</v>
      </c>
      <c r="D354" s="1566" t="s">
        <v>2416</v>
      </c>
      <c r="E354" s="1571" t="s">
        <v>5448</v>
      </c>
      <c r="F354" s="1564" t="s">
        <v>1078</v>
      </c>
      <c r="G354" s="1569">
        <v>62</v>
      </c>
      <c r="H354" s="1571" t="s">
        <v>1816</v>
      </c>
      <c r="I354" s="1569" t="s">
        <v>1853</v>
      </c>
      <c r="J354" s="1569" t="s">
        <v>210</v>
      </c>
      <c r="K354" s="1569"/>
      <c r="L354" s="1566" t="s">
        <v>5531</v>
      </c>
      <c r="M354" s="1572">
        <v>44592</v>
      </c>
    </row>
    <row r="355" spans="1:13" s="1329" customFormat="1" ht="30">
      <c r="A355" s="1569">
        <v>346</v>
      </c>
      <c r="B355" s="1570" t="s">
        <v>1102</v>
      </c>
      <c r="C355" s="1804" t="s">
        <v>1407</v>
      </c>
      <c r="D355" s="1566" t="s">
        <v>2078</v>
      </c>
      <c r="E355" s="1571" t="s">
        <v>5532</v>
      </c>
      <c r="F355" s="1569" t="s">
        <v>1078</v>
      </c>
      <c r="G355" s="1569">
        <v>41</v>
      </c>
      <c r="H355" s="1571" t="s">
        <v>2153</v>
      </c>
      <c r="I355" s="1569" t="s">
        <v>129</v>
      </c>
      <c r="J355" s="1569">
        <v>382.4</v>
      </c>
      <c r="K355" s="1569">
        <v>469.4</v>
      </c>
      <c r="L355" s="1566" t="s">
        <v>5533</v>
      </c>
      <c r="M355" s="1572">
        <v>44596</v>
      </c>
    </row>
    <row r="356" spans="1:13" s="1329" customFormat="1" ht="30">
      <c r="A356" s="1569">
        <v>347</v>
      </c>
      <c r="B356" s="1570" t="s">
        <v>1102</v>
      </c>
      <c r="C356" s="1804" t="s">
        <v>1407</v>
      </c>
      <c r="D356" s="1566" t="s">
        <v>2078</v>
      </c>
      <c r="E356" s="1571" t="s">
        <v>5532</v>
      </c>
      <c r="F356" s="1564" t="s">
        <v>1078</v>
      </c>
      <c r="G356" s="1569">
        <v>97</v>
      </c>
      <c r="H356" s="1571" t="s">
        <v>2205</v>
      </c>
      <c r="I356" s="1569"/>
      <c r="J356" s="1587">
        <v>-0.46</v>
      </c>
      <c r="K356" s="1569">
        <v>-0.45900000000000002</v>
      </c>
      <c r="L356" s="1566" t="s">
        <v>5533</v>
      </c>
      <c r="M356" s="1572">
        <v>44596</v>
      </c>
    </row>
    <row r="357" spans="1:13" s="1329" customFormat="1" ht="15">
      <c r="A357" s="1569">
        <v>348</v>
      </c>
      <c r="B357" s="1570" t="s">
        <v>1241</v>
      </c>
      <c r="C357" s="1804" t="s">
        <v>1573</v>
      </c>
      <c r="D357" s="1566" t="s">
        <v>4376</v>
      </c>
      <c r="E357" s="1571" t="s">
        <v>5398</v>
      </c>
      <c r="F357" s="1564" t="s">
        <v>1078</v>
      </c>
      <c r="G357" s="1569">
        <v>17</v>
      </c>
      <c r="H357" s="1571" t="s">
        <v>1803</v>
      </c>
      <c r="I357" s="1569" t="s">
        <v>1895</v>
      </c>
      <c r="J357" s="1587" t="s">
        <v>1836</v>
      </c>
      <c r="K357" s="1569" t="s">
        <v>1826</v>
      </c>
      <c r="L357" s="1566" t="s">
        <v>5534</v>
      </c>
      <c r="M357" s="1572">
        <v>44596</v>
      </c>
    </row>
    <row r="358" spans="1:13" s="1329" customFormat="1" ht="15">
      <c r="A358" s="1569">
        <v>349</v>
      </c>
      <c r="B358" s="1570" t="s">
        <v>1241</v>
      </c>
      <c r="C358" s="1804" t="s">
        <v>1573</v>
      </c>
      <c r="D358" s="1566" t="s">
        <v>4376</v>
      </c>
      <c r="E358" s="1571" t="s">
        <v>5398</v>
      </c>
      <c r="F358" s="1564" t="s">
        <v>1078</v>
      </c>
      <c r="G358" s="1569">
        <v>22</v>
      </c>
      <c r="H358" s="1571" t="s">
        <v>156</v>
      </c>
      <c r="I358" s="1569" t="s">
        <v>1895</v>
      </c>
      <c r="J358" s="1588">
        <v>3</v>
      </c>
      <c r="K358" s="1569">
        <v>1</v>
      </c>
      <c r="L358" s="1566" t="s">
        <v>5534</v>
      </c>
      <c r="M358" s="1572">
        <v>44596</v>
      </c>
    </row>
    <row r="359" spans="1:13" s="1329" customFormat="1" ht="15">
      <c r="A359" s="1569">
        <v>350</v>
      </c>
      <c r="B359" s="1570" t="s">
        <v>1213</v>
      </c>
      <c r="C359" s="1804" t="s">
        <v>5535</v>
      </c>
      <c r="D359" s="1566" t="s">
        <v>3890</v>
      </c>
      <c r="E359" s="1571" t="s">
        <v>913</v>
      </c>
      <c r="F359" s="1564" t="s">
        <v>1078</v>
      </c>
      <c r="G359" s="1569">
        <v>72</v>
      </c>
      <c r="H359" s="1571" t="s">
        <v>2156</v>
      </c>
      <c r="I359" s="1569" t="s">
        <v>1830</v>
      </c>
      <c r="J359" s="1569">
        <v>9</v>
      </c>
      <c r="K359" s="1569"/>
      <c r="L359" s="1566" t="s">
        <v>5536</v>
      </c>
      <c r="M359" s="1572">
        <v>44613</v>
      </c>
    </row>
    <row r="360" spans="1:13" s="1329" customFormat="1" ht="15">
      <c r="A360" s="1569">
        <v>351</v>
      </c>
      <c r="B360" s="1570" t="s">
        <v>1213</v>
      </c>
      <c r="C360" s="1804" t="s">
        <v>5535</v>
      </c>
      <c r="D360" s="1566" t="s">
        <v>3890</v>
      </c>
      <c r="E360" s="1571" t="s">
        <v>913</v>
      </c>
      <c r="F360" s="1564" t="s">
        <v>1078</v>
      </c>
      <c r="G360" s="1569">
        <v>72</v>
      </c>
      <c r="H360" s="1571" t="s">
        <v>2156</v>
      </c>
      <c r="I360" s="1569" t="s">
        <v>1840</v>
      </c>
      <c r="J360" s="1569">
        <v>5.75</v>
      </c>
      <c r="K360" s="1569"/>
      <c r="L360" s="1566" t="s">
        <v>5536</v>
      </c>
      <c r="M360" s="1572">
        <v>44613</v>
      </c>
    </row>
    <row r="361" spans="1:13" s="1329" customFormat="1" ht="15">
      <c r="A361" s="1569">
        <v>352</v>
      </c>
      <c r="B361" s="1570" t="s">
        <v>1213</v>
      </c>
      <c r="C361" s="1804" t="s">
        <v>5535</v>
      </c>
      <c r="D361" s="1566" t="s">
        <v>3890</v>
      </c>
      <c r="E361" s="1571" t="s">
        <v>913</v>
      </c>
      <c r="F361" s="1564" t="s">
        <v>1078</v>
      </c>
      <c r="G361" s="1569">
        <v>72</v>
      </c>
      <c r="H361" s="1571" t="s">
        <v>2156</v>
      </c>
      <c r="I361" s="1569" t="s">
        <v>1847</v>
      </c>
      <c r="J361" s="1569">
        <v>4</v>
      </c>
      <c r="K361" s="1569"/>
      <c r="L361" s="1566" t="s">
        <v>5536</v>
      </c>
      <c r="M361" s="1572">
        <v>44613</v>
      </c>
    </row>
    <row r="362" spans="1:13" s="1329" customFormat="1" ht="15">
      <c r="A362" s="1569">
        <v>353</v>
      </c>
      <c r="B362" s="1570" t="s">
        <v>1213</v>
      </c>
      <c r="C362" s="1804" t="s">
        <v>5535</v>
      </c>
      <c r="D362" s="1566" t="s">
        <v>3890</v>
      </c>
      <c r="E362" s="1571" t="s">
        <v>913</v>
      </c>
      <c r="F362" s="1564" t="s">
        <v>1078</v>
      </c>
      <c r="G362" s="1569">
        <v>72</v>
      </c>
      <c r="H362" s="1571" t="s">
        <v>2156</v>
      </c>
      <c r="I362" s="1569" t="s">
        <v>1853</v>
      </c>
      <c r="J362" s="1569">
        <v>4</v>
      </c>
      <c r="K362" s="1569"/>
      <c r="L362" s="1566" t="s">
        <v>5536</v>
      </c>
      <c r="M362" s="1572">
        <v>44613</v>
      </c>
    </row>
    <row r="363" spans="1:13" s="1329" customFormat="1" ht="15">
      <c r="A363" s="1569">
        <v>354</v>
      </c>
      <c r="B363" s="1570" t="s">
        <v>1213</v>
      </c>
      <c r="C363" s="1804" t="s">
        <v>5535</v>
      </c>
      <c r="D363" s="1566" t="s">
        <v>3890</v>
      </c>
      <c r="E363" s="1571" t="s">
        <v>913</v>
      </c>
      <c r="F363" s="1564" t="s">
        <v>1078</v>
      </c>
      <c r="G363" s="1569">
        <v>72</v>
      </c>
      <c r="H363" s="1571" t="s">
        <v>2156</v>
      </c>
      <c r="I363" s="1569" t="s">
        <v>129</v>
      </c>
      <c r="J363" s="1569">
        <v>9</v>
      </c>
      <c r="K363" s="1569"/>
      <c r="L363" s="1566" t="s">
        <v>5536</v>
      </c>
      <c r="M363" s="1572">
        <v>44613</v>
      </c>
    </row>
    <row r="364" spans="1:13" s="1329" customFormat="1" ht="45">
      <c r="A364" s="1569">
        <v>355</v>
      </c>
      <c r="B364" s="1570" t="s">
        <v>1116</v>
      </c>
      <c r="C364" s="1804" t="s">
        <v>1545</v>
      </c>
      <c r="D364" s="1566" t="s">
        <v>4042</v>
      </c>
      <c r="E364" s="1571" t="s">
        <v>5448</v>
      </c>
      <c r="F364" s="1564" t="s">
        <v>1078</v>
      </c>
      <c r="G364" s="1569">
        <v>41</v>
      </c>
      <c r="H364" s="1571" t="s">
        <v>2153</v>
      </c>
      <c r="I364" s="1569" t="s">
        <v>1830</v>
      </c>
      <c r="J364" s="1569">
        <v>86.5</v>
      </c>
      <c r="K364" s="1571" t="s">
        <v>2552</v>
      </c>
      <c r="L364" s="1566" t="s">
        <v>5537</v>
      </c>
      <c r="M364" s="1572">
        <v>44629</v>
      </c>
    </row>
    <row r="365" spans="1:13" s="1329" customFormat="1" ht="45">
      <c r="A365" s="1569">
        <v>356</v>
      </c>
      <c r="B365" s="1570" t="s">
        <v>1116</v>
      </c>
      <c r="C365" s="1804" t="s">
        <v>1545</v>
      </c>
      <c r="D365" s="1566" t="s">
        <v>4042</v>
      </c>
      <c r="E365" s="1571" t="s">
        <v>5448</v>
      </c>
      <c r="F365" s="1564" t="s">
        <v>1078</v>
      </c>
      <c r="G365" s="1569">
        <v>41</v>
      </c>
      <c r="H365" s="1571" t="s">
        <v>2153</v>
      </c>
      <c r="I365" s="1569" t="s">
        <v>1840</v>
      </c>
      <c r="J365" s="1569">
        <v>287.89999999999998</v>
      </c>
      <c r="K365" s="1571" t="s">
        <v>2553</v>
      </c>
      <c r="L365" s="1566" t="s">
        <v>5537</v>
      </c>
      <c r="M365" s="1572">
        <v>44629</v>
      </c>
    </row>
    <row r="366" spans="1:13" s="1329" customFormat="1" ht="45">
      <c r="A366" s="1569">
        <v>357</v>
      </c>
      <c r="B366" s="1570" t="s">
        <v>1116</v>
      </c>
      <c r="C366" s="1804" t="s">
        <v>1545</v>
      </c>
      <c r="D366" s="1566" t="s">
        <v>4042</v>
      </c>
      <c r="E366" s="1571" t="s">
        <v>5448</v>
      </c>
      <c r="F366" s="1564" t="s">
        <v>1078</v>
      </c>
      <c r="G366" s="1569">
        <v>41</v>
      </c>
      <c r="H366" s="1571" t="s">
        <v>2153</v>
      </c>
      <c r="I366" s="1569" t="s">
        <v>1847</v>
      </c>
      <c r="J366" s="1569">
        <v>259.10000000000002</v>
      </c>
      <c r="K366" s="1571" t="s">
        <v>2554</v>
      </c>
      <c r="L366" s="1566" t="s">
        <v>5537</v>
      </c>
      <c r="M366" s="1572">
        <v>44629</v>
      </c>
    </row>
    <row r="367" spans="1:13" s="1329" customFormat="1" ht="45">
      <c r="A367" s="1569">
        <v>358</v>
      </c>
      <c r="B367" s="1570" t="s">
        <v>1116</v>
      </c>
      <c r="C367" s="1804" t="s">
        <v>1545</v>
      </c>
      <c r="D367" s="1566" t="s">
        <v>4042</v>
      </c>
      <c r="E367" s="1571" t="s">
        <v>5448</v>
      </c>
      <c r="F367" s="1564" t="s">
        <v>1078</v>
      </c>
      <c r="G367" s="1569">
        <v>41</v>
      </c>
      <c r="H367" s="1571" t="s">
        <v>2153</v>
      </c>
      <c r="I367" s="1569" t="s">
        <v>1853</v>
      </c>
      <c r="J367" s="1569">
        <v>233.2</v>
      </c>
      <c r="K367" s="1571" t="s">
        <v>2555</v>
      </c>
      <c r="L367" s="1566" t="s">
        <v>5537</v>
      </c>
      <c r="M367" s="1572">
        <v>44629</v>
      </c>
    </row>
    <row r="368" spans="1:13" s="1329" customFormat="1" ht="45">
      <c r="A368" s="1569">
        <v>359</v>
      </c>
      <c r="B368" s="1570" t="s">
        <v>1116</v>
      </c>
      <c r="C368" s="1804" t="s">
        <v>1545</v>
      </c>
      <c r="D368" s="1566" t="s">
        <v>4042</v>
      </c>
      <c r="E368" s="1571" t="s">
        <v>5448</v>
      </c>
      <c r="F368" s="1564" t="s">
        <v>1078</v>
      </c>
      <c r="G368" s="1569">
        <v>41</v>
      </c>
      <c r="H368" s="1571" t="s">
        <v>2153</v>
      </c>
      <c r="I368" s="1569" t="s">
        <v>129</v>
      </c>
      <c r="J368" s="1569">
        <v>209.9</v>
      </c>
      <c r="K368" s="1571" t="s">
        <v>2556</v>
      </c>
      <c r="L368" s="1566" t="s">
        <v>5537</v>
      </c>
      <c r="M368" s="1572">
        <v>44629</v>
      </c>
    </row>
    <row r="369" spans="1:13" s="1329" customFormat="1" ht="60">
      <c r="A369" s="1569">
        <v>360</v>
      </c>
      <c r="B369" s="1571" t="s">
        <v>5538</v>
      </c>
      <c r="C369" s="1804"/>
      <c r="D369" s="1566" t="s">
        <v>5539</v>
      </c>
      <c r="E369" s="1571" t="s">
        <v>913</v>
      </c>
      <c r="F369" s="1564" t="s">
        <v>1078</v>
      </c>
      <c r="G369" s="1629" t="s">
        <v>5540</v>
      </c>
      <c r="H369" s="1569" t="s">
        <v>5540</v>
      </c>
      <c r="I369" s="1569" t="s">
        <v>1936</v>
      </c>
      <c r="J369" s="1629" t="s">
        <v>5541</v>
      </c>
      <c r="K369" s="1569"/>
      <c r="L369" s="1566" t="s">
        <v>5542</v>
      </c>
      <c r="M369" s="1742">
        <v>44634</v>
      </c>
    </row>
    <row r="370" spans="1:13" s="1329" customFormat="1" ht="45">
      <c r="A370" s="1569">
        <v>361</v>
      </c>
      <c r="B370" s="1570" t="s">
        <v>1116</v>
      </c>
      <c r="C370" s="1565" t="s">
        <v>1318</v>
      </c>
      <c r="D370" s="1566" t="s">
        <v>3978</v>
      </c>
      <c r="E370" s="1571" t="s">
        <v>5448</v>
      </c>
      <c r="F370" s="1564" t="s">
        <v>1078</v>
      </c>
      <c r="G370" s="1629">
        <v>72</v>
      </c>
      <c r="H370" s="1571" t="s">
        <v>2156</v>
      </c>
      <c r="I370" s="1569" t="s">
        <v>1830</v>
      </c>
      <c r="J370" s="1569">
        <v>4.47</v>
      </c>
      <c r="K370" s="1569">
        <v>4.4800000000000004</v>
      </c>
      <c r="L370" s="1566" t="s">
        <v>5513</v>
      </c>
      <c r="M370" s="1572">
        <v>44635</v>
      </c>
    </row>
    <row r="371" spans="1:13" s="1329" customFormat="1" ht="45">
      <c r="A371" s="1569">
        <v>362</v>
      </c>
      <c r="B371" s="1570" t="s">
        <v>1116</v>
      </c>
      <c r="C371" s="1565" t="s">
        <v>1318</v>
      </c>
      <c r="D371" s="1566" t="s">
        <v>3978</v>
      </c>
      <c r="E371" s="1571" t="s">
        <v>5448</v>
      </c>
      <c r="F371" s="1564" t="s">
        <v>1078</v>
      </c>
      <c r="G371" s="1629">
        <v>72</v>
      </c>
      <c r="H371" s="1571" t="s">
        <v>2156</v>
      </c>
      <c r="I371" s="1569" t="s">
        <v>1840</v>
      </c>
      <c r="J371" s="1569">
        <v>4.47</v>
      </c>
      <c r="K371" s="1569">
        <v>4.4800000000000004</v>
      </c>
      <c r="L371" s="1566" t="s">
        <v>5513</v>
      </c>
      <c r="M371" s="1572">
        <v>44635</v>
      </c>
    </row>
    <row r="372" spans="1:13" s="1329" customFormat="1" ht="45">
      <c r="A372" s="1569">
        <v>363</v>
      </c>
      <c r="B372" s="1570" t="s">
        <v>1116</v>
      </c>
      <c r="C372" s="1565" t="s">
        <v>1318</v>
      </c>
      <c r="D372" s="1566" t="s">
        <v>3978</v>
      </c>
      <c r="E372" s="1571" t="s">
        <v>5448</v>
      </c>
      <c r="F372" s="1564" t="s">
        <v>1078</v>
      </c>
      <c r="G372" s="1629">
        <v>72</v>
      </c>
      <c r="H372" s="1571" t="s">
        <v>2156</v>
      </c>
      <c r="I372" s="1569" t="s">
        <v>1847</v>
      </c>
      <c r="J372" s="1569">
        <v>4.47</v>
      </c>
      <c r="K372" s="1569">
        <v>4.4800000000000004</v>
      </c>
      <c r="L372" s="1566" t="s">
        <v>5513</v>
      </c>
      <c r="M372" s="1572">
        <v>44635</v>
      </c>
    </row>
    <row r="373" spans="1:13" s="1329" customFormat="1" ht="45">
      <c r="A373" s="1569">
        <v>364</v>
      </c>
      <c r="B373" s="1570" t="s">
        <v>1116</v>
      </c>
      <c r="C373" s="1565" t="s">
        <v>1318</v>
      </c>
      <c r="D373" s="1566" t="s">
        <v>3978</v>
      </c>
      <c r="E373" s="1571" t="s">
        <v>5448</v>
      </c>
      <c r="F373" s="1564" t="s">
        <v>1078</v>
      </c>
      <c r="G373" s="1629">
        <v>72</v>
      </c>
      <c r="H373" s="1571" t="s">
        <v>2156</v>
      </c>
      <c r="I373" s="1569" t="s">
        <v>1853</v>
      </c>
      <c r="J373" s="1569">
        <v>4.47</v>
      </c>
      <c r="K373" s="1569">
        <v>4.4800000000000004</v>
      </c>
      <c r="L373" s="1566" t="s">
        <v>5513</v>
      </c>
      <c r="M373" s="1572">
        <v>44635</v>
      </c>
    </row>
    <row r="374" spans="1:13" s="1329" customFormat="1" ht="45">
      <c r="A374" s="1569">
        <v>365</v>
      </c>
      <c r="B374" s="1570" t="s">
        <v>1116</v>
      </c>
      <c r="C374" s="1565" t="s">
        <v>1318</v>
      </c>
      <c r="D374" s="1566" t="s">
        <v>3978</v>
      </c>
      <c r="E374" s="1571" t="s">
        <v>5448</v>
      </c>
      <c r="F374" s="1564" t="s">
        <v>1078</v>
      </c>
      <c r="G374" s="1629">
        <v>72</v>
      </c>
      <c r="H374" s="1571" t="s">
        <v>2156</v>
      </c>
      <c r="I374" s="1569" t="s">
        <v>129</v>
      </c>
      <c r="J374" s="1569">
        <v>4.47</v>
      </c>
      <c r="K374" s="1569">
        <v>4.4800000000000004</v>
      </c>
      <c r="L374" s="1566" t="s">
        <v>5513</v>
      </c>
      <c r="M374" s="1572">
        <v>44635</v>
      </c>
    </row>
    <row r="375" spans="1:13" s="1329" customFormat="1" ht="45">
      <c r="A375" s="1569">
        <v>366</v>
      </c>
      <c r="B375" s="1570" t="s">
        <v>1116</v>
      </c>
      <c r="C375" s="1565" t="s">
        <v>1352</v>
      </c>
      <c r="D375" s="1566" t="s">
        <v>4025</v>
      </c>
      <c r="E375" s="1571" t="s">
        <v>5448</v>
      </c>
      <c r="F375" s="1564" t="s">
        <v>1078</v>
      </c>
      <c r="G375" s="1629">
        <v>72</v>
      </c>
      <c r="H375" s="1571" t="s">
        <v>2156</v>
      </c>
      <c r="I375" s="1569" t="s">
        <v>1830</v>
      </c>
      <c r="J375" s="1569">
        <v>4.0999999999999996</v>
      </c>
      <c r="K375" s="1749">
        <v>4</v>
      </c>
      <c r="L375" s="1566" t="s">
        <v>5513</v>
      </c>
      <c r="M375" s="1572">
        <v>44635</v>
      </c>
    </row>
    <row r="376" spans="1:13" s="1329" customFormat="1" ht="45">
      <c r="A376" s="1569">
        <v>367</v>
      </c>
      <c r="B376" s="1570" t="s">
        <v>1116</v>
      </c>
      <c r="C376" s="1565" t="s">
        <v>1352</v>
      </c>
      <c r="D376" s="1566" t="s">
        <v>4025</v>
      </c>
      <c r="E376" s="1571" t="s">
        <v>5448</v>
      </c>
      <c r="F376" s="1564" t="s">
        <v>1078</v>
      </c>
      <c r="G376" s="1629">
        <v>72</v>
      </c>
      <c r="H376" s="1571" t="s">
        <v>2156</v>
      </c>
      <c r="I376" s="1569" t="s">
        <v>1840</v>
      </c>
      <c r="J376" s="1569">
        <v>4.0999999999999996</v>
      </c>
      <c r="K376" s="1749">
        <v>4</v>
      </c>
      <c r="L376" s="1566" t="s">
        <v>5513</v>
      </c>
      <c r="M376" s="1572">
        <v>44635</v>
      </c>
    </row>
    <row r="377" spans="1:13" s="1329" customFormat="1" ht="45">
      <c r="A377" s="1569">
        <v>368</v>
      </c>
      <c r="B377" s="1570" t="s">
        <v>1116</v>
      </c>
      <c r="C377" s="1565" t="s">
        <v>1352</v>
      </c>
      <c r="D377" s="1566" t="s">
        <v>4025</v>
      </c>
      <c r="E377" s="1571" t="s">
        <v>5448</v>
      </c>
      <c r="F377" s="1564" t="s">
        <v>1078</v>
      </c>
      <c r="G377" s="1629">
        <v>72</v>
      </c>
      <c r="H377" s="1571" t="s">
        <v>2156</v>
      </c>
      <c r="I377" s="1569" t="s">
        <v>1847</v>
      </c>
      <c r="J377" s="1569">
        <v>4.0999999999999996</v>
      </c>
      <c r="K377" s="1749">
        <v>4</v>
      </c>
      <c r="L377" s="1566" t="s">
        <v>5513</v>
      </c>
      <c r="M377" s="1572">
        <v>44635</v>
      </c>
    </row>
    <row r="378" spans="1:13" s="1329" customFormat="1" ht="45">
      <c r="A378" s="1569">
        <v>369</v>
      </c>
      <c r="B378" s="1570" t="s">
        <v>1116</v>
      </c>
      <c r="C378" s="1565" t="s">
        <v>1352</v>
      </c>
      <c r="D378" s="1566" t="s">
        <v>4025</v>
      </c>
      <c r="E378" s="1571" t="s">
        <v>5448</v>
      </c>
      <c r="F378" s="1564" t="s">
        <v>1078</v>
      </c>
      <c r="G378" s="1629">
        <v>72</v>
      </c>
      <c r="H378" s="1571" t="s">
        <v>2156</v>
      </c>
      <c r="I378" s="1569" t="s">
        <v>1853</v>
      </c>
      <c r="J378" s="1569">
        <v>4.0999999999999996</v>
      </c>
      <c r="K378" s="1749">
        <v>4</v>
      </c>
      <c r="L378" s="1566" t="s">
        <v>5513</v>
      </c>
      <c r="M378" s="1572">
        <v>44635</v>
      </c>
    </row>
    <row r="379" spans="1:13" s="1329" customFormat="1" ht="45">
      <c r="A379" s="1569">
        <v>370</v>
      </c>
      <c r="B379" s="1570" t="s">
        <v>1116</v>
      </c>
      <c r="C379" s="1565" t="s">
        <v>1352</v>
      </c>
      <c r="D379" s="1566" t="s">
        <v>4025</v>
      </c>
      <c r="E379" s="1571" t="s">
        <v>5448</v>
      </c>
      <c r="F379" s="1564" t="s">
        <v>1078</v>
      </c>
      <c r="G379" s="1629">
        <v>72</v>
      </c>
      <c r="H379" s="1571" t="s">
        <v>2156</v>
      </c>
      <c r="I379" s="1569" t="s">
        <v>129</v>
      </c>
      <c r="J379" s="1569">
        <v>4.0999999999999996</v>
      </c>
      <c r="K379" s="1749">
        <v>4</v>
      </c>
      <c r="L379" s="1566" t="s">
        <v>5513</v>
      </c>
      <c r="M379" s="1572">
        <v>44635</v>
      </c>
    </row>
    <row r="380" spans="1:13" s="1329" customFormat="1" ht="45">
      <c r="A380" s="1569">
        <v>371</v>
      </c>
      <c r="B380" s="1570" t="s">
        <v>1116</v>
      </c>
      <c r="C380" s="1565" t="s">
        <v>1535</v>
      </c>
      <c r="D380" s="1566" t="s">
        <v>4036</v>
      </c>
      <c r="E380" s="1571" t="s">
        <v>5448</v>
      </c>
      <c r="F380" s="1564" t="s">
        <v>1078</v>
      </c>
      <c r="G380" s="1629">
        <v>72</v>
      </c>
      <c r="H380" s="1571" t="s">
        <v>2156</v>
      </c>
      <c r="I380" s="1569" t="s">
        <v>1830</v>
      </c>
      <c r="J380" s="1569">
        <v>40.04</v>
      </c>
      <c r="K380" s="1569">
        <v>40.049999999999997</v>
      </c>
      <c r="L380" s="1566" t="s">
        <v>5513</v>
      </c>
      <c r="M380" s="1572">
        <v>44635</v>
      </c>
    </row>
    <row r="381" spans="1:13" s="1329" customFormat="1" ht="45">
      <c r="A381" s="1569">
        <v>372</v>
      </c>
      <c r="B381" s="1570" t="s">
        <v>1116</v>
      </c>
      <c r="C381" s="1565" t="s">
        <v>1535</v>
      </c>
      <c r="D381" s="1566" t="s">
        <v>4036</v>
      </c>
      <c r="E381" s="1571" t="s">
        <v>5448</v>
      </c>
      <c r="F381" s="1564" t="s">
        <v>1078</v>
      </c>
      <c r="G381" s="1629">
        <v>72</v>
      </c>
      <c r="H381" s="1571" t="s">
        <v>2156</v>
      </c>
      <c r="I381" s="1569" t="s">
        <v>1840</v>
      </c>
      <c r="J381" s="1569">
        <v>40.04</v>
      </c>
      <c r="K381" s="1569">
        <v>40.049999999999997</v>
      </c>
      <c r="L381" s="1566" t="s">
        <v>5513</v>
      </c>
      <c r="M381" s="1572">
        <v>44635</v>
      </c>
    </row>
    <row r="382" spans="1:13" s="1329" customFormat="1" ht="45">
      <c r="A382" s="1569">
        <v>373</v>
      </c>
      <c r="B382" s="1570" t="s">
        <v>1116</v>
      </c>
      <c r="C382" s="1565" t="s">
        <v>1535</v>
      </c>
      <c r="D382" s="1566" t="s">
        <v>4036</v>
      </c>
      <c r="E382" s="1571" t="s">
        <v>5448</v>
      </c>
      <c r="F382" s="1564" t="s">
        <v>1078</v>
      </c>
      <c r="G382" s="1629">
        <v>72</v>
      </c>
      <c r="H382" s="1571" t="s">
        <v>2156</v>
      </c>
      <c r="I382" s="1569" t="s">
        <v>1847</v>
      </c>
      <c r="J382" s="1569">
        <v>40.04</v>
      </c>
      <c r="K382" s="1569">
        <v>40.049999999999997</v>
      </c>
      <c r="L382" s="1566" t="s">
        <v>5513</v>
      </c>
      <c r="M382" s="1572">
        <v>44635</v>
      </c>
    </row>
    <row r="383" spans="1:13" s="1329" customFormat="1" ht="45">
      <c r="A383" s="1569">
        <v>374</v>
      </c>
      <c r="B383" s="1570" t="s">
        <v>1116</v>
      </c>
      <c r="C383" s="1565" t="s">
        <v>1535</v>
      </c>
      <c r="D383" s="1566" t="s">
        <v>4036</v>
      </c>
      <c r="E383" s="1571" t="s">
        <v>5448</v>
      </c>
      <c r="F383" s="1564" t="s">
        <v>1078</v>
      </c>
      <c r="G383" s="1629">
        <v>72</v>
      </c>
      <c r="H383" s="1571" t="s">
        <v>2156</v>
      </c>
      <c r="I383" s="1569" t="s">
        <v>1853</v>
      </c>
      <c r="J383" s="1569">
        <v>40.04</v>
      </c>
      <c r="K383" s="1569">
        <v>40.049999999999997</v>
      </c>
      <c r="L383" s="1566" t="s">
        <v>5513</v>
      </c>
      <c r="M383" s="1572">
        <v>44635</v>
      </c>
    </row>
    <row r="384" spans="1:13" s="1329" customFormat="1" ht="45">
      <c r="A384" s="1569">
        <v>375</v>
      </c>
      <c r="B384" s="1570" t="s">
        <v>1116</v>
      </c>
      <c r="C384" s="1565" t="s">
        <v>1535</v>
      </c>
      <c r="D384" s="1566" t="s">
        <v>4036</v>
      </c>
      <c r="E384" s="1571" t="s">
        <v>5448</v>
      </c>
      <c r="F384" s="1564" t="s">
        <v>1078</v>
      </c>
      <c r="G384" s="1629">
        <v>72</v>
      </c>
      <c r="H384" s="1571" t="s">
        <v>2156</v>
      </c>
      <c r="I384" s="1569" t="s">
        <v>129</v>
      </c>
      <c r="J384" s="1569">
        <v>40.04</v>
      </c>
      <c r="K384" s="1569">
        <v>40.049999999999997</v>
      </c>
      <c r="L384" s="1566" t="s">
        <v>5513</v>
      </c>
      <c r="M384" s="1572">
        <v>44635</v>
      </c>
    </row>
    <row r="385" spans="1:13" s="1329" customFormat="1" ht="45">
      <c r="A385" s="1569">
        <v>376</v>
      </c>
      <c r="B385" s="1570" t="s">
        <v>1116</v>
      </c>
      <c r="C385" s="1565" t="s">
        <v>1563</v>
      </c>
      <c r="D385" s="1566" t="s">
        <v>4097</v>
      </c>
      <c r="E385" s="1571" t="s">
        <v>5448</v>
      </c>
      <c r="F385" s="1564" t="s">
        <v>1078</v>
      </c>
      <c r="G385" s="1629">
        <v>87</v>
      </c>
      <c r="H385" s="1571" t="s">
        <v>2159</v>
      </c>
      <c r="I385" s="1569" t="s">
        <v>1830</v>
      </c>
      <c r="J385" s="1751"/>
      <c r="K385" s="1754">
        <v>98000</v>
      </c>
      <c r="L385" s="1566" t="s">
        <v>5513</v>
      </c>
      <c r="M385" s="1572">
        <v>44635</v>
      </c>
    </row>
    <row r="386" spans="1:13" s="1329" customFormat="1" ht="45">
      <c r="A386" s="1569">
        <v>377</v>
      </c>
      <c r="B386" s="1570" t="s">
        <v>1116</v>
      </c>
      <c r="C386" s="1565" t="s">
        <v>1563</v>
      </c>
      <c r="D386" s="1566" t="s">
        <v>4097</v>
      </c>
      <c r="E386" s="1571" t="s">
        <v>5448</v>
      </c>
      <c r="F386" s="1564" t="s">
        <v>1078</v>
      </c>
      <c r="G386" s="1629">
        <v>87</v>
      </c>
      <c r="H386" s="1571" t="s">
        <v>2159</v>
      </c>
      <c r="I386" s="1569" t="s">
        <v>1840</v>
      </c>
      <c r="J386" s="1751"/>
      <c r="K386" s="1754">
        <v>100800</v>
      </c>
      <c r="L386" s="1566" t="s">
        <v>5513</v>
      </c>
      <c r="M386" s="1572">
        <v>44635</v>
      </c>
    </row>
    <row r="387" spans="1:13" s="1329" customFormat="1" ht="45">
      <c r="A387" s="1569">
        <v>378</v>
      </c>
      <c r="B387" s="1570" t="s">
        <v>1116</v>
      </c>
      <c r="C387" s="1565" t="s">
        <v>1563</v>
      </c>
      <c r="D387" s="1566" t="s">
        <v>4097</v>
      </c>
      <c r="E387" s="1571" t="s">
        <v>5448</v>
      </c>
      <c r="F387" s="1564" t="s">
        <v>1078</v>
      </c>
      <c r="G387" s="1629">
        <v>87</v>
      </c>
      <c r="H387" s="1571" t="s">
        <v>2159</v>
      </c>
      <c r="I387" s="1569" t="s">
        <v>1847</v>
      </c>
      <c r="J387" s="1751"/>
      <c r="K387" s="1754">
        <v>102200</v>
      </c>
      <c r="L387" s="1566" t="s">
        <v>5513</v>
      </c>
      <c r="M387" s="1572">
        <v>44635</v>
      </c>
    </row>
    <row r="388" spans="1:13" s="1329" customFormat="1" ht="45">
      <c r="A388" s="1569">
        <v>379</v>
      </c>
      <c r="B388" s="1570" t="s">
        <v>1116</v>
      </c>
      <c r="C388" s="1565" t="s">
        <v>1563</v>
      </c>
      <c r="D388" s="1566" t="s">
        <v>4097</v>
      </c>
      <c r="E388" s="1571" t="s">
        <v>5448</v>
      </c>
      <c r="F388" s="1564" t="s">
        <v>1078</v>
      </c>
      <c r="G388" s="1629">
        <v>87</v>
      </c>
      <c r="H388" s="1571" t="s">
        <v>2159</v>
      </c>
      <c r="I388" s="1569" t="s">
        <v>1853</v>
      </c>
      <c r="J388" s="1751"/>
      <c r="K388" s="1754">
        <v>103600</v>
      </c>
      <c r="L388" s="1566" t="s">
        <v>5513</v>
      </c>
      <c r="M388" s="1572">
        <v>44635</v>
      </c>
    </row>
    <row r="389" spans="1:13" s="1329" customFormat="1" ht="45">
      <c r="A389" s="1569">
        <v>380</v>
      </c>
      <c r="B389" s="1570" t="s">
        <v>1116</v>
      </c>
      <c r="C389" s="1565" t="s">
        <v>1563</v>
      </c>
      <c r="D389" s="1566" t="s">
        <v>4097</v>
      </c>
      <c r="E389" s="1571" t="s">
        <v>5448</v>
      </c>
      <c r="F389" s="1564" t="s">
        <v>1078</v>
      </c>
      <c r="G389" s="1629">
        <v>87</v>
      </c>
      <c r="H389" s="1571" t="s">
        <v>2159</v>
      </c>
      <c r="I389" s="1569" t="s">
        <v>129</v>
      </c>
      <c r="J389" s="1751"/>
      <c r="K389" s="1754">
        <v>105000</v>
      </c>
      <c r="L389" s="1566" t="s">
        <v>5513</v>
      </c>
      <c r="M389" s="1572">
        <v>44635</v>
      </c>
    </row>
    <row r="390" spans="1:13" s="1329" customFormat="1" ht="45">
      <c r="A390" s="1569">
        <v>381</v>
      </c>
      <c r="B390" s="1570" t="s">
        <v>1116</v>
      </c>
      <c r="C390" s="1565" t="s">
        <v>1563</v>
      </c>
      <c r="D390" s="1566" t="s">
        <v>4097</v>
      </c>
      <c r="E390" s="1571" t="s">
        <v>5448</v>
      </c>
      <c r="F390" s="1564" t="s">
        <v>1078</v>
      </c>
      <c r="G390" s="1629">
        <v>17</v>
      </c>
      <c r="H390" s="1571" t="s">
        <v>1803</v>
      </c>
      <c r="I390" s="1569" t="s">
        <v>1895</v>
      </c>
      <c r="J390" s="1751"/>
      <c r="K390" s="1752" t="s">
        <v>1826</v>
      </c>
      <c r="L390" s="1566" t="s">
        <v>5513</v>
      </c>
      <c r="M390" s="1572">
        <v>44635</v>
      </c>
    </row>
    <row r="391" spans="1:13" s="1329" customFormat="1" ht="30">
      <c r="A391" s="1569">
        <v>382</v>
      </c>
      <c r="B391" s="1570" t="s">
        <v>1241</v>
      </c>
      <c r="C391" s="1565" t="s">
        <v>1573</v>
      </c>
      <c r="D391" s="1566" t="s">
        <v>4376</v>
      </c>
      <c r="E391" s="1571" t="s">
        <v>5398</v>
      </c>
      <c r="F391" s="1564" t="s">
        <v>1078</v>
      </c>
      <c r="G391" s="1569">
        <v>22</v>
      </c>
      <c r="H391" s="1571" t="s">
        <v>156</v>
      </c>
      <c r="I391" s="1569" t="s">
        <v>1895</v>
      </c>
      <c r="J391" s="1588">
        <v>1</v>
      </c>
      <c r="K391" s="1569">
        <v>3</v>
      </c>
      <c r="L391" s="1566" t="s">
        <v>5543</v>
      </c>
      <c r="M391" s="1572">
        <v>44636</v>
      </c>
    </row>
    <row r="392" spans="1:13" s="1329" customFormat="1" ht="45">
      <c r="A392" s="1569">
        <v>383</v>
      </c>
      <c r="B392" s="1570" t="s">
        <v>1102</v>
      </c>
      <c r="C392" s="1565" t="s">
        <v>1339</v>
      </c>
      <c r="D392" s="1566" t="s">
        <v>2390</v>
      </c>
      <c r="E392" s="1571" t="s">
        <v>5448</v>
      </c>
      <c r="F392" s="1564" t="s">
        <v>1078</v>
      </c>
      <c r="G392" s="1629">
        <v>41</v>
      </c>
      <c r="H392" s="1571" t="s">
        <v>5409</v>
      </c>
      <c r="I392" s="1569" t="s">
        <v>1830</v>
      </c>
      <c r="J392" s="1752">
        <v>0</v>
      </c>
      <c r="K392" s="1752"/>
      <c r="L392" s="1566" t="s">
        <v>5544</v>
      </c>
      <c r="M392" s="1572">
        <v>44636</v>
      </c>
    </row>
    <row r="393" spans="1:13" s="1329" customFormat="1" ht="45">
      <c r="A393" s="1569">
        <v>384</v>
      </c>
      <c r="B393" s="1570" t="s">
        <v>1102</v>
      </c>
      <c r="C393" s="1565" t="s">
        <v>1339</v>
      </c>
      <c r="D393" s="1566" t="s">
        <v>2390</v>
      </c>
      <c r="E393" s="1571" t="s">
        <v>5448</v>
      </c>
      <c r="F393" s="1564" t="s">
        <v>1078</v>
      </c>
      <c r="G393" s="1629">
        <v>41</v>
      </c>
      <c r="H393" s="1571" t="s">
        <v>5409</v>
      </c>
      <c r="I393" s="1569" t="s">
        <v>1840</v>
      </c>
      <c r="J393" s="1752">
        <v>0</v>
      </c>
      <c r="K393" s="1752"/>
      <c r="L393" s="1566" t="s">
        <v>5544</v>
      </c>
      <c r="M393" s="1572">
        <v>44636</v>
      </c>
    </row>
    <row r="394" spans="1:13" s="1329" customFormat="1" ht="45">
      <c r="A394" s="1569">
        <v>385</v>
      </c>
      <c r="B394" s="1570" t="s">
        <v>1102</v>
      </c>
      <c r="C394" s="1565" t="s">
        <v>1339</v>
      </c>
      <c r="D394" s="1566" t="s">
        <v>2390</v>
      </c>
      <c r="E394" s="1571" t="s">
        <v>5448</v>
      </c>
      <c r="F394" s="1564" t="s">
        <v>1078</v>
      </c>
      <c r="G394" s="1629">
        <v>41</v>
      </c>
      <c r="H394" s="1571" t="s">
        <v>5409</v>
      </c>
      <c r="I394" s="1569" t="s">
        <v>1847</v>
      </c>
      <c r="J394" s="1752">
        <v>0</v>
      </c>
      <c r="K394" s="1752"/>
      <c r="L394" s="1566" t="s">
        <v>5544</v>
      </c>
      <c r="M394" s="1572">
        <v>44636</v>
      </c>
    </row>
    <row r="395" spans="1:13" s="1329" customFormat="1" ht="45">
      <c r="A395" s="1569">
        <v>386</v>
      </c>
      <c r="B395" s="1570" t="s">
        <v>1102</v>
      </c>
      <c r="C395" s="1565" t="s">
        <v>1339</v>
      </c>
      <c r="D395" s="1566" t="s">
        <v>2390</v>
      </c>
      <c r="E395" s="1571" t="s">
        <v>5448</v>
      </c>
      <c r="F395" s="1564" t="s">
        <v>1078</v>
      </c>
      <c r="G395" s="1629">
        <v>41</v>
      </c>
      <c r="H395" s="1571" t="s">
        <v>5409</v>
      </c>
      <c r="I395" s="1569" t="s">
        <v>1853</v>
      </c>
      <c r="J395" s="1752">
        <v>0</v>
      </c>
      <c r="K395" s="1752"/>
      <c r="L395" s="1566" t="s">
        <v>5544</v>
      </c>
      <c r="M395" s="1572">
        <v>44636</v>
      </c>
    </row>
    <row r="396" spans="1:13" s="1329" customFormat="1" ht="45">
      <c r="A396" s="1569">
        <v>387</v>
      </c>
      <c r="B396" s="1570" t="s">
        <v>1102</v>
      </c>
      <c r="C396" s="1565" t="s">
        <v>1339</v>
      </c>
      <c r="D396" s="1566" t="s">
        <v>2390</v>
      </c>
      <c r="E396" s="1571" t="s">
        <v>5448</v>
      </c>
      <c r="F396" s="1564" t="s">
        <v>1078</v>
      </c>
      <c r="G396" s="1629">
        <v>41</v>
      </c>
      <c r="H396" s="1571" t="s">
        <v>5409</v>
      </c>
      <c r="I396" s="1569" t="s">
        <v>129</v>
      </c>
      <c r="J396" s="1752">
        <v>0</v>
      </c>
      <c r="K396" s="1752"/>
      <c r="L396" s="1566" t="s">
        <v>5544</v>
      </c>
      <c r="M396" s="1572">
        <v>44636</v>
      </c>
    </row>
    <row r="397" spans="1:13" s="1329" customFormat="1" ht="45">
      <c r="A397" s="1569">
        <v>388</v>
      </c>
      <c r="B397" s="1570" t="s">
        <v>1102</v>
      </c>
      <c r="C397" s="1565" t="s">
        <v>1339</v>
      </c>
      <c r="D397" s="1566" t="s">
        <v>2390</v>
      </c>
      <c r="E397" s="1571" t="s">
        <v>5448</v>
      </c>
      <c r="F397" s="1564" t="s">
        <v>1078</v>
      </c>
      <c r="G397" s="1629">
        <v>72</v>
      </c>
      <c r="H397" s="1571" t="s">
        <v>2156</v>
      </c>
      <c r="I397" s="1569" t="s">
        <v>1830</v>
      </c>
      <c r="J397" s="1752">
        <v>648</v>
      </c>
      <c r="K397" s="1752"/>
      <c r="L397" s="1566" t="s">
        <v>5544</v>
      </c>
      <c r="M397" s="1572">
        <v>44636</v>
      </c>
    </row>
    <row r="398" spans="1:13" s="1329" customFormat="1" ht="45">
      <c r="A398" s="1569">
        <v>389</v>
      </c>
      <c r="B398" s="1570" t="s">
        <v>1102</v>
      </c>
      <c r="C398" s="1565" t="s">
        <v>1339</v>
      </c>
      <c r="D398" s="1566" t="s">
        <v>2390</v>
      </c>
      <c r="E398" s="1571" t="s">
        <v>5448</v>
      </c>
      <c r="F398" s="1564" t="s">
        <v>1078</v>
      </c>
      <c r="G398" s="1629">
        <v>72</v>
      </c>
      <c r="H398" s="1571" t="s">
        <v>2156</v>
      </c>
      <c r="I398" s="1569" t="s">
        <v>1840</v>
      </c>
      <c r="J398" s="1752">
        <v>648</v>
      </c>
      <c r="K398" s="1752"/>
      <c r="L398" s="1566" t="s">
        <v>5544</v>
      </c>
      <c r="M398" s="1572">
        <v>44636</v>
      </c>
    </row>
    <row r="399" spans="1:13" s="1329" customFormat="1" ht="45">
      <c r="A399" s="1569">
        <v>390</v>
      </c>
      <c r="B399" s="1570" t="s">
        <v>1102</v>
      </c>
      <c r="C399" s="1565" t="s">
        <v>1339</v>
      </c>
      <c r="D399" s="1566" t="s">
        <v>2390</v>
      </c>
      <c r="E399" s="1571" t="s">
        <v>5448</v>
      </c>
      <c r="F399" s="1564" t="s">
        <v>1078</v>
      </c>
      <c r="G399" s="1629">
        <v>72</v>
      </c>
      <c r="H399" s="1571" t="s">
        <v>2156</v>
      </c>
      <c r="I399" s="1569" t="s">
        <v>1847</v>
      </c>
      <c r="J399" s="1752">
        <v>648</v>
      </c>
      <c r="K399" s="1752"/>
      <c r="L399" s="1566" t="s">
        <v>5544</v>
      </c>
      <c r="M399" s="1572">
        <v>44636</v>
      </c>
    </row>
    <row r="400" spans="1:13" s="1329" customFormat="1" ht="45">
      <c r="A400" s="1569">
        <v>391</v>
      </c>
      <c r="B400" s="1570" t="s">
        <v>1102</v>
      </c>
      <c r="C400" s="1565" t="s">
        <v>1339</v>
      </c>
      <c r="D400" s="1566" t="s">
        <v>2390</v>
      </c>
      <c r="E400" s="1571" t="s">
        <v>5448</v>
      </c>
      <c r="F400" s="1564" t="s">
        <v>1078</v>
      </c>
      <c r="G400" s="1629">
        <v>72</v>
      </c>
      <c r="H400" s="1571" t="s">
        <v>2156</v>
      </c>
      <c r="I400" s="1569" t="s">
        <v>1853</v>
      </c>
      <c r="J400" s="1752">
        <v>648</v>
      </c>
      <c r="K400" s="1752"/>
      <c r="L400" s="1566" t="s">
        <v>5544</v>
      </c>
      <c r="M400" s="1572">
        <v>44636</v>
      </c>
    </row>
    <row r="401" spans="1:13" s="1329" customFormat="1" ht="45">
      <c r="A401" s="1569">
        <v>392</v>
      </c>
      <c r="B401" s="1570" t="s">
        <v>1102</v>
      </c>
      <c r="C401" s="1565" t="s">
        <v>1339</v>
      </c>
      <c r="D401" s="1566" t="s">
        <v>2390</v>
      </c>
      <c r="E401" s="1571" t="s">
        <v>5448</v>
      </c>
      <c r="F401" s="1564" t="s">
        <v>1078</v>
      </c>
      <c r="G401" s="1629">
        <v>72</v>
      </c>
      <c r="H401" s="1571" t="s">
        <v>2156</v>
      </c>
      <c r="I401" s="1569" t="s">
        <v>129</v>
      </c>
      <c r="J401" s="1752">
        <v>648</v>
      </c>
      <c r="K401" s="1752"/>
      <c r="L401" s="1566" t="s">
        <v>5544</v>
      </c>
      <c r="M401" s="1572">
        <v>44636</v>
      </c>
    </row>
    <row r="402" spans="1:13" s="1329" customFormat="1" ht="45">
      <c r="A402" s="1569">
        <v>393</v>
      </c>
      <c r="B402" s="1570" t="s">
        <v>1102</v>
      </c>
      <c r="C402" s="1565" t="s">
        <v>1339</v>
      </c>
      <c r="D402" s="1566" t="s">
        <v>2390</v>
      </c>
      <c r="E402" s="1571" t="s">
        <v>5448</v>
      </c>
      <c r="F402" s="1564" t="s">
        <v>1078</v>
      </c>
      <c r="G402" s="1629">
        <v>87</v>
      </c>
      <c r="H402" s="1571" t="s">
        <v>2159</v>
      </c>
      <c r="I402" s="1569" t="s">
        <v>1830</v>
      </c>
      <c r="J402" s="1752">
        <v>-1848</v>
      </c>
      <c r="K402" s="1752"/>
      <c r="L402" s="1566" t="s">
        <v>5544</v>
      </c>
      <c r="M402" s="1572">
        <v>44636</v>
      </c>
    </row>
    <row r="403" spans="1:13" s="1329" customFormat="1" ht="45">
      <c r="A403" s="1569">
        <v>394</v>
      </c>
      <c r="B403" s="1570" t="s">
        <v>1102</v>
      </c>
      <c r="C403" s="1565" t="s">
        <v>1339</v>
      </c>
      <c r="D403" s="1566" t="s">
        <v>2390</v>
      </c>
      <c r="E403" s="1571" t="s">
        <v>5448</v>
      </c>
      <c r="F403" s="1564" t="s">
        <v>1078</v>
      </c>
      <c r="G403" s="1629">
        <v>87</v>
      </c>
      <c r="H403" s="1571" t="s">
        <v>2159</v>
      </c>
      <c r="I403" s="1569" t="s">
        <v>1840</v>
      </c>
      <c r="J403" s="1752">
        <v>-1848</v>
      </c>
      <c r="K403" s="1752"/>
      <c r="L403" s="1566" t="s">
        <v>5544</v>
      </c>
      <c r="M403" s="1572">
        <v>44636</v>
      </c>
    </row>
    <row r="404" spans="1:13" s="1329" customFormat="1" ht="45">
      <c r="A404" s="1569">
        <v>395</v>
      </c>
      <c r="B404" s="1570" t="s">
        <v>1102</v>
      </c>
      <c r="C404" s="1565" t="s">
        <v>1339</v>
      </c>
      <c r="D404" s="1566" t="s">
        <v>2390</v>
      </c>
      <c r="E404" s="1571" t="s">
        <v>5448</v>
      </c>
      <c r="F404" s="1564" t="s">
        <v>1078</v>
      </c>
      <c r="G404" s="1629">
        <v>87</v>
      </c>
      <c r="H404" s="1571" t="s">
        <v>2159</v>
      </c>
      <c r="I404" s="1569" t="s">
        <v>1847</v>
      </c>
      <c r="J404" s="1752">
        <v>-1848</v>
      </c>
      <c r="K404" s="1752"/>
      <c r="L404" s="1566" t="s">
        <v>5544</v>
      </c>
      <c r="M404" s="1572">
        <v>44636</v>
      </c>
    </row>
    <row r="405" spans="1:13" s="1329" customFormat="1" ht="45">
      <c r="A405" s="1569">
        <v>396</v>
      </c>
      <c r="B405" s="1570" t="s">
        <v>1102</v>
      </c>
      <c r="C405" s="1565" t="s">
        <v>1339</v>
      </c>
      <c r="D405" s="1566" t="s">
        <v>2390</v>
      </c>
      <c r="E405" s="1571" t="s">
        <v>5448</v>
      </c>
      <c r="F405" s="1564" t="s">
        <v>1078</v>
      </c>
      <c r="G405" s="1629">
        <v>87</v>
      </c>
      <c r="H405" s="1571" t="s">
        <v>2159</v>
      </c>
      <c r="I405" s="1569" t="s">
        <v>1853</v>
      </c>
      <c r="J405" s="1752">
        <v>-1848</v>
      </c>
      <c r="K405" s="1752"/>
      <c r="L405" s="1566" t="s">
        <v>5544</v>
      </c>
      <c r="M405" s="1572">
        <v>44636</v>
      </c>
    </row>
    <row r="406" spans="1:13" s="1329" customFormat="1" ht="45">
      <c r="A406" s="1569">
        <v>397</v>
      </c>
      <c r="B406" s="1570" t="s">
        <v>1102</v>
      </c>
      <c r="C406" s="1565" t="s">
        <v>1339</v>
      </c>
      <c r="D406" s="1566" t="s">
        <v>2390</v>
      </c>
      <c r="E406" s="1571" t="s">
        <v>5448</v>
      </c>
      <c r="F406" s="1564" t="s">
        <v>1078</v>
      </c>
      <c r="G406" s="1629">
        <v>87</v>
      </c>
      <c r="H406" s="1571" t="s">
        <v>2159</v>
      </c>
      <c r="I406" s="1569" t="s">
        <v>129</v>
      </c>
      <c r="J406" s="1752">
        <v>-1848</v>
      </c>
      <c r="K406" s="1752"/>
      <c r="L406" s="1566" t="s">
        <v>5544</v>
      </c>
      <c r="M406" s="1572">
        <v>44636</v>
      </c>
    </row>
    <row r="407" spans="1:13" s="1329" customFormat="1" ht="45">
      <c r="A407" s="1569">
        <v>398</v>
      </c>
      <c r="B407" s="1570" t="s">
        <v>1102</v>
      </c>
      <c r="C407" s="1565" t="s">
        <v>1339</v>
      </c>
      <c r="D407" s="1566" t="s">
        <v>2390</v>
      </c>
      <c r="E407" s="1571" t="s">
        <v>5448</v>
      </c>
      <c r="F407" s="1564" t="s">
        <v>1078</v>
      </c>
      <c r="G407" s="1629">
        <v>97</v>
      </c>
      <c r="H407" s="1571" t="s">
        <v>2205</v>
      </c>
      <c r="I407" s="1569" t="s">
        <v>1001</v>
      </c>
      <c r="J407" s="1752">
        <v>-1.1980000000000001E-3</v>
      </c>
      <c r="K407" s="1752"/>
      <c r="L407" s="1566" t="s">
        <v>5544</v>
      </c>
      <c r="M407" s="1572">
        <v>44636</v>
      </c>
    </row>
    <row r="408" spans="1:13" s="1329" customFormat="1" ht="45">
      <c r="A408" s="1569">
        <v>399</v>
      </c>
      <c r="B408" s="1570" t="s">
        <v>1102</v>
      </c>
      <c r="C408" s="1565" t="s">
        <v>1339</v>
      </c>
      <c r="D408" s="1566" t="s">
        <v>2390</v>
      </c>
      <c r="E408" s="1571" t="s">
        <v>5448</v>
      </c>
      <c r="F408" s="1564" t="s">
        <v>1078</v>
      </c>
      <c r="G408" s="1629">
        <v>101</v>
      </c>
      <c r="H408" s="1571" t="s">
        <v>2209</v>
      </c>
      <c r="I408" s="1569" t="s">
        <v>1001</v>
      </c>
      <c r="J408" s="1752">
        <v>4.2000000000000002E-4</v>
      </c>
      <c r="K408" s="1752"/>
      <c r="L408" s="1566" t="s">
        <v>5544</v>
      </c>
      <c r="M408" s="1572">
        <v>44636</v>
      </c>
    </row>
    <row r="409" spans="1:13" s="1329" customFormat="1" ht="45">
      <c r="A409" s="1569">
        <v>400</v>
      </c>
      <c r="B409" s="1570" t="s">
        <v>1287</v>
      </c>
      <c r="C409" s="1565" t="s">
        <v>1364</v>
      </c>
      <c r="D409" s="1566" t="s">
        <v>5545</v>
      </c>
      <c r="E409" s="1571" t="s">
        <v>5448</v>
      </c>
      <c r="F409" s="1564" t="s">
        <v>1078</v>
      </c>
      <c r="G409" s="1629">
        <v>23</v>
      </c>
      <c r="H409" s="1571" t="s">
        <v>2045</v>
      </c>
      <c r="I409" s="1569" t="s">
        <v>1001</v>
      </c>
      <c r="J409" s="1569" t="s">
        <v>1828</v>
      </c>
      <c r="K409" s="1569" t="s">
        <v>1838</v>
      </c>
      <c r="L409" s="1566" t="s">
        <v>5546</v>
      </c>
      <c r="M409" s="1572">
        <v>44649</v>
      </c>
    </row>
    <row r="410" spans="1:13" s="1329" customFormat="1" ht="60">
      <c r="A410" s="1817">
        <f>A409+1</f>
        <v>401</v>
      </c>
      <c r="B410" s="1818" t="s">
        <v>1143</v>
      </c>
      <c r="C410" s="1818" t="s">
        <v>1539</v>
      </c>
      <c r="D410" s="1819" t="s">
        <v>2081</v>
      </c>
      <c r="E410" s="1819" t="s">
        <v>5547</v>
      </c>
      <c r="F410" s="1817" t="s">
        <v>1078</v>
      </c>
      <c r="G410" s="1820">
        <v>23</v>
      </c>
      <c r="H410" s="1819" t="s">
        <v>2045</v>
      </c>
      <c r="I410" s="1817" t="s">
        <v>1001</v>
      </c>
      <c r="J410" s="1817" t="s">
        <v>1838</v>
      </c>
      <c r="K410" s="1817" t="s">
        <v>1828</v>
      </c>
      <c r="L410" s="1819" t="s">
        <v>5548</v>
      </c>
      <c r="M410" s="1821">
        <v>44900</v>
      </c>
    </row>
    <row r="411" spans="1:13" s="1329" customFormat="1" ht="60">
      <c r="A411" s="1817">
        <f t="shared" ref="A411:A427" si="0">A410+1</f>
        <v>402</v>
      </c>
      <c r="B411" s="1818" t="s">
        <v>1157</v>
      </c>
      <c r="C411" s="1818" t="s">
        <v>1459</v>
      </c>
      <c r="D411" s="1819" t="s">
        <v>3491</v>
      </c>
      <c r="E411" s="1819" t="s">
        <v>5547</v>
      </c>
      <c r="F411" s="1817" t="s">
        <v>1078</v>
      </c>
      <c r="G411" s="1820">
        <v>62</v>
      </c>
      <c r="H411" s="1819" t="s">
        <v>1816</v>
      </c>
      <c r="I411" s="1820" t="s">
        <v>5549</v>
      </c>
      <c r="J411" s="1817" t="s">
        <v>210</v>
      </c>
      <c r="K411" s="1817" t="s">
        <v>5400</v>
      </c>
      <c r="L411" s="1819" t="s">
        <v>5550</v>
      </c>
      <c r="M411" s="1821">
        <v>44900</v>
      </c>
    </row>
    <row r="412" spans="1:13" s="1329" customFormat="1" ht="90">
      <c r="A412" s="1817">
        <f t="shared" si="0"/>
        <v>403</v>
      </c>
      <c r="B412" s="1818" t="s">
        <v>5521</v>
      </c>
      <c r="C412" s="1818" t="s">
        <v>1324</v>
      </c>
      <c r="D412" s="1819" t="s">
        <v>2566</v>
      </c>
      <c r="E412" s="1832" t="s">
        <v>5551</v>
      </c>
      <c r="F412" s="1817" t="s">
        <v>1078</v>
      </c>
      <c r="G412" s="1820">
        <v>62</v>
      </c>
      <c r="H412" s="1819" t="s">
        <v>1816</v>
      </c>
      <c r="I412" s="1820" t="s">
        <v>5549</v>
      </c>
      <c r="J412" s="1817" t="s">
        <v>5400</v>
      </c>
      <c r="K412" s="1817" t="s">
        <v>210</v>
      </c>
      <c r="L412" s="1819" t="s">
        <v>5552</v>
      </c>
      <c r="M412" s="1821">
        <v>44900</v>
      </c>
    </row>
    <row r="413" spans="1:13" s="1329" customFormat="1" ht="90">
      <c r="A413" s="1830">
        <f t="shared" si="0"/>
        <v>404</v>
      </c>
      <c r="B413" s="1831" t="s">
        <v>1143</v>
      </c>
      <c r="C413" s="1818" t="s">
        <v>1539</v>
      </c>
      <c r="D413" s="1819" t="s">
        <v>2081</v>
      </c>
      <c r="E413" s="1832" t="s">
        <v>5551</v>
      </c>
      <c r="F413" s="1817" t="s">
        <v>1078</v>
      </c>
      <c r="G413" s="1820">
        <v>62</v>
      </c>
      <c r="H413" s="1819" t="s">
        <v>1816</v>
      </c>
      <c r="I413" s="1820" t="s">
        <v>5549</v>
      </c>
      <c r="J413" s="1817" t="s">
        <v>5400</v>
      </c>
      <c r="K413" s="1817" t="s">
        <v>210</v>
      </c>
      <c r="L413" s="1819" t="s">
        <v>5553</v>
      </c>
      <c r="M413" s="1821">
        <v>44914</v>
      </c>
    </row>
    <row r="414" spans="1:13" s="1329" customFormat="1" ht="90">
      <c r="A414" s="1830">
        <f t="shared" si="0"/>
        <v>405</v>
      </c>
      <c r="B414" s="1831" t="s">
        <v>5522</v>
      </c>
      <c r="C414" s="1831" t="s">
        <v>1428</v>
      </c>
      <c r="D414" s="1832" t="s">
        <v>3006</v>
      </c>
      <c r="E414" s="1832" t="s">
        <v>5551</v>
      </c>
      <c r="F414" s="1830" t="s">
        <v>1078</v>
      </c>
      <c r="G414" s="1833">
        <v>62</v>
      </c>
      <c r="H414" s="1832" t="s">
        <v>1816</v>
      </c>
      <c r="I414" s="1833" t="s">
        <v>5549</v>
      </c>
      <c r="J414" s="1830" t="s">
        <v>5400</v>
      </c>
      <c r="K414" s="1830" t="s">
        <v>210</v>
      </c>
      <c r="L414" s="1832" t="s">
        <v>5554</v>
      </c>
      <c r="M414" s="1834">
        <v>44914</v>
      </c>
    </row>
    <row r="415" spans="1:13" s="1329" customFormat="1" ht="90">
      <c r="A415" s="1830">
        <f t="shared" si="0"/>
        <v>406</v>
      </c>
      <c r="B415" s="1831" t="s">
        <v>1185</v>
      </c>
      <c r="C415" s="1831" t="s">
        <v>1530</v>
      </c>
      <c r="D415" s="1832" t="s">
        <v>3164</v>
      </c>
      <c r="E415" s="1832" t="s">
        <v>5551</v>
      </c>
      <c r="F415" s="1830" t="s">
        <v>1078</v>
      </c>
      <c r="G415" s="1833">
        <v>62</v>
      </c>
      <c r="H415" s="1832" t="s">
        <v>1816</v>
      </c>
      <c r="I415" s="1833" t="s">
        <v>5549</v>
      </c>
      <c r="J415" s="1830" t="s">
        <v>5400</v>
      </c>
      <c r="K415" s="1830" t="s">
        <v>210</v>
      </c>
      <c r="L415" s="1832" t="s">
        <v>5555</v>
      </c>
      <c r="M415" s="1834">
        <v>44914</v>
      </c>
    </row>
    <row r="416" spans="1:13" s="1329" customFormat="1" ht="90">
      <c r="A416" s="1830">
        <f t="shared" si="0"/>
        <v>407</v>
      </c>
      <c r="B416" s="1831" t="s">
        <v>1185</v>
      </c>
      <c r="C416" s="1831" t="s">
        <v>1580</v>
      </c>
      <c r="D416" s="1832" t="s">
        <v>2086</v>
      </c>
      <c r="E416" s="1832" t="s">
        <v>5551</v>
      </c>
      <c r="F416" s="1830" t="s">
        <v>1078</v>
      </c>
      <c r="G416" s="1833">
        <v>62</v>
      </c>
      <c r="H416" s="1832" t="s">
        <v>1816</v>
      </c>
      <c r="I416" s="1833" t="s">
        <v>5549</v>
      </c>
      <c r="J416" s="1830" t="s">
        <v>5400</v>
      </c>
      <c r="K416" s="1830" t="s">
        <v>210</v>
      </c>
      <c r="L416" s="1819" t="s">
        <v>5556</v>
      </c>
      <c r="M416" s="1834">
        <v>44914</v>
      </c>
    </row>
    <row r="417" spans="1:13" s="1329" customFormat="1" ht="90">
      <c r="A417" s="1830">
        <f t="shared" si="0"/>
        <v>408</v>
      </c>
      <c r="B417" s="1831" t="s">
        <v>1287</v>
      </c>
      <c r="C417" s="1831" t="s">
        <v>1431</v>
      </c>
      <c r="D417" s="1832" t="s">
        <v>3379</v>
      </c>
      <c r="E417" s="1832" t="s">
        <v>5551</v>
      </c>
      <c r="F417" s="1830" t="s">
        <v>1078</v>
      </c>
      <c r="G417" s="1833">
        <v>62</v>
      </c>
      <c r="H417" s="1832" t="s">
        <v>1816</v>
      </c>
      <c r="I417" s="1833" t="s">
        <v>5549</v>
      </c>
      <c r="J417" s="1830" t="s">
        <v>5400</v>
      </c>
      <c r="K417" s="1830" t="s">
        <v>210</v>
      </c>
      <c r="L417" s="1832" t="s">
        <v>5557</v>
      </c>
      <c r="M417" s="1834">
        <v>44914</v>
      </c>
    </row>
    <row r="418" spans="1:13" s="1329" customFormat="1" ht="90">
      <c r="A418" s="1830">
        <f t="shared" si="0"/>
        <v>409</v>
      </c>
      <c r="B418" s="1831" t="s">
        <v>1157</v>
      </c>
      <c r="C418" s="1831" t="s">
        <v>1468</v>
      </c>
      <c r="D418" s="1832" t="s">
        <v>3494</v>
      </c>
      <c r="E418" s="1832" t="s">
        <v>5551</v>
      </c>
      <c r="F418" s="1830" t="s">
        <v>1078</v>
      </c>
      <c r="G418" s="1833">
        <v>62</v>
      </c>
      <c r="H418" s="1832" t="s">
        <v>1816</v>
      </c>
      <c r="I418" s="1833" t="s">
        <v>5549</v>
      </c>
      <c r="J418" s="1830" t="s">
        <v>5400</v>
      </c>
      <c r="K418" s="1830" t="s">
        <v>210</v>
      </c>
      <c r="L418" s="1832" t="s">
        <v>5558</v>
      </c>
      <c r="M418" s="1834">
        <v>44914</v>
      </c>
    </row>
    <row r="419" spans="1:13" s="1329" customFormat="1" ht="90">
      <c r="A419" s="1830">
        <f t="shared" si="0"/>
        <v>410</v>
      </c>
      <c r="B419" s="1831" t="s">
        <v>1199</v>
      </c>
      <c r="C419" s="1831" t="s">
        <v>1367</v>
      </c>
      <c r="D419" s="1832" t="s">
        <v>3690</v>
      </c>
      <c r="E419" s="1832" t="s">
        <v>5551</v>
      </c>
      <c r="F419" s="1830" t="s">
        <v>1078</v>
      </c>
      <c r="G419" s="1833">
        <v>62</v>
      </c>
      <c r="H419" s="1832" t="s">
        <v>1816</v>
      </c>
      <c r="I419" s="1833" t="s">
        <v>5549</v>
      </c>
      <c r="J419" s="1830" t="s">
        <v>5400</v>
      </c>
      <c r="K419" s="1830" t="s">
        <v>210</v>
      </c>
      <c r="L419" s="1832" t="s">
        <v>5559</v>
      </c>
      <c r="M419" s="1834">
        <v>44914</v>
      </c>
    </row>
    <row r="420" spans="1:13" s="1329" customFormat="1" ht="90">
      <c r="A420" s="1830">
        <f t="shared" si="0"/>
        <v>411</v>
      </c>
      <c r="B420" s="1831" t="s">
        <v>1213</v>
      </c>
      <c r="C420" s="1831" t="s">
        <v>1419</v>
      </c>
      <c r="D420" s="1832" t="s">
        <v>2088</v>
      </c>
      <c r="E420" s="1832" t="s">
        <v>5551</v>
      </c>
      <c r="F420" s="1830" t="s">
        <v>1078</v>
      </c>
      <c r="G420" s="1833">
        <v>62</v>
      </c>
      <c r="H420" s="1832" t="s">
        <v>1816</v>
      </c>
      <c r="I420" s="1833" t="s">
        <v>5549</v>
      </c>
      <c r="J420" s="1830" t="s">
        <v>5400</v>
      </c>
      <c r="K420" s="1830" t="s">
        <v>210</v>
      </c>
      <c r="L420" s="1832" t="s">
        <v>5560</v>
      </c>
      <c r="M420" s="1834">
        <v>44914</v>
      </c>
    </row>
    <row r="421" spans="1:13" s="1329" customFormat="1" ht="90">
      <c r="A421" s="1830">
        <f t="shared" si="0"/>
        <v>412</v>
      </c>
      <c r="B421" s="1831" t="s">
        <v>1213</v>
      </c>
      <c r="C421" s="1831" t="s">
        <v>1470</v>
      </c>
      <c r="D421" s="1832" t="s">
        <v>3880</v>
      </c>
      <c r="E421" s="1832" t="s">
        <v>5551</v>
      </c>
      <c r="F421" s="1830" t="s">
        <v>1078</v>
      </c>
      <c r="G421" s="1833">
        <v>62</v>
      </c>
      <c r="H421" s="1832" t="s">
        <v>1816</v>
      </c>
      <c r="I421" s="1833" t="s">
        <v>5549</v>
      </c>
      <c r="J421" s="1830" t="s">
        <v>5400</v>
      </c>
      <c r="K421" s="1830" t="s">
        <v>210</v>
      </c>
      <c r="L421" s="1832" t="s">
        <v>5561</v>
      </c>
      <c r="M421" s="1834">
        <v>44914</v>
      </c>
    </row>
    <row r="422" spans="1:13" s="1329" customFormat="1" ht="90">
      <c r="A422" s="1830">
        <f t="shared" si="0"/>
        <v>413</v>
      </c>
      <c r="B422" s="1831" t="s">
        <v>1213</v>
      </c>
      <c r="C422" s="1831" t="s">
        <v>1493</v>
      </c>
      <c r="D422" s="1832" t="s">
        <v>2090</v>
      </c>
      <c r="E422" s="1832" t="s">
        <v>5551</v>
      </c>
      <c r="F422" s="1830" t="s">
        <v>1078</v>
      </c>
      <c r="G422" s="1833">
        <v>62</v>
      </c>
      <c r="H422" s="1832" t="s">
        <v>1816</v>
      </c>
      <c r="I422" s="1833" t="s">
        <v>5549</v>
      </c>
      <c r="J422" s="1830" t="s">
        <v>5400</v>
      </c>
      <c r="K422" s="1830" t="s">
        <v>210</v>
      </c>
      <c r="L422" s="1832" t="s">
        <v>5562</v>
      </c>
      <c r="M422" s="1834">
        <v>44914</v>
      </c>
    </row>
    <row r="423" spans="1:13" s="1329" customFormat="1" ht="90">
      <c r="A423" s="1830">
        <f t="shared" si="0"/>
        <v>414</v>
      </c>
      <c r="B423" s="1831" t="s">
        <v>1213</v>
      </c>
      <c r="C423" s="1831" t="s">
        <v>1502</v>
      </c>
      <c r="D423" s="1832" t="s">
        <v>3884</v>
      </c>
      <c r="E423" s="1832" t="s">
        <v>5551</v>
      </c>
      <c r="F423" s="1830" t="s">
        <v>1078</v>
      </c>
      <c r="G423" s="1833">
        <v>62</v>
      </c>
      <c r="H423" s="1832" t="s">
        <v>1816</v>
      </c>
      <c r="I423" s="1833" t="s">
        <v>5549</v>
      </c>
      <c r="J423" s="1830" t="s">
        <v>5400</v>
      </c>
      <c r="K423" s="1830" t="s">
        <v>210</v>
      </c>
      <c r="L423" s="1832" t="s">
        <v>5561</v>
      </c>
      <c r="M423" s="1834">
        <v>44914</v>
      </c>
    </row>
    <row r="424" spans="1:13" s="1329" customFormat="1" ht="90">
      <c r="A424" s="1830">
        <f t="shared" si="0"/>
        <v>415</v>
      </c>
      <c r="B424" s="1831" t="s">
        <v>1116</v>
      </c>
      <c r="C424" s="1831" t="s">
        <v>5563</v>
      </c>
      <c r="D424" s="1832" t="s">
        <v>4114</v>
      </c>
      <c r="E424" s="1832" t="s">
        <v>5551</v>
      </c>
      <c r="F424" s="1830" t="s">
        <v>1078</v>
      </c>
      <c r="G424" s="1833">
        <v>62</v>
      </c>
      <c r="H424" s="1832" t="s">
        <v>1816</v>
      </c>
      <c r="I424" s="1833" t="s">
        <v>5549</v>
      </c>
      <c r="J424" s="1830" t="s">
        <v>5400</v>
      </c>
      <c r="K424" s="1830" t="s">
        <v>210</v>
      </c>
      <c r="L424" s="1832" t="s">
        <v>5564</v>
      </c>
      <c r="M424" s="1834">
        <v>44914</v>
      </c>
    </row>
    <row r="425" spans="1:13" s="1329" customFormat="1" ht="90">
      <c r="A425" s="1830">
        <f t="shared" si="0"/>
        <v>416</v>
      </c>
      <c r="B425" s="1831" t="s">
        <v>1227</v>
      </c>
      <c r="C425" s="1831" t="s">
        <v>1437</v>
      </c>
      <c r="D425" s="1832" t="s">
        <v>4189</v>
      </c>
      <c r="E425" s="1832" t="s">
        <v>5551</v>
      </c>
      <c r="F425" s="1830" t="s">
        <v>1078</v>
      </c>
      <c r="G425" s="1833">
        <v>62</v>
      </c>
      <c r="H425" s="1832" t="s">
        <v>1816</v>
      </c>
      <c r="I425" s="1833" t="s">
        <v>5549</v>
      </c>
      <c r="J425" s="1830" t="s">
        <v>5400</v>
      </c>
      <c r="K425" s="1830" t="s">
        <v>210</v>
      </c>
      <c r="L425" s="1832" t="s">
        <v>5565</v>
      </c>
      <c r="M425" s="1834">
        <v>44914</v>
      </c>
    </row>
    <row r="426" spans="1:13" s="1329" customFormat="1" ht="90">
      <c r="A426" s="1830">
        <f t="shared" si="0"/>
        <v>417</v>
      </c>
      <c r="B426" s="1831" t="s">
        <v>1227</v>
      </c>
      <c r="C426" s="1831" t="s">
        <v>1526</v>
      </c>
      <c r="D426" s="1832" t="s">
        <v>4204</v>
      </c>
      <c r="E426" s="1832" t="s">
        <v>5551</v>
      </c>
      <c r="F426" s="1830" t="s">
        <v>1078</v>
      </c>
      <c r="G426" s="1833">
        <v>62</v>
      </c>
      <c r="H426" s="1832" t="s">
        <v>1816</v>
      </c>
      <c r="I426" s="1833" t="s">
        <v>5549</v>
      </c>
      <c r="J426" s="1830" t="s">
        <v>5400</v>
      </c>
      <c r="K426" s="1830" t="s">
        <v>210</v>
      </c>
      <c r="L426" s="1860" t="s">
        <v>5565</v>
      </c>
      <c r="M426" s="1834">
        <v>44914</v>
      </c>
    </row>
    <row r="427" spans="1:13" s="1329" customFormat="1" ht="30">
      <c r="A427" s="1830">
        <f t="shared" si="0"/>
        <v>418</v>
      </c>
      <c r="B427" s="1831" t="s">
        <v>1157</v>
      </c>
      <c r="C427" s="1831" t="s">
        <v>1432</v>
      </c>
      <c r="D427" s="1832" t="s">
        <v>3484</v>
      </c>
      <c r="E427" s="1832" t="s">
        <v>5566</v>
      </c>
      <c r="F427" s="1830" t="s">
        <v>1078</v>
      </c>
      <c r="G427" s="1833">
        <v>41</v>
      </c>
      <c r="H427" s="1832" t="s">
        <v>2153</v>
      </c>
      <c r="I427" s="1830" t="s">
        <v>129</v>
      </c>
      <c r="J427" s="1861">
        <v>96</v>
      </c>
      <c r="K427" s="1861">
        <v>97.7</v>
      </c>
      <c r="L427" s="1862" t="s">
        <v>5567</v>
      </c>
      <c r="M427" s="1834">
        <v>44914</v>
      </c>
    </row>
    <row r="428" spans="1:13" s="1329" customFormat="1" ht="57">
      <c r="A428" s="1830">
        <f>A427+1</f>
        <v>419</v>
      </c>
      <c r="B428" s="1831" t="s">
        <v>1287</v>
      </c>
      <c r="C428" s="1831" t="s">
        <v>1431</v>
      </c>
      <c r="D428" s="1832" t="s">
        <v>3379</v>
      </c>
      <c r="E428" s="1832" t="s">
        <v>5566</v>
      </c>
      <c r="F428" s="1830" t="s">
        <v>1078</v>
      </c>
      <c r="G428" s="1833">
        <v>41</v>
      </c>
      <c r="H428" s="1832" t="s">
        <v>2153</v>
      </c>
      <c r="I428" s="1830" t="s">
        <v>1853</v>
      </c>
      <c r="J428" s="1863">
        <v>100</v>
      </c>
      <c r="K428" s="1863">
        <v>55.1</v>
      </c>
      <c r="L428" s="1876" t="s">
        <v>5568</v>
      </c>
      <c r="M428" s="1834">
        <v>44914</v>
      </c>
    </row>
    <row r="429" spans="1:13" s="1329" customFormat="1" ht="30">
      <c r="A429" s="1830">
        <f t="shared" ref="A429:A491" si="1">A428+1</f>
        <v>420</v>
      </c>
      <c r="B429" s="1831" t="s">
        <v>1171</v>
      </c>
      <c r="C429" s="1831" t="s">
        <v>1400</v>
      </c>
      <c r="D429" s="1832" t="s">
        <v>2083</v>
      </c>
      <c r="E429" s="1832" t="s">
        <v>5566</v>
      </c>
      <c r="F429" s="1830" t="s">
        <v>1078</v>
      </c>
      <c r="G429" s="1833">
        <v>41</v>
      </c>
      <c r="H429" s="1832" t="s">
        <v>2153</v>
      </c>
      <c r="I429" s="1830" t="s">
        <v>1840</v>
      </c>
      <c r="J429" s="1868">
        <v>83209</v>
      </c>
      <c r="K429" s="1868">
        <v>84209</v>
      </c>
      <c r="L429" s="1862" t="s">
        <v>5567</v>
      </c>
      <c r="M429" s="1834">
        <v>44915</v>
      </c>
    </row>
    <row r="430" spans="1:13" s="1329" customFormat="1" ht="30">
      <c r="A430" s="1830">
        <f t="shared" si="1"/>
        <v>421</v>
      </c>
      <c r="B430" s="1831" t="s">
        <v>1171</v>
      </c>
      <c r="C430" s="1831" t="s">
        <v>1400</v>
      </c>
      <c r="D430" s="1832" t="s">
        <v>2083</v>
      </c>
      <c r="E430" s="1832" t="s">
        <v>5566</v>
      </c>
      <c r="F430" s="1830" t="s">
        <v>1078</v>
      </c>
      <c r="G430" s="1833">
        <v>41</v>
      </c>
      <c r="H430" s="1832" t="s">
        <v>2153</v>
      </c>
      <c r="I430" s="1830" t="s">
        <v>1847</v>
      </c>
      <c r="J430" s="1868">
        <v>93209</v>
      </c>
      <c r="K430" s="1868">
        <v>96209</v>
      </c>
      <c r="L430" s="1862" t="s">
        <v>5567</v>
      </c>
      <c r="M430" s="1834">
        <v>44915</v>
      </c>
    </row>
    <row r="431" spans="1:13" s="1329" customFormat="1" ht="30">
      <c r="A431" s="1830">
        <f t="shared" si="1"/>
        <v>422</v>
      </c>
      <c r="B431" s="1831" t="s">
        <v>1171</v>
      </c>
      <c r="C431" s="1831" t="s">
        <v>1400</v>
      </c>
      <c r="D431" s="1832" t="s">
        <v>2083</v>
      </c>
      <c r="E431" s="1832" t="s">
        <v>5566</v>
      </c>
      <c r="F431" s="1830" t="s">
        <v>1078</v>
      </c>
      <c r="G431" s="1833">
        <v>41</v>
      </c>
      <c r="H431" s="1832" t="s">
        <v>2153</v>
      </c>
      <c r="I431" s="1830" t="s">
        <v>1853</v>
      </c>
      <c r="J431" s="1868">
        <v>103209</v>
      </c>
      <c r="K431" s="1868">
        <v>109209</v>
      </c>
      <c r="L431" s="1862" t="s">
        <v>5567</v>
      </c>
      <c r="M431" s="1834">
        <v>44915</v>
      </c>
    </row>
    <row r="432" spans="1:13" s="1329" customFormat="1" ht="30">
      <c r="A432" s="1830">
        <f t="shared" si="1"/>
        <v>423</v>
      </c>
      <c r="B432" s="1831" t="s">
        <v>1171</v>
      </c>
      <c r="C432" s="1831" t="s">
        <v>1400</v>
      </c>
      <c r="D432" s="1832" t="s">
        <v>2083</v>
      </c>
      <c r="E432" s="1832" t="s">
        <v>5566</v>
      </c>
      <c r="F432" s="1830" t="s">
        <v>1078</v>
      </c>
      <c r="G432" s="1833">
        <v>41</v>
      </c>
      <c r="H432" s="1832" t="s">
        <v>2153</v>
      </c>
      <c r="I432" s="1830" t="s">
        <v>129</v>
      </c>
      <c r="J432" s="1868">
        <v>113209</v>
      </c>
      <c r="K432" s="1868">
        <v>123209</v>
      </c>
      <c r="L432" s="1862" t="s">
        <v>5567</v>
      </c>
      <c r="M432" s="1834">
        <v>44915</v>
      </c>
    </row>
    <row r="433" spans="1:13" s="1329" customFormat="1" ht="30">
      <c r="A433" s="1830">
        <f t="shared" si="1"/>
        <v>424</v>
      </c>
      <c r="B433" s="1831" t="s">
        <v>1171</v>
      </c>
      <c r="C433" s="1831" t="s">
        <v>1400</v>
      </c>
      <c r="D433" s="1832" t="s">
        <v>2083</v>
      </c>
      <c r="E433" s="1832" t="s">
        <v>5566</v>
      </c>
      <c r="F433" s="1830" t="s">
        <v>1078</v>
      </c>
      <c r="G433" s="1833">
        <v>72</v>
      </c>
      <c r="H433" s="1832" t="s">
        <v>2156</v>
      </c>
      <c r="I433" s="1830" t="s">
        <v>1840</v>
      </c>
      <c r="J433" s="1868">
        <v>79028</v>
      </c>
      <c r="K433" s="1868">
        <v>79828</v>
      </c>
      <c r="L433" s="1862" t="s">
        <v>5567</v>
      </c>
      <c r="M433" s="1834">
        <v>44915</v>
      </c>
    </row>
    <row r="434" spans="1:13" s="1329" customFormat="1" ht="30">
      <c r="A434" s="1830">
        <f t="shared" si="1"/>
        <v>425</v>
      </c>
      <c r="B434" s="1831" t="s">
        <v>1171</v>
      </c>
      <c r="C434" s="1831" t="s">
        <v>1400</v>
      </c>
      <c r="D434" s="1832" t="s">
        <v>2083</v>
      </c>
      <c r="E434" s="1832" t="s">
        <v>5566</v>
      </c>
      <c r="F434" s="1830" t="s">
        <v>1078</v>
      </c>
      <c r="G434" s="1833">
        <v>72</v>
      </c>
      <c r="H434" s="1832" t="s">
        <v>2156</v>
      </c>
      <c r="I434" s="1830" t="s">
        <v>1847</v>
      </c>
      <c r="J434" s="1868">
        <v>89028</v>
      </c>
      <c r="K434" s="1868">
        <v>91428</v>
      </c>
      <c r="L434" s="1862" t="s">
        <v>5567</v>
      </c>
      <c r="M434" s="1834">
        <v>44915</v>
      </c>
    </row>
    <row r="435" spans="1:13" s="1329" customFormat="1" ht="30">
      <c r="A435" s="1830">
        <f t="shared" si="1"/>
        <v>426</v>
      </c>
      <c r="B435" s="1831" t="s">
        <v>1171</v>
      </c>
      <c r="C435" s="1831" t="s">
        <v>1400</v>
      </c>
      <c r="D435" s="1832" t="s">
        <v>2083</v>
      </c>
      <c r="E435" s="1832" t="s">
        <v>5566</v>
      </c>
      <c r="F435" s="1830" t="s">
        <v>1078</v>
      </c>
      <c r="G435" s="1833">
        <v>72</v>
      </c>
      <c r="H435" s="1832" t="s">
        <v>2156</v>
      </c>
      <c r="I435" s="1830" t="s">
        <v>1853</v>
      </c>
      <c r="J435" s="1868">
        <v>99028</v>
      </c>
      <c r="K435" s="1868">
        <v>103828</v>
      </c>
      <c r="L435" s="1862" t="s">
        <v>5567</v>
      </c>
      <c r="M435" s="1834">
        <v>44915</v>
      </c>
    </row>
    <row r="436" spans="1:13" s="1329" customFormat="1" ht="30">
      <c r="A436" s="1830">
        <f t="shared" si="1"/>
        <v>427</v>
      </c>
      <c r="B436" s="1831" t="s">
        <v>1171</v>
      </c>
      <c r="C436" s="1831" t="s">
        <v>1400</v>
      </c>
      <c r="D436" s="1832" t="s">
        <v>2083</v>
      </c>
      <c r="E436" s="1832" t="s">
        <v>5566</v>
      </c>
      <c r="F436" s="1830" t="s">
        <v>1078</v>
      </c>
      <c r="G436" s="1833">
        <v>72</v>
      </c>
      <c r="H436" s="1832" t="s">
        <v>2156</v>
      </c>
      <c r="I436" s="1830" t="s">
        <v>129</v>
      </c>
      <c r="J436" s="1868">
        <v>109028</v>
      </c>
      <c r="K436" s="1868">
        <v>117028</v>
      </c>
      <c r="L436" s="1862" t="s">
        <v>5567</v>
      </c>
      <c r="M436" s="1834">
        <v>44915</v>
      </c>
    </row>
    <row r="437" spans="1:13" s="1329" customFormat="1" ht="30">
      <c r="A437" s="1830">
        <f t="shared" si="1"/>
        <v>428</v>
      </c>
      <c r="B437" s="1831" t="s">
        <v>1171</v>
      </c>
      <c r="C437" s="1831" t="s">
        <v>1400</v>
      </c>
      <c r="D437" s="1832" t="s">
        <v>2083</v>
      </c>
      <c r="E437" s="1832" t="s">
        <v>5566</v>
      </c>
      <c r="F437" s="1830" t="s">
        <v>1078</v>
      </c>
      <c r="G437" s="1833">
        <v>87</v>
      </c>
      <c r="H437" s="1832" t="s">
        <v>2159</v>
      </c>
      <c r="I437" s="1830" t="s">
        <v>1840</v>
      </c>
      <c r="J437" s="1868">
        <v>92209</v>
      </c>
      <c r="K437" s="1868">
        <v>93709</v>
      </c>
      <c r="L437" s="1862" t="s">
        <v>5567</v>
      </c>
      <c r="M437" s="1834">
        <v>44915</v>
      </c>
    </row>
    <row r="438" spans="1:13" s="1329" customFormat="1" ht="30">
      <c r="A438" s="1830">
        <f t="shared" si="1"/>
        <v>429</v>
      </c>
      <c r="B438" s="1831" t="s">
        <v>1171</v>
      </c>
      <c r="C438" s="1831" t="s">
        <v>1400</v>
      </c>
      <c r="D438" s="1832" t="s">
        <v>2083</v>
      </c>
      <c r="E438" s="1832" t="s">
        <v>5566</v>
      </c>
      <c r="F438" s="1830" t="s">
        <v>1078</v>
      </c>
      <c r="G438" s="1833">
        <v>87</v>
      </c>
      <c r="H438" s="1832" t="s">
        <v>2159</v>
      </c>
      <c r="I438" s="1830" t="s">
        <v>1847</v>
      </c>
      <c r="J438" s="1868">
        <v>102209</v>
      </c>
      <c r="K438" s="1868">
        <v>106709</v>
      </c>
      <c r="L438" s="1862" t="s">
        <v>5567</v>
      </c>
      <c r="M438" s="1834">
        <v>44915</v>
      </c>
    </row>
    <row r="439" spans="1:13" s="1329" customFormat="1" ht="30">
      <c r="A439" s="1830">
        <f t="shared" si="1"/>
        <v>430</v>
      </c>
      <c r="B439" s="1831" t="s">
        <v>1171</v>
      </c>
      <c r="C439" s="1831" t="s">
        <v>1400</v>
      </c>
      <c r="D439" s="1832" t="s">
        <v>2083</v>
      </c>
      <c r="E439" s="1832" t="s">
        <v>5566</v>
      </c>
      <c r="F439" s="1830" t="s">
        <v>1078</v>
      </c>
      <c r="G439" s="1833">
        <v>87</v>
      </c>
      <c r="H439" s="1832" t="s">
        <v>2159</v>
      </c>
      <c r="I439" s="1830" t="s">
        <v>1853</v>
      </c>
      <c r="J439" s="1868">
        <v>112209</v>
      </c>
      <c r="K439" s="1868">
        <v>121209</v>
      </c>
      <c r="L439" s="1862" t="s">
        <v>5567</v>
      </c>
      <c r="M439" s="1834">
        <v>44915</v>
      </c>
    </row>
    <row r="440" spans="1:13" s="1329" customFormat="1" ht="30">
      <c r="A440" s="1830">
        <f t="shared" si="1"/>
        <v>431</v>
      </c>
      <c r="B440" s="1831" t="s">
        <v>1171</v>
      </c>
      <c r="C440" s="1831" t="s">
        <v>1400</v>
      </c>
      <c r="D440" s="1832" t="s">
        <v>2083</v>
      </c>
      <c r="E440" s="1832" t="s">
        <v>5566</v>
      </c>
      <c r="F440" s="1830" t="s">
        <v>1078</v>
      </c>
      <c r="G440" s="1833">
        <v>87</v>
      </c>
      <c r="H440" s="1832" t="s">
        <v>2159</v>
      </c>
      <c r="I440" s="1830" t="s">
        <v>129</v>
      </c>
      <c r="J440" s="1868">
        <v>122209</v>
      </c>
      <c r="K440" s="1868">
        <v>137209</v>
      </c>
      <c r="L440" s="1862" t="s">
        <v>5567</v>
      </c>
      <c r="M440" s="1834">
        <v>44915</v>
      </c>
    </row>
    <row r="441" spans="1:13" s="1329" customFormat="1" ht="90">
      <c r="A441" s="1830">
        <f t="shared" si="1"/>
        <v>432</v>
      </c>
      <c r="B441" s="1831" t="s">
        <v>1102</v>
      </c>
      <c r="C441" s="1831" t="s">
        <v>1407</v>
      </c>
      <c r="D441" s="1832" t="s">
        <v>2078</v>
      </c>
      <c r="E441" s="1832" t="s">
        <v>5551</v>
      </c>
      <c r="F441" s="1830" t="s">
        <v>1078</v>
      </c>
      <c r="G441" s="1833">
        <v>62</v>
      </c>
      <c r="H441" s="1832" t="s">
        <v>1816</v>
      </c>
      <c r="I441" s="1833" t="s">
        <v>5549</v>
      </c>
      <c r="J441" s="1830" t="s">
        <v>5400</v>
      </c>
      <c r="K441" s="1830" t="s">
        <v>210</v>
      </c>
      <c r="L441" s="1832" t="s">
        <v>5569</v>
      </c>
      <c r="M441" s="1834">
        <v>44915</v>
      </c>
    </row>
    <row r="442" spans="1:13" s="1329" customFormat="1" ht="90">
      <c r="A442" s="1830">
        <f t="shared" si="1"/>
        <v>433</v>
      </c>
      <c r="B442" s="1831" t="s">
        <v>1102</v>
      </c>
      <c r="C442" s="1831" t="s">
        <v>1305</v>
      </c>
      <c r="D442" s="1832" t="s">
        <v>2373</v>
      </c>
      <c r="E442" s="1832" t="s">
        <v>5551</v>
      </c>
      <c r="F442" s="1830" t="s">
        <v>1078</v>
      </c>
      <c r="G442" s="1833">
        <v>17</v>
      </c>
      <c r="H442" s="1832" t="s">
        <v>1803</v>
      </c>
      <c r="I442" s="1830" t="s">
        <v>1001</v>
      </c>
      <c r="J442" s="1830" t="s">
        <v>5570</v>
      </c>
      <c r="K442" s="1830" t="s">
        <v>1826</v>
      </c>
      <c r="L442" s="1832" t="s">
        <v>5571</v>
      </c>
      <c r="M442" s="1834">
        <v>44931</v>
      </c>
    </row>
    <row r="443" spans="1:13" s="1329" customFormat="1" ht="30">
      <c r="A443" s="1830">
        <f t="shared" si="1"/>
        <v>434</v>
      </c>
      <c r="B443" s="1831" t="s">
        <v>1102</v>
      </c>
      <c r="C443" s="1831" t="s">
        <v>1538</v>
      </c>
      <c r="D443" s="1832" t="s">
        <v>4380</v>
      </c>
      <c r="E443" s="1832" t="s">
        <v>5398</v>
      </c>
      <c r="F443" s="1830" t="s">
        <v>1078</v>
      </c>
      <c r="G443" s="1833">
        <v>97</v>
      </c>
      <c r="H443" s="1832" t="s">
        <v>2205</v>
      </c>
      <c r="I443" s="1830"/>
      <c r="J443" s="1830">
        <v>4.7699999999999999E-2</v>
      </c>
      <c r="K443" s="1830">
        <v>-4.7699999999999999E-2</v>
      </c>
      <c r="L443" s="1832" t="s">
        <v>5572</v>
      </c>
      <c r="M443" s="1834">
        <v>44937</v>
      </c>
    </row>
    <row r="444" spans="1:13" s="1329" customFormat="1" ht="30">
      <c r="A444" s="1830">
        <f t="shared" si="1"/>
        <v>435</v>
      </c>
      <c r="B444" s="1831" t="s">
        <v>1241</v>
      </c>
      <c r="C444" s="1831" t="s">
        <v>1320</v>
      </c>
      <c r="D444" s="1832" t="s">
        <v>4271</v>
      </c>
      <c r="E444" s="1832" t="s">
        <v>5573</v>
      </c>
      <c r="F444" s="1830" t="s">
        <v>1078</v>
      </c>
      <c r="G444" s="1833">
        <v>62</v>
      </c>
      <c r="H444" s="1832" t="s">
        <v>1816</v>
      </c>
      <c r="I444" s="1830" t="s">
        <v>1830</v>
      </c>
      <c r="J444" s="1830" t="s">
        <v>210</v>
      </c>
      <c r="K444" s="1830" t="s">
        <v>5400</v>
      </c>
      <c r="L444" s="1832" t="s">
        <v>5574</v>
      </c>
      <c r="M444" s="1834">
        <v>44960</v>
      </c>
    </row>
    <row r="445" spans="1:13" s="1329" customFormat="1" ht="30">
      <c r="A445" s="1830">
        <f t="shared" si="1"/>
        <v>436</v>
      </c>
      <c r="B445" s="1831" t="s">
        <v>1241</v>
      </c>
      <c r="C445" s="1831" t="s">
        <v>1320</v>
      </c>
      <c r="D445" s="1832" t="s">
        <v>4271</v>
      </c>
      <c r="E445" s="1832" t="s">
        <v>5573</v>
      </c>
      <c r="F445" s="1830" t="s">
        <v>1078</v>
      </c>
      <c r="G445" s="1833">
        <v>62</v>
      </c>
      <c r="H445" s="1832" t="s">
        <v>1816</v>
      </c>
      <c r="I445" s="1830" t="s">
        <v>1840</v>
      </c>
      <c r="J445" s="1830" t="s">
        <v>210</v>
      </c>
      <c r="K445" s="1830" t="s">
        <v>5400</v>
      </c>
      <c r="L445" s="1832" t="s">
        <v>5574</v>
      </c>
      <c r="M445" s="1834">
        <v>44960</v>
      </c>
    </row>
    <row r="446" spans="1:13" s="1329" customFormat="1" ht="30">
      <c r="A446" s="1830">
        <f t="shared" si="1"/>
        <v>437</v>
      </c>
      <c r="B446" s="1831" t="s">
        <v>1241</v>
      </c>
      <c r="C446" s="1831" t="s">
        <v>1320</v>
      </c>
      <c r="D446" s="1832" t="s">
        <v>4271</v>
      </c>
      <c r="E446" s="1832" t="s">
        <v>5573</v>
      </c>
      <c r="F446" s="1830" t="s">
        <v>1078</v>
      </c>
      <c r="G446" s="1833">
        <v>62</v>
      </c>
      <c r="H446" s="1832" t="s">
        <v>1816</v>
      </c>
      <c r="I446" s="1830" t="s">
        <v>1847</v>
      </c>
      <c r="J446" s="1830" t="s">
        <v>210</v>
      </c>
      <c r="K446" s="1830" t="s">
        <v>5400</v>
      </c>
      <c r="L446" s="1832" t="s">
        <v>5574</v>
      </c>
      <c r="M446" s="1834">
        <v>44960</v>
      </c>
    </row>
    <row r="447" spans="1:13" s="1329" customFormat="1" ht="30">
      <c r="A447" s="1830">
        <f t="shared" si="1"/>
        <v>438</v>
      </c>
      <c r="B447" s="1831" t="s">
        <v>1241</v>
      </c>
      <c r="C447" s="1831" t="s">
        <v>1320</v>
      </c>
      <c r="D447" s="1832" t="s">
        <v>4271</v>
      </c>
      <c r="E447" s="1832" t="s">
        <v>5573</v>
      </c>
      <c r="F447" s="1830" t="s">
        <v>1078</v>
      </c>
      <c r="G447" s="1833">
        <v>62</v>
      </c>
      <c r="H447" s="1832" t="s">
        <v>1816</v>
      </c>
      <c r="I447" s="1830" t="s">
        <v>1853</v>
      </c>
      <c r="J447" s="1830" t="s">
        <v>210</v>
      </c>
      <c r="K447" s="1830" t="s">
        <v>5400</v>
      </c>
      <c r="L447" s="1832" t="s">
        <v>5574</v>
      </c>
      <c r="M447" s="1834">
        <v>44960</v>
      </c>
    </row>
    <row r="448" spans="1:13" s="1329" customFormat="1" ht="30">
      <c r="A448" s="1830">
        <f t="shared" si="1"/>
        <v>439</v>
      </c>
      <c r="B448" s="1831" t="s">
        <v>1102</v>
      </c>
      <c r="C448" s="1831" t="s">
        <v>1424</v>
      </c>
      <c r="D448" s="1832" t="s">
        <v>2437</v>
      </c>
      <c r="E448" s="1832" t="s">
        <v>5573</v>
      </c>
      <c r="F448" s="1830" t="s">
        <v>1078</v>
      </c>
      <c r="G448" s="1833">
        <v>41</v>
      </c>
      <c r="H448" s="1832" t="s">
        <v>2153</v>
      </c>
      <c r="I448" s="1830" t="s">
        <v>129</v>
      </c>
      <c r="J448" s="1877">
        <v>1</v>
      </c>
      <c r="K448" s="1830">
        <v>100</v>
      </c>
      <c r="L448" s="1832" t="s">
        <v>5575</v>
      </c>
      <c r="M448" s="1834">
        <v>44973</v>
      </c>
    </row>
    <row r="449" spans="1:13" s="1329" customFormat="1" ht="30">
      <c r="A449" s="1830">
        <f t="shared" si="1"/>
        <v>440</v>
      </c>
      <c r="B449" s="1831" t="s">
        <v>1260</v>
      </c>
      <c r="C449" s="1831" t="s">
        <v>1408</v>
      </c>
      <c r="D449" s="1832" t="s">
        <v>2513</v>
      </c>
      <c r="E449" s="1832" t="s">
        <v>5573</v>
      </c>
      <c r="F449" s="1830" t="s">
        <v>1078</v>
      </c>
      <c r="G449" s="1833">
        <v>87</v>
      </c>
      <c r="H449" s="1832" t="s">
        <v>1809</v>
      </c>
      <c r="I449" s="1833" t="s">
        <v>1830</v>
      </c>
      <c r="J449" s="1830">
        <v>90</v>
      </c>
      <c r="K449" s="1830" t="s">
        <v>5400</v>
      </c>
      <c r="L449" s="1832" t="s">
        <v>5576</v>
      </c>
      <c r="M449" s="1834">
        <v>44974</v>
      </c>
    </row>
    <row r="450" spans="1:13" s="1329" customFormat="1" ht="30">
      <c r="A450" s="1830">
        <f t="shared" si="1"/>
        <v>441</v>
      </c>
      <c r="B450" s="1831" t="s">
        <v>1260</v>
      </c>
      <c r="C450" s="1831" t="s">
        <v>1408</v>
      </c>
      <c r="D450" s="1832" t="s">
        <v>2513</v>
      </c>
      <c r="E450" s="1832" t="s">
        <v>5573</v>
      </c>
      <c r="F450" s="1830" t="s">
        <v>1078</v>
      </c>
      <c r="G450" s="1833">
        <v>87</v>
      </c>
      <c r="H450" s="1832" t="s">
        <v>1809</v>
      </c>
      <c r="I450" s="1833" t="s">
        <v>1840</v>
      </c>
      <c r="J450" s="1830">
        <v>90</v>
      </c>
      <c r="K450" s="1830" t="s">
        <v>5400</v>
      </c>
      <c r="L450" s="1832" t="s">
        <v>5576</v>
      </c>
      <c r="M450" s="1834">
        <v>44974</v>
      </c>
    </row>
    <row r="451" spans="1:13" s="1329" customFormat="1" ht="30">
      <c r="A451" s="1830">
        <f t="shared" si="1"/>
        <v>442</v>
      </c>
      <c r="B451" s="1831" t="s">
        <v>1260</v>
      </c>
      <c r="C451" s="1831" t="s">
        <v>1408</v>
      </c>
      <c r="D451" s="1832" t="s">
        <v>2513</v>
      </c>
      <c r="E451" s="1832" t="s">
        <v>5573</v>
      </c>
      <c r="F451" s="1830" t="s">
        <v>1078</v>
      </c>
      <c r="G451" s="1833">
        <v>87</v>
      </c>
      <c r="H451" s="1832" t="s">
        <v>1809</v>
      </c>
      <c r="I451" s="1833" t="s">
        <v>1847</v>
      </c>
      <c r="J451" s="1830">
        <v>90</v>
      </c>
      <c r="K451" s="1830" t="s">
        <v>5400</v>
      </c>
      <c r="L451" s="1832" t="s">
        <v>5576</v>
      </c>
      <c r="M451" s="1834">
        <v>44974</v>
      </c>
    </row>
    <row r="452" spans="1:13" s="1329" customFormat="1" ht="30">
      <c r="A452" s="1830">
        <f t="shared" si="1"/>
        <v>443</v>
      </c>
      <c r="B452" s="1831" t="s">
        <v>1260</v>
      </c>
      <c r="C452" s="1831" t="s">
        <v>1408</v>
      </c>
      <c r="D452" s="1832" t="s">
        <v>2513</v>
      </c>
      <c r="E452" s="1832" t="s">
        <v>5573</v>
      </c>
      <c r="F452" s="1830" t="s">
        <v>1078</v>
      </c>
      <c r="G452" s="1833">
        <v>87</v>
      </c>
      <c r="H452" s="1832" t="s">
        <v>1809</v>
      </c>
      <c r="I452" s="1833" t="s">
        <v>1853</v>
      </c>
      <c r="J452" s="1830">
        <v>90</v>
      </c>
      <c r="K452" s="1830" t="s">
        <v>5400</v>
      </c>
      <c r="L452" s="1832" t="s">
        <v>5576</v>
      </c>
      <c r="M452" s="1834">
        <v>44974</v>
      </c>
    </row>
    <row r="453" spans="1:13" s="1329" customFormat="1" ht="15">
      <c r="A453" s="1830">
        <f t="shared" si="1"/>
        <v>444</v>
      </c>
      <c r="B453" s="1831" t="s">
        <v>1260</v>
      </c>
      <c r="C453" s="1831" t="s">
        <v>1408</v>
      </c>
      <c r="D453" s="1832" t="s">
        <v>2513</v>
      </c>
      <c r="E453" s="1832" t="s">
        <v>5573</v>
      </c>
      <c r="F453" s="1830" t="s">
        <v>1078</v>
      </c>
      <c r="G453" s="1833">
        <v>87</v>
      </c>
      <c r="H453" s="1832" t="s">
        <v>1809</v>
      </c>
      <c r="I453" s="1833" t="s">
        <v>129</v>
      </c>
      <c r="J453" s="1830">
        <v>90</v>
      </c>
      <c r="K453" s="1830">
        <v>77</v>
      </c>
      <c r="L453" s="1832" t="s">
        <v>5577</v>
      </c>
      <c r="M453" s="1834">
        <v>44974</v>
      </c>
    </row>
    <row r="454" spans="1:13" s="1329" customFormat="1" ht="15">
      <c r="A454" s="1830">
        <f t="shared" si="1"/>
        <v>445</v>
      </c>
      <c r="B454" s="1831" t="s">
        <v>1213</v>
      </c>
      <c r="C454" s="1831" t="s">
        <v>1524</v>
      </c>
      <c r="D454" s="1832" t="s">
        <v>3890</v>
      </c>
      <c r="E454" s="1832" t="s">
        <v>1213</v>
      </c>
      <c r="F454" s="1830" t="s">
        <v>1078</v>
      </c>
      <c r="G454" s="1833">
        <v>87</v>
      </c>
      <c r="H454" s="1832" t="s">
        <v>1809</v>
      </c>
      <c r="I454" s="1830" t="s">
        <v>1830</v>
      </c>
      <c r="J454" s="1830">
        <v>4.5</v>
      </c>
      <c r="K454" s="1830">
        <v>9</v>
      </c>
      <c r="L454" s="1832" t="s">
        <v>5578</v>
      </c>
      <c r="M454" s="1834">
        <v>44995</v>
      </c>
    </row>
    <row r="455" spans="1:13" s="1329" customFormat="1" ht="15">
      <c r="A455" s="1830">
        <f t="shared" si="1"/>
        <v>446</v>
      </c>
      <c r="B455" s="1831" t="s">
        <v>1213</v>
      </c>
      <c r="C455" s="1831" t="s">
        <v>1524</v>
      </c>
      <c r="D455" s="1832" t="s">
        <v>3890</v>
      </c>
      <c r="E455" s="1832" t="s">
        <v>1213</v>
      </c>
      <c r="F455" s="1830" t="s">
        <v>1078</v>
      </c>
      <c r="G455" s="1833">
        <v>87</v>
      </c>
      <c r="H455" s="1832" t="s">
        <v>1809</v>
      </c>
      <c r="I455" s="1830" t="s">
        <v>1840</v>
      </c>
      <c r="J455" s="1830">
        <v>2</v>
      </c>
      <c r="K455" s="1830">
        <v>5.75</v>
      </c>
      <c r="L455" s="1832" t="s">
        <v>5578</v>
      </c>
      <c r="M455" s="1834">
        <v>44995</v>
      </c>
    </row>
    <row r="456" spans="1:13" s="1329" customFormat="1" ht="15">
      <c r="A456" s="1830">
        <f t="shared" si="1"/>
        <v>447</v>
      </c>
      <c r="B456" s="1831" t="s">
        <v>1213</v>
      </c>
      <c r="C456" s="1831" t="s">
        <v>1524</v>
      </c>
      <c r="D456" s="1832" t="s">
        <v>3890</v>
      </c>
      <c r="E456" s="1832" t="s">
        <v>1213</v>
      </c>
      <c r="F456" s="1830" t="s">
        <v>1078</v>
      </c>
      <c r="G456" s="1833">
        <v>87</v>
      </c>
      <c r="H456" s="1832" t="s">
        <v>1809</v>
      </c>
      <c r="I456" s="1830" t="s">
        <v>1847</v>
      </c>
      <c r="J456" s="1830">
        <v>2</v>
      </c>
      <c r="K456" s="1830">
        <v>4</v>
      </c>
      <c r="L456" s="1832" t="s">
        <v>5578</v>
      </c>
      <c r="M456" s="1834">
        <v>44995</v>
      </c>
    </row>
    <row r="457" spans="1:13" s="1329" customFormat="1" ht="15">
      <c r="A457" s="1830">
        <f t="shared" si="1"/>
        <v>448</v>
      </c>
      <c r="B457" s="1831" t="s">
        <v>1213</v>
      </c>
      <c r="C457" s="1831" t="s">
        <v>1524</v>
      </c>
      <c r="D457" s="1832" t="s">
        <v>3890</v>
      </c>
      <c r="E457" s="1832" t="s">
        <v>1213</v>
      </c>
      <c r="F457" s="1830" t="s">
        <v>1078</v>
      </c>
      <c r="G457" s="1833">
        <v>87</v>
      </c>
      <c r="H457" s="1832" t="s">
        <v>1809</v>
      </c>
      <c r="I457" s="1830" t="s">
        <v>1853</v>
      </c>
      <c r="J457" s="1830">
        <v>2</v>
      </c>
      <c r="K457" s="1830">
        <v>4</v>
      </c>
      <c r="L457" s="1832" t="s">
        <v>5578</v>
      </c>
      <c r="M457" s="1834">
        <v>44995</v>
      </c>
    </row>
    <row r="458" spans="1:13" s="1329" customFormat="1" ht="15">
      <c r="A458" s="1830">
        <f t="shared" si="1"/>
        <v>449</v>
      </c>
      <c r="B458" s="1831" t="s">
        <v>1213</v>
      </c>
      <c r="C458" s="1831" t="s">
        <v>1524</v>
      </c>
      <c r="D458" s="1832" t="s">
        <v>3890</v>
      </c>
      <c r="E458" s="1832" t="s">
        <v>1213</v>
      </c>
      <c r="F458" s="1830" t="s">
        <v>1078</v>
      </c>
      <c r="G458" s="1833">
        <v>87</v>
      </c>
      <c r="H458" s="1832" t="s">
        <v>1809</v>
      </c>
      <c r="I458" s="1830" t="s">
        <v>129</v>
      </c>
      <c r="J458" s="1830">
        <v>4.5</v>
      </c>
      <c r="K458" s="1830">
        <v>9</v>
      </c>
      <c r="L458" s="1832" t="s">
        <v>5578</v>
      </c>
      <c r="M458" s="1834">
        <v>44995</v>
      </c>
    </row>
    <row r="459" spans="1:13" s="1329" customFormat="1" ht="15">
      <c r="A459" s="1830">
        <f t="shared" si="1"/>
        <v>450</v>
      </c>
      <c r="B459" s="1831" t="s">
        <v>1278</v>
      </c>
      <c r="C459" s="1831" t="s">
        <v>1444</v>
      </c>
      <c r="D459" s="1832" t="s">
        <v>2416</v>
      </c>
      <c r="E459" s="1832" t="s">
        <v>5579</v>
      </c>
      <c r="F459" s="1830" t="s">
        <v>1078</v>
      </c>
      <c r="G459" s="1833">
        <v>41</v>
      </c>
      <c r="H459" s="1832" t="s">
        <v>2153</v>
      </c>
      <c r="I459" s="1830" t="s">
        <v>1840</v>
      </c>
      <c r="J459" s="1830">
        <v>43</v>
      </c>
      <c r="K459" s="1830">
        <v>37</v>
      </c>
      <c r="L459" s="1832" t="s">
        <v>5580</v>
      </c>
      <c r="M459" s="1834">
        <v>45065</v>
      </c>
    </row>
    <row r="460" spans="1:13" s="1329" customFormat="1" ht="15">
      <c r="A460" s="1830">
        <f t="shared" si="1"/>
        <v>451</v>
      </c>
      <c r="B460" s="1831" t="s">
        <v>1278</v>
      </c>
      <c r="C460" s="1831" t="s">
        <v>1444</v>
      </c>
      <c r="D460" s="1832" t="s">
        <v>2416</v>
      </c>
      <c r="E460" s="1832" t="s">
        <v>5579</v>
      </c>
      <c r="F460" s="1830" t="s">
        <v>1078</v>
      </c>
      <c r="G460" s="1833">
        <v>41</v>
      </c>
      <c r="H460" s="1832" t="s">
        <v>2153</v>
      </c>
      <c r="I460" s="1830" t="s">
        <v>1847</v>
      </c>
      <c r="J460" s="1830">
        <v>43</v>
      </c>
      <c r="K460" s="1830">
        <v>38</v>
      </c>
      <c r="L460" s="1832" t="s">
        <v>5580</v>
      </c>
      <c r="M460" s="1834">
        <v>45065</v>
      </c>
    </row>
    <row r="461" spans="1:13" s="1329" customFormat="1" ht="15">
      <c r="A461" s="1830">
        <f t="shared" si="1"/>
        <v>452</v>
      </c>
      <c r="B461" s="1831" t="s">
        <v>1278</v>
      </c>
      <c r="C461" s="1831" t="s">
        <v>1444</v>
      </c>
      <c r="D461" s="1832" t="s">
        <v>2416</v>
      </c>
      <c r="E461" s="1832" t="s">
        <v>5579</v>
      </c>
      <c r="F461" s="1830" t="s">
        <v>1078</v>
      </c>
      <c r="G461" s="1833">
        <v>41</v>
      </c>
      <c r="H461" s="1832" t="s">
        <v>2153</v>
      </c>
      <c r="I461" s="1830" t="s">
        <v>1853</v>
      </c>
      <c r="J461" s="1830">
        <v>44</v>
      </c>
      <c r="K461" s="1830">
        <v>39</v>
      </c>
      <c r="L461" s="1832" t="s">
        <v>5580</v>
      </c>
      <c r="M461" s="1834">
        <v>45065</v>
      </c>
    </row>
    <row r="462" spans="1:13" s="1329" customFormat="1" ht="15">
      <c r="A462" s="1830">
        <f t="shared" si="1"/>
        <v>453</v>
      </c>
      <c r="B462" s="1831" t="s">
        <v>1278</v>
      </c>
      <c r="C462" s="1831" t="s">
        <v>1444</v>
      </c>
      <c r="D462" s="1832" t="s">
        <v>2416</v>
      </c>
      <c r="E462" s="1832" t="s">
        <v>5579</v>
      </c>
      <c r="F462" s="1830" t="s">
        <v>1078</v>
      </c>
      <c r="G462" s="1833">
        <v>41</v>
      </c>
      <c r="H462" s="1832" t="s">
        <v>2153</v>
      </c>
      <c r="I462" s="1830" t="s">
        <v>129</v>
      </c>
      <c r="J462" s="1830">
        <v>60</v>
      </c>
      <c r="K462" s="1830">
        <v>65</v>
      </c>
      <c r="L462" s="1832" t="s">
        <v>5580</v>
      </c>
      <c r="M462" s="1834">
        <v>45065</v>
      </c>
    </row>
    <row r="463" spans="1:13" s="1329" customFormat="1" ht="15">
      <c r="A463" s="1830">
        <f t="shared" si="1"/>
        <v>454</v>
      </c>
      <c r="B463" s="1831" t="s">
        <v>1213</v>
      </c>
      <c r="C463" s="1831" t="s">
        <v>1334</v>
      </c>
      <c r="D463" s="1832" t="s">
        <v>3826</v>
      </c>
      <c r="E463" s="1832" t="s">
        <v>1213</v>
      </c>
      <c r="F463" s="1830" t="s">
        <v>1078</v>
      </c>
      <c r="G463" s="1833">
        <v>87</v>
      </c>
      <c r="H463" s="1832" t="s">
        <v>2159</v>
      </c>
      <c r="I463" s="1830" t="s">
        <v>1830</v>
      </c>
      <c r="J463" s="1868">
        <v>0</v>
      </c>
      <c r="K463" s="1868"/>
      <c r="L463" s="1832" t="s">
        <v>5581</v>
      </c>
      <c r="M463" s="1834">
        <v>45065</v>
      </c>
    </row>
    <row r="464" spans="1:13" s="1329" customFormat="1" ht="15">
      <c r="A464" s="1830">
        <f t="shared" si="1"/>
        <v>455</v>
      </c>
      <c r="B464" s="1831" t="s">
        <v>1213</v>
      </c>
      <c r="C464" s="1831" t="s">
        <v>1334</v>
      </c>
      <c r="D464" s="1832" t="s">
        <v>3826</v>
      </c>
      <c r="E464" s="1832" t="s">
        <v>1213</v>
      </c>
      <c r="F464" s="1830" t="s">
        <v>1078</v>
      </c>
      <c r="G464" s="1833">
        <v>87</v>
      </c>
      <c r="H464" s="1832" t="s">
        <v>2159</v>
      </c>
      <c r="I464" s="1830" t="s">
        <v>1840</v>
      </c>
      <c r="J464" s="1868">
        <v>3600</v>
      </c>
      <c r="K464" s="1868"/>
      <c r="L464" s="1832" t="s">
        <v>5581</v>
      </c>
      <c r="M464" s="1834">
        <v>45065</v>
      </c>
    </row>
    <row r="465" spans="1:13" s="1329" customFormat="1" ht="15">
      <c r="A465" s="1830">
        <f t="shared" si="1"/>
        <v>456</v>
      </c>
      <c r="B465" s="1831" t="s">
        <v>1213</v>
      </c>
      <c r="C465" s="1831" t="s">
        <v>1334</v>
      </c>
      <c r="D465" s="1832" t="s">
        <v>3826</v>
      </c>
      <c r="E465" s="1832" t="s">
        <v>1213</v>
      </c>
      <c r="F465" s="1830" t="s">
        <v>1078</v>
      </c>
      <c r="G465" s="1833">
        <v>87</v>
      </c>
      <c r="H465" s="1832" t="s">
        <v>2159</v>
      </c>
      <c r="I465" s="1830" t="s">
        <v>1847</v>
      </c>
      <c r="J465" s="1868">
        <v>3500</v>
      </c>
      <c r="K465" s="1868"/>
      <c r="L465" s="1832" t="s">
        <v>5581</v>
      </c>
      <c r="M465" s="1834">
        <v>45065</v>
      </c>
    </row>
    <row r="466" spans="1:13" s="1329" customFormat="1" ht="15">
      <c r="A466" s="1830">
        <f t="shared" si="1"/>
        <v>457</v>
      </c>
      <c r="B466" s="1831" t="s">
        <v>1213</v>
      </c>
      <c r="C466" s="1831" t="s">
        <v>1334</v>
      </c>
      <c r="D466" s="1832" t="s">
        <v>3826</v>
      </c>
      <c r="E466" s="1832" t="s">
        <v>1213</v>
      </c>
      <c r="F466" s="1830" t="s">
        <v>1078</v>
      </c>
      <c r="G466" s="1833">
        <v>87</v>
      </c>
      <c r="H466" s="1832" t="s">
        <v>2159</v>
      </c>
      <c r="I466" s="1830" t="s">
        <v>1853</v>
      </c>
      <c r="J466" s="1868">
        <v>3500</v>
      </c>
      <c r="K466" s="1868"/>
      <c r="L466" s="1832" t="s">
        <v>5581</v>
      </c>
      <c r="M466" s="1834">
        <v>45065</v>
      </c>
    </row>
    <row r="467" spans="1:13" s="1329" customFormat="1" ht="15">
      <c r="A467" s="1830">
        <f t="shared" si="1"/>
        <v>458</v>
      </c>
      <c r="B467" s="1831" t="s">
        <v>1213</v>
      </c>
      <c r="C467" s="1831" t="s">
        <v>1334</v>
      </c>
      <c r="D467" s="1832" t="s">
        <v>3826</v>
      </c>
      <c r="E467" s="1832" t="s">
        <v>1213</v>
      </c>
      <c r="F467" s="1830" t="s">
        <v>1078</v>
      </c>
      <c r="G467" s="1833">
        <v>87</v>
      </c>
      <c r="H467" s="1832" t="s">
        <v>2159</v>
      </c>
      <c r="I467" s="1830" t="s">
        <v>129</v>
      </c>
      <c r="J467" s="1868">
        <v>3500</v>
      </c>
      <c r="K467" s="1868">
        <v>14100</v>
      </c>
      <c r="L467" s="1832" t="s">
        <v>5581</v>
      </c>
      <c r="M467" s="1834">
        <v>45065</v>
      </c>
    </row>
    <row r="468" spans="1:13" s="1329" customFormat="1" ht="44.25" customHeight="1">
      <c r="A468" s="1830">
        <f t="shared" si="1"/>
        <v>459</v>
      </c>
      <c r="B468" s="1831" t="s">
        <v>1213</v>
      </c>
      <c r="C468" s="1831" t="s">
        <v>1419</v>
      </c>
      <c r="D468" s="1832" t="s">
        <v>2088</v>
      </c>
      <c r="E468" s="1832" t="s">
        <v>1213</v>
      </c>
      <c r="F468" s="1830" t="s">
        <v>1078</v>
      </c>
      <c r="G468" s="1833">
        <v>41</v>
      </c>
      <c r="H468" s="1832" t="s">
        <v>2153</v>
      </c>
      <c r="I468" s="1830" t="s">
        <v>1830</v>
      </c>
      <c r="J468" s="1833" t="s">
        <v>5582</v>
      </c>
      <c r="K468" s="1830">
        <v>1</v>
      </c>
      <c r="L468" s="1832" t="s">
        <v>5583</v>
      </c>
      <c r="M468" s="1834">
        <v>45065</v>
      </c>
    </row>
    <row r="469" spans="1:13" s="1329" customFormat="1" ht="45.75" customHeight="1">
      <c r="A469" s="1830">
        <f t="shared" si="1"/>
        <v>460</v>
      </c>
      <c r="B469" s="1831" t="s">
        <v>1213</v>
      </c>
      <c r="C469" s="1831" t="s">
        <v>1419</v>
      </c>
      <c r="D469" s="1832" t="s">
        <v>2088</v>
      </c>
      <c r="E469" s="1832" t="s">
        <v>1213</v>
      </c>
      <c r="F469" s="1830" t="s">
        <v>1078</v>
      </c>
      <c r="G469" s="1833">
        <v>41</v>
      </c>
      <c r="H469" s="1832" t="s">
        <v>2153</v>
      </c>
      <c r="I469" s="1830" t="s">
        <v>1847</v>
      </c>
      <c r="J469" s="1833" t="s">
        <v>5584</v>
      </c>
      <c r="K469" s="1830">
        <v>1</v>
      </c>
      <c r="L469" s="1832" t="s">
        <v>5585</v>
      </c>
      <c r="M469" s="1834">
        <v>45065</v>
      </c>
    </row>
    <row r="470" spans="1:13" s="1329" customFormat="1" ht="46.5" customHeight="1">
      <c r="A470" s="1830">
        <f t="shared" si="1"/>
        <v>461</v>
      </c>
      <c r="B470" s="1831" t="s">
        <v>1213</v>
      </c>
      <c r="C470" s="1831" t="s">
        <v>1419</v>
      </c>
      <c r="D470" s="1832" t="s">
        <v>2088</v>
      </c>
      <c r="E470" s="1832" t="s">
        <v>1213</v>
      </c>
      <c r="F470" s="1830" t="s">
        <v>1078</v>
      </c>
      <c r="G470" s="1833">
        <v>41</v>
      </c>
      <c r="H470" s="1832" t="s">
        <v>2153</v>
      </c>
      <c r="I470" s="1830" t="s">
        <v>1853</v>
      </c>
      <c r="J470" s="1833" t="s">
        <v>5586</v>
      </c>
      <c r="K470" s="1830">
        <v>1</v>
      </c>
      <c r="L470" s="1832" t="s">
        <v>5585</v>
      </c>
      <c r="M470" s="1834">
        <v>45065</v>
      </c>
    </row>
    <row r="471" spans="1:13" s="1329" customFormat="1" ht="89.25" customHeight="1">
      <c r="A471" s="1830">
        <f t="shared" si="1"/>
        <v>462</v>
      </c>
      <c r="B471" s="1831" t="s">
        <v>1213</v>
      </c>
      <c r="C471" s="1831" t="s">
        <v>1493</v>
      </c>
      <c r="D471" s="1832" t="s">
        <v>2090</v>
      </c>
      <c r="E471" s="1832" t="s">
        <v>1213</v>
      </c>
      <c r="F471" s="1830" t="s">
        <v>1078</v>
      </c>
      <c r="G471" s="1833">
        <v>41</v>
      </c>
      <c r="H471" s="1832" t="s">
        <v>2153</v>
      </c>
      <c r="I471" s="1830" t="s">
        <v>1853</v>
      </c>
      <c r="J471" s="1833" t="s">
        <v>5587</v>
      </c>
      <c r="K471" s="1830">
        <v>1</v>
      </c>
      <c r="L471" s="1832" t="s">
        <v>5585</v>
      </c>
      <c r="M471" s="1834">
        <v>45065</v>
      </c>
    </row>
    <row r="472" spans="1:13" s="1329" customFormat="1" ht="30">
      <c r="A472" s="2190">
        <f t="shared" si="1"/>
        <v>463</v>
      </c>
      <c r="B472" s="2191" t="s">
        <v>1157</v>
      </c>
      <c r="C472" s="2191" t="s">
        <v>1382</v>
      </c>
      <c r="D472" s="2192" t="s">
        <v>3474</v>
      </c>
      <c r="E472" s="2192" t="s">
        <v>1157</v>
      </c>
      <c r="F472" s="2190" t="s">
        <v>1078</v>
      </c>
      <c r="G472" s="2193">
        <v>67</v>
      </c>
      <c r="H472" s="2192" t="s">
        <v>2155</v>
      </c>
      <c r="I472" s="2193" t="s">
        <v>5588</v>
      </c>
      <c r="J472" s="2190">
        <v>0</v>
      </c>
      <c r="K472" s="2190" t="s">
        <v>5589</v>
      </c>
      <c r="L472" s="2192" t="s">
        <v>5590</v>
      </c>
      <c r="M472" s="2194">
        <v>45681</v>
      </c>
    </row>
    <row r="473" spans="1:13" s="1329" customFormat="1" ht="30">
      <c r="A473" s="2190">
        <f t="shared" si="1"/>
        <v>464</v>
      </c>
      <c r="B473" s="2340" t="s">
        <v>1157</v>
      </c>
      <c r="C473" s="2191" t="s">
        <v>1382</v>
      </c>
      <c r="D473" s="2192" t="s">
        <v>3474</v>
      </c>
      <c r="E473" s="2192" t="s">
        <v>1157</v>
      </c>
      <c r="F473" s="2190" t="s">
        <v>1078</v>
      </c>
      <c r="G473" s="2193">
        <v>77</v>
      </c>
      <c r="H473" s="2192" t="s">
        <v>2157</v>
      </c>
      <c r="I473" s="2193" t="s">
        <v>5588</v>
      </c>
      <c r="J473" s="2190">
        <v>0</v>
      </c>
      <c r="K473" s="2190" t="s">
        <v>5589</v>
      </c>
      <c r="L473" s="2192" t="s">
        <v>5590</v>
      </c>
      <c r="M473" s="2194">
        <v>45681</v>
      </c>
    </row>
    <row r="474" spans="1:13" s="1329" customFormat="1" ht="30">
      <c r="A474" s="2190">
        <f t="shared" si="1"/>
        <v>465</v>
      </c>
      <c r="B474" s="2191" t="s">
        <v>1157</v>
      </c>
      <c r="C474" s="2191" t="s">
        <v>1382</v>
      </c>
      <c r="D474" s="2192" t="s">
        <v>3474</v>
      </c>
      <c r="E474" s="2192" t="s">
        <v>1157</v>
      </c>
      <c r="F474" s="2190" t="s">
        <v>1078</v>
      </c>
      <c r="G474" s="2193">
        <v>82</v>
      </c>
      <c r="H474" s="2192" t="s">
        <v>2158</v>
      </c>
      <c r="I474" s="2193" t="s">
        <v>5588</v>
      </c>
      <c r="J474" s="2190">
        <v>0</v>
      </c>
      <c r="K474" s="2190" t="s">
        <v>5589</v>
      </c>
      <c r="L474" s="2192" t="s">
        <v>5590</v>
      </c>
      <c r="M474" s="2194">
        <v>45681</v>
      </c>
    </row>
    <row r="475" spans="1:13" s="1329" customFormat="1" ht="30">
      <c r="A475" s="2190">
        <f t="shared" si="1"/>
        <v>466</v>
      </c>
      <c r="B475" s="2191" t="s">
        <v>1157</v>
      </c>
      <c r="C475" s="2191" t="s">
        <v>1382</v>
      </c>
      <c r="D475" s="2192" t="s">
        <v>3474</v>
      </c>
      <c r="E475" s="2192" t="s">
        <v>1157</v>
      </c>
      <c r="F475" s="2190" t="s">
        <v>1078</v>
      </c>
      <c r="G475" s="2193">
        <v>92</v>
      </c>
      <c r="H475" s="2192" t="s">
        <v>2160</v>
      </c>
      <c r="I475" s="2193" t="s">
        <v>5588</v>
      </c>
      <c r="J475" s="2190">
        <v>0</v>
      </c>
      <c r="K475" s="2190" t="s">
        <v>5589</v>
      </c>
      <c r="L475" s="2192" t="s">
        <v>5590</v>
      </c>
      <c r="M475" s="2194">
        <v>45681</v>
      </c>
    </row>
    <row r="476" spans="1:13" s="1329" customFormat="1" ht="30">
      <c r="A476" s="2190">
        <f t="shared" si="1"/>
        <v>467</v>
      </c>
      <c r="B476" s="2191" t="s">
        <v>1199</v>
      </c>
      <c r="C476" s="2191" t="s">
        <v>1490</v>
      </c>
      <c r="D476" s="2192" t="s">
        <v>4388</v>
      </c>
      <c r="E476" s="2192" t="s">
        <v>913</v>
      </c>
      <c r="F476" s="2190" t="s">
        <v>1078</v>
      </c>
      <c r="G476" s="2193">
        <v>41</v>
      </c>
      <c r="H476" s="2192" t="s">
        <v>2153</v>
      </c>
      <c r="I476" s="2190" t="s">
        <v>129</v>
      </c>
      <c r="J476" s="2190">
        <v>14.4</v>
      </c>
      <c r="K476" s="2190">
        <v>12.62</v>
      </c>
      <c r="L476" s="2192" t="s">
        <v>5591</v>
      </c>
      <c r="M476" s="2194">
        <v>45681</v>
      </c>
    </row>
    <row r="477" spans="1:13" s="1329" customFormat="1" ht="30">
      <c r="A477" s="2190">
        <f t="shared" si="1"/>
        <v>468</v>
      </c>
      <c r="B477" s="2191" t="s">
        <v>1199</v>
      </c>
      <c r="C477" s="2191" t="s">
        <v>1490</v>
      </c>
      <c r="D477" s="2192" t="s">
        <v>4388</v>
      </c>
      <c r="E477" s="2192" t="s">
        <v>913</v>
      </c>
      <c r="F477" s="2190" t="s">
        <v>1078</v>
      </c>
      <c r="G477" s="2193">
        <v>97</v>
      </c>
      <c r="H477" s="2192" t="s">
        <v>5592</v>
      </c>
      <c r="I477" s="2190" t="s">
        <v>1895</v>
      </c>
      <c r="J477" s="2190">
        <v>-0.39100000000000001</v>
      </c>
      <c r="K477" s="2190">
        <v>-0.39063300000000001</v>
      </c>
      <c r="L477" s="2192" t="s">
        <v>5591</v>
      </c>
      <c r="M477" s="2194">
        <v>45681</v>
      </c>
    </row>
    <row r="478" spans="1:13" s="1329" customFormat="1" ht="15">
      <c r="A478" s="2256">
        <f t="shared" si="1"/>
        <v>469</v>
      </c>
      <c r="B478" s="2191" t="s">
        <v>1143</v>
      </c>
      <c r="C478" s="2191" t="s">
        <v>1557</v>
      </c>
      <c r="D478" s="2192" t="s">
        <v>2843</v>
      </c>
      <c r="E478" s="2192" t="s">
        <v>913</v>
      </c>
      <c r="F478" s="2190" t="s">
        <v>1078</v>
      </c>
      <c r="G478" s="2193">
        <v>97</v>
      </c>
      <c r="H478" s="2192" t="s">
        <v>5592</v>
      </c>
      <c r="I478" s="2190" t="s">
        <v>1895</v>
      </c>
      <c r="J478" s="2190">
        <v>-2.7400000000000001E-2</v>
      </c>
      <c r="K478" s="2190">
        <v>-4.5600000000000002E-2</v>
      </c>
      <c r="L478" s="2192" t="s">
        <v>5591</v>
      </c>
      <c r="M478" s="2194">
        <v>45681</v>
      </c>
    </row>
    <row r="479" spans="1:13" s="1329" customFormat="1" ht="15">
      <c r="A479" s="2333">
        <f t="shared" si="1"/>
        <v>470</v>
      </c>
      <c r="B479" s="2334"/>
      <c r="C479" s="2334"/>
      <c r="D479" s="2335"/>
      <c r="E479" s="2335"/>
      <c r="F479" s="2333"/>
      <c r="G479" s="2336"/>
      <c r="H479" s="2335"/>
      <c r="I479" s="2333"/>
      <c r="J479" s="2333"/>
      <c r="K479" s="2333"/>
      <c r="L479" s="2335"/>
      <c r="M479" s="2337"/>
    </row>
    <row r="480" spans="1:13" s="1329" customFormat="1" ht="15">
      <c r="A480" s="1810">
        <f t="shared" si="1"/>
        <v>471</v>
      </c>
      <c r="B480" s="1811"/>
      <c r="C480" s="1811"/>
      <c r="D480" s="1812"/>
      <c r="E480" s="1812"/>
      <c r="F480" s="1810"/>
      <c r="G480" s="1813"/>
      <c r="H480" s="1812"/>
      <c r="I480" s="1810"/>
      <c r="J480" s="1810"/>
      <c r="K480" s="1810"/>
      <c r="L480" s="1812"/>
      <c r="M480" s="1814"/>
    </row>
    <row r="481" spans="1:13" s="1329" customFormat="1" ht="15">
      <c r="A481" s="1810">
        <f t="shared" si="1"/>
        <v>472</v>
      </c>
      <c r="B481" s="1811"/>
      <c r="C481" s="1811"/>
      <c r="D481" s="1812"/>
      <c r="E481" s="1812"/>
      <c r="F481" s="1810"/>
      <c r="G481" s="1813"/>
      <c r="H481" s="1812"/>
      <c r="I481" s="1810"/>
      <c r="J481" s="1810"/>
      <c r="K481" s="1810"/>
      <c r="L481" s="1812"/>
      <c r="M481" s="1814"/>
    </row>
    <row r="482" spans="1:13" s="1329" customFormat="1" ht="15">
      <c r="A482" s="1810">
        <f t="shared" si="1"/>
        <v>473</v>
      </c>
      <c r="B482" s="1811"/>
      <c r="C482" s="1811"/>
      <c r="D482" s="1812"/>
      <c r="E482" s="1812"/>
      <c r="F482" s="1810"/>
      <c r="G482" s="1813"/>
      <c r="H482" s="1812"/>
      <c r="I482" s="1810"/>
      <c r="J482" s="1810"/>
      <c r="K482" s="1810"/>
      <c r="L482" s="1812"/>
      <c r="M482" s="1814"/>
    </row>
    <row r="483" spans="1:13" s="1329" customFormat="1" ht="15">
      <c r="A483" s="1810">
        <f t="shared" si="1"/>
        <v>474</v>
      </c>
      <c r="B483" s="1811"/>
      <c r="C483" s="1811"/>
      <c r="D483" s="1812"/>
      <c r="E483" s="1812"/>
      <c r="F483" s="1810"/>
      <c r="G483" s="1813"/>
      <c r="H483" s="1812"/>
      <c r="I483" s="1810"/>
      <c r="J483" s="1810"/>
      <c r="K483" s="1810"/>
      <c r="L483" s="1812"/>
      <c r="M483" s="1814"/>
    </row>
    <row r="484" spans="1:13" s="1329" customFormat="1" ht="15">
      <c r="A484" s="1810">
        <f t="shared" si="1"/>
        <v>475</v>
      </c>
      <c r="B484" s="1811"/>
      <c r="C484" s="1811"/>
      <c r="D484" s="1812"/>
      <c r="E484" s="1812"/>
      <c r="F484" s="1810"/>
      <c r="G484" s="1813"/>
      <c r="H484" s="1812"/>
      <c r="I484" s="1810"/>
      <c r="J484" s="1810"/>
      <c r="K484" s="1810"/>
      <c r="L484" s="1812"/>
      <c r="M484" s="1814"/>
    </row>
    <row r="485" spans="1:13" s="1329" customFormat="1" ht="15">
      <c r="A485" s="1810">
        <f t="shared" si="1"/>
        <v>476</v>
      </c>
      <c r="B485" s="1811"/>
      <c r="C485" s="1811"/>
      <c r="D485" s="1812"/>
      <c r="E485" s="1812"/>
      <c r="F485" s="1810"/>
      <c r="G485" s="1813"/>
      <c r="H485" s="1812"/>
      <c r="I485" s="1810"/>
      <c r="J485" s="1810"/>
      <c r="K485" s="1810"/>
      <c r="L485" s="1812"/>
      <c r="M485" s="1814"/>
    </row>
    <row r="486" spans="1:13" s="1329" customFormat="1" ht="15">
      <c r="A486" s="1810">
        <f t="shared" si="1"/>
        <v>477</v>
      </c>
      <c r="B486" s="1811"/>
      <c r="C486" s="1811"/>
      <c r="D486" s="1812"/>
      <c r="E486" s="1812"/>
      <c r="F486" s="1810"/>
      <c r="G486" s="1813"/>
      <c r="H486" s="1812"/>
      <c r="I486" s="1810"/>
      <c r="J486" s="1810"/>
      <c r="K486" s="1810"/>
      <c r="L486" s="1812"/>
      <c r="M486" s="1814"/>
    </row>
    <row r="487" spans="1:13" s="1329" customFormat="1" ht="15">
      <c r="A487" s="1810">
        <f t="shared" si="1"/>
        <v>478</v>
      </c>
      <c r="B487" s="1811"/>
      <c r="C487" s="1811"/>
      <c r="D487" s="1812"/>
      <c r="E487" s="1812"/>
      <c r="F487" s="1810"/>
      <c r="G487" s="1813"/>
      <c r="H487" s="1812"/>
      <c r="I487" s="1810"/>
      <c r="J487" s="1810"/>
      <c r="K487" s="1810"/>
      <c r="L487" s="1812"/>
      <c r="M487" s="1814"/>
    </row>
    <row r="488" spans="1:13" s="1329" customFormat="1" ht="15">
      <c r="A488" s="1810">
        <f t="shared" si="1"/>
        <v>479</v>
      </c>
      <c r="B488" s="1811"/>
      <c r="C488" s="1811"/>
      <c r="D488" s="1812"/>
      <c r="E488" s="1812"/>
      <c r="F488" s="1810"/>
      <c r="G488" s="1813"/>
      <c r="H488" s="1812"/>
      <c r="I488" s="1810"/>
      <c r="J488" s="1810"/>
      <c r="K488" s="1810"/>
      <c r="L488" s="1812"/>
      <c r="M488" s="1814"/>
    </row>
    <row r="489" spans="1:13" s="1329" customFormat="1" ht="15">
      <c r="A489" s="1810">
        <f t="shared" si="1"/>
        <v>480</v>
      </c>
      <c r="B489" s="1811"/>
      <c r="C489" s="1811"/>
      <c r="D489" s="1812"/>
      <c r="E489" s="1812"/>
      <c r="F489" s="1810"/>
      <c r="G489" s="1813"/>
      <c r="H489" s="1812"/>
      <c r="I489" s="1810"/>
      <c r="J489" s="1810"/>
      <c r="K489" s="1810"/>
      <c r="L489" s="1812"/>
      <c r="M489" s="1814"/>
    </row>
    <row r="490" spans="1:13" s="1329" customFormat="1" ht="15">
      <c r="A490" s="1810">
        <f t="shared" si="1"/>
        <v>481</v>
      </c>
      <c r="B490" s="1811"/>
      <c r="C490" s="1811"/>
      <c r="D490" s="1812"/>
      <c r="E490" s="1812"/>
      <c r="F490" s="1810"/>
      <c r="G490" s="1813"/>
      <c r="H490" s="1812"/>
      <c r="I490" s="1810"/>
      <c r="J490" s="1810"/>
      <c r="K490" s="1810"/>
      <c r="L490" s="1812"/>
      <c r="M490" s="1814"/>
    </row>
    <row r="491" spans="1:13" s="1329" customFormat="1" ht="15">
      <c r="A491" s="1810">
        <f t="shared" si="1"/>
        <v>482</v>
      </c>
      <c r="B491" s="1811"/>
      <c r="C491" s="1811"/>
      <c r="D491" s="1812"/>
      <c r="E491" s="1812"/>
      <c r="F491" s="1810"/>
      <c r="G491" s="1813"/>
      <c r="H491" s="1812"/>
      <c r="I491" s="1810"/>
      <c r="J491" s="1810"/>
      <c r="K491" s="1810"/>
      <c r="L491" s="1812"/>
      <c r="M491" s="1814"/>
    </row>
    <row r="492" spans="1:13" s="1329" customFormat="1" ht="15">
      <c r="A492" s="1810">
        <f t="shared" ref="A492:A508" si="2">A491+1</f>
        <v>483</v>
      </c>
      <c r="B492" s="1811"/>
      <c r="C492" s="1811"/>
      <c r="D492" s="1812"/>
      <c r="E492" s="1812"/>
      <c r="F492" s="1810"/>
      <c r="G492" s="1813"/>
      <c r="H492" s="1812"/>
      <c r="I492" s="1810"/>
      <c r="J492" s="1810"/>
      <c r="K492" s="1810"/>
      <c r="L492" s="1812"/>
      <c r="M492" s="1814"/>
    </row>
    <row r="493" spans="1:13" s="1329" customFormat="1" ht="15">
      <c r="A493" s="1810">
        <f t="shared" si="2"/>
        <v>484</v>
      </c>
      <c r="B493" s="1811"/>
      <c r="C493" s="1811"/>
      <c r="D493" s="1812"/>
      <c r="E493" s="1812"/>
      <c r="F493" s="1810"/>
      <c r="G493" s="1813"/>
      <c r="H493" s="1812"/>
      <c r="I493" s="1810"/>
      <c r="J493" s="1810"/>
      <c r="K493" s="1810"/>
      <c r="L493" s="1812"/>
      <c r="M493" s="1814"/>
    </row>
    <row r="494" spans="1:13" s="1329" customFormat="1" ht="15">
      <c r="A494" s="1810">
        <f t="shared" si="2"/>
        <v>485</v>
      </c>
      <c r="B494" s="1811"/>
      <c r="C494" s="1811"/>
      <c r="D494" s="1812"/>
      <c r="E494" s="1812"/>
      <c r="F494" s="1810"/>
      <c r="G494" s="1813"/>
      <c r="H494" s="1812"/>
      <c r="I494" s="1810"/>
      <c r="J494" s="1810"/>
      <c r="K494" s="1810"/>
      <c r="L494" s="1812"/>
      <c r="M494" s="1814"/>
    </row>
    <row r="495" spans="1:13" s="1329" customFormat="1" ht="15">
      <c r="A495" s="1810">
        <f t="shared" si="2"/>
        <v>486</v>
      </c>
      <c r="B495" s="1811"/>
      <c r="C495" s="1811"/>
      <c r="D495" s="1812"/>
      <c r="E495" s="1812"/>
      <c r="F495" s="1810"/>
      <c r="G495" s="1813"/>
      <c r="H495" s="1812"/>
      <c r="I495" s="1810"/>
      <c r="J495" s="1810"/>
      <c r="K495" s="1810"/>
      <c r="L495" s="1812"/>
      <c r="M495" s="1814"/>
    </row>
    <row r="496" spans="1:13" s="1329" customFormat="1" ht="15">
      <c r="A496" s="1810">
        <f t="shared" si="2"/>
        <v>487</v>
      </c>
      <c r="B496" s="1811"/>
      <c r="C496" s="1811"/>
      <c r="D496" s="1812"/>
      <c r="E496" s="1812"/>
      <c r="F496" s="1810"/>
      <c r="G496" s="1813"/>
      <c r="H496" s="1812"/>
      <c r="I496" s="1810"/>
      <c r="J496" s="1810"/>
      <c r="K496" s="1810"/>
      <c r="L496" s="1812"/>
      <c r="M496" s="1814"/>
    </row>
    <row r="497" spans="1:13" s="1329" customFormat="1" ht="15">
      <c r="A497" s="1810">
        <f t="shared" si="2"/>
        <v>488</v>
      </c>
      <c r="B497" s="1811"/>
      <c r="C497" s="1811"/>
      <c r="D497" s="1812"/>
      <c r="E497" s="1812"/>
      <c r="F497" s="1810"/>
      <c r="G497" s="1813"/>
      <c r="H497" s="1812"/>
      <c r="I497" s="1810"/>
      <c r="J497" s="1810"/>
      <c r="K497" s="1810"/>
      <c r="L497" s="1812"/>
      <c r="M497" s="1814"/>
    </row>
    <row r="498" spans="1:13" s="1329" customFormat="1" ht="15">
      <c r="A498" s="1810">
        <f t="shared" si="2"/>
        <v>489</v>
      </c>
      <c r="B498" s="1811"/>
      <c r="C498" s="1811"/>
      <c r="D498" s="1812"/>
      <c r="E498" s="1812"/>
      <c r="F498" s="1810"/>
      <c r="G498" s="1813"/>
      <c r="H498" s="1812"/>
      <c r="I498" s="1810"/>
      <c r="J498" s="1810"/>
      <c r="K498" s="1810"/>
      <c r="L498" s="1812"/>
      <c r="M498" s="1814"/>
    </row>
    <row r="499" spans="1:13" s="1329" customFormat="1" ht="15">
      <c r="A499" s="1810">
        <f t="shared" si="2"/>
        <v>490</v>
      </c>
      <c r="B499" s="1811"/>
      <c r="C499" s="1811"/>
      <c r="D499" s="1812"/>
      <c r="E499" s="1812"/>
      <c r="F499" s="1810"/>
      <c r="G499" s="1813"/>
      <c r="H499" s="1812"/>
      <c r="I499" s="1810"/>
      <c r="J499" s="1810"/>
      <c r="K499" s="1810"/>
      <c r="L499" s="1812"/>
      <c r="M499" s="1814"/>
    </row>
    <row r="500" spans="1:13" s="1329" customFormat="1" ht="15">
      <c r="A500" s="1810">
        <f t="shared" si="2"/>
        <v>491</v>
      </c>
      <c r="B500" s="1811"/>
      <c r="C500" s="1811"/>
      <c r="D500" s="1812"/>
      <c r="E500" s="1812"/>
      <c r="F500" s="1810"/>
      <c r="G500" s="1813"/>
      <c r="H500" s="1812"/>
      <c r="I500" s="1810"/>
      <c r="J500" s="1810"/>
      <c r="K500" s="1810"/>
      <c r="L500" s="1812"/>
      <c r="M500" s="1814"/>
    </row>
    <row r="501" spans="1:13" s="1329" customFormat="1" ht="15">
      <c r="A501" s="1810">
        <f t="shared" si="2"/>
        <v>492</v>
      </c>
      <c r="B501" s="1811"/>
      <c r="C501" s="1811"/>
      <c r="D501" s="1812"/>
      <c r="E501" s="1812"/>
      <c r="F501" s="1810"/>
      <c r="G501" s="1813"/>
      <c r="H501" s="1812"/>
      <c r="I501" s="1810"/>
      <c r="J501" s="1810"/>
      <c r="K501" s="1810"/>
      <c r="L501" s="1812"/>
      <c r="M501" s="1814"/>
    </row>
    <row r="502" spans="1:13" s="1329" customFormat="1" ht="15">
      <c r="A502" s="1810">
        <f t="shared" si="2"/>
        <v>493</v>
      </c>
      <c r="B502" s="1811"/>
      <c r="C502" s="1811"/>
      <c r="D502" s="1812"/>
      <c r="E502" s="1812"/>
      <c r="F502" s="1810"/>
      <c r="G502" s="1813"/>
      <c r="H502" s="1812"/>
      <c r="I502" s="1810"/>
      <c r="J502" s="1810"/>
      <c r="K502" s="1810"/>
      <c r="L502" s="1812"/>
      <c r="M502" s="1814"/>
    </row>
    <row r="503" spans="1:13" s="1329" customFormat="1" ht="15">
      <c r="A503" s="1810">
        <f t="shared" si="2"/>
        <v>494</v>
      </c>
      <c r="B503" s="1811"/>
      <c r="C503" s="1811"/>
      <c r="D503" s="1812"/>
      <c r="E503" s="1812"/>
      <c r="F503" s="1810"/>
      <c r="G503" s="1813"/>
      <c r="H503" s="1812"/>
      <c r="I503" s="1810"/>
      <c r="J503" s="1810"/>
      <c r="K503" s="1810"/>
      <c r="L503" s="1812"/>
      <c r="M503" s="1814"/>
    </row>
    <row r="504" spans="1:13" s="1329" customFormat="1" ht="15">
      <c r="A504" s="1810">
        <f t="shared" si="2"/>
        <v>495</v>
      </c>
      <c r="B504" s="1811"/>
      <c r="C504" s="1811"/>
      <c r="D504" s="1812"/>
      <c r="E504" s="1812"/>
      <c r="F504" s="1810"/>
      <c r="G504" s="1813"/>
      <c r="H504" s="1812"/>
      <c r="I504" s="1810"/>
      <c r="J504" s="1810"/>
      <c r="K504" s="1810"/>
      <c r="L504" s="1812"/>
      <c r="M504" s="1814"/>
    </row>
    <row r="505" spans="1:13" s="1329" customFormat="1" ht="15">
      <c r="A505" s="1810">
        <f t="shared" si="2"/>
        <v>496</v>
      </c>
      <c r="B505" s="1811"/>
      <c r="C505" s="1811"/>
      <c r="D505" s="1812"/>
      <c r="E505" s="1812"/>
      <c r="F505" s="1810"/>
      <c r="G505" s="1813"/>
      <c r="H505" s="1812"/>
      <c r="I505" s="1810"/>
      <c r="J505" s="1810"/>
      <c r="K505" s="1810"/>
      <c r="L505" s="1812"/>
      <c r="M505" s="1814"/>
    </row>
    <row r="506" spans="1:13" s="1329" customFormat="1" ht="15">
      <c r="A506" s="1810">
        <f t="shared" si="2"/>
        <v>497</v>
      </c>
      <c r="B506" s="1811"/>
      <c r="C506" s="1811"/>
      <c r="D506" s="1812"/>
      <c r="E506" s="1812"/>
      <c r="F506" s="1810"/>
      <c r="G506" s="1813"/>
      <c r="H506" s="1812"/>
      <c r="I506" s="1810"/>
      <c r="J506" s="1810"/>
      <c r="K506" s="1810"/>
      <c r="L506" s="1812"/>
      <c r="M506" s="1814"/>
    </row>
    <row r="507" spans="1:13" s="1329" customFormat="1" ht="15">
      <c r="A507" s="1810">
        <f t="shared" si="2"/>
        <v>498</v>
      </c>
      <c r="B507" s="1811"/>
      <c r="C507" s="1811"/>
      <c r="D507" s="1812"/>
      <c r="E507" s="1812"/>
      <c r="F507" s="1810"/>
      <c r="G507" s="1813"/>
      <c r="H507" s="1812"/>
      <c r="I507" s="1810"/>
      <c r="J507" s="1810"/>
      <c r="K507" s="1810"/>
      <c r="L507" s="1812"/>
      <c r="M507" s="1814"/>
    </row>
    <row r="508" spans="1:13" s="1329" customFormat="1" ht="15">
      <c r="A508" s="1810">
        <f t="shared" si="2"/>
        <v>499</v>
      </c>
      <c r="B508" s="1811"/>
      <c r="C508" s="1811"/>
      <c r="D508" s="1812"/>
      <c r="E508" s="1812"/>
      <c r="F508" s="1810"/>
      <c r="G508" s="1813"/>
      <c r="H508" s="1812"/>
      <c r="I508" s="1810"/>
      <c r="J508" s="1810"/>
      <c r="K508" s="1810"/>
      <c r="L508" s="1812"/>
      <c r="M508" s="1814"/>
    </row>
    <row r="509" spans="1:13" s="1329" customFormat="1" ht="15">
      <c r="B509" s="1474"/>
      <c r="D509" s="2372"/>
      <c r="E509" s="2372"/>
      <c r="F509" s="1519"/>
      <c r="G509" s="1519"/>
      <c r="H509" s="1519"/>
      <c r="I509" s="1519"/>
      <c r="J509" s="1519"/>
      <c r="K509" s="1519"/>
      <c r="L509" s="2372"/>
    </row>
    <row r="510" spans="1:13" s="1329" customFormat="1" ht="15">
      <c r="B510" s="1474"/>
      <c r="D510" s="2372"/>
      <c r="E510" s="2372"/>
      <c r="F510" s="1519"/>
      <c r="G510" s="1519"/>
      <c r="H510" s="1519"/>
      <c r="I510" s="1519"/>
      <c r="J510" s="1519"/>
      <c r="K510" s="1519"/>
      <c r="L510" s="2372"/>
    </row>
    <row r="511" spans="1:13" s="1329" customFormat="1" ht="15">
      <c r="B511" s="1474"/>
      <c r="D511" s="2372"/>
      <c r="E511" s="2372"/>
      <c r="F511" s="1519"/>
      <c r="G511" s="1519"/>
      <c r="H511" s="1519"/>
      <c r="I511" s="1519"/>
      <c r="J511" s="1519"/>
      <c r="K511" s="1519"/>
      <c r="L511" s="2372"/>
    </row>
    <row r="512" spans="1:13" s="1329" customFormat="1" ht="15">
      <c r="B512" s="1474"/>
      <c r="D512" s="2372"/>
      <c r="E512" s="2372"/>
      <c r="F512" s="1519"/>
      <c r="G512" s="1519"/>
      <c r="H512" s="1519"/>
      <c r="I512" s="1519"/>
      <c r="J512" s="1519"/>
      <c r="K512" s="1519"/>
      <c r="L512" s="2372"/>
    </row>
    <row r="513" spans="2:12" s="1329" customFormat="1" ht="15">
      <c r="B513" s="1474"/>
      <c r="D513" s="2372"/>
      <c r="E513" s="2372"/>
      <c r="F513" s="1519"/>
      <c r="G513" s="1519"/>
      <c r="H513" s="1519"/>
      <c r="I513" s="1519"/>
      <c r="J513" s="1519"/>
      <c r="K513" s="1519"/>
      <c r="L513" s="2372"/>
    </row>
    <row r="514" spans="2:12" s="1329" customFormat="1" ht="15">
      <c r="B514" s="1474"/>
      <c r="D514" s="2372"/>
      <c r="E514" s="2372"/>
      <c r="F514" s="1519"/>
      <c r="G514" s="1519"/>
      <c r="H514" s="1519"/>
      <c r="I514" s="1519"/>
      <c r="J514" s="1519"/>
      <c r="K514" s="1519"/>
      <c r="L514" s="2372"/>
    </row>
    <row r="515" spans="2:12" s="1329" customFormat="1" ht="15">
      <c r="B515" s="1474"/>
      <c r="D515" s="2372"/>
      <c r="E515" s="2372"/>
      <c r="F515" s="1519"/>
      <c r="G515" s="1519"/>
      <c r="H515" s="1519"/>
      <c r="I515" s="1519"/>
      <c r="J515" s="1519"/>
      <c r="K515" s="1519"/>
      <c r="L515" s="2372"/>
    </row>
    <row r="516" spans="2:12" s="1329" customFormat="1" ht="15">
      <c r="B516" s="1474"/>
      <c r="D516" s="2372"/>
      <c r="E516" s="2372"/>
      <c r="F516" s="1519"/>
      <c r="G516" s="1519"/>
      <c r="H516" s="1519"/>
      <c r="I516" s="1519"/>
      <c r="J516" s="1519"/>
      <c r="K516" s="1519"/>
      <c r="L516" s="2372"/>
    </row>
    <row r="517" spans="2:12" s="1329" customFormat="1" ht="15">
      <c r="B517" s="1474"/>
      <c r="D517" s="2372"/>
      <c r="E517" s="2372"/>
      <c r="F517" s="1519"/>
      <c r="G517" s="1519"/>
      <c r="H517" s="1519"/>
      <c r="I517" s="1519"/>
      <c r="J517" s="1519"/>
      <c r="K517" s="1519"/>
      <c r="L517" s="2372"/>
    </row>
    <row r="518" spans="2:12" s="1329" customFormat="1" ht="15">
      <c r="B518" s="1474"/>
      <c r="D518" s="2372"/>
      <c r="E518" s="2372"/>
      <c r="F518" s="1519"/>
      <c r="G518" s="1519"/>
      <c r="H518" s="1519"/>
      <c r="I518" s="1519"/>
      <c r="J518" s="1519"/>
      <c r="K518" s="1519"/>
      <c r="L518" s="2372"/>
    </row>
    <row r="519" spans="2:12" s="1329" customFormat="1" ht="15">
      <c r="B519" s="1474"/>
      <c r="D519" s="2372"/>
      <c r="E519" s="2372"/>
      <c r="F519" s="1519"/>
      <c r="G519" s="1519"/>
      <c r="H519" s="1519"/>
      <c r="I519" s="1519"/>
      <c r="J519" s="1519"/>
      <c r="K519" s="1519"/>
      <c r="L519" s="2372"/>
    </row>
    <row r="520" spans="2:12" s="1329" customFormat="1" ht="15">
      <c r="B520" s="1474"/>
      <c r="D520" s="2372"/>
      <c r="E520" s="2372"/>
      <c r="F520" s="1519"/>
      <c r="G520" s="1519"/>
      <c r="H520" s="1519"/>
      <c r="I520" s="1519"/>
      <c r="J520" s="1519"/>
      <c r="K520" s="1519"/>
      <c r="L520" s="2372"/>
    </row>
    <row r="521" spans="2:12" s="1329" customFormat="1" ht="15">
      <c r="B521" s="1474"/>
      <c r="D521" s="2372"/>
      <c r="E521" s="2372"/>
      <c r="F521" s="1519"/>
      <c r="G521" s="1519"/>
      <c r="H521" s="1519"/>
      <c r="I521" s="1519"/>
      <c r="J521" s="1519"/>
      <c r="K521" s="1519"/>
      <c r="L521" s="2372"/>
    </row>
    <row r="522" spans="2:12" s="1329" customFormat="1" ht="15">
      <c r="B522" s="1474"/>
      <c r="D522" s="2372"/>
      <c r="E522" s="2372"/>
      <c r="F522" s="1519"/>
      <c r="G522" s="1519"/>
      <c r="H522" s="1519"/>
      <c r="I522" s="1519"/>
      <c r="J522" s="1519"/>
      <c r="K522" s="1519"/>
      <c r="L522" s="2372"/>
    </row>
    <row r="523" spans="2:12" s="1329" customFormat="1" ht="15">
      <c r="B523" s="1474"/>
      <c r="D523" s="2372"/>
      <c r="E523" s="2372"/>
      <c r="F523" s="1519"/>
      <c r="G523" s="1519"/>
      <c r="H523" s="1519"/>
      <c r="I523" s="1519"/>
      <c r="J523" s="1519"/>
      <c r="K523" s="1519"/>
      <c r="L523" s="2372"/>
    </row>
    <row r="524" spans="2:12" s="1329" customFormat="1" ht="15">
      <c r="B524" s="1474"/>
      <c r="D524" s="2372"/>
      <c r="E524" s="2372"/>
      <c r="F524" s="1519"/>
      <c r="G524" s="1519"/>
      <c r="H524" s="1519"/>
      <c r="I524" s="1519"/>
      <c r="J524" s="1519"/>
      <c r="K524" s="1519"/>
      <c r="L524" s="2372"/>
    </row>
    <row r="525" spans="2:12" s="1329" customFormat="1" ht="15">
      <c r="B525" s="1474"/>
      <c r="D525" s="2372"/>
      <c r="E525" s="2372"/>
      <c r="F525" s="1519"/>
      <c r="G525" s="1519"/>
      <c r="H525" s="1519"/>
      <c r="I525" s="1519"/>
      <c r="J525" s="1519"/>
      <c r="K525" s="1519"/>
      <c r="L525" s="2372"/>
    </row>
    <row r="526" spans="2:12" s="1329" customFormat="1" ht="15">
      <c r="B526" s="1474"/>
      <c r="D526" s="2372"/>
      <c r="E526" s="2372"/>
      <c r="F526" s="1519"/>
      <c r="G526" s="1519"/>
      <c r="H526" s="1519"/>
      <c r="I526" s="1519"/>
      <c r="J526" s="1519"/>
      <c r="K526" s="1519"/>
      <c r="L526" s="2372"/>
    </row>
    <row r="527" spans="2:12" s="1329" customFormat="1" ht="15">
      <c r="B527" s="1474"/>
      <c r="D527" s="2372"/>
      <c r="E527" s="2372"/>
      <c r="F527" s="1519"/>
      <c r="G527" s="1519"/>
      <c r="H527" s="1519"/>
      <c r="I527" s="1519"/>
      <c r="J527" s="1519"/>
      <c r="K527" s="1519"/>
      <c r="L527" s="2372"/>
    </row>
    <row r="528" spans="2:12" s="1329" customFormat="1" ht="15">
      <c r="B528" s="1474"/>
      <c r="D528" s="2372"/>
      <c r="E528" s="2372"/>
      <c r="F528" s="1519"/>
      <c r="G528" s="1519"/>
      <c r="H528" s="1519"/>
      <c r="I528" s="1519"/>
      <c r="J528" s="1519"/>
      <c r="K528" s="1519"/>
      <c r="L528" s="2372"/>
    </row>
    <row r="529" spans="2:12" s="1329" customFormat="1" ht="15">
      <c r="B529" s="1474"/>
      <c r="D529" s="2372"/>
      <c r="E529" s="2372"/>
      <c r="F529" s="1519"/>
      <c r="G529" s="1519"/>
      <c r="H529" s="1519"/>
      <c r="I529" s="1519"/>
      <c r="J529" s="1519"/>
      <c r="K529" s="1519"/>
      <c r="L529" s="2372"/>
    </row>
    <row r="530" spans="2:12" s="1329" customFormat="1" ht="15">
      <c r="B530" s="1474"/>
      <c r="D530" s="2372"/>
      <c r="E530" s="2372"/>
      <c r="F530" s="1519"/>
      <c r="G530" s="1519"/>
      <c r="H530" s="1519"/>
      <c r="I530" s="1519"/>
      <c r="J530" s="1519"/>
      <c r="K530" s="1519"/>
      <c r="L530" s="2372"/>
    </row>
    <row r="531" spans="2:12" s="1329" customFormat="1" ht="15">
      <c r="B531" s="1474"/>
      <c r="D531" s="2372"/>
      <c r="E531" s="2372"/>
      <c r="F531" s="1519"/>
      <c r="G531" s="1519"/>
      <c r="H531" s="1519"/>
      <c r="I531" s="1519"/>
      <c r="J531" s="1519"/>
      <c r="K531" s="1519"/>
      <c r="L531" s="2372"/>
    </row>
    <row r="532" spans="2:12" s="1329" customFormat="1" ht="15">
      <c r="B532" s="1474"/>
      <c r="D532" s="2372"/>
      <c r="E532" s="2372"/>
      <c r="F532" s="1519"/>
      <c r="G532" s="1519"/>
      <c r="H532" s="1519"/>
      <c r="I532" s="1519"/>
      <c r="J532" s="1519"/>
      <c r="K532" s="1519"/>
      <c r="L532" s="2372"/>
    </row>
    <row r="533" spans="2:12" s="1329" customFormat="1" ht="15">
      <c r="B533" s="1474"/>
      <c r="D533" s="2372"/>
      <c r="E533" s="2372"/>
      <c r="F533" s="1519"/>
      <c r="G533" s="1519"/>
      <c r="H533" s="1519"/>
      <c r="I533" s="1519"/>
      <c r="J533" s="1519"/>
      <c r="K533" s="1519"/>
      <c r="L533" s="2372"/>
    </row>
    <row r="534" spans="2:12" s="1329" customFormat="1" ht="15">
      <c r="B534" s="1474"/>
      <c r="D534" s="2372"/>
      <c r="E534" s="2372"/>
      <c r="F534" s="1519"/>
      <c r="G534" s="1519"/>
      <c r="H534" s="1519"/>
      <c r="I534" s="1519"/>
      <c r="J534" s="1519"/>
      <c r="K534" s="1519"/>
      <c r="L534" s="2372"/>
    </row>
    <row r="535" spans="2:12" s="1329" customFormat="1" ht="15">
      <c r="B535" s="1474"/>
      <c r="D535" s="2372"/>
      <c r="E535" s="2372"/>
      <c r="F535" s="1519"/>
      <c r="G535" s="1519"/>
      <c r="H535" s="1519"/>
      <c r="I535" s="1519"/>
      <c r="J535" s="1519"/>
      <c r="K535" s="1519"/>
      <c r="L535" s="2372"/>
    </row>
    <row r="536" spans="2:12" s="1329" customFormat="1" ht="15">
      <c r="B536" s="1474"/>
      <c r="D536" s="2372"/>
      <c r="E536" s="2372"/>
      <c r="F536" s="1519"/>
      <c r="G536" s="1519"/>
      <c r="H536" s="1519"/>
      <c r="I536" s="1519"/>
      <c r="J536" s="1519"/>
      <c r="K536" s="1519"/>
      <c r="L536" s="2372"/>
    </row>
    <row r="537" spans="2:12" s="1329" customFormat="1" ht="15">
      <c r="B537" s="1474"/>
      <c r="D537" s="2372"/>
      <c r="E537" s="2372"/>
      <c r="F537" s="1519"/>
      <c r="G537" s="1519"/>
      <c r="H537" s="1519"/>
      <c r="I537" s="1519"/>
      <c r="J537" s="1519"/>
      <c r="K537" s="1519"/>
      <c r="L537" s="2372"/>
    </row>
    <row r="538" spans="2:12" s="1329" customFormat="1" ht="15">
      <c r="B538" s="1474"/>
      <c r="D538" s="2372"/>
      <c r="E538" s="2372"/>
      <c r="F538" s="1519"/>
      <c r="G538" s="1519"/>
      <c r="H538" s="1519"/>
      <c r="I538" s="1519"/>
      <c r="J538" s="1519"/>
      <c r="K538" s="1519"/>
      <c r="L538" s="2372"/>
    </row>
  </sheetData>
  <sheetProtection autoFilter="0"/>
  <autoFilter ref="A9:M508"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6" activePane="bottomLeft" state="frozen"/>
      <selection pane="bottomLeft" activeCell="D5" sqref="D5"/>
    </sheetView>
  </sheetViews>
  <sheetFormatPr defaultRowHeight="14.25"/>
  <cols>
    <col min="2" max="2" width="13.625" style="1206" customWidth="1"/>
    <col min="3" max="3" width="24.25" customWidth="1"/>
    <col min="4" max="4" width="43.375" style="1208" customWidth="1"/>
    <col min="5" max="5" width="9.875" style="1208" customWidth="1"/>
    <col min="6" max="6" width="13.375" style="1207" customWidth="1"/>
    <col min="7" max="7" width="12.375" style="1207" customWidth="1"/>
    <col min="8" max="8" width="41.75" style="1207" customWidth="1"/>
    <col min="9" max="9" width="9.125" style="1207" customWidth="1"/>
    <col min="10" max="10" width="15.75" style="1207" customWidth="1"/>
    <col min="11" max="11" width="15.875" style="1207" customWidth="1"/>
    <col min="12" max="12" width="95.625" style="1208" bestFit="1" customWidth="1"/>
    <col min="13" max="13" width="13.875" customWidth="1"/>
    <col min="16" max="16" width="10.125" bestFit="1" customWidth="1"/>
  </cols>
  <sheetData>
    <row r="1" spans="1:107" s="45" customFormat="1" ht="44.25">
      <c r="A1" s="2301" t="s">
        <v>5376</v>
      </c>
      <c r="B1" s="1210"/>
      <c r="C1" s="372"/>
      <c r="D1" s="1212"/>
      <c r="E1" s="1212"/>
      <c r="F1" s="1209"/>
      <c r="G1" s="1209"/>
      <c r="H1" s="1209"/>
      <c r="I1" s="1209"/>
      <c r="J1" s="1209"/>
      <c r="K1" s="1209"/>
      <c r="L1" s="1211"/>
      <c r="M1" s="375"/>
      <c r="N1" s="1493"/>
      <c r="O1" s="1493"/>
      <c r="P1" s="1494"/>
      <c r="Q1" s="1493"/>
      <c r="R1" s="1494"/>
      <c r="S1" s="1493"/>
      <c r="T1" s="1493"/>
      <c r="U1" s="1493"/>
      <c r="V1" s="1495"/>
      <c r="W1" s="1493"/>
      <c r="X1" s="1495"/>
      <c r="Y1" s="1494"/>
      <c r="Z1" s="1494"/>
      <c r="AA1" s="1494"/>
      <c r="AB1" s="1494"/>
      <c r="AC1" s="1494"/>
      <c r="AD1" s="1494"/>
      <c r="AE1" s="1493"/>
      <c r="AF1" s="1493"/>
      <c r="AG1" s="1493"/>
      <c r="AH1" s="1493"/>
      <c r="AI1" s="1493"/>
      <c r="AJ1" s="1493"/>
      <c r="AK1" s="1493"/>
      <c r="AL1" s="1493"/>
      <c r="AM1" s="1493"/>
      <c r="AN1" s="1493"/>
      <c r="AO1" s="1493"/>
      <c r="AP1" s="1493"/>
      <c r="AQ1" s="1496"/>
      <c r="AR1" s="1493"/>
      <c r="AS1" s="1493"/>
      <c r="AT1" s="1493"/>
      <c r="AU1" s="1493"/>
      <c r="AV1" s="1493"/>
      <c r="AW1" s="1493"/>
      <c r="AX1" s="1493"/>
      <c r="AY1" s="1493"/>
      <c r="AZ1" s="1493"/>
      <c r="BA1" s="1493"/>
      <c r="BB1" s="1493"/>
      <c r="BC1" s="1493"/>
      <c r="BD1" s="1493"/>
      <c r="BE1" s="1493"/>
      <c r="BF1" s="1493"/>
      <c r="BG1" s="1493"/>
      <c r="BH1" s="1493"/>
      <c r="BI1" s="1497"/>
      <c r="BJ1" s="1494"/>
      <c r="BK1" s="1494"/>
      <c r="BL1" s="1494"/>
      <c r="BM1" s="1494"/>
      <c r="BN1" s="1494"/>
      <c r="BO1" s="1495"/>
      <c r="BP1" s="1495"/>
      <c r="BQ1" s="1495"/>
      <c r="BR1" s="1495"/>
      <c r="BS1" s="1495"/>
      <c r="BT1" s="1495"/>
      <c r="BU1" s="1495"/>
      <c r="BV1" s="1495"/>
      <c r="BW1" s="1495"/>
      <c r="BX1" s="1495"/>
      <c r="BY1" s="1497"/>
      <c r="BZ1" s="1495"/>
      <c r="CA1" s="1495"/>
      <c r="CB1" s="1495"/>
      <c r="CC1" s="1495"/>
      <c r="CD1" s="1495"/>
      <c r="CE1" s="1495"/>
      <c r="CF1" s="1495"/>
      <c r="CG1" s="1495"/>
      <c r="CH1" s="1495"/>
      <c r="CI1" s="1495"/>
      <c r="CJ1" s="1495"/>
      <c r="CK1" s="1495"/>
      <c r="CL1" s="1495"/>
      <c r="CM1" s="1495"/>
      <c r="CN1" s="1495"/>
      <c r="CO1" s="1495"/>
      <c r="CP1" s="1495"/>
      <c r="CQ1" s="1495"/>
      <c r="CR1" s="1495"/>
      <c r="CS1" s="1498"/>
      <c r="CT1" s="1495"/>
      <c r="CU1" s="1495"/>
      <c r="CV1" s="1495"/>
      <c r="CW1" s="1495"/>
      <c r="CX1" s="1495"/>
      <c r="CY1" s="1495"/>
      <c r="CZ1" s="1495"/>
      <c r="DA1" s="1494"/>
      <c r="DB1" s="1495"/>
      <c r="DC1" s="1497"/>
    </row>
    <row r="2" spans="1:107" s="1329" customFormat="1" ht="15">
      <c r="A2" s="1329" t="s">
        <v>5377</v>
      </c>
      <c r="B2" s="1474"/>
      <c r="D2" s="2372" t="s">
        <v>5378</v>
      </c>
      <c r="E2" s="2372"/>
      <c r="F2" s="1519"/>
      <c r="G2" s="1519"/>
      <c r="H2" s="1519"/>
      <c r="I2" s="1519"/>
      <c r="J2" s="1519"/>
      <c r="K2" s="1519"/>
      <c r="L2" s="2372"/>
    </row>
    <row r="3" spans="1:107" s="1329" customFormat="1" ht="15">
      <c r="A3" s="1520"/>
      <c r="B3" s="1474" t="s">
        <v>5593</v>
      </c>
      <c r="D3" s="2371" t="s">
        <v>5380</v>
      </c>
      <c r="E3" s="2457" t="s">
        <v>5381</v>
      </c>
      <c r="F3" s="2458"/>
      <c r="G3" s="1519"/>
      <c r="H3" s="1519"/>
      <c r="I3" s="1519"/>
      <c r="J3" s="1519"/>
      <c r="K3" s="1519"/>
      <c r="L3" s="2372"/>
    </row>
    <row r="4" spans="1:107" s="1329" customFormat="1" ht="15">
      <c r="A4" s="1521"/>
      <c r="B4" s="1474" t="s">
        <v>5594</v>
      </c>
      <c r="D4" s="2371"/>
      <c r="E4" s="2371"/>
      <c r="F4" s="1519"/>
      <c r="G4" s="1519"/>
      <c r="H4" s="1519"/>
      <c r="I4" s="1519"/>
      <c r="J4" s="1519"/>
      <c r="K4" s="1519"/>
      <c r="L4" s="2372"/>
    </row>
    <row r="5" spans="1:107" s="1329" customFormat="1" ht="15">
      <c r="A5" s="1522"/>
      <c r="B5" s="1474" t="s">
        <v>5595</v>
      </c>
      <c r="D5" s="2371"/>
      <c r="E5" s="2371"/>
      <c r="F5" s="1519"/>
      <c r="G5" s="1519"/>
      <c r="H5" s="1519"/>
      <c r="I5" s="1519"/>
      <c r="J5" s="1519"/>
      <c r="K5" s="1519"/>
      <c r="L5" s="2372"/>
    </row>
    <row r="6" spans="1:107" s="1329" customFormat="1" ht="15">
      <c r="A6" s="1822"/>
      <c r="B6" s="1474" t="s">
        <v>5384</v>
      </c>
      <c r="D6" s="2372"/>
      <c r="E6" s="2372"/>
      <c r="F6" s="1519"/>
      <c r="G6" s="1519"/>
      <c r="H6" s="1519"/>
      <c r="I6" s="1519"/>
      <c r="J6" s="1519"/>
      <c r="K6" s="1519"/>
      <c r="L6" s="2372"/>
    </row>
    <row r="7" spans="1:107" s="1329" customFormat="1" ht="15">
      <c r="A7" s="2189"/>
      <c r="B7" s="1474" t="s">
        <v>5385</v>
      </c>
      <c r="D7" s="2372"/>
      <c r="E7" s="2372"/>
      <c r="F7" s="1519"/>
      <c r="G7" s="1519"/>
      <c r="H7" s="1519"/>
      <c r="I7" s="1519"/>
      <c r="J7" s="1519"/>
      <c r="K7" s="1519"/>
      <c r="L7" s="2372"/>
    </row>
    <row r="8" spans="1:107" s="1329" customFormat="1" ht="15">
      <c r="A8" s="2139"/>
      <c r="B8" s="1474"/>
      <c r="D8" s="2372"/>
      <c r="E8" s="2372"/>
      <c r="F8" s="1519"/>
      <c r="G8" s="1519"/>
      <c r="H8" s="1519"/>
      <c r="I8" s="1519"/>
      <c r="J8" s="1519"/>
      <c r="K8" s="1519"/>
      <c r="L8" s="2372"/>
    </row>
    <row r="9" spans="1:107" s="1329" customFormat="1" ht="30">
      <c r="A9" s="1523" t="s">
        <v>436</v>
      </c>
      <c r="B9" s="1524" t="s">
        <v>5386</v>
      </c>
      <c r="C9" s="1523" t="s">
        <v>2077</v>
      </c>
      <c r="D9" s="1525" t="s">
        <v>5387</v>
      </c>
      <c r="E9" s="1525" t="s">
        <v>5388</v>
      </c>
      <c r="F9" s="1526" t="s">
        <v>5389</v>
      </c>
      <c r="G9" s="1527" t="s">
        <v>5390</v>
      </c>
      <c r="H9" s="1527" t="s">
        <v>5391</v>
      </c>
      <c r="I9" s="1526" t="s">
        <v>5392</v>
      </c>
      <c r="J9" s="1526" t="s">
        <v>5393</v>
      </c>
      <c r="K9" s="1526" t="s">
        <v>5394</v>
      </c>
      <c r="L9" s="1525" t="s">
        <v>5395</v>
      </c>
      <c r="M9" s="1523" t="s">
        <v>5396</v>
      </c>
    </row>
    <row r="10" spans="1:107" s="1329" customFormat="1" ht="15">
      <c r="A10" s="1589">
        <v>1</v>
      </c>
      <c r="B10" s="1590" t="s">
        <v>1102</v>
      </c>
      <c r="C10" s="1591" t="s">
        <v>1103</v>
      </c>
      <c r="D10" s="1591" t="s">
        <v>5397</v>
      </c>
      <c r="E10" s="1591" t="s">
        <v>5398</v>
      </c>
      <c r="F10" s="1589" t="s">
        <v>1080</v>
      </c>
      <c r="G10" s="1589">
        <v>95</v>
      </c>
      <c r="H10" s="1589" t="s">
        <v>2157</v>
      </c>
      <c r="I10" s="1589" t="s">
        <v>1847</v>
      </c>
      <c r="J10" s="1592">
        <v>2</v>
      </c>
      <c r="K10" s="1592">
        <v>1.5</v>
      </c>
      <c r="L10" s="1591" t="s">
        <v>5399</v>
      </c>
      <c r="M10" s="1593">
        <v>44287</v>
      </c>
    </row>
    <row r="11" spans="1:107" s="1329" customFormat="1" ht="15">
      <c r="A11" s="1589">
        <v>2</v>
      </c>
      <c r="B11" s="1590" t="s">
        <v>1102</v>
      </c>
      <c r="C11" s="1591" t="s">
        <v>1103</v>
      </c>
      <c r="D11" s="1591" t="s">
        <v>5397</v>
      </c>
      <c r="E11" s="1591" t="s">
        <v>5398</v>
      </c>
      <c r="F11" s="1589" t="s">
        <v>1080</v>
      </c>
      <c r="G11" s="1589">
        <v>95</v>
      </c>
      <c r="H11" s="1589" t="s">
        <v>2157</v>
      </c>
      <c r="I11" s="1589" t="s">
        <v>1853</v>
      </c>
      <c r="J11" s="1592">
        <v>2</v>
      </c>
      <c r="K11" s="1592">
        <v>1.5</v>
      </c>
      <c r="L11" s="1591" t="s">
        <v>5399</v>
      </c>
      <c r="M11" s="1593">
        <v>44287</v>
      </c>
    </row>
    <row r="12" spans="1:107" s="1329" customFormat="1" ht="15">
      <c r="A12" s="1589">
        <v>3</v>
      </c>
      <c r="B12" s="1590" t="s">
        <v>1102</v>
      </c>
      <c r="C12" s="1591" t="s">
        <v>1103</v>
      </c>
      <c r="D12" s="1591" t="s">
        <v>5397</v>
      </c>
      <c r="E12" s="1591" t="s">
        <v>5398</v>
      </c>
      <c r="F12" s="1589" t="s">
        <v>1080</v>
      </c>
      <c r="G12" s="1589">
        <v>95</v>
      </c>
      <c r="H12" s="1589" t="s">
        <v>2157</v>
      </c>
      <c r="I12" s="1589" t="s">
        <v>129</v>
      </c>
      <c r="J12" s="1592">
        <v>2</v>
      </c>
      <c r="K12" s="1592">
        <v>1.5</v>
      </c>
      <c r="L12" s="1591" t="s">
        <v>5399</v>
      </c>
      <c r="M12" s="1593">
        <v>44287</v>
      </c>
    </row>
    <row r="13" spans="1:107" s="1329" customFormat="1" ht="15">
      <c r="A13" s="1589">
        <v>4</v>
      </c>
      <c r="B13" s="1590" t="s">
        <v>1102</v>
      </c>
      <c r="C13" s="1591" t="s">
        <v>1105</v>
      </c>
      <c r="D13" s="1591" t="s">
        <v>705</v>
      </c>
      <c r="E13" s="1591" t="s">
        <v>5398</v>
      </c>
      <c r="F13" s="1589" t="s">
        <v>1080</v>
      </c>
      <c r="G13" s="1589">
        <v>85</v>
      </c>
      <c r="H13" s="1589" t="s">
        <v>2155</v>
      </c>
      <c r="I13" s="1589" t="s">
        <v>1830</v>
      </c>
      <c r="J13" s="1592">
        <v>-109.48162685541099</v>
      </c>
      <c r="K13" s="1592" t="s">
        <v>5400</v>
      </c>
      <c r="L13" s="1591" t="s">
        <v>5401</v>
      </c>
      <c r="M13" s="1593">
        <v>44287</v>
      </c>
    </row>
    <row r="14" spans="1:107" s="1329" customFormat="1" ht="15">
      <c r="A14" s="1589">
        <v>5</v>
      </c>
      <c r="B14" s="1590" t="s">
        <v>1102</v>
      </c>
      <c r="C14" s="1591" t="s">
        <v>1105</v>
      </c>
      <c r="D14" s="1591" t="s">
        <v>705</v>
      </c>
      <c r="E14" s="1591" t="s">
        <v>5398</v>
      </c>
      <c r="F14" s="1589" t="s">
        <v>1080</v>
      </c>
      <c r="G14" s="1589">
        <v>85</v>
      </c>
      <c r="H14" s="1589" t="s">
        <v>2155</v>
      </c>
      <c r="I14" s="1589" t="s">
        <v>1840</v>
      </c>
      <c r="J14" s="1592">
        <v>-109.48162685541099</v>
      </c>
      <c r="K14" s="1592" t="s">
        <v>5400</v>
      </c>
      <c r="L14" s="1591" t="s">
        <v>5401</v>
      </c>
      <c r="M14" s="1593">
        <v>44287</v>
      </c>
    </row>
    <row r="15" spans="1:107" s="1329" customFormat="1" ht="15">
      <c r="A15" s="1589">
        <v>6</v>
      </c>
      <c r="B15" s="1590" t="s">
        <v>1102</v>
      </c>
      <c r="C15" s="1591" t="s">
        <v>1105</v>
      </c>
      <c r="D15" s="1591" t="s">
        <v>705</v>
      </c>
      <c r="E15" s="1591" t="s">
        <v>5398</v>
      </c>
      <c r="F15" s="1589" t="s">
        <v>1080</v>
      </c>
      <c r="G15" s="1589">
        <v>85</v>
      </c>
      <c r="H15" s="1589" t="s">
        <v>2155</v>
      </c>
      <c r="I15" s="1589" t="s">
        <v>1847</v>
      </c>
      <c r="J15" s="1592">
        <v>-109.48162685541099</v>
      </c>
      <c r="K15" s="1592" t="s">
        <v>5400</v>
      </c>
      <c r="L15" s="1591" t="s">
        <v>5401</v>
      </c>
      <c r="M15" s="1593">
        <v>44287</v>
      </c>
    </row>
    <row r="16" spans="1:107" s="1329" customFormat="1" ht="15">
      <c r="A16" s="1589">
        <v>7</v>
      </c>
      <c r="B16" s="1590" t="s">
        <v>1102</v>
      </c>
      <c r="C16" s="1591" t="s">
        <v>1105</v>
      </c>
      <c r="D16" s="1591" t="s">
        <v>705</v>
      </c>
      <c r="E16" s="1591" t="s">
        <v>5398</v>
      </c>
      <c r="F16" s="1589" t="s">
        <v>1080</v>
      </c>
      <c r="G16" s="1589">
        <v>85</v>
      </c>
      <c r="H16" s="1589" t="s">
        <v>2155</v>
      </c>
      <c r="I16" s="1589" t="s">
        <v>1853</v>
      </c>
      <c r="J16" s="1592">
        <v>-109.48162685541099</v>
      </c>
      <c r="K16" s="1592" t="s">
        <v>5400</v>
      </c>
      <c r="L16" s="1591" t="s">
        <v>5401</v>
      </c>
      <c r="M16" s="1593">
        <v>44287</v>
      </c>
    </row>
    <row r="17" spans="1:13" s="1329" customFormat="1" ht="15">
      <c r="A17" s="1589">
        <v>8</v>
      </c>
      <c r="B17" s="1590" t="s">
        <v>1102</v>
      </c>
      <c r="C17" s="1591" t="s">
        <v>1105</v>
      </c>
      <c r="D17" s="1591" t="s">
        <v>705</v>
      </c>
      <c r="E17" s="1591" t="s">
        <v>5398</v>
      </c>
      <c r="F17" s="1589" t="s">
        <v>1080</v>
      </c>
      <c r="G17" s="1589">
        <v>85</v>
      </c>
      <c r="H17" s="1589" t="s">
        <v>2155</v>
      </c>
      <c r="I17" s="1589" t="s">
        <v>129</v>
      </c>
      <c r="J17" s="1592">
        <v>-109.48162685541099</v>
      </c>
      <c r="K17" s="1592" t="s">
        <v>5400</v>
      </c>
      <c r="L17" s="1591" t="s">
        <v>5401</v>
      </c>
      <c r="M17" s="1593">
        <v>44287</v>
      </c>
    </row>
    <row r="18" spans="1:13" s="1329" customFormat="1" ht="15">
      <c r="A18" s="1589">
        <v>9</v>
      </c>
      <c r="B18" s="1590" t="s">
        <v>1102</v>
      </c>
      <c r="C18" s="1591" t="s">
        <v>1105</v>
      </c>
      <c r="D18" s="1591" t="s">
        <v>705</v>
      </c>
      <c r="E18" s="1591" t="s">
        <v>5398</v>
      </c>
      <c r="F18" s="1589" t="s">
        <v>1080</v>
      </c>
      <c r="G18" s="1589">
        <v>110</v>
      </c>
      <c r="H18" s="1589" t="s">
        <v>2160</v>
      </c>
      <c r="I18" s="1589" t="s">
        <v>1830</v>
      </c>
      <c r="J18" s="1592" t="s">
        <v>4430</v>
      </c>
      <c r="K18" s="1592" t="s">
        <v>5400</v>
      </c>
      <c r="L18" s="1591" t="s">
        <v>5401</v>
      </c>
      <c r="M18" s="1593">
        <v>44287</v>
      </c>
    </row>
    <row r="19" spans="1:13" s="1329" customFormat="1" ht="15">
      <c r="A19" s="1589">
        <v>10</v>
      </c>
      <c r="B19" s="1590" t="s">
        <v>1102</v>
      </c>
      <c r="C19" s="1591" t="s">
        <v>1105</v>
      </c>
      <c r="D19" s="1591" t="s">
        <v>705</v>
      </c>
      <c r="E19" s="1591" t="s">
        <v>5398</v>
      </c>
      <c r="F19" s="1589" t="s">
        <v>1080</v>
      </c>
      <c r="G19" s="1589">
        <v>110</v>
      </c>
      <c r="H19" s="1589" t="s">
        <v>2160</v>
      </c>
      <c r="I19" s="1589" t="s">
        <v>1840</v>
      </c>
      <c r="J19" s="1592" t="s">
        <v>4430</v>
      </c>
      <c r="K19" s="1592" t="s">
        <v>5400</v>
      </c>
      <c r="L19" s="1591" t="s">
        <v>5401</v>
      </c>
      <c r="M19" s="1593">
        <v>44287</v>
      </c>
    </row>
    <row r="20" spans="1:13" s="1329" customFormat="1" ht="15">
      <c r="A20" s="1589">
        <v>11</v>
      </c>
      <c r="B20" s="1590" t="s">
        <v>1102</v>
      </c>
      <c r="C20" s="1591" t="s">
        <v>1105</v>
      </c>
      <c r="D20" s="1591" t="s">
        <v>705</v>
      </c>
      <c r="E20" s="1591" t="s">
        <v>5398</v>
      </c>
      <c r="F20" s="1589" t="s">
        <v>1080</v>
      </c>
      <c r="G20" s="1589">
        <v>110</v>
      </c>
      <c r="H20" s="1589" t="s">
        <v>2160</v>
      </c>
      <c r="I20" s="1589" t="s">
        <v>1847</v>
      </c>
      <c r="J20" s="1592" t="s">
        <v>4430</v>
      </c>
      <c r="K20" s="1592" t="s">
        <v>5400</v>
      </c>
      <c r="L20" s="1591" t="s">
        <v>5401</v>
      </c>
      <c r="M20" s="1593">
        <v>44287</v>
      </c>
    </row>
    <row r="21" spans="1:13" s="1329" customFormat="1" ht="15">
      <c r="A21" s="1589">
        <v>12</v>
      </c>
      <c r="B21" s="1590" t="s">
        <v>1102</v>
      </c>
      <c r="C21" s="1591" t="s">
        <v>1105</v>
      </c>
      <c r="D21" s="1591" t="s">
        <v>705</v>
      </c>
      <c r="E21" s="1591" t="s">
        <v>5398</v>
      </c>
      <c r="F21" s="1589" t="s">
        <v>1080</v>
      </c>
      <c r="G21" s="1589">
        <v>110</v>
      </c>
      <c r="H21" s="1589" t="s">
        <v>2160</v>
      </c>
      <c r="I21" s="1589" t="s">
        <v>1853</v>
      </c>
      <c r="J21" s="1592" t="s">
        <v>4430</v>
      </c>
      <c r="K21" s="1592" t="s">
        <v>5400</v>
      </c>
      <c r="L21" s="1591" t="s">
        <v>5401</v>
      </c>
      <c r="M21" s="1593">
        <v>44287</v>
      </c>
    </row>
    <row r="22" spans="1:13" s="1329" customFormat="1" ht="15">
      <c r="A22" s="1589">
        <v>13</v>
      </c>
      <c r="B22" s="1590" t="s">
        <v>1102</v>
      </c>
      <c r="C22" s="1591" t="s">
        <v>1105</v>
      </c>
      <c r="D22" s="1591" t="s">
        <v>705</v>
      </c>
      <c r="E22" s="1591" t="s">
        <v>5398</v>
      </c>
      <c r="F22" s="1589" t="s">
        <v>1080</v>
      </c>
      <c r="G22" s="1589">
        <v>110</v>
      </c>
      <c r="H22" s="1589" t="s">
        <v>2160</v>
      </c>
      <c r="I22" s="1589" t="s">
        <v>129</v>
      </c>
      <c r="J22" s="1592" t="s">
        <v>4430</v>
      </c>
      <c r="K22" s="1592" t="s">
        <v>5400</v>
      </c>
      <c r="L22" s="1591" t="s">
        <v>5401</v>
      </c>
      <c r="M22" s="1593">
        <v>44287</v>
      </c>
    </row>
    <row r="23" spans="1:13" s="1329" customFormat="1" ht="45">
      <c r="A23" s="1589">
        <v>14</v>
      </c>
      <c r="B23" s="1590" t="s">
        <v>1102</v>
      </c>
      <c r="C23" s="1591" t="s">
        <v>1105</v>
      </c>
      <c r="D23" s="1591" t="s">
        <v>705</v>
      </c>
      <c r="E23" s="1591" t="s">
        <v>5398</v>
      </c>
      <c r="F23" s="1589" t="s">
        <v>1080</v>
      </c>
      <c r="G23" s="1589">
        <v>115</v>
      </c>
      <c r="H23" s="1594" t="s">
        <v>2206</v>
      </c>
      <c r="I23" s="1589" t="s">
        <v>1895</v>
      </c>
      <c r="J23" s="1592">
        <v>-0.28038099999999999</v>
      </c>
      <c r="K23" s="1592">
        <v>-0.7</v>
      </c>
      <c r="L23" s="1591" t="s">
        <v>5402</v>
      </c>
      <c r="M23" s="1593">
        <v>44287</v>
      </c>
    </row>
    <row r="24" spans="1:13" s="1329" customFormat="1" ht="15">
      <c r="A24" s="1589">
        <v>15</v>
      </c>
      <c r="B24" s="1590" t="s">
        <v>1102</v>
      </c>
      <c r="C24" s="1591" t="s">
        <v>1105</v>
      </c>
      <c r="D24" s="1591" t="s">
        <v>705</v>
      </c>
      <c r="E24" s="1591" t="s">
        <v>5398</v>
      </c>
      <c r="F24" s="1589" t="s">
        <v>1080</v>
      </c>
      <c r="G24" s="1589">
        <v>118</v>
      </c>
      <c r="H24" s="1589" t="s">
        <v>2208</v>
      </c>
      <c r="I24" s="1589" t="s">
        <v>1895</v>
      </c>
      <c r="J24" s="1592">
        <v>-0.78239599999999998</v>
      </c>
      <c r="K24" s="1592" t="s">
        <v>5400</v>
      </c>
      <c r="L24" s="1591" t="s">
        <v>5403</v>
      </c>
      <c r="M24" s="1593">
        <v>44287</v>
      </c>
    </row>
    <row r="25" spans="1:13" s="1329" customFormat="1" ht="15">
      <c r="A25" s="1589">
        <v>16</v>
      </c>
      <c r="B25" s="1590" t="s">
        <v>1102</v>
      </c>
      <c r="C25" s="1591" t="s">
        <v>1105</v>
      </c>
      <c r="D25" s="1591" t="s">
        <v>705</v>
      </c>
      <c r="E25" s="1591" t="s">
        <v>5398</v>
      </c>
      <c r="F25" s="1589" t="s">
        <v>1080</v>
      </c>
      <c r="G25" s="1589">
        <v>122</v>
      </c>
      <c r="H25" s="1589" t="s">
        <v>2212</v>
      </c>
      <c r="I25" s="1589" t="s">
        <v>1895</v>
      </c>
      <c r="J25" s="1592">
        <v>0.78239599999999998</v>
      </c>
      <c r="K25" s="1592" t="s">
        <v>5400</v>
      </c>
      <c r="L25" s="1591" t="s">
        <v>5403</v>
      </c>
      <c r="M25" s="1593">
        <v>44287</v>
      </c>
    </row>
    <row r="26" spans="1:13" s="1329" customFormat="1" ht="15">
      <c r="A26" s="1589">
        <v>17</v>
      </c>
      <c r="B26" s="1590" t="s">
        <v>1102</v>
      </c>
      <c r="C26" s="1591" t="s">
        <v>1096</v>
      </c>
      <c r="D26" s="1591" t="s">
        <v>788</v>
      </c>
      <c r="E26" s="1591" t="s">
        <v>5398</v>
      </c>
      <c r="F26" s="1589" t="s">
        <v>1080</v>
      </c>
      <c r="G26" s="1589">
        <v>90</v>
      </c>
      <c r="H26" s="1589" t="s">
        <v>2156</v>
      </c>
      <c r="I26" s="1589" t="s">
        <v>1830</v>
      </c>
      <c r="J26" s="1592">
        <v>36.756999999999998</v>
      </c>
      <c r="K26" s="1592">
        <v>41.6</v>
      </c>
      <c r="L26" s="1591" t="s">
        <v>5404</v>
      </c>
      <c r="M26" s="1593">
        <v>44287</v>
      </c>
    </row>
    <row r="27" spans="1:13" s="1329" customFormat="1" ht="15">
      <c r="A27" s="1589">
        <v>18</v>
      </c>
      <c r="B27" s="1590" t="s">
        <v>1102</v>
      </c>
      <c r="C27" s="1591" t="s">
        <v>1096</v>
      </c>
      <c r="D27" s="1591" t="s">
        <v>788</v>
      </c>
      <c r="E27" s="1591" t="s">
        <v>5398</v>
      </c>
      <c r="F27" s="1589" t="s">
        <v>1080</v>
      </c>
      <c r="G27" s="1589">
        <v>90</v>
      </c>
      <c r="H27" s="1589" t="s">
        <v>2156</v>
      </c>
      <c r="I27" s="1589" t="s">
        <v>1840</v>
      </c>
      <c r="J27" s="1592">
        <v>36.756999999999998</v>
      </c>
      <c r="K27" s="1592">
        <v>41.6</v>
      </c>
      <c r="L27" s="1591" t="s">
        <v>5404</v>
      </c>
      <c r="M27" s="1593">
        <v>44287</v>
      </c>
    </row>
    <row r="28" spans="1:13" s="1329" customFormat="1" ht="15">
      <c r="A28" s="1589">
        <v>19</v>
      </c>
      <c r="B28" s="1590" t="s">
        <v>1102</v>
      </c>
      <c r="C28" s="1591" t="s">
        <v>1096</v>
      </c>
      <c r="D28" s="1591" t="s">
        <v>788</v>
      </c>
      <c r="E28" s="1591" t="s">
        <v>5398</v>
      </c>
      <c r="F28" s="1589" t="s">
        <v>1080</v>
      </c>
      <c r="G28" s="1589">
        <v>90</v>
      </c>
      <c r="H28" s="1589" t="s">
        <v>2156</v>
      </c>
      <c r="I28" s="1589" t="s">
        <v>1847</v>
      </c>
      <c r="J28" s="1592">
        <v>36.756999999999998</v>
      </c>
      <c r="K28" s="1592">
        <v>41.6</v>
      </c>
      <c r="L28" s="1591" t="s">
        <v>5404</v>
      </c>
      <c r="M28" s="1593">
        <v>44287</v>
      </c>
    </row>
    <row r="29" spans="1:13" s="1329" customFormat="1" ht="15">
      <c r="A29" s="1589">
        <v>20</v>
      </c>
      <c r="B29" s="1590" t="s">
        <v>1102</v>
      </c>
      <c r="C29" s="1591" t="s">
        <v>1096</v>
      </c>
      <c r="D29" s="1591" t="s">
        <v>788</v>
      </c>
      <c r="E29" s="1591" t="s">
        <v>5398</v>
      </c>
      <c r="F29" s="1589" t="s">
        <v>1080</v>
      </c>
      <c r="G29" s="1589">
        <v>90</v>
      </c>
      <c r="H29" s="1589" t="s">
        <v>2156</v>
      </c>
      <c r="I29" s="1589" t="s">
        <v>1853</v>
      </c>
      <c r="J29" s="1592">
        <v>36.756999999999998</v>
      </c>
      <c r="K29" s="1592">
        <v>41.6</v>
      </c>
      <c r="L29" s="1591" t="s">
        <v>5404</v>
      </c>
      <c r="M29" s="1593">
        <v>44287</v>
      </c>
    </row>
    <row r="30" spans="1:13" s="1329" customFormat="1" ht="15">
      <c r="A30" s="1589">
        <v>21</v>
      </c>
      <c r="B30" s="1590" t="s">
        <v>1102</v>
      </c>
      <c r="C30" s="1591" t="s">
        <v>1096</v>
      </c>
      <c r="D30" s="1591" t="s">
        <v>788</v>
      </c>
      <c r="E30" s="1591" t="s">
        <v>5398</v>
      </c>
      <c r="F30" s="1589" t="s">
        <v>1080</v>
      </c>
      <c r="G30" s="1589">
        <v>90</v>
      </c>
      <c r="H30" s="1589" t="s">
        <v>2156</v>
      </c>
      <c r="I30" s="1589" t="s">
        <v>129</v>
      </c>
      <c r="J30" s="1592">
        <v>36.756999999999998</v>
      </c>
      <c r="K30" s="1592">
        <v>41.6</v>
      </c>
      <c r="L30" s="1591" t="s">
        <v>5404</v>
      </c>
      <c r="M30" s="1593">
        <v>44287</v>
      </c>
    </row>
    <row r="31" spans="1:13" s="1329" customFormat="1" ht="15">
      <c r="A31" s="1589">
        <v>22</v>
      </c>
      <c r="B31" s="1590" t="s">
        <v>1102</v>
      </c>
      <c r="C31" s="1591" t="s">
        <v>1107</v>
      </c>
      <c r="D31" s="1591" t="s">
        <v>5405</v>
      </c>
      <c r="E31" s="1591" t="s">
        <v>5398</v>
      </c>
      <c r="F31" s="1589" t="s">
        <v>1080</v>
      </c>
      <c r="G31" s="1589">
        <v>95</v>
      </c>
      <c r="H31" s="1589" t="s">
        <v>2157</v>
      </c>
      <c r="I31" s="1589" t="s">
        <v>1830</v>
      </c>
      <c r="J31" s="1592" t="s">
        <v>5400</v>
      </c>
      <c r="K31" s="1592">
        <v>150.1</v>
      </c>
      <c r="L31" s="1591" t="s">
        <v>5406</v>
      </c>
      <c r="M31" s="1593">
        <v>44287</v>
      </c>
    </row>
    <row r="32" spans="1:13" s="1329" customFormat="1" ht="15">
      <c r="A32" s="1589">
        <v>23</v>
      </c>
      <c r="B32" s="1590" t="s">
        <v>1102</v>
      </c>
      <c r="C32" s="1591" t="s">
        <v>1107</v>
      </c>
      <c r="D32" s="1591" t="s">
        <v>5405</v>
      </c>
      <c r="E32" s="1591" t="s">
        <v>5398</v>
      </c>
      <c r="F32" s="1589" t="s">
        <v>1080</v>
      </c>
      <c r="G32" s="1589">
        <v>95</v>
      </c>
      <c r="H32" s="1589" t="s">
        <v>2157</v>
      </c>
      <c r="I32" s="1589" t="s">
        <v>1840</v>
      </c>
      <c r="J32" s="1592" t="s">
        <v>5400</v>
      </c>
      <c r="K32" s="1592">
        <v>148.1</v>
      </c>
      <c r="L32" s="1591" t="s">
        <v>5406</v>
      </c>
      <c r="M32" s="1593">
        <v>44287</v>
      </c>
    </row>
    <row r="33" spans="1:13" s="1329" customFormat="1" ht="15">
      <c r="A33" s="1589">
        <v>24</v>
      </c>
      <c r="B33" s="1590" t="s">
        <v>1102</v>
      </c>
      <c r="C33" s="1591" t="s">
        <v>1107</v>
      </c>
      <c r="D33" s="1591" t="s">
        <v>5405</v>
      </c>
      <c r="E33" s="1591" t="s">
        <v>5398</v>
      </c>
      <c r="F33" s="1589" t="s">
        <v>1080</v>
      </c>
      <c r="G33" s="1589">
        <v>95</v>
      </c>
      <c r="H33" s="1589" t="s">
        <v>2157</v>
      </c>
      <c r="I33" s="1589" t="s">
        <v>1847</v>
      </c>
      <c r="J33" s="1592" t="s">
        <v>5400</v>
      </c>
      <c r="K33" s="1592">
        <v>146.19999999999999</v>
      </c>
      <c r="L33" s="1591" t="s">
        <v>5406</v>
      </c>
      <c r="M33" s="1593">
        <v>44287</v>
      </c>
    </row>
    <row r="34" spans="1:13" s="1329" customFormat="1" ht="15">
      <c r="A34" s="1589">
        <v>25</v>
      </c>
      <c r="B34" s="1590" t="s">
        <v>1102</v>
      </c>
      <c r="C34" s="1591" t="s">
        <v>1107</v>
      </c>
      <c r="D34" s="1591" t="s">
        <v>5405</v>
      </c>
      <c r="E34" s="1591" t="s">
        <v>5398</v>
      </c>
      <c r="F34" s="1589" t="s">
        <v>1080</v>
      </c>
      <c r="G34" s="1589">
        <v>95</v>
      </c>
      <c r="H34" s="1589" t="s">
        <v>2157</v>
      </c>
      <c r="I34" s="1589" t="s">
        <v>1853</v>
      </c>
      <c r="J34" s="1592" t="s">
        <v>5400</v>
      </c>
      <c r="K34" s="1592">
        <v>144.19999999999999</v>
      </c>
      <c r="L34" s="1591" t="s">
        <v>5406</v>
      </c>
      <c r="M34" s="1593">
        <v>44287</v>
      </c>
    </row>
    <row r="35" spans="1:13" s="1329" customFormat="1" ht="15">
      <c r="A35" s="1589">
        <v>26</v>
      </c>
      <c r="B35" s="1590" t="s">
        <v>1102</v>
      </c>
      <c r="C35" s="1591" t="s">
        <v>1107</v>
      </c>
      <c r="D35" s="1591" t="s">
        <v>5405</v>
      </c>
      <c r="E35" s="1591" t="s">
        <v>5398</v>
      </c>
      <c r="F35" s="1589" t="s">
        <v>1080</v>
      </c>
      <c r="G35" s="1589">
        <v>95</v>
      </c>
      <c r="H35" s="1589" t="s">
        <v>2157</v>
      </c>
      <c r="I35" s="1589" t="s">
        <v>129</v>
      </c>
      <c r="J35" s="1592" t="s">
        <v>5400</v>
      </c>
      <c r="K35" s="1592">
        <v>142.30000000000001</v>
      </c>
      <c r="L35" s="1591" t="s">
        <v>5406</v>
      </c>
      <c r="M35" s="1593">
        <v>44287</v>
      </c>
    </row>
    <row r="36" spans="1:13" s="1329" customFormat="1" ht="15">
      <c r="A36" s="1589">
        <v>27</v>
      </c>
      <c r="B36" s="1590" t="s">
        <v>1102</v>
      </c>
      <c r="C36" s="1591" t="s">
        <v>1108</v>
      </c>
      <c r="D36" s="1591" t="s">
        <v>5407</v>
      </c>
      <c r="E36" s="1591" t="s">
        <v>5398</v>
      </c>
      <c r="F36" s="1589" t="s">
        <v>1080</v>
      </c>
      <c r="G36" s="1589">
        <v>95</v>
      </c>
      <c r="H36" s="1589" t="s">
        <v>2157</v>
      </c>
      <c r="I36" s="1589" t="s">
        <v>1830</v>
      </c>
      <c r="J36" s="1592" t="s">
        <v>5400</v>
      </c>
      <c r="K36" s="1592">
        <v>2.81</v>
      </c>
      <c r="L36" s="1591" t="s">
        <v>5408</v>
      </c>
      <c r="M36" s="1593">
        <v>44287</v>
      </c>
    </row>
    <row r="37" spans="1:13" s="1329" customFormat="1" ht="15">
      <c r="A37" s="1589">
        <v>28</v>
      </c>
      <c r="B37" s="1590" t="s">
        <v>1102</v>
      </c>
      <c r="C37" s="1591" t="s">
        <v>1108</v>
      </c>
      <c r="D37" s="1591" t="s">
        <v>5407</v>
      </c>
      <c r="E37" s="1591" t="s">
        <v>5398</v>
      </c>
      <c r="F37" s="1589" t="s">
        <v>1080</v>
      </c>
      <c r="G37" s="1589">
        <v>95</v>
      </c>
      <c r="H37" s="1589" t="s">
        <v>2157</v>
      </c>
      <c r="I37" s="1589" t="s">
        <v>1840</v>
      </c>
      <c r="J37" s="1592" t="s">
        <v>5400</v>
      </c>
      <c r="K37" s="1592">
        <v>2.81</v>
      </c>
      <c r="L37" s="1591" t="s">
        <v>5408</v>
      </c>
      <c r="M37" s="1593">
        <v>44287</v>
      </c>
    </row>
    <row r="38" spans="1:13" s="1329" customFormat="1" ht="15">
      <c r="A38" s="1589">
        <v>29</v>
      </c>
      <c r="B38" s="1590" t="s">
        <v>1102</v>
      </c>
      <c r="C38" s="1591" t="s">
        <v>1108</v>
      </c>
      <c r="D38" s="1591" t="s">
        <v>5407</v>
      </c>
      <c r="E38" s="1591" t="s">
        <v>5398</v>
      </c>
      <c r="F38" s="1589" t="s">
        <v>1080</v>
      </c>
      <c r="G38" s="1589">
        <v>95</v>
      </c>
      <c r="H38" s="1589" t="s">
        <v>2157</v>
      </c>
      <c r="I38" s="1589" t="s">
        <v>1847</v>
      </c>
      <c r="J38" s="1592" t="s">
        <v>5400</v>
      </c>
      <c r="K38" s="1592">
        <v>2.81</v>
      </c>
      <c r="L38" s="1591" t="s">
        <v>5408</v>
      </c>
      <c r="M38" s="1593">
        <v>44287</v>
      </c>
    </row>
    <row r="39" spans="1:13" s="1329" customFormat="1" ht="15">
      <c r="A39" s="1589">
        <v>30</v>
      </c>
      <c r="B39" s="1590" t="s">
        <v>1102</v>
      </c>
      <c r="C39" s="1591" t="s">
        <v>1108</v>
      </c>
      <c r="D39" s="1591" t="s">
        <v>5407</v>
      </c>
      <c r="E39" s="1591" t="s">
        <v>5398</v>
      </c>
      <c r="F39" s="1589" t="s">
        <v>1080</v>
      </c>
      <c r="G39" s="1589">
        <v>95</v>
      </c>
      <c r="H39" s="1589" t="s">
        <v>2157</v>
      </c>
      <c r="I39" s="1589" t="s">
        <v>1853</v>
      </c>
      <c r="J39" s="1592" t="s">
        <v>5400</v>
      </c>
      <c r="K39" s="1592">
        <v>2.81</v>
      </c>
      <c r="L39" s="1591" t="s">
        <v>5408</v>
      </c>
      <c r="M39" s="1593">
        <v>44287</v>
      </c>
    </row>
    <row r="40" spans="1:13" s="1329" customFormat="1" ht="15">
      <c r="A40" s="1589">
        <v>31</v>
      </c>
      <c r="B40" s="1590" t="s">
        <v>1102</v>
      </c>
      <c r="C40" s="1591" t="s">
        <v>1108</v>
      </c>
      <c r="D40" s="1591" t="s">
        <v>5407</v>
      </c>
      <c r="E40" s="1591" t="s">
        <v>5398</v>
      </c>
      <c r="F40" s="1589" t="s">
        <v>1080</v>
      </c>
      <c r="G40" s="1589">
        <v>95</v>
      </c>
      <c r="H40" s="1589" t="s">
        <v>2157</v>
      </c>
      <c r="I40" s="1589" t="s">
        <v>129</v>
      </c>
      <c r="J40" s="1592" t="s">
        <v>5400</v>
      </c>
      <c r="K40" s="1592">
        <v>2.81</v>
      </c>
      <c r="L40" s="1591" t="s">
        <v>5408</v>
      </c>
      <c r="M40" s="1593">
        <v>44287</v>
      </c>
    </row>
    <row r="41" spans="1:13" s="1329" customFormat="1" ht="60">
      <c r="A41" s="1595">
        <v>32</v>
      </c>
      <c r="B41" s="1596" t="s">
        <v>1102</v>
      </c>
      <c r="C41" s="1597" t="s">
        <v>1105</v>
      </c>
      <c r="D41" s="1597" t="s">
        <v>705</v>
      </c>
      <c r="E41" s="1597" t="s">
        <v>913</v>
      </c>
      <c r="F41" s="1595" t="s">
        <v>1080</v>
      </c>
      <c r="G41" s="1595">
        <v>41</v>
      </c>
      <c r="H41" s="1595" t="s">
        <v>2045</v>
      </c>
      <c r="I41" s="1595" t="s">
        <v>1895</v>
      </c>
      <c r="J41" s="1598" t="s">
        <v>1838</v>
      </c>
      <c r="K41" s="1598" t="s">
        <v>1828</v>
      </c>
      <c r="L41" s="1597" t="s">
        <v>5596</v>
      </c>
      <c r="M41" s="1599">
        <v>44225</v>
      </c>
    </row>
    <row r="42" spans="1:13" s="1329" customFormat="1" ht="60">
      <c r="A42" s="1595">
        <v>33</v>
      </c>
      <c r="B42" s="1596" t="s">
        <v>1102</v>
      </c>
      <c r="C42" s="1597" t="s">
        <v>1106</v>
      </c>
      <c r="D42" s="1597" t="s">
        <v>1084</v>
      </c>
      <c r="E42" s="1597" t="s">
        <v>913</v>
      </c>
      <c r="F42" s="1595" t="s">
        <v>1080</v>
      </c>
      <c r="G42" s="1595">
        <v>41</v>
      </c>
      <c r="H42" s="1595" t="s">
        <v>2045</v>
      </c>
      <c r="I42" s="1595" t="s">
        <v>1895</v>
      </c>
      <c r="J42" s="1598" t="s">
        <v>1838</v>
      </c>
      <c r="K42" s="1598" t="s">
        <v>1828</v>
      </c>
      <c r="L42" s="1597" t="s">
        <v>5597</v>
      </c>
      <c r="M42" s="1599">
        <v>44225</v>
      </c>
    </row>
    <row r="43" spans="1:13" s="1329" customFormat="1" ht="15">
      <c r="A43" s="1589">
        <v>34</v>
      </c>
      <c r="B43" s="1590" t="s">
        <v>1260</v>
      </c>
      <c r="C43" s="1591" t="s">
        <v>1117</v>
      </c>
      <c r="D43" s="1591" t="s">
        <v>5397</v>
      </c>
      <c r="E43" s="1591" t="s">
        <v>5398</v>
      </c>
      <c r="F43" s="1589" t="s">
        <v>1080</v>
      </c>
      <c r="G43" s="1589">
        <v>95</v>
      </c>
      <c r="H43" s="1589" t="s">
        <v>2157</v>
      </c>
      <c r="I43" s="1589" t="s">
        <v>1847</v>
      </c>
      <c r="J43" s="1600">
        <v>2</v>
      </c>
      <c r="K43" s="1600">
        <v>1.5</v>
      </c>
      <c r="L43" s="1591" t="s">
        <v>5399</v>
      </c>
      <c r="M43" s="1593">
        <v>44287</v>
      </c>
    </row>
    <row r="44" spans="1:13" s="1329" customFormat="1" ht="15">
      <c r="A44" s="1589">
        <v>35</v>
      </c>
      <c r="B44" s="1590" t="s">
        <v>1260</v>
      </c>
      <c r="C44" s="1591" t="s">
        <v>1117</v>
      </c>
      <c r="D44" s="1591" t="s">
        <v>5397</v>
      </c>
      <c r="E44" s="1591" t="s">
        <v>5398</v>
      </c>
      <c r="F44" s="1589" t="s">
        <v>1080</v>
      </c>
      <c r="G44" s="1589">
        <v>95</v>
      </c>
      <c r="H44" s="1589" t="s">
        <v>2157</v>
      </c>
      <c r="I44" s="1589" t="s">
        <v>1853</v>
      </c>
      <c r="J44" s="1600">
        <v>2</v>
      </c>
      <c r="K44" s="1600">
        <v>1.5</v>
      </c>
      <c r="L44" s="1591" t="s">
        <v>5399</v>
      </c>
      <c r="M44" s="1593">
        <v>44287</v>
      </c>
    </row>
    <row r="45" spans="1:13" s="1329" customFormat="1" ht="15">
      <c r="A45" s="1589">
        <v>36</v>
      </c>
      <c r="B45" s="1590" t="s">
        <v>1260</v>
      </c>
      <c r="C45" s="1591" t="s">
        <v>1117</v>
      </c>
      <c r="D45" s="1591" t="s">
        <v>5397</v>
      </c>
      <c r="E45" s="1591" t="s">
        <v>5398</v>
      </c>
      <c r="F45" s="1589" t="s">
        <v>1080</v>
      </c>
      <c r="G45" s="1589">
        <v>95</v>
      </c>
      <c r="H45" s="1589" t="s">
        <v>2157</v>
      </c>
      <c r="I45" s="1589" t="s">
        <v>129</v>
      </c>
      <c r="J45" s="1600">
        <v>2</v>
      </c>
      <c r="K45" s="1600">
        <v>1.5</v>
      </c>
      <c r="L45" s="1591" t="s">
        <v>5399</v>
      </c>
      <c r="M45" s="1593">
        <v>44287</v>
      </c>
    </row>
    <row r="46" spans="1:13" s="1329" customFormat="1" ht="15">
      <c r="A46" s="1589">
        <v>37</v>
      </c>
      <c r="B46" s="1590" t="s">
        <v>1260</v>
      </c>
      <c r="C46" s="1591" t="s">
        <v>1121</v>
      </c>
      <c r="D46" s="1591" t="s">
        <v>5405</v>
      </c>
      <c r="E46" s="1591" t="s">
        <v>5398</v>
      </c>
      <c r="F46" s="1589" t="s">
        <v>1080</v>
      </c>
      <c r="G46" s="1589">
        <v>95</v>
      </c>
      <c r="H46" s="1589" t="s">
        <v>2157</v>
      </c>
      <c r="I46" s="1589" t="s">
        <v>1830</v>
      </c>
      <c r="J46" s="1592" t="s">
        <v>5400</v>
      </c>
      <c r="K46" s="1601">
        <v>148.4</v>
      </c>
      <c r="L46" s="1591" t="s">
        <v>5406</v>
      </c>
      <c r="M46" s="1593">
        <v>44287</v>
      </c>
    </row>
    <row r="47" spans="1:13" s="1329" customFormat="1" ht="15">
      <c r="A47" s="1589">
        <v>38</v>
      </c>
      <c r="B47" s="1590" t="s">
        <v>1260</v>
      </c>
      <c r="C47" s="1591" t="s">
        <v>1121</v>
      </c>
      <c r="D47" s="1591" t="s">
        <v>5405</v>
      </c>
      <c r="E47" s="1591" t="s">
        <v>5398</v>
      </c>
      <c r="F47" s="1589" t="s">
        <v>1080</v>
      </c>
      <c r="G47" s="1589">
        <v>95</v>
      </c>
      <c r="H47" s="1589" t="s">
        <v>2157</v>
      </c>
      <c r="I47" s="1589" t="s">
        <v>1840</v>
      </c>
      <c r="J47" s="1592" t="s">
        <v>5400</v>
      </c>
      <c r="K47" s="1601">
        <v>146.5</v>
      </c>
      <c r="L47" s="1591" t="s">
        <v>5406</v>
      </c>
      <c r="M47" s="1593">
        <v>44287</v>
      </c>
    </row>
    <row r="48" spans="1:13" s="1329" customFormat="1" ht="15">
      <c r="A48" s="1589">
        <v>39</v>
      </c>
      <c r="B48" s="1590" t="s">
        <v>1260</v>
      </c>
      <c r="C48" s="1591" t="s">
        <v>1121</v>
      </c>
      <c r="D48" s="1591" t="s">
        <v>5405</v>
      </c>
      <c r="E48" s="1591" t="s">
        <v>5398</v>
      </c>
      <c r="F48" s="1589" t="s">
        <v>1080</v>
      </c>
      <c r="G48" s="1589">
        <v>95</v>
      </c>
      <c r="H48" s="1589" t="s">
        <v>2157</v>
      </c>
      <c r="I48" s="1589" t="s">
        <v>1847</v>
      </c>
      <c r="J48" s="1592" t="s">
        <v>5400</v>
      </c>
      <c r="K48" s="1601">
        <v>144.6</v>
      </c>
      <c r="L48" s="1591" t="s">
        <v>5406</v>
      </c>
      <c r="M48" s="1593">
        <v>44287</v>
      </c>
    </row>
    <row r="49" spans="1:13" s="1329" customFormat="1" ht="15">
      <c r="A49" s="1589">
        <v>40</v>
      </c>
      <c r="B49" s="1590" t="s">
        <v>1260</v>
      </c>
      <c r="C49" s="1591" t="s">
        <v>1121</v>
      </c>
      <c r="D49" s="1591" t="s">
        <v>5405</v>
      </c>
      <c r="E49" s="1591" t="s">
        <v>5398</v>
      </c>
      <c r="F49" s="1589" t="s">
        <v>1080</v>
      </c>
      <c r="G49" s="1589">
        <v>95</v>
      </c>
      <c r="H49" s="1589" t="s">
        <v>2157</v>
      </c>
      <c r="I49" s="1589" t="s">
        <v>1853</v>
      </c>
      <c r="J49" s="1592" t="s">
        <v>5400</v>
      </c>
      <c r="K49" s="1601">
        <v>142.69999999999999</v>
      </c>
      <c r="L49" s="1591" t="s">
        <v>5406</v>
      </c>
      <c r="M49" s="1593">
        <v>44287</v>
      </c>
    </row>
    <row r="50" spans="1:13" s="1329" customFormat="1" ht="15">
      <c r="A50" s="1589">
        <v>41</v>
      </c>
      <c r="B50" s="1590" t="s">
        <v>1260</v>
      </c>
      <c r="C50" s="1591" t="s">
        <v>1121</v>
      </c>
      <c r="D50" s="1591" t="s">
        <v>5405</v>
      </c>
      <c r="E50" s="1591" t="s">
        <v>5398</v>
      </c>
      <c r="F50" s="1589" t="s">
        <v>1080</v>
      </c>
      <c r="G50" s="1589">
        <v>95</v>
      </c>
      <c r="H50" s="1589" t="s">
        <v>2157</v>
      </c>
      <c r="I50" s="1589" t="s">
        <v>129</v>
      </c>
      <c r="J50" s="1592" t="s">
        <v>5400</v>
      </c>
      <c r="K50" s="1601">
        <v>140.69999999999999</v>
      </c>
      <c r="L50" s="1591" t="s">
        <v>5406</v>
      </c>
      <c r="M50" s="1593">
        <v>44287</v>
      </c>
    </row>
    <row r="51" spans="1:13" s="1329" customFormat="1" ht="15">
      <c r="A51" s="1589">
        <v>42</v>
      </c>
      <c r="B51" s="1590" t="s">
        <v>1260</v>
      </c>
      <c r="C51" s="1591" t="s">
        <v>1122</v>
      </c>
      <c r="D51" s="1591" t="s">
        <v>5407</v>
      </c>
      <c r="E51" s="1591" t="s">
        <v>5398</v>
      </c>
      <c r="F51" s="1589" t="s">
        <v>1080</v>
      </c>
      <c r="G51" s="1589">
        <v>95</v>
      </c>
      <c r="H51" s="1589" t="s">
        <v>2157</v>
      </c>
      <c r="I51" s="1589" t="s">
        <v>1830</v>
      </c>
      <c r="J51" s="1592" t="s">
        <v>5400</v>
      </c>
      <c r="K51" s="1600">
        <v>2.81</v>
      </c>
      <c r="L51" s="1591" t="s">
        <v>5408</v>
      </c>
      <c r="M51" s="1593">
        <v>44287</v>
      </c>
    </row>
    <row r="52" spans="1:13" s="1329" customFormat="1" ht="15">
      <c r="A52" s="1589">
        <v>43</v>
      </c>
      <c r="B52" s="1590" t="s">
        <v>1260</v>
      </c>
      <c r="C52" s="1591" t="s">
        <v>1122</v>
      </c>
      <c r="D52" s="1591" t="s">
        <v>5407</v>
      </c>
      <c r="E52" s="1591" t="s">
        <v>5398</v>
      </c>
      <c r="F52" s="1589" t="s">
        <v>1080</v>
      </c>
      <c r="G52" s="1589">
        <v>95</v>
      </c>
      <c r="H52" s="1589" t="s">
        <v>2157</v>
      </c>
      <c r="I52" s="1589" t="s">
        <v>1840</v>
      </c>
      <c r="J52" s="1592" t="s">
        <v>5400</v>
      </c>
      <c r="K52" s="1600">
        <v>2.81</v>
      </c>
      <c r="L52" s="1591" t="s">
        <v>5408</v>
      </c>
      <c r="M52" s="1593">
        <v>44287</v>
      </c>
    </row>
    <row r="53" spans="1:13" s="1329" customFormat="1" ht="15">
      <c r="A53" s="1589">
        <v>44</v>
      </c>
      <c r="B53" s="1590" t="s">
        <v>1260</v>
      </c>
      <c r="C53" s="1591" t="s">
        <v>1122</v>
      </c>
      <c r="D53" s="1591" t="s">
        <v>5407</v>
      </c>
      <c r="E53" s="1591" t="s">
        <v>5398</v>
      </c>
      <c r="F53" s="1589" t="s">
        <v>1080</v>
      </c>
      <c r="G53" s="1589">
        <v>95</v>
      </c>
      <c r="H53" s="1589" t="s">
        <v>2157</v>
      </c>
      <c r="I53" s="1589" t="s">
        <v>1847</v>
      </c>
      <c r="J53" s="1592" t="s">
        <v>5400</v>
      </c>
      <c r="K53" s="1600">
        <v>2.81</v>
      </c>
      <c r="L53" s="1591" t="s">
        <v>5408</v>
      </c>
      <c r="M53" s="1593">
        <v>44287</v>
      </c>
    </row>
    <row r="54" spans="1:13" s="1329" customFormat="1" ht="15">
      <c r="A54" s="1589">
        <v>45</v>
      </c>
      <c r="B54" s="1590" t="s">
        <v>1260</v>
      </c>
      <c r="C54" s="1591" t="s">
        <v>1122</v>
      </c>
      <c r="D54" s="1591" t="s">
        <v>5407</v>
      </c>
      <c r="E54" s="1591" t="s">
        <v>5398</v>
      </c>
      <c r="F54" s="1589" t="s">
        <v>1080</v>
      </c>
      <c r="G54" s="1589">
        <v>95</v>
      </c>
      <c r="H54" s="1589" t="s">
        <v>2157</v>
      </c>
      <c r="I54" s="1589" t="s">
        <v>1853</v>
      </c>
      <c r="J54" s="1592" t="s">
        <v>5400</v>
      </c>
      <c r="K54" s="1600">
        <v>2.81</v>
      </c>
      <c r="L54" s="1591" t="s">
        <v>5408</v>
      </c>
      <c r="M54" s="1593">
        <v>44287</v>
      </c>
    </row>
    <row r="55" spans="1:13" s="1329" customFormat="1" ht="15">
      <c r="A55" s="1589">
        <v>46</v>
      </c>
      <c r="B55" s="1590" t="s">
        <v>1260</v>
      </c>
      <c r="C55" s="1591" t="s">
        <v>1122</v>
      </c>
      <c r="D55" s="1591" t="s">
        <v>5407</v>
      </c>
      <c r="E55" s="1591" t="s">
        <v>5398</v>
      </c>
      <c r="F55" s="1589" t="s">
        <v>1080</v>
      </c>
      <c r="G55" s="1589">
        <v>95</v>
      </c>
      <c r="H55" s="1589" t="s">
        <v>2157</v>
      </c>
      <c r="I55" s="1589" t="s">
        <v>129</v>
      </c>
      <c r="J55" s="1592" t="s">
        <v>5400</v>
      </c>
      <c r="K55" s="1600">
        <v>2.81</v>
      </c>
      <c r="L55" s="1591" t="s">
        <v>5408</v>
      </c>
      <c r="M55" s="1593">
        <v>44287</v>
      </c>
    </row>
    <row r="56" spans="1:13" s="1329" customFormat="1" ht="45">
      <c r="A56" s="1589">
        <v>47</v>
      </c>
      <c r="B56" s="1590" t="s">
        <v>1260</v>
      </c>
      <c r="C56" s="1591" t="s">
        <v>1119</v>
      </c>
      <c r="D56" s="1591" t="s">
        <v>705</v>
      </c>
      <c r="E56" s="1591" t="s">
        <v>5398</v>
      </c>
      <c r="F56" s="1589" t="s">
        <v>1080</v>
      </c>
      <c r="G56" s="1589">
        <v>115</v>
      </c>
      <c r="H56" s="1594" t="s">
        <v>2206</v>
      </c>
      <c r="I56" s="1589" t="s">
        <v>1895</v>
      </c>
      <c r="J56" s="1592">
        <v>-6.3549999999999995E-2</v>
      </c>
      <c r="K56" s="1592">
        <v>-0.26200000000000001</v>
      </c>
      <c r="L56" s="1591" t="s">
        <v>5416</v>
      </c>
      <c r="M56" s="1593">
        <v>44287</v>
      </c>
    </row>
    <row r="57" spans="1:13" s="1329" customFormat="1" ht="30">
      <c r="A57" s="1589">
        <v>48</v>
      </c>
      <c r="B57" s="1590" t="s">
        <v>1260</v>
      </c>
      <c r="C57" s="1591" t="s">
        <v>1120</v>
      </c>
      <c r="D57" s="1591" t="s">
        <v>1084</v>
      </c>
      <c r="E57" s="1591" t="s">
        <v>5398</v>
      </c>
      <c r="F57" s="1589" t="s">
        <v>1080</v>
      </c>
      <c r="G57" s="1589">
        <v>115</v>
      </c>
      <c r="H57" s="1594" t="s">
        <v>2209</v>
      </c>
      <c r="I57" s="1589" t="s">
        <v>1895</v>
      </c>
      <c r="J57" s="1592">
        <v>5.5500000000000001E-2</v>
      </c>
      <c r="K57" s="1592">
        <v>2.5000000000000001E-2</v>
      </c>
      <c r="L57" s="1591" t="s">
        <v>5598</v>
      </c>
      <c r="M57" s="1593">
        <v>44287</v>
      </c>
    </row>
    <row r="58" spans="1:13" s="1329" customFormat="1" ht="30">
      <c r="A58" s="1589">
        <v>49</v>
      </c>
      <c r="B58" s="1590" t="s">
        <v>1260</v>
      </c>
      <c r="C58" s="1591" t="s">
        <v>1120</v>
      </c>
      <c r="D58" s="1591" t="s">
        <v>1084</v>
      </c>
      <c r="E58" s="1591" t="s">
        <v>5398</v>
      </c>
      <c r="F58" s="1589" t="s">
        <v>1080</v>
      </c>
      <c r="G58" s="1589">
        <v>116</v>
      </c>
      <c r="H58" s="1594" t="s">
        <v>2205</v>
      </c>
      <c r="I58" s="1589" t="s">
        <v>1895</v>
      </c>
      <c r="J58" s="1592">
        <v>-6.6600000000000006E-2</v>
      </c>
      <c r="K58" s="1592">
        <v>-0.03</v>
      </c>
      <c r="L58" s="1591" t="s">
        <v>5417</v>
      </c>
      <c r="M58" s="1593">
        <v>44287</v>
      </c>
    </row>
    <row r="59" spans="1:13" s="1329" customFormat="1" ht="60">
      <c r="A59" s="1595">
        <v>50</v>
      </c>
      <c r="B59" s="1596" t="s">
        <v>1260</v>
      </c>
      <c r="C59" s="1597" t="s">
        <v>1119</v>
      </c>
      <c r="D59" s="1597" t="s">
        <v>705</v>
      </c>
      <c r="E59" s="1597" t="s">
        <v>913</v>
      </c>
      <c r="F59" s="1595" t="s">
        <v>1080</v>
      </c>
      <c r="G59" s="1595">
        <v>41</v>
      </c>
      <c r="H59" s="1595" t="s">
        <v>2045</v>
      </c>
      <c r="I59" s="1595" t="s">
        <v>1895</v>
      </c>
      <c r="J59" s="1598" t="s">
        <v>1838</v>
      </c>
      <c r="K59" s="1598" t="s">
        <v>1828</v>
      </c>
      <c r="L59" s="1597" t="s">
        <v>5596</v>
      </c>
      <c r="M59" s="1599">
        <v>44225</v>
      </c>
    </row>
    <row r="60" spans="1:13" s="1332" customFormat="1" ht="60">
      <c r="A60" s="1533">
        <v>51</v>
      </c>
      <c r="B60" s="1534" t="s">
        <v>1260</v>
      </c>
      <c r="C60" s="1535" t="s">
        <v>1120</v>
      </c>
      <c r="D60" s="1535" t="s">
        <v>1084</v>
      </c>
      <c r="E60" s="1535" t="s">
        <v>913</v>
      </c>
      <c r="F60" s="1533" t="s">
        <v>1080</v>
      </c>
      <c r="G60" s="1533">
        <v>41</v>
      </c>
      <c r="H60" s="1533" t="s">
        <v>2045</v>
      </c>
      <c r="I60" s="1533" t="s">
        <v>1895</v>
      </c>
      <c r="J60" s="1536" t="s">
        <v>1838</v>
      </c>
      <c r="K60" s="1536" t="s">
        <v>1828</v>
      </c>
      <c r="L60" s="1535" t="s">
        <v>5597</v>
      </c>
      <c r="M60" s="1537">
        <v>44225</v>
      </c>
    </row>
    <row r="61" spans="1:13" s="1329" customFormat="1" ht="15">
      <c r="A61" s="1589">
        <v>52</v>
      </c>
      <c r="B61" s="1590" t="s">
        <v>1143</v>
      </c>
      <c r="C61" s="1591" t="s">
        <v>1144</v>
      </c>
      <c r="D61" s="1591" t="s">
        <v>5397</v>
      </c>
      <c r="E61" s="1591" t="s">
        <v>5398</v>
      </c>
      <c r="F61" s="1589" t="s">
        <v>1080</v>
      </c>
      <c r="G61" s="1589">
        <v>95</v>
      </c>
      <c r="H61" s="1589" t="s">
        <v>2157</v>
      </c>
      <c r="I61" s="1589" t="s">
        <v>1847</v>
      </c>
      <c r="J61" s="1592">
        <v>2</v>
      </c>
      <c r="K61" s="1592">
        <v>1.5</v>
      </c>
      <c r="L61" s="1591" t="s">
        <v>5399</v>
      </c>
      <c r="M61" s="1593">
        <v>44287</v>
      </c>
    </row>
    <row r="62" spans="1:13" s="1329" customFormat="1" ht="15">
      <c r="A62" s="1589">
        <v>53</v>
      </c>
      <c r="B62" s="1590" t="s">
        <v>1143</v>
      </c>
      <c r="C62" s="1591" t="s">
        <v>1144</v>
      </c>
      <c r="D62" s="1591" t="s">
        <v>5397</v>
      </c>
      <c r="E62" s="1591" t="s">
        <v>5398</v>
      </c>
      <c r="F62" s="1589" t="s">
        <v>1080</v>
      </c>
      <c r="G62" s="1589">
        <v>95</v>
      </c>
      <c r="H62" s="1589" t="s">
        <v>2157</v>
      </c>
      <c r="I62" s="1589" t="s">
        <v>1853</v>
      </c>
      <c r="J62" s="1592">
        <v>2</v>
      </c>
      <c r="K62" s="1592">
        <v>1.5</v>
      </c>
      <c r="L62" s="1591" t="s">
        <v>5399</v>
      </c>
      <c r="M62" s="1593">
        <v>44287</v>
      </c>
    </row>
    <row r="63" spans="1:13" s="1329" customFormat="1" ht="15">
      <c r="A63" s="1589">
        <v>54</v>
      </c>
      <c r="B63" s="1590" t="s">
        <v>1143</v>
      </c>
      <c r="C63" s="1591" t="s">
        <v>1144</v>
      </c>
      <c r="D63" s="1591" t="s">
        <v>5397</v>
      </c>
      <c r="E63" s="1591" t="s">
        <v>5398</v>
      </c>
      <c r="F63" s="1589" t="s">
        <v>1080</v>
      </c>
      <c r="G63" s="1589">
        <v>95</v>
      </c>
      <c r="H63" s="1589" t="s">
        <v>2157</v>
      </c>
      <c r="I63" s="1589" t="s">
        <v>129</v>
      </c>
      <c r="J63" s="1592">
        <v>2</v>
      </c>
      <c r="K63" s="1592">
        <v>1.5</v>
      </c>
      <c r="L63" s="1591" t="s">
        <v>5399</v>
      </c>
      <c r="M63" s="1593">
        <v>44287</v>
      </c>
    </row>
    <row r="64" spans="1:13" s="1329" customFormat="1" ht="15">
      <c r="A64" s="1589">
        <v>55</v>
      </c>
      <c r="B64" s="1590" t="s">
        <v>1143</v>
      </c>
      <c r="C64" s="1591" t="s">
        <v>1146</v>
      </c>
      <c r="D64" s="1591" t="s">
        <v>5424</v>
      </c>
      <c r="E64" s="1591" t="s">
        <v>5398</v>
      </c>
      <c r="F64" s="1589" t="s">
        <v>1080</v>
      </c>
      <c r="G64" s="1589">
        <v>85</v>
      </c>
      <c r="H64" s="1589" t="s">
        <v>2155</v>
      </c>
      <c r="I64" s="1589" t="s">
        <v>1830</v>
      </c>
      <c r="J64" s="1592">
        <v>-38.001194045143002</v>
      </c>
      <c r="K64" s="1592" t="s">
        <v>5400</v>
      </c>
      <c r="L64" s="1591" t="s">
        <v>5401</v>
      </c>
      <c r="M64" s="1593">
        <v>44287</v>
      </c>
    </row>
    <row r="65" spans="1:13" s="1329" customFormat="1" ht="15">
      <c r="A65" s="1589">
        <v>56</v>
      </c>
      <c r="B65" s="1590" t="s">
        <v>1143</v>
      </c>
      <c r="C65" s="1591" t="s">
        <v>1146</v>
      </c>
      <c r="D65" s="1591" t="s">
        <v>5424</v>
      </c>
      <c r="E65" s="1591" t="s">
        <v>5398</v>
      </c>
      <c r="F65" s="1589" t="s">
        <v>1080</v>
      </c>
      <c r="G65" s="1589">
        <v>85</v>
      </c>
      <c r="H65" s="1589" t="s">
        <v>2155</v>
      </c>
      <c r="I65" s="1589" t="s">
        <v>1840</v>
      </c>
      <c r="J65" s="1592">
        <v>-38.001194045143002</v>
      </c>
      <c r="K65" s="1592" t="s">
        <v>5400</v>
      </c>
      <c r="L65" s="1591" t="s">
        <v>5401</v>
      </c>
      <c r="M65" s="1593">
        <v>44287</v>
      </c>
    </row>
    <row r="66" spans="1:13" s="1329" customFormat="1" ht="15">
      <c r="A66" s="1589">
        <v>57</v>
      </c>
      <c r="B66" s="1590" t="s">
        <v>1143</v>
      </c>
      <c r="C66" s="1591" t="s">
        <v>1146</v>
      </c>
      <c r="D66" s="1591" t="s">
        <v>5424</v>
      </c>
      <c r="E66" s="1591" t="s">
        <v>5398</v>
      </c>
      <c r="F66" s="1589" t="s">
        <v>1080</v>
      </c>
      <c r="G66" s="1589">
        <v>85</v>
      </c>
      <c r="H66" s="1589" t="s">
        <v>2155</v>
      </c>
      <c r="I66" s="1589" t="s">
        <v>1847</v>
      </c>
      <c r="J66" s="1592">
        <v>-38.001194045143002</v>
      </c>
      <c r="K66" s="1592" t="s">
        <v>5400</v>
      </c>
      <c r="L66" s="1591" t="s">
        <v>5401</v>
      </c>
      <c r="M66" s="1593">
        <v>44287</v>
      </c>
    </row>
    <row r="67" spans="1:13" s="1329" customFormat="1" ht="15">
      <c r="A67" s="1589">
        <v>58</v>
      </c>
      <c r="B67" s="1590" t="s">
        <v>1143</v>
      </c>
      <c r="C67" s="1591" t="s">
        <v>1146</v>
      </c>
      <c r="D67" s="1591" t="s">
        <v>5424</v>
      </c>
      <c r="E67" s="1591" t="s">
        <v>5398</v>
      </c>
      <c r="F67" s="1589" t="s">
        <v>1080</v>
      </c>
      <c r="G67" s="1589">
        <v>85</v>
      </c>
      <c r="H67" s="1589" t="s">
        <v>2155</v>
      </c>
      <c r="I67" s="1589" t="s">
        <v>1853</v>
      </c>
      <c r="J67" s="1592">
        <v>-38.001194045143002</v>
      </c>
      <c r="K67" s="1592" t="s">
        <v>5400</v>
      </c>
      <c r="L67" s="1591" t="s">
        <v>5401</v>
      </c>
      <c r="M67" s="1593">
        <v>44287</v>
      </c>
    </row>
    <row r="68" spans="1:13" s="1329" customFormat="1" ht="15">
      <c r="A68" s="1589">
        <v>59</v>
      </c>
      <c r="B68" s="1590" t="s">
        <v>1143</v>
      </c>
      <c r="C68" s="1591" t="s">
        <v>1146</v>
      </c>
      <c r="D68" s="1591" t="s">
        <v>5424</v>
      </c>
      <c r="E68" s="1591" t="s">
        <v>5398</v>
      </c>
      <c r="F68" s="1589" t="s">
        <v>1080</v>
      </c>
      <c r="G68" s="1589">
        <v>85</v>
      </c>
      <c r="H68" s="1589" t="s">
        <v>2155</v>
      </c>
      <c r="I68" s="1589" t="s">
        <v>129</v>
      </c>
      <c r="J68" s="1592">
        <v>-38.001194045143002</v>
      </c>
      <c r="K68" s="1592" t="s">
        <v>5400</v>
      </c>
      <c r="L68" s="1591" t="s">
        <v>5401</v>
      </c>
      <c r="M68" s="1593">
        <v>44287</v>
      </c>
    </row>
    <row r="69" spans="1:13" s="1329" customFormat="1" ht="15">
      <c r="A69" s="1589">
        <v>60</v>
      </c>
      <c r="B69" s="1590" t="s">
        <v>1143</v>
      </c>
      <c r="C69" s="1591" t="s">
        <v>1146</v>
      </c>
      <c r="D69" s="1591" t="s">
        <v>5424</v>
      </c>
      <c r="E69" s="1591" t="s">
        <v>5398</v>
      </c>
      <c r="F69" s="1589" t="s">
        <v>1080</v>
      </c>
      <c r="G69" s="1589">
        <v>110</v>
      </c>
      <c r="H69" s="1589" t="s">
        <v>4542</v>
      </c>
      <c r="I69" s="1589" t="s">
        <v>1830</v>
      </c>
      <c r="J69" s="1592" t="s">
        <v>4430</v>
      </c>
      <c r="K69" s="1592" t="s">
        <v>5400</v>
      </c>
      <c r="L69" s="1591" t="s">
        <v>5401</v>
      </c>
      <c r="M69" s="1593"/>
    </row>
    <row r="70" spans="1:13" s="1329" customFormat="1" ht="15">
      <c r="A70" s="1589">
        <v>61</v>
      </c>
      <c r="B70" s="1590" t="s">
        <v>1143</v>
      </c>
      <c r="C70" s="1591" t="s">
        <v>1146</v>
      </c>
      <c r="D70" s="1591" t="s">
        <v>5424</v>
      </c>
      <c r="E70" s="1591" t="s">
        <v>5398</v>
      </c>
      <c r="F70" s="1589" t="s">
        <v>1080</v>
      </c>
      <c r="G70" s="1589">
        <v>110</v>
      </c>
      <c r="H70" s="1589" t="s">
        <v>4542</v>
      </c>
      <c r="I70" s="1589" t="s">
        <v>1840</v>
      </c>
      <c r="J70" s="1592" t="s">
        <v>4430</v>
      </c>
      <c r="K70" s="1592" t="s">
        <v>5400</v>
      </c>
      <c r="L70" s="1591" t="s">
        <v>5401</v>
      </c>
      <c r="M70" s="1593"/>
    </row>
    <row r="71" spans="1:13" s="1329" customFormat="1" ht="15">
      <c r="A71" s="1589">
        <v>62</v>
      </c>
      <c r="B71" s="1590" t="s">
        <v>1143</v>
      </c>
      <c r="C71" s="1591" t="s">
        <v>1146</v>
      </c>
      <c r="D71" s="1591" t="s">
        <v>5424</v>
      </c>
      <c r="E71" s="1591" t="s">
        <v>5398</v>
      </c>
      <c r="F71" s="1589" t="s">
        <v>1080</v>
      </c>
      <c r="G71" s="1589">
        <v>110</v>
      </c>
      <c r="H71" s="1589" t="s">
        <v>4542</v>
      </c>
      <c r="I71" s="1589" t="s">
        <v>1847</v>
      </c>
      <c r="J71" s="1592" t="s">
        <v>4430</v>
      </c>
      <c r="K71" s="1592" t="s">
        <v>5400</v>
      </c>
      <c r="L71" s="1591" t="s">
        <v>5401</v>
      </c>
      <c r="M71" s="1593"/>
    </row>
    <row r="72" spans="1:13" s="1329" customFormat="1" ht="15">
      <c r="A72" s="1589">
        <v>63</v>
      </c>
      <c r="B72" s="1590" t="s">
        <v>1143</v>
      </c>
      <c r="C72" s="1591" t="s">
        <v>1146</v>
      </c>
      <c r="D72" s="1591" t="s">
        <v>5424</v>
      </c>
      <c r="E72" s="1591" t="s">
        <v>5398</v>
      </c>
      <c r="F72" s="1589" t="s">
        <v>1080</v>
      </c>
      <c r="G72" s="1589">
        <v>110</v>
      </c>
      <c r="H72" s="1589" t="s">
        <v>4542</v>
      </c>
      <c r="I72" s="1589" t="s">
        <v>1853</v>
      </c>
      <c r="J72" s="1592" t="s">
        <v>4430</v>
      </c>
      <c r="K72" s="1592" t="s">
        <v>5400</v>
      </c>
      <c r="L72" s="1591" t="s">
        <v>5401</v>
      </c>
      <c r="M72" s="1593"/>
    </row>
    <row r="73" spans="1:13" s="1329" customFormat="1" ht="15">
      <c r="A73" s="1589">
        <v>64</v>
      </c>
      <c r="B73" s="1590" t="s">
        <v>1143</v>
      </c>
      <c r="C73" s="1591" t="s">
        <v>1146</v>
      </c>
      <c r="D73" s="1591" t="s">
        <v>5424</v>
      </c>
      <c r="E73" s="1591" t="s">
        <v>5398</v>
      </c>
      <c r="F73" s="1589" t="s">
        <v>1080</v>
      </c>
      <c r="G73" s="1589">
        <v>110</v>
      </c>
      <c r="H73" s="1589" t="s">
        <v>4542</v>
      </c>
      <c r="I73" s="1589" t="s">
        <v>129</v>
      </c>
      <c r="J73" s="1592" t="s">
        <v>4430</v>
      </c>
      <c r="K73" s="1592" t="s">
        <v>5400</v>
      </c>
      <c r="L73" s="1591" t="s">
        <v>5401</v>
      </c>
      <c r="M73" s="1593"/>
    </row>
    <row r="74" spans="1:13" s="1329" customFormat="1" ht="45">
      <c r="A74" s="1589">
        <v>65</v>
      </c>
      <c r="B74" s="1590" t="s">
        <v>1143</v>
      </c>
      <c r="C74" s="1591" t="s">
        <v>1146</v>
      </c>
      <c r="D74" s="1591" t="s">
        <v>5424</v>
      </c>
      <c r="E74" s="1591" t="s">
        <v>5398</v>
      </c>
      <c r="F74" s="1589" t="s">
        <v>1080</v>
      </c>
      <c r="G74" s="1589">
        <v>115</v>
      </c>
      <c r="H74" s="1594" t="s">
        <v>2206</v>
      </c>
      <c r="I74" s="1589" t="s">
        <v>1895</v>
      </c>
      <c r="J74" s="1592" t="s">
        <v>5400</v>
      </c>
      <c r="K74" s="1592">
        <v>-0.17499999999999999</v>
      </c>
      <c r="L74" s="1591" t="s">
        <v>5427</v>
      </c>
      <c r="M74" s="1593">
        <v>44287</v>
      </c>
    </row>
    <row r="75" spans="1:13" s="1329" customFormat="1" ht="15">
      <c r="A75" s="1589">
        <v>66</v>
      </c>
      <c r="B75" s="1590" t="s">
        <v>1143</v>
      </c>
      <c r="C75" s="1591" t="s">
        <v>1146</v>
      </c>
      <c r="D75" s="1591" t="s">
        <v>5424</v>
      </c>
      <c r="E75" s="1591" t="s">
        <v>5398</v>
      </c>
      <c r="F75" s="1589" t="s">
        <v>1080</v>
      </c>
      <c r="G75" s="1589">
        <v>118</v>
      </c>
      <c r="H75" s="1589" t="s">
        <v>2208</v>
      </c>
      <c r="I75" s="1589" t="s">
        <v>1895</v>
      </c>
      <c r="J75" s="1592">
        <v>-0.26645000000000002</v>
      </c>
      <c r="K75" s="1592" t="s">
        <v>5400</v>
      </c>
      <c r="L75" s="1591" t="s">
        <v>5401</v>
      </c>
      <c r="M75" s="1593">
        <v>44287</v>
      </c>
    </row>
    <row r="76" spans="1:13" s="1329" customFormat="1" ht="15">
      <c r="A76" s="1589">
        <v>67</v>
      </c>
      <c r="B76" s="1590" t="s">
        <v>1143</v>
      </c>
      <c r="C76" s="1591" t="s">
        <v>1146</v>
      </c>
      <c r="D76" s="1591" t="s">
        <v>5424</v>
      </c>
      <c r="E76" s="1591" t="s">
        <v>5398</v>
      </c>
      <c r="F76" s="1589" t="s">
        <v>1080</v>
      </c>
      <c r="G76" s="1589">
        <v>122</v>
      </c>
      <c r="H76" s="1589" t="s">
        <v>2212</v>
      </c>
      <c r="I76" s="1589" t="s">
        <v>1895</v>
      </c>
      <c r="J76" s="1592">
        <v>0.26645000000000002</v>
      </c>
      <c r="K76" s="1592" t="s">
        <v>5400</v>
      </c>
      <c r="L76" s="1591" t="s">
        <v>5401</v>
      </c>
      <c r="M76" s="1593">
        <v>44287</v>
      </c>
    </row>
    <row r="77" spans="1:13" s="1329" customFormat="1" ht="15">
      <c r="A77" s="1589">
        <v>68</v>
      </c>
      <c r="B77" s="1590" t="s">
        <v>1143</v>
      </c>
      <c r="C77" s="1591" t="s">
        <v>1160</v>
      </c>
      <c r="D77" s="1591" t="s">
        <v>5425</v>
      </c>
      <c r="E77" s="1591" t="s">
        <v>5398</v>
      </c>
      <c r="F77" s="1589" t="s">
        <v>1080</v>
      </c>
      <c r="G77" s="1589">
        <v>85</v>
      </c>
      <c r="H77" s="1589" t="s">
        <v>2155</v>
      </c>
      <c r="I77" s="1589" t="s">
        <v>1830</v>
      </c>
      <c r="J77" s="1592">
        <v>-77.267989452432403</v>
      </c>
      <c r="K77" s="1592" t="s">
        <v>5400</v>
      </c>
      <c r="L77" s="1591" t="s">
        <v>5401</v>
      </c>
      <c r="M77" s="1593">
        <v>44287</v>
      </c>
    </row>
    <row r="78" spans="1:13" s="1329" customFormat="1" ht="15">
      <c r="A78" s="1589">
        <v>69</v>
      </c>
      <c r="B78" s="1590" t="s">
        <v>1143</v>
      </c>
      <c r="C78" s="1591" t="s">
        <v>1160</v>
      </c>
      <c r="D78" s="1591" t="s">
        <v>5425</v>
      </c>
      <c r="E78" s="1591" t="s">
        <v>5398</v>
      </c>
      <c r="F78" s="1589" t="s">
        <v>1080</v>
      </c>
      <c r="G78" s="1589">
        <v>85</v>
      </c>
      <c r="H78" s="1589" t="s">
        <v>2155</v>
      </c>
      <c r="I78" s="1589" t="s">
        <v>1840</v>
      </c>
      <c r="J78" s="1592">
        <v>-77.267989452432403</v>
      </c>
      <c r="K78" s="1592" t="s">
        <v>5400</v>
      </c>
      <c r="L78" s="1591" t="s">
        <v>5401</v>
      </c>
      <c r="M78" s="1593">
        <v>44287</v>
      </c>
    </row>
    <row r="79" spans="1:13" s="1329" customFormat="1" ht="15">
      <c r="A79" s="1589">
        <v>70</v>
      </c>
      <c r="B79" s="1590" t="s">
        <v>1143</v>
      </c>
      <c r="C79" s="1591" t="s">
        <v>1160</v>
      </c>
      <c r="D79" s="1591" t="s">
        <v>5425</v>
      </c>
      <c r="E79" s="1591" t="s">
        <v>5398</v>
      </c>
      <c r="F79" s="1589" t="s">
        <v>1080</v>
      </c>
      <c r="G79" s="1589">
        <v>85</v>
      </c>
      <c r="H79" s="1589" t="s">
        <v>2155</v>
      </c>
      <c r="I79" s="1589" t="s">
        <v>1847</v>
      </c>
      <c r="J79" s="1592">
        <v>-77.267989452432403</v>
      </c>
      <c r="K79" s="1592" t="s">
        <v>5400</v>
      </c>
      <c r="L79" s="1591" t="s">
        <v>5401</v>
      </c>
      <c r="M79" s="1593">
        <v>44287</v>
      </c>
    </row>
    <row r="80" spans="1:13" s="1329" customFormat="1" ht="15">
      <c r="A80" s="1589">
        <v>71</v>
      </c>
      <c r="B80" s="1590" t="s">
        <v>1143</v>
      </c>
      <c r="C80" s="1591" t="s">
        <v>1160</v>
      </c>
      <c r="D80" s="1591" t="s">
        <v>5425</v>
      </c>
      <c r="E80" s="1591" t="s">
        <v>5398</v>
      </c>
      <c r="F80" s="1589" t="s">
        <v>1080</v>
      </c>
      <c r="G80" s="1589">
        <v>85</v>
      </c>
      <c r="H80" s="1589" t="s">
        <v>2155</v>
      </c>
      <c r="I80" s="1589" t="s">
        <v>1853</v>
      </c>
      <c r="J80" s="1592">
        <v>-77.267989452432403</v>
      </c>
      <c r="K80" s="1592" t="s">
        <v>5400</v>
      </c>
      <c r="L80" s="1591" t="s">
        <v>5401</v>
      </c>
      <c r="M80" s="1593">
        <v>44287</v>
      </c>
    </row>
    <row r="81" spans="1:13" s="1329" customFormat="1" ht="15">
      <c r="A81" s="1589">
        <v>72</v>
      </c>
      <c r="B81" s="1590" t="s">
        <v>1143</v>
      </c>
      <c r="C81" s="1591" t="s">
        <v>1160</v>
      </c>
      <c r="D81" s="1591" t="s">
        <v>5425</v>
      </c>
      <c r="E81" s="1591" t="s">
        <v>5398</v>
      </c>
      <c r="F81" s="1589" t="s">
        <v>1080</v>
      </c>
      <c r="G81" s="1589">
        <v>85</v>
      </c>
      <c r="H81" s="1589" t="s">
        <v>2155</v>
      </c>
      <c r="I81" s="1589" t="s">
        <v>129</v>
      </c>
      <c r="J81" s="1592">
        <v>-77.267989452432403</v>
      </c>
      <c r="K81" s="1592" t="s">
        <v>5400</v>
      </c>
      <c r="L81" s="1591" t="s">
        <v>5401</v>
      </c>
      <c r="M81" s="1593">
        <v>44287</v>
      </c>
    </row>
    <row r="82" spans="1:13" s="1329" customFormat="1" ht="15">
      <c r="A82" s="1589">
        <v>73</v>
      </c>
      <c r="B82" s="1590" t="s">
        <v>1143</v>
      </c>
      <c r="C82" s="1591" t="s">
        <v>1160</v>
      </c>
      <c r="D82" s="1591" t="s">
        <v>5425</v>
      </c>
      <c r="E82" s="1591" t="s">
        <v>5398</v>
      </c>
      <c r="F82" s="1589" t="s">
        <v>1080</v>
      </c>
      <c r="G82" s="1589">
        <v>110</v>
      </c>
      <c r="H82" s="1589" t="s">
        <v>4542</v>
      </c>
      <c r="I82" s="1589" t="s">
        <v>1830</v>
      </c>
      <c r="J82" s="1592" t="s">
        <v>4430</v>
      </c>
      <c r="K82" s="1592" t="s">
        <v>5400</v>
      </c>
      <c r="L82" s="1591" t="s">
        <v>5401</v>
      </c>
      <c r="M82" s="1593"/>
    </row>
    <row r="83" spans="1:13" s="1329" customFormat="1" ht="15">
      <c r="A83" s="1589">
        <v>74</v>
      </c>
      <c r="B83" s="1590" t="s">
        <v>1143</v>
      </c>
      <c r="C83" s="1591" t="s">
        <v>1160</v>
      </c>
      <c r="D83" s="1591" t="s">
        <v>5425</v>
      </c>
      <c r="E83" s="1591" t="s">
        <v>5398</v>
      </c>
      <c r="F83" s="1589" t="s">
        <v>1080</v>
      </c>
      <c r="G83" s="1589">
        <v>110</v>
      </c>
      <c r="H83" s="1589" t="s">
        <v>4542</v>
      </c>
      <c r="I83" s="1589" t="s">
        <v>1840</v>
      </c>
      <c r="J83" s="1592" t="s">
        <v>4430</v>
      </c>
      <c r="K83" s="1592" t="s">
        <v>5400</v>
      </c>
      <c r="L83" s="1591" t="s">
        <v>5401</v>
      </c>
      <c r="M83" s="1593"/>
    </row>
    <row r="84" spans="1:13" s="1329" customFormat="1" ht="15">
      <c r="A84" s="1589">
        <v>75</v>
      </c>
      <c r="B84" s="1590" t="s">
        <v>1143</v>
      </c>
      <c r="C84" s="1591" t="s">
        <v>1160</v>
      </c>
      <c r="D84" s="1591" t="s">
        <v>5425</v>
      </c>
      <c r="E84" s="1591" t="s">
        <v>5398</v>
      </c>
      <c r="F84" s="1589" t="s">
        <v>1080</v>
      </c>
      <c r="G84" s="1589">
        <v>110</v>
      </c>
      <c r="H84" s="1589" t="s">
        <v>4542</v>
      </c>
      <c r="I84" s="1589" t="s">
        <v>1847</v>
      </c>
      <c r="J84" s="1592" t="s">
        <v>4430</v>
      </c>
      <c r="K84" s="1592" t="s">
        <v>5400</v>
      </c>
      <c r="L84" s="1591" t="s">
        <v>5401</v>
      </c>
      <c r="M84" s="1593"/>
    </row>
    <row r="85" spans="1:13" s="1329" customFormat="1" ht="15">
      <c r="A85" s="1589">
        <v>76</v>
      </c>
      <c r="B85" s="1590" t="s">
        <v>1143</v>
      </c>
      <c r="C85" s="1591" t="s">
        <v>1160</v>
      </c>
      <c r="D85" s="1591" t="s">
        <v>5425</v>
      </c>
      <c r="E85" s="1591" t="s">
        <v>5398</v>
      </c>
      <c r="F85" s="1589" t="s">
        <v>1080</v>
      </c>
      <c r="G85" s="1589">
        <v>110</v>
      </c>
      <c r="H85" s="1589" t="s">
        <v>4542</v>
      </c>
      <c r="I85" s="1589" t="s">
        <v>1853</v>
      </c>
      <c r="J85" s="1592" t="s">
        <v>4430</v>
      </c>
      <c r="K85" s="1592" t="s">
        <v>5400</v>
      </c>
      <c r="L85" s="1591" t="s">
        <v>5401</v>
      </c>
      <c r="M85" s="1593"/>
    </row>
    <row r="86" spans="1:13" s="1329" customFormat="1" ht="15">
      <c r="A86" s="1589">
        <v>77</v>
      </c>
      <c r="B86" s="1590" t="s">
        <v>1143</v>
      </c>
      <c r="C86" s="1591" t="s">
        <v>1160</v>
      </c>
      <c r="D86" s="1591" t="s">
        <v>5425</v>
      </c>
      <c r="E86" s="1591" t="s">
        <v>5398</v>
      </c>
      <c r="F86" s="1589" t="s">
        <v>1080</v>
      </c>
      <c r="G86" s="1589">
        <v>110</v>
      </c>
      <c r="H86" s="1589" t="s">
        <v>4542</v>
      </c>
      <c r="I86" s="1589" t="s">
        <v>129</v>
      </c>
      <c r="J86" s="1592" t="s">
        <v>4430</v>
      </c>
      <c r="K86" s="1592" t="s">
        <v>5400</v>
      </c>
      <c r="L86" s="1591" t="s">
        <v>5401</v>
      </c>
      <c r="M86" s="1593"/>
    </row>
    <row r="87" spans="1:13" s="1329" customFormat="1" ht="45">
      <c r="A87" s="1589">
        <v>78</v>
      </c>
      <c r="B87" s="1590" t="s">
        <v>1143</v>
      </c>
      <c r="C87" s="1591" t="s">
        <v>1160</v>
      </c>
      <c r="D87" s="1591" t="s">
        <v>5425</v>
      </c>
      <c r="E87" s="1591" t="s">
        <v>5398</v>
      </c>
      <c r="F87" s="1589" t="s">
        <v>1080</v>
      </c>
      <c r="G87" s="1589">
        <v>115</v>
      </c>
      <c r="H87" s="1594" t="s">
        <v>2206</v>
      </c>
      <c r="I87" s="1589" t="s">
        <v>1895</v>
      </c>
      <c r="J87" s="1592" t="s">
        <v>5400</v>
      </c>
      <c r="K87" s="1592">
        <v>-0.18</v>
      </c>
      <c r="L87" s="1591" t="s">
        <v>5428</v>
      </c>
      <c r="M87" s="1593">
        <v>44287</v>
      </c>
    </row>
    <row r="88" spans="1:13" s="1329" customFormat="1" ht="15">
      <c r="A88" s="1589">
        <v>79</v>
      </c>
      <c r="B88" s="1590" t="s">
        <v>1143</v>
      </c>
      <c r="C88" s="1591" t="s">
        <v>1160</v>
      </c>
      <c r="D88" s="1591" t="s">
        <v>5425</v>
      </c>
      <c r="E88" s="1591" t="s">
        <v>5398</v>
      </c>
      <c r="F88" s="1589" t="s">
        <v>1080</v>
      </c>
      <c r="G88" s="1589">
        <v>118</v>
      </c>
      <c r="H88" s="1589" t="s">
        <v>2208</v>
      </c>
      <c r="I88" s="1589" t="s">
        <v>1895</v>
      </c>
      <c r="J88" s="1592">
        <v>-0.48801299999999997</v>
      </c>
      <c r="K88" s="1592" t="s">
        <v>5400</v>
      </c>
      <c r="L88" s="1591" t="s">
        <v>5401</v>
      </c>
      <c r="M88" s="1593">
        <v>44287</v>
      </c>
    </row>
    <row r="89" spans="1:13" s="1329" customFormat="1" ht="15">
      <c r="A89" s="1589">
        <v>80</v>
      </c>
      <c r="B89" s="1590" t="s">
        <v>1143</v>
      </c>
      <c r="C89" s="1591" t="s">
        <v>1160</v>
      </c>
      <c r="D89" s="1591" t="s">
        <v>5425</v>
      </c>
      <c r="E89" s="1591" t="s">
        <v>5398</v>
      </c>
      <c r="F89" s="1589" t="s">
        <v>1080</v>
      </c>
      <c r="G89" s="1589">
        <v>122</v>
      </c>
      <c r="H89" s="1589" t="s">
        <v>2212</v>
      </c>
      <c r="I89" s="1589" t="s">
        <v>1895</v>
      </c>
      <c r="J89" s="1592">
        <v>0.48801299999999997</v>
      </c>
      <c r="K89" s="1592" t="s">
        <v>5400</v>
      </c>
      <c r="L89" s="1591" t="s">
        <v>5401</v>
      </c>
      <c r="M89" s="1593">
        <v>44287</v>
      </c>
    </row>
    <row r="90" spans="1:13" s="1329" customFormat="1" ht="15">
      <c r="A90" s="1589">
        <v>81</v>
      </c>
      <c r="B90" s="1602" t="s">
        <v>1143</v>
      </c>
      <c r="C90" s="1591" t="s">
        <v>1148</v>
      </c>
      <c r="D90" s="1591" t="s">
        <v>5405</v>
      </c>
      <c r="E90" s="1591" t="s">
        <v>5398</v>
      </c>
      <c r="F90" s="1589" t="s">
        <v>1080</v>
      </c>
      <c r="G90" s="1589">
        <v>95</v>
      </c>
      <c r="H90" s="1589" t="s">
        <v>2157</v>
      </c>
      <c r="I90" s="1589" t="s">
        <v>1830</v>
      </c>
      <c r="J90" s="1592" t="s">
        <v>5400</v>
      </c>
      <c r="K90" s="1601">
        <v>151.9</v>
      </c>
      <c r="L90" s="1591" t="s">
        <v>5406</v>
      </c>
      <c r="M90" s="1593">
        <v>44287</v>
      </c>
    </row>
    <row r="91" spans="1:13" s="1329" customFormat="1" ht="15">
      <c r="A91" s="1589">
        <v>82</v>
      </c>
      <c r="B91" s="1602" t="s">
        <v>1143</v>
      </c>
      <c r="C91" s="1591" t="s">
        <v>1148</v>
      </c>
      <c r="D91" s="1591" t="s">
        <v>5405</v>
      </c>
      <c r="E91" s="1591" t="s">
        <v>5398</v>
      </c>
      <c r="F91" s="1589" t="s">
        <v>1080</v>
      </c>
      <c r="G91" s="1589">
        <v>95</v>
      </c>
      <c r="H91" s="1589" t="s">
        <v>2157</v>
      </c>
      <c r="I91" s="1589" t="s">
        <v>1840</v>
      </c>
      <c r="J91" s="1592" t="s">
        <v>5400</v>
      </c>
      <c r="K91" s="1601">
        <v>147.1</v>
      </c>
      <c r="L91" s="1591" t="s">
        <v>5406</v>
      </c>
      <c r="M91" s="1593">
        <v>44287</v>
      </c>
    </row>
    <row r="92" spans="1:13" s="1329" customFormat="1" ht="15">
      <c r="A92" s="1589">
        <v>83</v>
      </c>
      <c r="B92" s="1602" t="s">
        <v>1143</v>
      </c>
      <c r="C92" s="1591" t="s">
        <v>1148</v>
      </c>
      <c r="D92" s="1591" t="s">
        <v>5405</v>
      </c>
      <c r="E92" s="1591" t="s">
        <v>5398</v>
      </c>
      <c r="F92" s="1589" t="s">
        <v>1080</v>
      </c>
      <c r="G92" s="1589">
        <v>95</v>
      </c>
      <c r="H92" s="1589" t="s">
        <v>2157</v>
      </c>
      <c r="I92" s="1589" t="s">
        <v>1847</v>
      </c>
      <c r="J92" s="1592" t="s">
        <v>5400</v>
      </c>
      <c r="K92" s="1601">
        <v>142.4</v>
      </c>
      <c r="L92" s="1591" t="s">
        <v>5406</v>
      </c>
      <c r="M92" s="1593">
        <v>44287</v>
      </c>
    </row>
    <row r="93" spans="1:13" s="1329" customFormat="1" ht="15">
      <c r="A93" s="1589">
        <v>84</v>
      </c>
      <c r="B93" s="1602" t="s">
        <v>1143</v>
      </c>
      <c r="C93" s="1591" t="s">
        <v>1148</v>
      </c>
      <c r="D93" s="1591" t="s">
        <v>5405</v>
      </c>
      <c r="E93" s="1591" t="s">
        <v>5398</v>
      </c>
      <c r="F93" s="1589" t="s">
        <v>1080</v>
      </c>
      <c r="G93" s="1589">
        <v>95</v>
      </c>
      <c r="H93" s="1589" t="s">
        <v>2157</v>
      </c>
      <c r="I93" s="1589" t="s">
        <v>1853</v>
      </c>
      <c r="J93" s="1592" t="s">
        <v>5400</v>
      </c>
      <c r="K93" s="1601">
        <v>137.9</v>
      </c>
      <c r="L93" s="1591" t="s">
        <v>5406</v>
      </c>
      <c r="M93" s="1593">
        <v>44287</v>
      </c>
    </row>
    <row r="94" spans="1:13" s="1329" customFormat="1" ht="15">
      <c r="A94" s="1589">
        <v>85</v>
      </c>
      <c r="B94" s="1602" t="s">
        <v>1143</v>
      </c>
      <c r="C94" s="1591" t="s">
        <v>1148</v>
      </c>
      <c r="D94" s="1591" t="s">
        <v>5405</v>
      </c>
      <c r="E94" s="1591" t="s">
        <v>5398</v>
      </c>
      <c r="F94" s="1589" t="s">
        <v>1080</v>
      </c>
      <c r="G94" s="1589">
        <v>95</v>
      </c>
      <c r="H94" s="1589" t="s">
        <v>2157</v>
      </c>
      <c r="I94" s="1589" t="s">
        <v>129</v>
      </c>
      <c r="J94" s="1592" t="s">
        <v>5400</v>
      </c>
      <c r="K94" s="1601">
        <v>133.4</v>
      </c>
      <c r="L94" s="1591" t="s">
        <v>5406</v>
      </c>
      <c r="M94" s="1593">
        <v>44287</v>
      </c>
    </row>
    <row r="95" spans="1:13" s="1329" customFormat="1" ht="15">
      <c r="A95" s="1589">
        <v>86</v>
      </c>
      <c r="B95" s="1602" t="s">
        <v>1143</v>
      </c>
      <c r="C95" s="1591" t="s">
        <v>1149</v>
      </c>
      <c r="D95" s="1591" t="s">
        <v>5407</v>
      </c>
      <c r="E95" s="1591" t="s">
        <v>5398</v>
      </c>
      <c r="F95" s="1589" t="s">
        <v>1080</v>
      </c>
      <c r="G95" s="1589">
        <v>95</v>
      </c>
      <c r="H95" s="1589" t="s">
        <v>2157</v>
      </c>
      <c r="I95" s="1589" t="s">
        <v>1830</v>
      </c>
      <c r="J95" s="1592" t="s">
        <v>5400</v>
      </c>
      <c r="K95" s="1600">
        <v>7.64</v>
      </c>
      <c r="L95" s="1591" t="s">
        <v>5426</v>
      </c>
      <c r="M95" s="1593">
        <v>44287</v>
      </c>
    </row>
    <row r="96" spans="1:13" s="1329" customFormat="1" ht="15">
      <c r="A96" s="1589">
        <v>87</v>
      </c>
      <c r="B96" s="1602" t="s">
        <v>1143</v>
      </c>
      <c r="C96" s="1591" t="s">
        <v>1149</v>
      </c>
      <c r="D96" s="1591" t="s">
        <v>5407</v>
      </c>
      <c r="E96" s="1591" t="s">
        <v>5398</v>
      </c>
      <c r="F96" s="1589" t="s">
        <v>1080</v>
      </c>
      <c r="G96" s="1589">
        <v>95</v>
      </c>
      <c r="H96" s="1589" t="s">
        <v>2157</v>
      </c>
      <c r="I96" s="1589" t="s">
        <v>1840</v>
      </c>
      <c r="J96" s="1592" t="s">
        <v>5400</v>
      </c>
      <c r="K96" s="1600">
        <v>6.43</v>
      </c>
      <c r="L96" s="1591" t="s">
        <v>5426</v>
      </c>
      <c r="M96" s="1593">
        <v>44287</v>
      </c>
    </row>
    <row r="97" spans="1:13" s="1329" customFormat="1" ht="15">
      <c r="A97" s="1589">
        <v>88</v>
      </c>
      <c r="B97" s="1602" t="s">
        <v>1143</v>
      </c>
      <c r="C97" s="1591" t="s">
        <v>1149</v>
      </c>
      <c r="D97" s="1591" t="s">
        <v>5407</v>
      </c>
      <c r="E97" s="1591" t="s">
        <v>5398</v>
      </c>
      <c r="F97" s="1589" t="s">
        <v>1080</v>
      </c>
      <c r="G97" s="1589">
        <v>95</v>
      </c>
      <c r="H97" s="1589" t="s">
        <v>2157</v>
      </c>
      <c r="I97" s="1589" t="s">
        <v>1847</v>
      </c>
      <c r="J97" s="1592" t="s">
        <v>5400</v>
      </c>
      <c r="K97" s="1600">
        <v>5.23</v>
      </c>
      <c r="L97" s="1591" t="s">
        <v>5426</v>
      </c>
      <c r="M97" s="1593">
        <v>44287</v>
      </c>
    </row>
    <row r="98" spans="1:13" s="1329" customFormat="1" ht="15">
      <c r="A98" s="1589">
        <v>89</v>
      </c>
      <c r="B98" s="1602" t="s">
        <v>1143</v>
      </c>
      <c r="C98" s="1591" t="s">
        <v>1149</v>
      </c>
      <c r="D98" s="1591" t="s">
        <v>5407</v>
      </c>
      <c r="E98" s="1591" t="s">
        <v>5398</v>
      </c>
      <c r="F98" s="1589" t="s">
        <v>1080</v>
      </c>
      <c r="G98" s="1589">
        <v>95</v>
      </c>
      <c r="H98" s="1589" t="s">
        <v>2157</v>
      </c>
      <c r="I98" s="1589" t="s">
        <v>1853</v>
      </c>
      <c r="J98" s="1592" t="s">
        <v>5400</v>
      </c>
      <c r="K98" s="1600">
        <v>4.0199999999999996</v>
      </c>
      <c r="L98" s="1591" t="s">
        <v>5426</v>
      </c>
      <c r="M98" s="1593">
        <v>44287</v>
      </c>
    </row>
    <row r="99" spans="1:13" s="1329" customFormat="1" ht="15">
      <c r="A99" s="1589">
        <v>90</v>
      </c>
      <c r="B99" s="1602" t="s">
        <v>1143</v>
      </c>
      <c r="C99" s="1591" t="s">
        <v>1149</v>
      </c>
      <c r="D99" s="1591" t="s">
        <v>5407</v>
      </c>
      <c r="E99" s="1591" t="s">
        <v>5398</v>
      </c>
      <c r="F99" s="1589" t="s">
        <v>1080</v>
      </c>
      <c r="G99" s="1589">
        <v>95</v>
      </c>
      <c r="H99" s="1589" t="s">
        <v>2157</v>
      </c>
      <c r="I99" s="1589" t="s">
        <v>129</v>
      </c>
      <c r="J99" s="1592" t="s">
        <v>5400</v>
      </c>
      <c r="K99" s="1600">
        <v>2.81</v>
      </c>
      <c r="L99" s="1591" t="s">
        <v>5426</v>
      </c>
      <c r="M99" s="1593">
        <v>44287</v>
      </c>
    </row>
    <row r="100" spans="1:13" s="1329" customFormat="1" ht="60">
      <c r="A100" s="1595">
        <v>91</v>
      </c>
      <c r="B100" s="1596" t="s">
        <v>1143</v>
      </c>
      <c r="C100" s="1597" t="s">
        <v>1146</v>
      </c>
      <c r="D100" s="1597" t="s">
        <v>705</v>
      </c>
      <c r="E100" s="1597" t="s">
        <v>913</v>
      </c>
      <c r="F100" s="1595" t="s">
        <v>1080</v>
      </c>
      <c r="G100" s="1595">
        <v>41</v>
      </c>
      <c r="H100" s="1595" t="s">
        <v>2045</v>
      </c>
      <c r="I100" s="1595" t="s">
        <v>1895</v>
      </c>
      <c r="J100" s="1598" t="s">
        <v>1838</v>
      </c>
      <c r="K100" s="1598" t="s">
        <v>1828</v>
      </c>
      <c r="L100" s="1597" t="s">
        <v>5596</v>
      </c>
      <c r="M100" s="1599">
        <v>44225</v>
      </c>
    </row>
    <row r="101" spans="1:13" s="1329" customFormat="1" ht="60">
      <c r="A101" s="1595">
        <v>92</v>
      </c>
      <c r="B101" s="1596" t="s">
        <v>1143</v>
      </c>
      <c r="C101" s="1597" t="s">
        <v>1160</v>
      </c>
      <c r="D101" s="1597" t="s">
        <v>705</v>
      </c>
      <c r="E101" s="1597" t="s">
        <v>913</v>
      </c>
      <c r="F101" s="1595" t="s">
        <v>1080</v>
      </c>
      <c r="G101" s="1595">
        <v>41</v>
      </c>
      <c r="H101" s="1595" t="s">
        <v>2045</v>
      </c>
      <c r="I101" s="1595" t="s">
        <v>1895</v>
      </c>
      <c r="J101" s="1598" t="s">
        <v>1838</v>
      </c>
      <c r="K101" s="1598" t="s">
        <v>1828</v>
      </c>
      <c r="L101" s="1597" t="s">
        <v>5596</v>
      </c>
      <c r="M101" s="1599">
        <v>44225</v>
      </c>
    </row>
    <row r="102" spans="1:13" s="1329" customFormat="1" ht="60">
      <c r="A102" s="1595">
        <v>93</v>
      </c>
      <c r="B102" s="1596" t="s">
        <v>1143</v>
      </c>
      <c r="C102" s="1597" t="s">
        <v>1147</v>
      </c>
      <c r="D102" s="1597" t="s">
        <v>1084</v>
      </c>
      <c r="E102" s="1597" t="s">
        <v>913</v>
      </c>
      <c r="F102" s="1595" t="s">
        <v>1080</v>
      </c>
      <c r="G102" s="1595">
        <v>41</v>
      </c>
      <c r="H102" s="1595" t="s">
        <v>2045</v>
      </c>
      <c r="I102" s="1595" t="s">
        <v>1895</v>
      </c>
      <c r="J102" s="1598" t="s">
        <v>1838</v>
      </c>
      <c r="K102" s="1598" t="s">
        <v>1828</v>
      </c>
      <c r="L102" s="1597" t="s">
        <v>5597</v>
      </c>
      <c r="M102" s="1599">
        <v>44225</v>
      </c>
    </row>
    <row r="103" spans="1:13" s="1329" customFormat="1" ht="15">
      <c r="A103" s="1589">
        <v>94</v>
      </c>
      <c r="B103" s="1602" t="s">
        <v>1241</v>
      </c>
      <c r="C103" s="1603" t="s">
        <v>1288</v>
      </c>
      <c r="D103" s="1603" t="s">
        <v>5397</v>
      </c>
      <c r="E103" s="1591" t="s">
        <v>5398</v>
      </c>
      <c r="F103" s="1589" t="s">
        <v>1080</v>
      </c>
      <c r="G103" s="1589">
        <v>95</v>
      </c>
      <c r="H103" s="1589" t="s">
        <v>2157</v>
      </c>
      <c r="I103" s="1589" t="s">
        <v>1847</v>
      </c>
      <c r="J103" s="1592">
        <v>2</v>
      </c>
      <c r="K103" s="1592">
        <v>1.5</v>
      </c>
      <c r="L103" s="1591" t="s">
        <v>5399</v>
      </c>
      <c r="M103" s="1593">
        <v>44287</v>
      </c>
    </row>
    <row r="104" spans="1:13" s="1329" customFormat="1" ht="15">
      <c r="A104" s="1589">
        <v>95</v>
      </c>
      <c r="B104" s="1602" t="s">
        <v>1241</v>
      </c>
      <c r="C104" s="1603" t="s">
        <v>1288</v>
      </c>
      <c r="D104" s="1603" t="s">
        <v>5397</v>
      </c>
      <c r="E104" s="1591" t="s">
        <v>5398</v>
      </c>
      <c r="F104" s="1589" t="s">
        <v>1080</v>
      </c>
      <c r="G104" s="1589">
        <v>95</v>
      </c>
      <c r="H104" s="1589" t="s">
        <v>2157</v>
      </c>
      <c r="I104" s="1589" t="s">
        <v>1853</v>
      </c>
      <c r="J104" s="1592">
        <v>2</v>
      </c>
      <c r="K104" s="1592">
        <v>1.5</v>
      </c>
      <c r="L104" s="1591" t="s">
        <v>5399</v>
      </c>
      <c r="M104" s="1593">
        <v>44287</v>
      </c>
    </row>
    <row r="105" spans="1:13" s="1329" customFormat="1" ht="15">
      <c r="A105" s="1589">
        <v>96</v>
      </c>
      <c r="B105" s="1602" t="s">
        <v>1241</v>
      </c>
      <c r="C105" s="1603" t="s">
        <v>1288</v>
      </c>
      <c r="D105" s="1603" t="s">
        <v>5397</v>
      </c>
      <c r="E105" s="1591" t="s">
        <v>5398</v>
      </c>
      <c r="F105" s="1589" t="s">
        <v>1080</v>
      </c>
      <c r="G105" s="1589">
        <v>95</v>
      </c>
      <c r="H105" s="1589" t="s">
        <v>2157</v>
      </c>
      <c r="I105" s="1589" t="s">
        <v>129</v>
      </c>
      <c r="J105" s="1592">
        <v>2</v>
      </c>
      <c r="K105" s="1592">
        <v>1.5</v>
      </c>
      <c r="L105" s="1591" t="s">
        <v>5399</v>
      </c>
      <c r="M105" s="1593">
        <v>44287</v>
      </c>
    </row>
    <row r="106" spans="1:13" s="1329" customFormat="1" ht="15">
      <c r="A106" s="1589">
        <v>97</v>
      </c>
      <c r="B106" s="1590" t="s">
        <v>1241</v>
      </c>
      <c r="C106" s="1591" t="s">
        <v>1300</v>
      </c>
      <c r="D106" s="1591" t="s">
        <v>705</v>
      </c>
      <c r="E106" s="1591" t="s">
        <v>5398</v>
      </c>
      <c r="F106" s="1589" t="s">
        <v>1080</v>
      </c>
      <c r="G106" s="1589">
        <v>85</v>
      </c>
      <c r="H106" s="1589" t="s">
        <v>2155</v>
      </c>
      <c r="I106" s="1589" t="s">
        <v>1830</v>
      </c>
      <c r="J106" s="1592">
        <v>-19.975250626673098</v>
      </c>
      <c r="K106" s="1592" t="s">
        <v>5400</v>
      </c>
      <c r="L106" s="1591" t="s">
        <v>5401</v>
      </c>
      <c r="M106" s="1593">
        <v>44287</v>
      </c>
    </row>
    <row r="107" spans="1:13" s="1329" customFormat="1" ht="15">
      <c r="A107" s="1589">
        <v>98</v>
      </c>
      <c r="B107" s="1590" t="s">
        <v>1241</v>
      </c>
      <c r="C107" s="1591" t="s">
        <v>1300</v>
      </c>
      <c r="D107" s="1591" t="s">
        <v>705</v>
      </c>
      <c r="E107" s="1591" t="s">
        <v>5398</v>
      </c>
      <c r="F107" s="1589" t="s">
        <v>1080</v>
      </c>
      <c r="G107" s="1589">
        <v>85</v>
      </c>
      <c r="H107" s="1589" t="s">
        <v>2155</v>
      </c>
      <c r="I107" s="1589" t="s">
        <v>1840</v>
      </c>
      <c r="J107" s="1592">
        <v>-19.975250626673098</v>
      </c>
      <c r="K107" s="1592" t="s">
        <v>5400</v>
      </c>
      <c r="L107" s="1591" t="s">
        <v>5401</v>
      </c>
      <c r="M107" s="1593">
        <v>44287</v>
      </c>
    </row>
    <row r="108" spans="1:13" s="1329" customFormat="1" ht="15">
      <c r="A108" s="1589">
        <v>99</v>
      </c>
      <c r="B108" s="1590" t="s">
        <v>1241</v>
      </c>
      <c r="C108" s="1591" t="s">
        <v>1300</v>
      </c>
      <c r="D108" s="1591" t="s">
        <v>705</v>
      </c>
      <c r="E108" s="1591" t="s">
        <v>5398</v>
      </c>
      <c r="F108" s="1589" t="s">
        <v>1080</v>
      </c>
      <c r="G108" s="1589">
        <v>85</v>
      </c>
      <c r="H108" s="1589" t="s">
        <v>2155</v>
      </c>
      <c r="I108" s="1589" t="s">
        <v>1847</v>
      </c>
      <c r="J108" s="1592">
        <v>-19.975250626673098</v>
      </c>
      <c r="K108" s="1592" t="s">
        <v>5400</v>
      </c>
      <c r="L108" s="1591" t="s">
        <v>5401</v>
      </c>
      <c r="M108" s="1593">
        <v>44287</v>
      </c>
    </row>
    <row r="109" spans="1:13" s="1329" customFormat="1" ht="15">
      <c r="A109" s="1589">
        <v>100</v>
      </c>
      <c r="B109" s="1590" t="s">
        <v>1241</v>
      </c>
      <c r="C109" s="1591" t="s">
        <v>1300</v>
      </c>
      <c r="D109" s="1591" t="s">
        <v>705</v>
      </c>
      <c r="E109" s="1591" t="s">
        <v>5398</v>
      </c>
      <c r="F109" s="1589" t="s">
        <v>1080</v>
      </c>
      <c r="G109" s="1589">
        <v>85</v>
      </c>
      <c r="H109" s="1589" t="s">
        <v>2155</v>
      </c>
      <c r="I109" s="1589" t="s">
        <v>1853</v>
      </c>
      <c r="J109" s="1592">
        <v>-19.975250626673098</v>
      </c>
      <c r="K109" s="1592" t="s">
        <v>5400</v>
      </c>
      <c r="L109" s="1591" t="s">
        <v>5401</v>
      </c>
      <c r="M109" s="1593">
        <v>44287</v>
      </c>
    </row>
    <row r="110" spans="1:13" s="1329" customFormat="1" ht="15">
      <c r="A110" s="1589">
        <v>101</v>
      </c>
      <c r="B110" s="1590" t="s">
        <v>1241</v>
      </c>
      <c r="C110" s="1591" t="s">
        <v>1300</v>
      </c>
      <c r="D110" s="1591" t="s">
        <v>705</v>
      </c>
      <c r="E110" s="1591" t="s">
        <v>5398</v>
      </c>
      <c r="F110" s="1589" t="s">
        <v>1080</v>
      </c>
      <c r="G110" s="1589">
        <v>85</v>
      </c>
      <c r="H110" s="1589" t="s">
        <v>2155</v>
      </c>
      <c r="I110" s="1589" t="s">
        <v>129</v>
      </c>
      <c r="J110" s="1592">
        <v>-19.975250626673098</v>
      </c>
      <c r="K110" s="1592" t="s">
        <v>5400</v>
      </c>
      <c r="L110" s="1591" t="s">
        <v>5401</v>
      </c>
      <c r="M110" s="1593">
        <v>44287</v>
      </c>
    </row>
    <row r="111" spans="1:13" s="1329" customFormat="1" ht="15">
      <c r="A111" s="1589">
        <v>102</v>
      </c>
      <c r="B111" s="1590" t="s">
        <v>1241</v>
      </c>
      <c r="C111" s="1591" t="s">
        <v>1300</v>
      </c>
      <c r="D111" s="1591" t="s">
        <v>705</v>
      </c>
      <c r="E111" s="1591" t="s">
        <v>5398</v>
      </c>
      <c r="F111" s="1589" t="s">
        <v>1080</v>
      </c>
      <c r="G111" s="1589">
        <v>110</v>
      </c>
      <c r="H111" s="1589" t="s">
        <v>2160</v>
      </c>
      <c r="I111" s="1589" t="s">
        <v>1830</v>
      </c>
      <c r="J111" s="1592" t="s">
        <v>4430</v>
      </c>
      <c r="K111" s="1592" t="s">
        <v>5400</v>
      </c>
      <c r="L111" s="1591" t="s">
        <v>5401</v>
      </c>
      <c r="M111" s="1593">
        <v>44287</v>
      </c>
    </row>
    <row r="112" spans="1:13" s="1329" customFormat="1" ht="15">
      <c r="A112" s="1589">
        <v>103</v>
      </c>
      <c r="B112" s="1590" t="s">
        <v>1241</v>
      </c>
      <c r="C112" s="1591" t="s">
        <v>1300</v>
      </c>
      <c r="D112" s="1591" t="s">
        <v>705</v>
      </c>
      <c r="E112" s="1591" t="s">
        <v>5398</v>
      </c>
      <c r="F112" s="1589" t="s">
        <v>1080</v>
      </c>
      <c r="G112" s="1589">
        <v>110</v>
      </c>
      <c r="H112" s="1589" t="s">
        <v>2160</v>
      </c>
      <c r="I112" s="1589" t="s">
        <v>1840</v>
      </c>
      <c r="J112" s="1592" t="s">
        <v>4430</v>
      </c>
      <c r="K112" s="1592" t="s">
        <v>5400</v>
      </c>
      <c r="L112" s="1591" t="s">
        <v>5401</v>
      </c>
      <c r="M112" s="1593">
        <v>44287</v>
      </c>
    </row>
    <row r="113" spans="1:13" s="1329" customFormat="1" ht="15">
      <c r="A113" s="1589">
        <v>104</v>
      </c>
      <c r="B113" s="1590" t="s">
        <v>1241</v>
      </c>
      <c r="C113" s="1591" t="s">
        <v>1300</v>
      </c>
      <c r="D113" s="1591" t="s">
        <v>705</v>
      </c>
      <c r="E113" s="1591" t="s">
        <v>5398</v>
      </c>
      <c r="F113" s="1589" t="s">
        <v>1080</v>
      </c>
      <c r="G113" s="1589">
        <v>110</v>
      </c>
      <c r="H113" s="1589" t="s">
        <v>2160</v>
      </c>
      <c r="I113" s="1589" t="s">
        <v>1847</v>
      </c>
      <c r="J113" s="1592" t="s">
        <v>4430</v>
      </c>
      <c r="K113" s="1592" t="s">
        <v>5400</v>
      </c>
      <c r="L113" s="1591" t="s">
        <v>5401</v>
      </c>
      <c r="M113" s="1593">
        <v>44287</v>
      </c>
    </row>
    <row r="114" spans="1:13" s="1329" customFormat="1" ht="15">
      <c r="A114" s="1589">
        <v>105</v>
      </c>
      <c r="B114" s="1590" t="s">
        <v>1241</v>
      </c>
      <c r="C114" s="1591" t="s">
        <v>1300</v>
      </c>
      <c r="D114" s="1591" t="s">
        <v>705</v>
      </c>
      <c r="E114" s="1591" t="s">
        <v>5398</v>
      </c>
      <c r="F114" s="1589" t="s">
        <v>1080</v>
      </c>
      <c r="G114" s="1589">
        <v>110</v>
      </c>
      <c r="H114" s="1589" t="s">
        <v>2160</v>
      </c>
      <c r="I114" s="1589" t="s">
        <v>1853</v>
      </c>
      <c r="J114" s="1592" t="s">
        <v>4430</v>
      </c>
      <c r="K114" s="1592" t="s">
        <v>5400</v>
      </c>
      <c r="L114" s="1591" t="s">
        <v>5401</v>
      </c>
      <c r="M114" s="1593">
        <v>44287</v>
      </c>
    </row>
    <row r="115" spans="1:13" s="1329" customFormat="1" ht="15">
      <c r="A115" s="1589">
        <v>106</v>
      </c>
      <c r="B115" s="1590" t="s">
        <v>1241</v>
      </c>
      <c r="C115" s="1591" t="s">
        <v>1300</v>
      </c>
      <c r="D115" s="1591" t="s">
        <v>705</v>
      </c>
      <c r="E115" s="1591" t="s">
        <v>5398</v>
      </c>
      <c r="F115" s="1589" t="s">
        <v>1080</v>
      </c>
      <c r="G115" s="1589">
        <v>110</v>
      </c>
      <c r="H115" s="1589" t="s">
        <v>2160</v>
      </c>
      <c r="I115" s="1589" t="s">
        <v>129</v>
      </c>
      <c r="J115" s="1592" t="s">
        <v>4430</v>
      </c>
      <c r="K115" s="1592" t="s">
        <v>5400</v>
      </c>
      <c r="L115" s="1591" t="s">
        <v>5401</v>
      </c>
      <c r="M115" s="1593">
        <v>44287</v>
      </c>
    </row>
    <row r="116" spans="1:13" s="1329" customFormat="1" ht="15">
      <c r="A116" s="1589">
        <v>107</v>
      </c>
      <c r="B116" s="1590" t="s">
        <v>1241</v>
      </c>
      <c r="C116" s="1591" t="s">
        <v>1300</v>
      </c>
      <c r="D116" s="1591" t="s">
        <v>705</v>
      </c>
      <c r="E116" s="1591" t="s">
        <v>5398</v>
      </c>
      <c r="F116" s="1589" t="s">
        <v>1080</v>
      </c>
      <c r="G116" s="1589">
        <v>118</v>
      </c>
      <c r="H116" s="1589" t="s">
        <v>2208</v>
      </c>
      <c r="I116" s="1589" t="s">
        <v>1895</v>
      </c>
      <c r="J116" s="1592">
        <v>-0.70199387493371368</v>
      </c>
      <c r="K116" s="1592" t="s">
        <v>5400</v>
      </c>
      <c r="L116" s="1591" t="s">
        <v>5401</v>
      </c>
      <c r="M116" s="1593">
        <v>44287</v>
      </c>
    </row>
    <row r="117" spans="1:13" s="1329" customFormat="1" ht="15">
      <c r="A117" s="1589">
        <v>108</v>
      </c>
      <c r="B117" s="1590" t="s">
        <v>1241</v>
      </c>
      <c r="C117" s="1591" t="s">
        <v>1300</v>
      </c>
      <c r="D117" s="1591" t="s">
        <v>705</v>
      </c>
      <c r="E117" s="1591" t="s">
        <v>5398</v>
      </c>
      <c r="F117" s="1589" t="s">
        <v>1080</v>
      </c>
      <c r="G117" s="1589">
        <v>122</v>
      </c>
      <c r="H117" s="1589" t="s">
        <v>2212</v>
      </c>
      <c r="I117" s="1589" t="s">
        <v>1895</v>
      </c>
      <c r="J117" s="1592">
        <v>0.70199387493371368</v>
      </c>
      <c r="K117" s="1592" t="s">
        <v>5400</v>
      </c>
      <c r="L117" s="1591" t="s">
        <v>5401</v>
      </c>
      <c r="M117" s="1593">
        <v>44287</v>
      </c>
    </row>
    <row r="118" spans="1:13" s="1329" customFormat="1" ht="45">
      <c r="A118" s="1589">
        <v>109</v>
      </c>
      <c r="B118" s="1590" t="s">
        <v>1241</v>
      </c>
      <c r="C118" s="1591" t="s">
        <v>1300</v>
      </c>
      <c r="D118" s="1591" t="s">
        <v>705</v>
      </c>
      <c r="E118" s="1591" t="s">
        <v>5398</v>
      </c>
      <c r="F118" s="1589" t="s">
        <v>1080</v>
      </c>
      <c r="G118" s="1589">
        <v>115</v>
      </c>
      <c r="H118" s="1594" t="s">
        <v>2206</v>
      </c>
      <c r="I118" s="1589" t="s">
        <v>1895</v>
      </c>
      <c r="J118" s="1592" t="s">
        <v>5400</v>
      </c>
      <c r="K118" s="1592">
        <v>-0.253</v>
      </c>
      <c r="L118" s="1591" t="s">
        <v>5599</v>
      </c>
      <c r="M118" s="1593">
        <v>44287</v>
      </c>
    </row>
    <row r="119" spans="1:13" s="1329" customFormat="1" ht="15">
      <c r="A119" s="1589">
        <v>110</v>
      </c>
      <c r="B119" s="1590" t="s">
        <v>1241</v>
      </c>
      <c r="C119" s="1591" t="s">
        <v>1293</v>
      </c>
      <c r="D119" s="1591" t="s">
        <v>5407</v>
      </c>
      <c r="E119" s="1591" t="s">
        <v>5398</v>
      </c>
      <c r="F119" s="1589" t="s">
        <v>1080</v>
      </c>
      <c r="G119" s="1589">
        <v>95</v>
      </c>
      <c r="H119" s="1589" t="s">
        <v>2157</v>
      </c>
      <c r="I119" s="1589" t="s">
        <v>1830</v>
      </c>
      <c r="J119" s="1592" t="s">
        <v>5400</v>
      </c>
      <c r="K119" s="1592">
        <v>6.14</v>
      </c>
      <c r="L119" s="1591" t="s">
        <v>5426</v>
      </c>
      <c r="M119" s="1593">
        <v>44287</v>
      </c>
    </row>
    <row r="120" spans="1:13" s="1329" customFormat="1" ht="15">
      <c r="A120" s="1589">
        <v>111</v>
      </c>
      <c r="B120" s="1590" t="s">
        <v>1241</v>
      </c>
      <c r="C120" s="1591" t="s">
        <v>1293</v>
      </c>
      <c r="D120" s="1591" t="s">
        <v>5407</v>
      </c>
      <c r="E120" s="1591" t="s">
        <v>5398</v>
      </c>
      <c r="F120" s="1589" t="s">
        <v>1080</v>
      </c>
      <c r="G120" s="1589">
        <v>95</v>
      </c>
      <c r="H120" s="1589" t="s">
        <v>2157</v>
      </c>
      <c r="I120" s="1589" t="s">
        <v>1840</v>
      </c>
      <c r="J120" s="1592" t="s">
        <v>5400</v>
      </c>
      <c r="K120" s="1592">
        <v>5.3</v>
      </c>
      <c r="L120" s="1591" t="s">
        <v>5426</v>
      </c>
      <c r="M120" s="1593">
        <v>44287</v>
      </c>
    </row>
    <row r="121" spans="1:13" s="1329" customFormat="1" ht="15">
      <c r="A121" s="1589">
        <v>112</v>
      </c>
      <c r="B121" s="1590" t="s">
        <v>1241</v>
      </c>
      <c r="C121" s="1591" t="s">
        <v>1293</v>
      </c>
      <c r="D121" s="1591" t="s">
        <v>5407</v>
      </c>
      <c r="E121" s="1591" t="s">
        <v>5398</v>
      </c>
      <c r="F121" s="1589" t="s">
        <v>1080</v>
      </c>
      <c r="G121" s="1589">
        <v>95</v>
      </c>
      <c r="H121" s="1589" t="s">
        <v>2157</v>
      </c>
      <c r="I121" s="1589" t="s">
        <v>1847</v>
      </c>
      <c r="J121" s="1592" t="s">
        <v>5400</v>
      </c>
      <c r="K121" s="1592">
        <v>4.4800000000000004</v>
      </c>
      <c r="L121" s="1591" t="s">
        <v>5426</v>
      </c>
      <c r="M121" s="1593">
        <v>44287</v>
      </c>
    </row>
    <row r="122" spans="1:13" s="1329" customFormat="1" ht="15">
      <c r="A122" s="1589">
        <v>113</v>
      </c>
      <c r="B122" s="1590" t="s">
        <v>1241</v>
      </c>
      <c r="C122" s="1591" t="s">
        <v>1293</v>
      </c>
      <c r="D122" s="1591" t="s">
        <v>5407</v>
      </c>
      <c r="E122" s="1591" t="s">
        <v>5398</v>
      </c>
      <c r="F122" s="1589" t="s">
        <v>1080</v>
      </c>
      <c r="G122" s="1589">
        <v>95</v>
      </c>
      <c r="H122" s="1589" t="s">
        <v>2157</v>
      </c>
      <c r="I122" s="1589" t="s">
        <v>1853</v>
      </c>
      <c r="J122" s="1592" t="s">
        <v>5400</v>
      </c>
      <c r="K122" s="1592">
        <v>3.64</v>
      </c>
      <c r="L122" s="1591" t="s">
        <v>5426</v>
      </c>
      <c r="M122" s="1593">
        <v>44287</v>
      </c>
    </row>
    <row r="123" spans="1:13" s="1329" customFormat="1" ht="15">
      <c r="A123" s="1589">
        <v>114</v>
      </c>
      <c r="B123" s="1590" t="s">
        <v>1241</v>
      </c>
      <c r="C123" s="1591" t="s">
        <v>1293</v>
      </c>
      <c r="D123" s="1591" t="s">
        <v>5407</v>
      </c>
      <c r="E123" s="1591" t="s">
        <v>5398</v>
      </c>
      <c r="F123" s="1589" t="s">
        <v>1080</v>
      </c>
      <c r="G123" s="1589">
        <v>95</v>
      </c>
      <c r="H123" s="1589" t="s">
        <v>2157</v>
      </c>
      <c r="I123" s="1589" t="s">
        <v>129</v>
      </c>
      <c r="J123" s="1592" t="s">
        <v>5400</v>
      </c>
      <c r="K123" s="1592">
        <v>2.81</v>
      </c>
      <c r="L123" s="1591" t="s">
        <v>5426</v>
      </c>
      <c r="M123" s="1593">
        <v>44287</v>
      </c>
    </row>
    <row r="124" spans="1:13" s="1329" customFormat="1" ht="15">
      <c r="A124" s="1589">
        <v>115</v>
      </c>
      <c r="B124" s="1590" t="s">
        <v>1241</v>
      </c>
      <c r="C124" s="1591" t="s">
        <v>1292</v>
      </c>
      <c r="D124" s="1591" t="s">
        <v>5405</v>
      </c>
      <c r="E124" s="1591" t="s">
        <v>5398</v>
      </c>
      <c r="F124" s="1589" t="s">
        <v>1080</v>
      </c>
      <c r="G124" s="1589">
        <v>95</v>
      </c>
      <c r="H124" s="1589" t="s">
        <v>2157</v>
      </c>
      <c r="I124" s="1589" t="s">
        <v>1830</v>
      </c>
      <c r="J124" s="1592" t="s">
        <v>5400</v>
      </c>
      <c r="K124" s="1592">
        <v>196.1</v>
      </c>
      <c r="L124" s="1591" t="s">
        <v>5406</v>
      </c>
      <c r="M124" s="1593">
        <v>44287</v>
      </c>
    </row>
    <row r="125" spans="1:13" s="1329" customFormat="1" ht="15">
      <c r="A125" s="1589">
        <v>116</v>
      </c>
      <c r="B125" s="1590" t="s">
        <v>1241</v>
      </c>
      <c r="C125" s="1591" t="s">
        <v>1292</v>
      </c>
      <c r="D125" s="1591" t="s">
        <v>5405</v>
      </c>
      <c r="E125" s="1591" t="s">
        <v>5398</v>
      </c>
      <c r="F125" s="1589" t="s">
        <v>1080</v>
      </c>
      <c r="G125" s="1589">
        <v>95</v>
      </c>
      <c r="H125" s="1589" t="s">
        <v>2157</v>
      </c>
      <c r="I125" s="1589" t="s">
        <v>1840</v>
      </c>
      <c r="J125" s="1592" t="s">
        <v>5400</v>
      </c>
      <c r="K125" s="1592">
        <v>193.6</v>
      </c>
      <c r="L125" s="1591" t="s">
        <v>5406</v>
      </c>
      <c r="M125" s="1593">
        <v>44287</v>
      </c>
    </row>
    <row r="126" spans="1:13" s="1329" customFormat="1" ht="15">
      <c r="A126" s="1589">
        <v>117</v>
      </c>
      <c r="B126" s="1590" t="s">
        <v>1241</v>
      </c>
      <c r="C126" s="1591" t="s">
        <v>1292</v>
      </c>
      <c r="D126" s="1591" t="s">
        <v>5405</v>
      </c>
      <c r="E126" s="1591" t="s">
        <v>5398</v>
      </c>
      <c r="F126" s="1589" t="s">
        <v>1080</v>
      </c>
      <c r="G126" s="1589">
        <v>95</v>
      </c>
      <c r="H126" s="1589" t="s">
        <v>2157</v>
      </c>
      <c r="I126" s="1589" t="s">
        <v>1847</v>
      </c>
      <c r="J126" s="1592" t="s">
        <v>5400</v>
      </c>
      <c r="K126" s="1592">
        <v>191</v>
      </c>
      <c r="L126" s="1591" t="s">
        <v>5406</v>
      </c>
      <c r="M126" s="1593">
        <v>44287</v>
      </c>
    </row>
    <row r="127" spans="1:13" s="1329" customFormat="1" ht="15">
      <c r="A127" s="1589">
        <v>118</v>
      </c>
      <c r="B127" s="1590" t="s">
        <v>1241</v>
      </c>
      <c r="C127" s="1591" t="s">
        <v>1292</v>
      </c>
      <c r="D127" s="1591" t="s">
        <v>5405</v>
      </c>
      <c r="E127" s="1591" t="s">
        <v>5398</v>
      </c>
      <c r="F127" s="1589" t="s">
        <v>1080</v>
      </c>
      <c r="G127" s="1589">
        <v>95</v>
      </c>
      <c r="H127" s="1589" t="s">
        <v>2157</v>
      </c>
      <c r="I127" s="1589" t="s">
        <v>1853</v>
      </c>
      <c r="J127" s="1592" t="s">
        <v>5400</v>
      </c>
      <c r="K127" s="1592">
        <v>188.4</v>
      </c>
      <c r="L127" s="1591" t="s">
        <v>5406</v>
      </c>
      <c r="M127" s="1593">
        <v>44287</v>
      </c>
    </row>
    <row r="128" spans="1:13" s="1329" customFormat="1" ht="15">
      <c r="A128" s="1589">
        <v>119</v>
      </c>
      <c r="B128" s="1590" t="s">
        <v>1241</v>
      </c>
      <c r="C128" s="1591" t="s">
        <v>1292</v>
      </c>
      <c r="D128" s="1591" t="s">
        <v>5405</v>
      </c>
      <c r="E128" s="1591" t="s">
        <v>5398</v>
      </c>
      <c r="F128" s="1589" t="s">
        <v>1080</v>
      </c>
      <c r="G128" s="1589">
        <v>95</v>
      </c>
      <c r="H128" s="1589" t="s">
        <v>2157</v>
      </c>
      <c r="I128" s="1589" t="s">
        <v>129</v>
      </c>
      <c r="J128" s="1592" t="s">
        <v>5400</v>
      </c>
      <c r="K128" s="1592">
        <v>185.8</v>
      </c>
      <c r="L128" s="1591" t="s">
        <v>5406</v>
      </c>
      <c r="M128" s="1593">
        <v>44287</v>
      </c>
    </row>
    <row r="129" spans="1:13" s="1329" customFormat="1" ht="15">
      <c r="A129" s="1589">
        <v>120</v>
      </c>
      <c r="B129" s="1590" t="s">
        <v>1241</v>
      </c>
      <c r="C129" s="1591" t="s">
        <v>1234</v>
      </c>
      <c r="D129" s="1591" t="s">
        <v>784</v>
      </c>
      <c r="E129" s="1591" t="s">
        <v>5398</v>
      </c>
      <c r="F129" s="1589" t="s">
        <v>1080</v>
      </c>
      <c r="G129" s="1589">
        <v>90</v>
      </c>
      <c r="H129" s="1589" t="s">
        <v>2156</v>
      </c>
      <c r="I129" s="1589" t="s">
        <v>1830</v>
      </c>
      <c r="J129" s="1600">
        <v>2.75</v>
      </c>
      <c r="K129" s="1600">
        <v>2.75</v>
      </c>
      <c r="L129" s="1591" t="s">
        <v>5600</v>
      </c>
      <c r="M129" s="1593">
        <v>44287</v>
      </c>
    </row>
    <row r="130" spans="1:13" s="1329" customFormat="1" ht="15">
      <c r="A130" s="1589">
        <v>121</v>
      </c>
      <c r="B130" s="1590" t="s">
        <v>1241</v>
      </c>
      <c r="C130" s="1591" t="s">
        <v>1234</v>
      </c>
      <c r="D130" s="1591" t="s">
        <v>784</v>
      </c>
      <c r="E130" s="1591" t="s">
        <v>5398</v>
      </c>
      <c r="F130" s="1589" t="s">
        <v>1080</v>
      </c>
      <c r="G130" s="1589">
        <v>90</v>
      </c>
      <c r="H130" s="1589" t="s">
        <v>2156</v>
      </c>
      <c r="I130" s="1589" t="s">
        <v>1840</v>
      </c>
      <c r="J130" s="1600">
        <v>3</v>
      </c>
      <c r="K130" s="1600">
        <v>3.2</v>
      </c>
      <c r="L130" s="1591" t="s">
        <v>5600</v>
      </c>
      <c r="M130" s="1593">
        <v>44287</v>
      </c>
    </row>
    <row r="131" spans="1:13" s="1329" customFormat="1" ht="15">
      <c r="A131" s="1589">
        <v>122</v>
      </c>
      <c r="B131" s="1590" t="s">
        <v>1241</v>
      </c>
      <c r="C131" s="1591" t="s">
        <v>1234</v>
      </c>
      <c r="D131" s="1591" t="s">
        <v>784</v>
      </c>
      <c r="E131" s="1591" t="s">
        <v>5398</v>
      </c>
      <c r="F131" s="1589" t="s">
        <v>1080</v>
      </c>
      <c r="G131" s="1589">
        <v>90</v>
      </c>
      <c r="H131" s="1589" t="s">
        <v>2156</v>
      </c>
      <c r="I131" s="1589" t="s">
        <v>1847</v>
      </c>
      <c r="J131" s="1600">
        <v>3.4</v>
      </c>
      <c r="K131" s="1600">
        <v>3.8</v>
      </c>
      <c r="L131" s="1591" t="s">
        <v>5600</v>
      </c>
      <c r="M131" s="1593">
        <v>44287</v>
      </c>
    </row>
    <row r="132" spans="1:13" s="1329" customFormat="1" ht="15">
      <c r="A132" s="1589">
        <v>123</v>
      </c>
      <c r="B132" s="1590" t="s">
        <v>1241</v>
      </c>
      <c r="C132" s="1591" t="s">
        <v>1234</v>
      </c>
      <c r="D132" s="1591" t="s">
        <v>784</v>
      </c>
      <c r="E132" s="1591" t="s">
        <v>5398</v>
      </c>
      <c r="F132" s="1589" t="s">
        <v>1080</v>
      </c>
      <c r="G132" s="1589">
        <v>90</v>
      </c>
      <c r="H132" s="1589" t="s">
        <v>2156</v>
      </c>
      <c r="I132" s="1589" t="s">
        <v>1853</v>
      </c>
      <c r="J132" s="1600">
        <v>3.6</v>
      </c>
      <c r="K132" s="1600">
        <v>4.3</v>
      </c>
      <c r="L132" s="1591" t="s">
        <v>5600</v>
      </c>
      <c r="M132" s="1593">
        <v>44287</v>
      </c>
    </row>
    <row r="133" spans="1:13" s="1329" customFormat="1" ht="15">
      <c r="A133" s="1589">
        <v>124</v>
      </c>
      <c r="B133" s="1590" t="s">
        <v>1241</v>
      </c>
      <c r="C133" s="1591" t="s">
        <v>1234</v>
      </c>
      <c r="D133" s="1591" t="s">
        <v>784</v>
      </c>
      <c r="E133" s="1591" t="s">
        <v>5398</v>
      </c>
      <c r="F133" s="1589" t="s">
        <v>1080</v>
      </c>
      <c r="G133" s="1589">
        <v>90</v>
      </c>
      <c r="H133" s="1589" t="s">
        <v>2156</v>
      </c>
      <c r="I133" s="1589" t="s">
        <v>129</v>
      </c>
      <c r="J133" s="1600">
        <v>4</v>
      </c>
      <c r="K133" s="1600">
        <v>4.9000000000000004</v>
      </c>
      <c r="L133" s="1591" t="s">
        <v>5600</v>
      </c>
      <c r="M133" s="1593">
        <v>44287</v>
      </c>
    </row>
    <row r="134" spans="1:13" s="1329" customFormat="1" ht="60">
      <c r="A134" s="1595">
        <v>125</v>
      </c>
      <c r="B134" s="1596" t="s">
        <v>1241</v>
      </c>
      <c r="C134" s="1597" t="s">
        <v>1300</v>
      </c>
      <c r="D134" s="1597" t="s">
        <v>705</v>
      </c>
      <c r="E134" s="1597" t="s">
        <v>913</v>
      </c>
      <c r="F134" s="1595" t="s">
        <v>1080</v>
      </c>
      <c r="G134" s="1595">
        <v>41</v>
      </c>
      <c r="H134" s="1595" t="s">
        <v>2045</v>
      </c>
      <c r="I134" s="1595" t="s">
        <v>1895</v>
      </c>
      <c r="J134" s="1598" t="s">
        <v>1838</v>
      </c>
      <c r="K134" s="1598" t="s">
        <v>1828</v>
      </c>
      <c r="L134" s="1597" t="s">
        <v>5596</v>
      </c>
      <c r="M134" s="1599">
        <v>44225</v>
      </c>
    </row>
    <row r="135" spans="1:13" s="1329" customFormat="1" ht="60">
      <c r="A135" s="1595">
        <v>126</v>
      </c>
      <c r="B135" s="1596" t="s">
        <v>1241</v>
      </c>
      <c r="C135" s="1597" t="s">
        <v>1298</v>
      </c>
      <c r="D135" s="1597" t="s">
        <v>1084</v>
      </c>
      <c r="E135" s="1597" t="s">
        <v>913</v>
      </c>
      <c r="F135" s="1595" t="s">
        <v>1080</v>
      </c>
      <c r="G135" s="1595">
        <v>41</v>
      </c>
      <c r="H135" s="1595" t="s">
        <v>2045</v>
      </c>
      <c r="I135" s="1595" t="s">
        <v>1895</v>
      </c>
      <c r="J135" s="1598" t="s">
        <v>1838</v>
      </c>
      <c r="K135" s="1598" t="s">
        <v>1828</v>
      </c>
      <c r="L135" s="1597" t="s">
        <v>5597</v>
      </c>
      <c r="M135" s="1599">
        <v>44225</v>
      </c>
    </row>
    <row r="136" spans="1:13" s="1329" customFormat="1" ht="60">
      <c r="A136" s="1595">
        <v>127</v>
      </c>
      <c r="B136" s="1596" t="s">
        <v>1251</v>
      </c>
      <c r="C136" s="1597" t="s">
        <v>1091</v>
      </c>
      <c r="D136" s="1597" t="s">
        <v>705</v>
      </c>
      <c r="E136" s="1597" t="s">
        <v>913</v>
      </c>
      <c r="F136" s="1595" t="s">
        <v>1080</v>
      </c>
      <c r="G136" s="1595">
        <v>41</v>
      </c>
      <c r="H136" s="1595" t="s">
        <v>2045</v>
      </c>
      <c r="I136" s="1595" t="s">
        <v>1895</v>
      </c>
      <c r="J136" s="1598" t="s">
        <v>1838</v>
      </c>
      <c r="K136" s="1598" t="s">
        <v>1828</v>
      </c>
      <c r="L136" s="1597" t="s">
        <v>5596</v>
      </c>
      <c r="M136" s="1599">
        <v>44225</v>
      </c>
    </row>
    <row r="137" spans="1:13" s="1329" customFormat="1" ht="60">
      <c r="A137" s="1595">
        <v>128</v>
      </c>
      <c r="B137" s="1596" t="s">
        <v>1251</v>
      </c>
      <c r="C137" s="1597" t="s">
        <v>1092</v>
      </c>
      <c r="D137" s="1597" t="s">
        <v>1084</v>
      </c>
      <c r="E137" s="1597" t="s">
        <v>913</v>
      </c>
      <c r="F137" s="1595" t="s">
        <v>1080</v>
      </c>
      <c r="G137" s="1595">
        <v>41</v>
      </c>
      <c r="H137" s="1595" t="s">
        <v>2045</v>
      </c>
      <c r="I137" s="1595" t="s">
        <v>1895</v>
      </c>
      <c r="J137" s="1598" t="s">
        <v>1838</v>
      </c>
      <c r="K137" s="1598" t="s">
        <v>1828</v>
      </c>
      <c r="L137" s="1597" t="s">
        <v>5597</v>
      </c>
      <c r="M137" s="1599">
        <v>44225</v>
      </c>
    </row>
    <row r="138" spans="1:13" s="1329" customFormat="1" ht="60">
      <c r="A138" s="1595">
        <v>129</v>
      </c>
      <c r="B138" s="1596" t="s">
        <v>1130</v>
      </c>
      <c r="C138" s="1597" t="s">
        <v>1133</v>
      </c>
      <c r="D138" s="1597" t="s">
        <v>705</v>
      </c>
      <c r="E138" s="1597" t="s">
        <v>913</v>
      </c>
      <c r="F138" s="1595" t="s">
        <v>1080</v>
      </c>
      <c r="G138" s="1595">
        <v>41</v>
      </c>
      <c r="H138" s="1595" t="s">
        <v>2045</v>
      </c>
      <c r="I138" s="1595" t="s">
        <v>1895</v>
      </c>
      <c r="J138" s="1598" t="s">
        <v>1838</v>
      </c>
      <c r="K138" s="1598" t="s">
        <v>1828</v>
      </c>
      <c r="L138" s="1597" t="s">
        <v>5596</v>
      </c>
      <c r="M138" s="1599">
        <v>44225</v>
      </c>
    </row>
    <row r="139" spans="1:13" s="1329" customFormat="1" ht="60">
      <c r="A139" s="1595">
        <v>130</v>
      </c>
      <c r="B139" s="1596" t="s">
        <v>1130</v>
      </c>
      <c r="C139" s="1597" t="s">
        <v>1134</v>
      </c>
      <c r="D139" s="1597" t="s">
        <v>1084</v>
      </c>
      <c r="E139" s="1597" t="s">
        <v>913</v>
      </c>
      <c r="F139" s="1595" t="s">
        <v>1080</v>
      </c>
      <c r="G139" s="1595">
        <v>41</v>
      </c>
      <c r="H139" s="1595" t="s">
        <v>2045</v>
      </c>
      <c r="I139" s="1595" t="s">
        <v>1895</v>
      </c>
      <c r="J139" s="1598" t="s">
        <v>1838</v>
      </c>
      <c r="K139" s="1598" t="s">
        <v>1828</v>
      </c>
      <c r="L139" s="1597" t="s">
        <v>5597</v>
      </c>
      <c r="M139" s="1599">
        <v>44225</v>
      </c>
    </row>
    <row r="140" spans="1:13" s="1329" customFormat="1" ht="60">
      <c r="A140" s="1595">
        <v>131</v>
      </c>
      <c r="B140" s="1596" t="s">
        <v>1269</v>
      </c>
      <c r="C140" s="1597" t="s">
        <v>1174</v>
      </c>
      <c r="D140" s="1597" t="s">
        <v>705</v>
      </c>
      <c r="E140" s="1597" t="s">
        <v>913</v>
      </c>
      <c r="F140" s="1595" t="s">
        <v>1080</v>
      </c>
      <c r="G140" s="1595">
        <v>41</v>
      </c>
      <c r="H140" s="1595" t="s">
        <v>2045</v>
      </c>
      <c r="I140" s="1595" t="s">
        <v>1895</v>
      </c>
      <c r="J140" s="1598" t="s">
        <v>1838</v>
      </c>
      <c r="K140" s="1598" t="s">
        <v>1828</v>
      </c>
      <c r="L140" s="1597" t="s">
        <v>5596</v>
      </c>
      <c r="M140" s="1599">
        <v>44225</v>
      </c>
    </row>
    <row r="141" spans="1:13" s="1329" customFormat="1" ht="60">
      <c r="A141" s="1595">
        <v>132</v>
      </c>
      <c r="B141" s="1596" t="s">
        <v>1269</v>
      </c>
      <c r="C141" s="1597" t="s">
        <v>1161</v>
      </c>
      <c r="D141" s="1597" t="s">
        <v>1084</v>
      </c>
      <c r="E141" s="1597" t="s">
        <v>913</v>
      </c>
      <c r="F141" s="1595" t="s">
        <v>1080</v>
      </c>
      <c r="G141" s="1595">
        <v>41</v>
      </c>
      <c r="H141" s="1595" t="s">
        <v>2045</v>
      </c>
      <c r="I141" s="1595" t="s">
        <v>1895</v>
      </c>
      <c r="J141" s="1598" t="s">
        <v>1838</v>
      </c>
      <c r="K141" s="1598" t="s">
        <v>1828</v>
      </c>
      <c r="L141" s="1597" t="s">
        <v>5597</v>
      </c>
      <c r="M141" s="1599">
        <v>44225</v>
      </c>
    </row>
    <row r="142" spans="1:13" s="1329" customFormat="1" ht="60">
      <c r="A142" s="1595">
        <v>133</v>
      </c>
      <c r="B142" s="1596" t="s">
        <v>1296</v>
      </c>
      <c r="C142" s="1597" t="s">
        <v>1188</v>
      </c>
      <c r="D142" s="1597" t="s">
        <v>705</v>
      </c>
      <c r="E142" s="1597" t="s">
        <v>913</v>
      </c>
      <c r="F142" s="1595" t="s">
        <v>1080</v>
      </c>
      <c r="G142" s="1595">
        <v>41</v>
      </c>
      <c r="H142" s="1595" t="s">
        <v>2045</v>
      </c>
      <c r="I142" s="1595" t="s">
        <v>1895</v>
      </c>
      <c r="J142" s="1598" t="s">
        <v>1838</v>
      </c>
      <c r="K142" s="1598" t="s">
        <v>1828</v>
      </c>
      <c r="L142" s="1597" t="s">
        <v>5596</v>
      </c>
      <c r="M142" s="1599">
        <v>44225</v>
      </c>
    </row>
    <row r="143" spans="1:13" s="1329" customFormat="1" ht="60">
      <c r="A143" s="1595">
        <v>134</v>
      </c>
      <c r="B143" s="1596" t="s">
        <v>1296</v>
      </c>
      <c r="C143" s="1597" t="s">
        <v>1175</v>
      </c>
      <c r="D143" s="1597" t="s">
        <v>1084</v>
      </c>
      <c r="E143" s="1597" t="s">
        <v>913</v>
      </c>
      <c r="F143" s="1595" t="s">
        <v>1080</v>
      </c>
      <c r="G143" s="1595">
        <v>41</v>
      </c>
      <c r="H143" s="1595" t="s">
        <v>2045</v>
      </c>
      <c r="I143" s="1595" t="s">
        <v>1895</v>
      </c>
      <c r="J143" s="1598" t="s">
        <v>1838</v>
      </c>
      <c r="K143" s="1598" t="s">
        <v>1828</v>
      </c>
      <c r="L143" s="1597" t="s">
        <v>5597</v>
      </c>
      <c r="M143" s="1599">
        <v>44225</v>
      </c>
    </row>
    <row r="144" spans="1:13" s="1329" customFormat="1" ht="60">
      <c r="A144" s="1595">
        <v>135</v>
      </c>
      <c r="B144" s="1596" t="s">
        <v>1278</v>
      </c>
      <c r="C144" s="1597" t="s">
        <v>1202</v>
      </c>
      <c r="D144" s="1597" t="s">
        <v>705</v>
      </c>
      <c r="E144" s="1597" t="s">
        <v>913</v>
      </c>
      <c r="F144" s="1595" t="s">
        <v>1080</v>
      </c>
      <c r="G144" s="1595">
        <v>41</v>
      </c>
      <c r="H144" s="1595" t="s">
        <v>2045</v>
      </c>
      <c r="I144" s="1595" t="s">
        <v>1895</v>
      </c>
      <c r="J144" s="1598" t="s">
        <v>1838</v>
      </c>
      <c r="K144" s="1598" t="s">
        <v>1828</v>
      </c>
      <c r="L144" s="1597" t="s">
        <v>5596</v>
      </c>
      <c r="M144" s="1599">
        <v>44225</v>
      </c>
    </row>
    <row r="145" spans="1:13" s="1329" customFormat="1" ht="60">
      <c r="A145" s="1595">
        <v>136</v>
      </c>
      <c r="B145" s="1596" t="s">
        <v>1278</v>
      </c>
      <c r="C145" s="1597" t="s">
        <v>1189</v>
      </c>
      <c r="D145" s="1597" t="s">
        <v>1084</v>
      </c>
      <c r="E145" s="1597" t="s">
        <v>913</v>
      </c>
      <c r="F145" s="1595" t="s">
        <v>1080</v>
      </c>
      <c r="G145" s="1595">
        <v>41</v>
      </c>
      <c r="H145" s="1595" t="s">
        <v>2045</v>
      </c>
      <c r="I145" s="1595" t="s">
        <v>1895</v>
      </c>
      <c r="J145" s="1598" t="s">
        <v>1838</v>
      </c>
      <c r="K145" s="1598" t="s">
        <v>1828</v>
      </c>
      <c r="L145" s="1597" t="s">
        <v>5597</v>
      </c>
      <c r="M145" s="1599">
        <v>44225</v>
      </c>
    </row>
    <row r="146" spans="1:13" s="1329" customFormat="1" ht="60">
      <c r="A146" s="1595">
        <v>137</v>
      </c>
      <c r="B146" s="1596" t="s">
        <v>1185</v>
      </c>
      <c r="C146" s="1597" t="s">
        <v>1216</v>
      </c>
      <c r="D146" s="1597" t="s">
        <v>705</v>
      </c>
      <c r="E146" s="1597" t="s">
        <v>913</v>
      </c>
      <c r="F146" s="1595" t="s">
        <v>1080</v>
      </c>
      <c r="G146" s="1595">
        <v>41</v>
      </c>
      <c r="H146" s="1595" t="s">
        <v>2045</v>
      </c>
      <c r="I146" s="1595" t="s">
        <v>1895</v>
      </c>
      <c r="J146" s="1598" t="s">
        <v>1838</v>
      </c>
      <c r="K146" s="1598" t="s">
        <v>1828</v>
      </c>
      <c r="L146" s="1597" t="s">
        <v>5596</v>
      </c>
      <c r="M146" s="1599">
        <v>44225</v>
      </c>
    </row>
    <row r="147" spans="1:13" s="1329" customFormat="1" ht="60">
      <c r="A147" s="1595">
        <v>138</v>
      </c>
      <c r="B147" s="1596" t="s">
        <v>1185</v>
      </c>
      <c r="C147" s="1597" t="s">
        <v>1203</v>
      </c>
      <c r="D147" s="1597" t="s">
        <v>1084</v>
      </c>
      <c r="E147" s="1597" t="s">
        <v>913</v>
      </c>
      <c r="F147" s="1595" t="s">
        <v>1080</v>
      </c>
      <c r="G147" s="1595">
        <v>41</v>
      </c>
      <c r="H147" s="1595" t="s">
        <v>2045</v>
      </c>
      <c r="I147" s="1595" t="s">
        <v>1895</v>
      </c>
      <c r="J147" s="1598" t="s">
        <v>1838</v>
      </c>
      <c r="K147" s="1598" t="s">
        <v>1828</v>
      </c>
      <c r="L147" s="1597" t="s">
        <v>5597</v>
      </c>
      <c r="M147" s="1599">
        <v>44225</v>
      </c>
    </row>
    <row r="148" spans="1:13" s="1329" customFormat="1" ht="30">
      <c r="A148" s="1595">
        <v>139</v>
      </c>
      <c r="B148" s="1596" t="s">
        <v>1287</v>
      </c>
      <c r="C148" s="1597" t="s">
        <v>1364</v>
      </c>
      <c r="D148" s="1597" t="s">
        <v>3343</v>
      </c>
      <c r="E148" s="1597" t="s">
        <v>913</v>
      </c>
      <c r="F148" s="1595" t="s">
        <v>1080</v>
      </c>
      <c r="G148" s="1595">
        <v>38</v>
      </c>
      <c r="H148" s="1595" t="s">
        <v>2171</v>
      </c>
      <c r="I148" s="1595" t="s">
        <v>1895</v>
      </c>
      <c r="J148" s="1598" t="s">
        <v>1897</v>
      </c>
      <c r="K148" s="1598" t="s">
        <v>2439</v>
      </c>
      <c r="L148" s="1597" t="s">
        <v>5443</v>
      </c>
      <c r="M148" s="1599">
        <v>44225</v>
      </c>
    </row>
    <row r="149" spans="1:13" s="1329" customFormat="1" ht="60">
      <c r="A149" s="1595">
        <v>140</v>
      </c>
      <c r="B149" s="1596" t="s">
        <v>1287</v>
      </c>
      <c r="C149" s="1597" t="s">
        <v>1230</v>
      </c>
      <c r="D149" s="1597" t="s">
        <v>705</v>
      </c>
      <c r="E149" s="1597" t="s">
        <v>913</v>
      </c>
      <c r="F149" s="1595" t="s">
        <v>1080</v>
      </c>
      <c r="G149" s="1595">
        <v>41</v>
      </c>
      <c r="H149" s="1595" t="s">
        <v>2045</v>
      </c>
      <c r="I149" s="1595" t="s">
        <v>1895</v>
      </c>
      <c r="J149" s="1598" t="s">
        <v>1838</v>
      </c>
      <c r="K149" s="1598" t="s">
        <v>1828</v>
      </c>
      <c r="L149" s="1597" t="s">
        <v>5596</v>
      </c>
      <c r="M149" s="1599">
        <v>44225</v>
      </c>
    </row>
    <row r="150" spans="1:13" s="1329" customFormat="1" ht="60">
      <c r="A150" s="1595">
        <v>141</v>
      </c>
      <c r="B150" s="1596" t="s">
        <v>1287</v>
      </c>
      <c r="C150" s="1597" t="s">
        <v>1244</v>
      </c>
      <c r="D150" s="1597" t="s">
        <v>705</v>
      </c>
      <c r="E150" s="1597" t="s">
        <v>913</v>
      </c>
      <c r="F150" s="1595" t="s">
        <v>1080</v>
      </c>
      <c r="G150" s="1595">
        <v>41</v>
      </c>
      <c r="H150" s="1595" t="s">
        <v>2045</v>
      </c>
      <c r="I150" s="1595" t="s">
        <v>1895</v>
      </c>
      <c r="J150" s="1598" t="s">
        <v>1838</v>
      </c>
      <c r="K150" s="1598" t="s">
        <v>1828</v>
      </c>
      <c r="L150" s="1597" t="s">
        <v>5596</v>
      </c>
      <c r="M150" s="1599">
        <v>44225</v>
      </c>
    </row>
    <row r="151" spans="1:13" s="1329" customFormat="1" ht="60">
      <c r="A151" s="1595">
        <v>142</v>
      </c>
      <c r="B151" s="1596" t="s">
        <v>1287</v>
      </c>
      <c r="C151" s="1597" t="s">
        <v>1217</v>
      </c>
      <c r="D151" s="1597" t="s">
        <v>1084</v>
      </c>
      <c r="E151" s="1597" t="s">
        <v>913</v>
      </c>
      <c r="F151" s="1595" t="s">
        <v>1080</v>
      </c>
      <c r="G151" s="1595">
        <v>41</v>
      </c>
      <c r="H151" s="1595" t="s">
        <v>2045</v>
      </c>
      <c r="I151" s="1595" t="s">
        <v>1895</v>
      </c>
      <c r="J151" s="1598" t="s">
        <v>1838</v>
      </c>
      <c r="K151" s="1598" t="s">
        <v>1828</v>
      </c>
      <c r="L151" s="1597" t="s">
        <v>5597</v>
      </c>
      <c r="M151" s="1599">
        <v>44225</v>
      </c>
    </row>
    <row r="152" spans="1:13" s="1329" customFormat="1" ht="60">
      <c r="A152" s="1595">
        <v>143</v>
      </c>
      <c r="B152" s="1596" t="s">
        <v>1287</v>
      </c>
      <c r="C152" s="1597" t="s">
        <v>1231</v>
      </c>
      <c r="D152" s="1597" t="s">
        <v>1084</v>
      </c>
      <c r="E152" s="1597" t="s">
        <v>913</v>
      </c>
      <c r="F152" s="1595" t="s">
        <v>1080</v>
      </c>
      <c r="G152" s="1595">
        <v>41</v>
      </c>
      <c r="H152" s="1595" t="s">
        <v>2045</v>
      </c>
      <c r="I152" s="1595" t="s">
        <v>1895</v>
      </c>
      <c r="J152" s="1598" t="s">
        <v>1838</v>
      </c>
      <c r="K152" s="1598" t="s">
        <v>1828</v>
      </c>
      <c r="L152" s="1597" t="s">
        <v>5597</v>
      </c>
      <c r="M152" s="1599">
        <v>44225</v>
      </c>
    </row>
    <row r="153" spans="1:13" s="1329" customFormat="1" ht="60">
      <c r="A153" s="1595">
        <v>144</v>
      </c>
      <c r="B153" s="1596" t="s">
        <v>1157</v>
      </c>
      <c r="C153" s="1597" t="s">
        <v>1254</v>
      </c>
      <c r="D153" s="1597" t="s">
        <v>705</v>
      </c>
      <c r="E153" s="1597" t="s">
        <v>913</v>
      </c>
      <c r="F153" s="1595" t="s">
        <v>1080</v>
      </c>
      <c r="G153" s="1595">
        <v>41</v>
      </c>
      <c r="H153" s="1595" t="s">
        <v>2045</v>
      </c>
      <c r="I153" s="1595" t="s">
        <v>1895</v>
      </c>
      <c r="J153" s="1598" t="s">
        <v>1838</v>
      </c>
      <c r="K153" s="1598" t="s">
        <v>1828</v>
      </c>
      <c r="L153" s="1597" t="s">
        <v>5596</v>
      </c>
      <c r="M153" s="1599">
        <v>44225</v>
      </c>
    </row>
    <row r="154" spans="1:13" s="1329" customFormat="1" ht="60">
      <c r="A154" s="1595">
        <v>145</v>
      </c>
      <c r="B154" s="1596" t="s">
        <v>1157</v>
      </c>
      <c r="C154" s="1597" t="s">
        <v>1245</v>
      </c>
      <c r="D154" s="1597" t="s">
        <v>1084</v>
      </c>
      <c r="E154" s="1597" t="s">
        <v>913</v>
      </c>
      <c r="F154" s="1595" t="s">
        <v>1080</v>
      </c>
      <c r="G154" s="1595">
        <v>41</v>
      </c>
      <c r="H154" s="1595" t="s">
        <v>2045</v>
      </c>
      <c r="I154" s="1595" t="s">
        <v>1895</v>
      </c>
      <c r="J154" s="1598" t="s">
        <v>1838</v>
      </c>
      <c r="K154" s="1598" t="s">
        <v>1828</v>
      </c>
      <c r="L154" s="1597" t="s">
        <v>5597</v>
      </c>
      <c r="M154" s="1599">
        <v>44225</v>
      </c>
    </row>
    <row r="155" spans="1:13" s="1329" customFormat="1" ht="60">
      <c r="A155" s="1595">
        <v>146</v>
      </c>
      <c r="B155" s="1596" t="s">
        <v>1171</v>
      </c>
      <c r="C155" s="1597" t="s">
        <v>1255</v>
      </c>
      <c r="D155" s="1597" t="s">
        <v>1084</v>
      </c>
      <c r="E155" s="1597" t="s">
        <v>913</v>
      </c>
      <c r="F155" s="1595" t="s">
        <v>1080</v>
      </c>
      <c r="G155" s="1595">
        <v>41</v>
      </c>
      <c r="H155" s="1595" t="s">
        <v>2045</v>
      </c>
      <c r="I155" s="1595" t="s">
        <v>1895</v>
      </c>
      <c r="J155" s="1598" t="s">
        <v>1838</v>
      </c>
      <c r="K155" s="1598" t="s">
        <v>1828</v>
      </c>
      <c r="L155" s="1597" t="s">
        <v>5597</v>
      </c>
      <c r="M155" s="1599">
        <v>44225</v>
      </c>
    </row>
    <row r="156" spans="1:13" s="1329" customFormat="1" ht="60">
      <c r="A156" s="1595">
        <v>147</v>
      </c>
      <c r="B156" s="1596" t="s">
        <v>1199</v>
      </c>
      <c r="C156" s="1597" t="s">
        <v>1272</v>
      </c>
      <c r="D156" s="1597" t="s">
        <v>705</v>
      </c>
      <c r="E156" s="1597" t="s">
        <v>913</v>
      </c>
      <c r="F156" s="1595" t="s">
        <v>1080</v>
      </c>
      <c r="G156" s="1595">
        <v>41</v>
      </c>
      <c r="H156" s="1595" t="s">
        <v>2045</v>
      </c>
      <c r="I156" s="1595" t="s">
        <v>1895</v>
      </c>
      <c r="J156" s="1598" t="s">
        <v>1838</v>
      </c>
      <c r="K156" s="1598" t="s">
        <v>1828</v>
      </c>
      <c r="L156" s="1597" t="s">
        <v>5596</v>
      </c>
      <c r="M156" s="1599">
        <v>44225</v>
      </c>
    </row>
    <row r="157" spans="1:13" s="1329" customFormat="1" ht="60">
      <c r="A157" s="1595">
        <v>148</v>
      </c>
      <c r="B157" s="1596" t="s">
        <v>1199</v>
      </c>
      <c r="C157" s="1597" t="s">
        <v>1264</v>
      </c>
      <c r="D157" s="1597" t="s">
        <v>1084</v>
      </c>
      <c r="E157" s="1597" t="s">
        <v>913</v>
      </c>
      <c r="F157" s="1595" t="s">
        <v>1080</v>
      </c>
      <c r="G157" s="1595">
        <v>41</v>
      </c>
      <c r="H157" s="1595" t="s">
        <v>2045</v>
      </c>
      <c r="I157" s="1595" t="s">
        <v>1895</v>
      </c>
      <c r="J157" s="1598" t="s">
        <v>1838</v>
      </c>
      <c r="K157" s="1598" t="s">
        <v>1828</v>
      </c>
      <c r="L157" s="1597" t="s">
        <v>5597</v>
      </c>
      <c r="M157" s="1599">
        <v>44225</v>
      </c>
    </row>
    <row r="158" spans="1:13" s="1329" customFormat="1" ht="15">
      <c r="A158" s="1595">
        <v>149</v>
      </c>
      <c r="B158" s="1596" t="s">
        <v>1199</v>
      </c>
      <c r="C158" s="1597" t="s">
        <v>1533</v>
      </c>
      <c r="D158" s="1597" t="s">
        <v>3756</v>
      </c>
      <c r="E158" s="1597" t="s">
        <v>913</v>
      </c>
      <c r="F158" s="1595" t="s">
        <v>1080</v>
      </c>
      <c r="G158" s="1595">
        <v>80</v>
      </c>
      <c r="H158" s="1595" t="s">
        <v>1816</v>
      </c>
      <c r="I158" s="1595" t="s">
        <v>1830</v>
      </c>
      <c r="J158" s="1598" t="s">
        <v>5400</v>
      </c>
      <c r="K158" s="1598" t="s">
        <v>210</v>
      </c>
      <c r="L158" s="1597" t="s">
        <v>5601</v>
      </c>
      <c r="M158" s="1599">
        <v>44225</v>
      </c>
    </row>
    <row r="159" spans="1:13" s="1329" customFormat="1" ht="15">
      <c r="A159" s="1595">
        <v>150</v>
      </c>
      <c r="B159" s="1596" t="s">
        <v>1199</v>
      </c>
      <c r="C159" s="1597" t="s">
        <v>1533</v>
      </c>
      <c r="D159" s="1597" t="s">
        <v>3756</v>
      </c>
      <c r="E159" s="1597" t="s">
        <v>913</v>
      </c>
      <c r="F159" s="1595" t="s">
        <v>1080</v>
      </c>
      <c r="G159" s="1595">
        <v>80</v>
      </c>
      <c r="H159" s="1595" t="s">
        <v>1816</v>
      </c>
      <c r="I159" s="1595" t="s">
        <v>1840</v>
      </c>
      <c r="J159" s="1598" t="s">
        <v>5400</v>
      </c>
      <c r="K159" s="1598" t="s">
        <v>210</v>
      </c>
      <c r="L159" s="1597" t="s">
        <v>5601</v>
      </c>
      <c r="M159" s="1599">
        <v>44225</v>
      </c>
    </row>
    <row r="160" spans="1:13" s="1329" customFormat="1" ht="15">
      <c r="A160" s="1595">
        <v>151</v>
      </c>
      <c r="B160" s="1596" t="s">
        <v>1199</v>
      </c>
      <c r="C160" s="1597" t="s">
        <v>1533</v>
      </c>
      <c r="D160" s="1597" t="s">
        <v>3756</v>
      </c>
      <c r="E160" s="1597" t="s">
        <v>913</v>
      </c>
      <c r="F160" s="1595" t="s">
        <v>1080</v>
      </c>
      <c r="G160" s="1595">
        <v>80</v>
      </c>
      <c r="H160" s="1595" t="s">
        <v>1816</v>
      </c>
      <c r="I160" s="1595" t="s">
        <v>1847</v>
      </c>
      <c r="J160" s="1598" t="s">
        <v>5400</v>
      </c>
      <c r="K160" s="1598" t="s">
        <v>210</v>
      </c>
      <c r="L160" s="1597" t="s">
        <v>5601</v>
      </c>
      <c r="M160" s="1599">
        <v>44225</v>
      </c>
    </row>
    <row r="161" spans="1:13" s="1329" customFormat="1" ht="15">
      <c r="A161" s="1595">
        <v>152</v>
      </c>
      <c r="B161" s="1596" t="s">
        <v>1199</v>
      </c>
      <c r="C161" s="1597" t="s">
        <v>1533</v>
      </c>
      <c r="D161" s="1597" t="s">
        <v>3756</v>
      </c>
      <c r="E161" s="1597" t="s">
        <v>913</v>
      </c>
      <c r="F161" s="1595" t="s">
        <v>1080</v>
      </c>
      <c r="G161" s="1595">
        <v>80</v>
      </c>
      <c r="H161" s="1595" t="s">
        <v>1816</v>
      </c>
      <c r="I161" s="1595" t="s">
        <v>1853</v>
      </c>
      <c r="J161" s="1598" t="s">
        <v>5400</v>
      </c>
      <c r="K161" s="1598" t="s">
        <v>210</v>
      </c>
      <c r="L161" s="1597" t="s">
        <v>5601</v>
      </c>
      <c r="M161" s="1599">
        <v>44225</v>
      </c>
    </row>
    <row r="162" spans="1:13" s="1329" customFormat="1" ht="60">
      <c r="A162" s="1595">
        <v>153</v>
      </c>
      <c r="B162" s="1596" t="s">
        <v>1213</v>
      </c>
      <c r="C162" s="1597" t="s">
        <v>1281</v>
      </c>
      <c r="D162" s="1597" t="s">
        <v>705</v>
      </c>
      <c r="E162" s="1597" t="s">
        <v>913</v>
      </c>
      <c r="F162" s="1595" t="s">
        <v>1080</v>
      </c>
      <c r="G162" s="1595">
        <v>41</v>
      </c>
      <c r="H162" s="1595" t="s">
        <v>2045</v>
      </c>
      <c r="I162" s="1595" t="s">
        <v>1895</v>
      </c>
      <c r="J162" s="1598" t="s">
        <v>1838</v>
      </c>
      <c r="K162" s="1598" t="s">
        <v>1828</v>
      </c>
      <c r="L162" s="1597" t="s">
        <v>5596</v>
      </c>
      <c r="M162" s="1599">
        <v>44225</v>
      </c>
    </row>
    <row r="163" spans="1:13" s="1329" customFormat="1" ht="60">
      <c r="A163" s="1595">
        <v>154</v>
      </c>
      <c r="B163" s="1596" t="s">
        <v>1213</v>
      </c>
      <c r="C163" s="1597" t="s">
        <v>1273</v>
      </c>
      <c r="D163" s="1597" t="s">
        <v>1084</v>
      </c>
      <c r="E163" s="1597" t="s">
        <v>913</v>
      </c>
      <c r="F163" s="1595" t="s">
        <v>1080</v>
      </c>
      <c r="G163" s="1595">
        <v>41</v>
      </c>
      <c r="H163" s="1595" t="s">
        <v>2045</v>
      </c>
      <c r="I163" s="1595" t="s">
        <v>1895</v>
      </c>
      <c r="J163" s="1598" t="s">
        <v>1838</v>
      </c>
      <c r="K163" s="1598" t="s">
        <v>1828</v>
      </c>
      <c r="L163" s="1597" t="s">
        <v>5597</v>
      </c>
      <c r="M163" s="1599">
        <v>44225</v>
      </c>
    </row>
    <row r="164" spans="1:13" s="1329" customFormat="1" ht="60">
      <c r="A164" s="1595">
        <v>155</v>
      </c>
      <c r="B164" s="1596" t="s">
        <v>1116</v>
      </c>
      <c r="C164" s="1597" t="s">
        <v>1290</v>
      </c>
      <c r="D164" s="1597" t="s">
        <v>705</v>
      </c>
      <c r="E164" s="1597" t="s">
        <v>913</v>
      </c>
      <c r="F164" s="1595" t="s">
        <v>1080</v>
      </c>
      <c r="G164" s="1595">
        <v>41</v>
      </c>
      <c r="H164" s="1595" t="s">
        <v>2045</v>
      </c>
      <c r="I164" s="1595" t="s">
        <v>1895</v>
      </c>
      <c r="J164" s="1598" t="s">
        <v>1838</v>
      </c>
      <c r="K164" s="1598" t="s">
        <v>1828</v>
      </c>
      <c r="L164" s="1597" t="s">
        <v>5596</v>
      </c>
      <c r="M164" s="1599">
        <v>44225</v>
      </c>
    </row>
    <row r="165" spans="1:13" s="1329" customFormat="1" ht="60">
      <c r="A165" s="1595">
        <v>156</v>
      </c>
      <c r="B165" s="1596" t="s">
        <v>1116</v>
      </c>
      <c r="C165" s="1597" t="s">
        <v>1282</v>
      </c>
      <c r="D165" s="1597" t="s">
        <v>1084</v>
      </c>
      <c r="E165" s="1597" t="s">
        <v>913</v>
      </c>
      <c r="F165" s="1595" t="s">
        <v>1080</v>
      </c>
      <c r="G165" s="1595">
        <v>41</v>
      </c>
      <c r="H165" s="1595" t="s">
        <v>2045</v>
      </c>
      <c r="I165" s="1595" t="s">
        <v>1895</v>
      </c>
      <c r="J165" s="1598" t="s">
        <v>1838</v>
      </c>
      <c r="K165" s="1598" t="s">
        <v>1828</v>
      </c>
      <c r="L165" s="1597" t="s">
        <v>5597</v>
      </c>
      <c r="M165" s="1599">
        <v>44225</v>
      </c>
    </row>
    <row r="166" spans="1:13" s="1329" customFormat="1" ht="60">
      <c r="A166" s="1595">
        <v>157</v>
      </c>
      <c r="B166" s="1596" t="s">
        <v>1227</v>
      </c>
      <c r="C166" s="1597" t="s">
        <v>1291</v>
      </c>
      <c r="D166" s="1597" t="s">
        <v>1084</v>
      </c>
      <c r="E166" s="1597" t="s">
        <v>913</v>
      </c>
      <c r="F166" s="1595" t="s">
        <v>1080</v>
      </c>
      <c r="G166" s="1595">
        <v>41</v>
      </c>
      <c r="H166" s="1595" t="s">
        <v>2045</v>
      </c>
      <c r="I166" s="1595" t="s">
        <v>1895</v>
      </c>
      <c r="J166" s="1598" t="s">
        <v>1838</v>
      </c>
      <c r="K166" s="1598" t="s">
        <v>1828</v>
      </c>
      <c r="L166" s="1597" t="s">
        <v>5597</v>
      </c>
      <c r="M166" s="1599">
        <v>44225</v>
      </c>
    </row>
    <row r="167" spans="1:13" s="1329" customFormat="1" ht="45">
      <c r="A167" s="1595">
        <v>158</v>
      </c>
      <c r="B167" s="1596" t="s">
        <v>5446</v>
      </c>
      <c r="C167" s="1597" t="s">
        <v>1895</v>
      </c>
      <c r="D167" s="1597" t="s">
        <v>5447</v>
      </c>
      <c r="E167" s="1597" t="s">
        <v>5448</v>
      </c>
      <c r="F167" s="1595" t="s">
        <v>1080</v>
      </c>
      <c r="G167" s="1595">
        <v>40</v>
      </c>
      <c r="H167" s="1604" t="s">
        <v>5450</v>
      </c>
      <c r="I167" s="1595" t="s">
        <v>1895</v>
      </c>
      <c r="J167" s="1598" t="s">
        <v>5400</v>
      </c>
      <c r="K167" s="1605">
        <v>0</v>
      </c>
      <c r="L167" s="1597" t="s">
        <v>5602</v>
      </c>
      <c r="M167" s="1599">
        <v>44327</v>
      </c>
    </row>
    <row r="168" spans="1:13" s="1329" customFormat="1" ht="30">
      <c r="A168" s="1595">
        <v>159</v>
      </c>
      <c r="B168" s="1596" t="s">
        <v>5446</v>
      </c>
      <c r="C168" s="1597" t="s">
        <v>1895</v>
      </c>
      <c r="D168" s="1597" t="s">
        <v>5603</v>
      </c>
      <c r="E168" s="1597" t="s">
        <v>913</v>
      </c>
      <c r="F168" s="1595" t="s">
        <v>1080</v>
      </c>
      <c r="G168" s="1604" t="s">
        <v>5604</v>
      </c>
      <c r="H168" s="1595" t="s">
        <v>5465</v>
      </c>
      <c r="I168" s="1595" t="s">
        <v>1895</v>
      </c>
      <c r="J168" s="1606" t="s">
        <v>5466</v>
      </c>
      <c r="K168" s="1606" t="s">
        <v>5467</v>
      </c>
      <c r="L168" s="1597" t="s">
        <v>5468</v>
      </c>
      <c r="M168" s="1599">
        <v>44329</v>
      </c>
    </row>
    <row r="169" spans="1:13" s="1329" customFormat="1" ht="45">
      <c r="A169" s="1595">
        <v>160</v>
      </c>
      <c r="B169" s="1596" t="s">
        <v>1116</v>
      </c>
      <c r="C169" s="1597" t="s">
        <v>1271</v>
      </c>
      <c r="D169" s="1597" t="s">
        <v>5469</v>
      </c>
      <c r="E169" s="1597" t="s">
        <v>5448</v>
      </c>
      <c r="F169" s="1595" t="s">
        <v>1080</v>
      </c>
      <c r="G169" s="1595">
        <v>105</v>
      </c>
      <c r="H169" s="1595" t="s">
        <v>2159</v>
      </c>
      <c r="I169" s="1595" t="s">
        <v>1830</v>
      </c>
      <c r="J169" s="1607">
        <v>1.1805555555555564E-3</v>
      </c>
      <c r="K169" s="1607">
        <v>3.4606481481481485E-3</v>
      </c>
      <c r="L169" s="1597" t="s">
        <v>5470</v>
      </c>
      <c r="M169" s="1599">
        <v>44334</v>
      </c>
    </row>
    <row r="170" spans="1:13" s="1329" customFormat="1" ht="45">
      <c r="A170" s="1595">
        <v>161</v>
      </c>
      <c r="B170" s="1596" t="s">
        <v>1116</v>
      </c>
      <c r="C170" s="1597" t="s">
        <v>1271</v>
      </c>
      <c r="D170" s="1597" t="s">
        <v>5469</v>
      </c>
      <c r="E170" s="1597" t="s">
        <v>5448</v>
      </c>
      <c r="F170" s="1595" t="s">
        <v>1080</v>
      </c>
      <c r="G170" s="1595">
        <v>105</v>
      </c>
      <c r="H170" s="1595" t="s">
        <v>2159</v>
      </c>
      <c r="I170" s="1595" t="s">
        <v>1840</v>
      </c>
      <c r="J170" s="1607">
        <v>1.2037037037037038E-3</v>
      </c>
      <c r="K170" s="1607">
        <v>3.0092592592592588E-3</v>
      </c>
      <c r="L170" s="1597" t="s">
        <v>5470</v>
      </c>
      <c r="M170" s="1599">
        <v>44334</v>
      </c>
    </row>
    <row r="171" spans="1:13" s="1329" customFormat="1" ht="45">
      <c r="A171" s="1595">
        <v>162</v>
      </c>
      <c r="B171" s="1596" t="s">
        <v>1116</v>
      </c>
      <c r="C171" s="1597" t="s">
        <v>1271</v>
      </c>
      <c r="D171" s="1597" t="s">
        <v>5469</v>
      </c>
      <c r="E171" s="1597" t="s">
        <v>5448</v>
      </c>
      <c r="F171" s="1595" t="s">
        <v>1080</v>
      </c>
      <c r="G171" s="1595">
        <v>105</v>
      </c>
      <c r="H171" s="1595" t="s">
        <v>2159</v>
      </c>
      <c r="I171" s="1595" t="s">
        <v>1847</v>
      </c>
      <c r="J171" s="1607">
        <v>1.1458333333333342E-3</v>
      </c>
      <c r="K171" s="1607">
        <v>2.615740740740741E-3</v>
      </c>
      <c r="L171" s="1597" t="s">
        <v>5470</v>
      </c>
      <c r="M171" s="1599">
        <v>44334</v>
      </c>
    </row>
    <row r="172" spans="1:13" s="1329" customFormat="1" ht="45">
      <c r="A172" s="1595">
        <v>163</v>
      </c>
      <c r="B172" s="1596" t="s">
        <v>1116</v>
      </c>
      <c r="C172" s="1597" t="s">
        <v>1271</v>
      </c>
      <c r="D172" s="1597" t="s">
        <v>5469</v>
      </c>
      <c r="E172" s="1597" t="s">
        <v>5448</v>
      </c>
      <c r="F172" s="1595" t="s">
        <v>1080</v>
      </c>
      <c r="G172" s="1595">
        <v>105</v>
      </c>
      <c r="H172" s="1595" t="s">
        <v>2159</v>
      </c>
      <c r="I172" s="1595" t="s">
        <v>1853</v>
      </c>
      <c r="J172" s="1607">
        <v>1.3773148148148147E-3</v>
      </c>
      <c r="K172" s="1607">
        <v>2.1990740740740742E-3</v>
      </c>
      <c r="L172" s="1597" t="s">
        <v>5470</v>
      </c>
      <c r="M172" s="1599">
        <v>44334</v>
      </c>
    </row>
    <row r="173" spans="1:13" s="1329" customFormat="1" ht="45">
      <c r="A173" s="1595">
        <v>164</v>
      </c>
      <c r="B173" s="1596" t="s">
        <v>1116</v>
      </c>
      <c r="C173" s="1597" t="s">
        <v>1271</v>
      </c>
      <c r="D173" s="1597" t="s">
        <v>5469</v>
      </c>
      <c r="E173" s="1597" t="s">
        <v>5448</v>
      </c>
      <c r="F173" s="1595" t="s">
        <v>1080</v>
      </c>
      <c r="G173" s="1595">
        <v>105</v>
      </c>
      <c r="H173" s="1595" t="s">
        <v>2159</v>
      </c>
      <c r="I173" s="1595" t="s">
        <v>129</v>
      </c>
      <c r="J173" s="1607">
        <v>1.3888888888888889E-3</v>
      </c>
      <c r="K173" s="1607">
        <v>1.8865740740740742E-3</v>
      </c>
      <c r="L173" s="1597" t="s">
        <v>5470</v>
      </c>
      <c r="M173" s="1599">
        <v>44334</v>
      </c>
    </row>
    <row r="174" spans="1:13" s="1329" customFormat="1" ht="45">
      <c r="A174" s="1595">
        <v>165</v>
      </c>
      <c r="B174" s="1596" t="s">
        <v>1241</v>
      </c>
      <c r="C174" s="1597" t="s">
        <v>1248</v>
      </c>
      <c r="D174" s="1597" t="s">
        <v>788</v>
      </c>
      <c r="E174" s="1597" t="s">
        <v>5448</v>
      </c>
      <c r="F174" s="1595" t="s">
        <v>1080</v>
      </c>
      <c r="G174" s="1595">
        <v>118</v>
      </c>
      <c r="H174" s="1595" t="s">
        <v>2055</v>
      </c>
      <c r="I174" s="1595" t="s">
        <v>1895</v>
      </c>
      <c r="J174" s="1598">
        <v>-1.224</v>
      </c>
      <c r="K174" s="1598">
        <v>-1.1950000000000001</v>
      </c>
      <c r="L174" s="1597" t="s">
        <v>5605</v>
      </c>
      <c r="M174" s="1599">
        <v>44335</v>
      </c>
    </row>
    <row r="175" spans="1:13" s="1329" customFormat="1" ht="45">
      <c r="A175" s="1595">
        <v>166</v>
      </c>
      <c r="B175" s="1596" t="s">
        <v>1241</v>
      </c>
      <c r="C175" s="1597" t="s">
        <v>1234</v>
      </c>
      <c r="D175" s="1597" t="s">
        <v>788</v>
      </c>
      <c r="E175" s="1597" t="s">
        <v>5448</v>
      </c>
      <c r="F175" s="1595" t="s">
        <v>1080</v>
      </c>
      <c r="G175" s="1595">
        <v>122</v>
      </c>
      <c r="H175" s="1595" t="s">
        <v>2054</v>
      </c>
      <c r="I175" s="1595" t="s">
        <v>1895</v>
      </c>
      <c r="J175" s="1598">
        <v>0.61399999999999999</v>
      </c>
      <c r="K175" s="1598">
        <v>0.6</v>
      </c>
      <c r="L175" s="1597" t="s">
        <v>5605</v>
      </c>
      <c r="M175" s="1599">
        <v>44335</v>
      </c>
    </row>
    <row r="176" spans="1:13" s="1329" customFormat="1" ht="45">
      <c r="A176" s="1595">
        <v>167</v>
      </c>
      <c r="B176" s="1597" t="s">
        <v>5473</v>
      </c>
      <c r="C176" s="1597" t="s">
        <v>1895</v>
      </c>
      <c r="D176" s="1597" t="s">
        <v>5447</v>
      </c>
      <c r="E176" s="1597" t="s">
        <v>5448</v>
      </c>
      <c r="F176" s="1595" t="s">
        <v>1080</v>
      </c>
      <c r="G176" s="1595">
        <v>40</v>
      </c>
      <c r="H176" s="1595" t="s">
        <v>5606</v>
      </c>
      <c r="I176" s="1595" t="s">
        <v>1895</v>
      </c>
      <c r="J176" s="1604" t="s">
        <v>5466</v>
      </c>
      <c r="K176" s="1595" t="s">
        <v>5475</v>
      </c>
      <c r="L176" s="1597" t="s">
        <v>5476</v>
      </c>
      <c r="M176" s="1599">
        <v>44335</v>
      </c>
    </row>
    <row r="177" spans="1:13" s="1329" customFormat="1" ht="60">
      <c r="A177" s="1595">
        <v>168</v>
      </c>
      <c r="B177" s="1597" t="s">
        <v>5477</v>
      </c>
      <c r="C177" s="1597" t="s">
        <v>1895</v>
      </c>
      <c r="D177" s="1597" t="s">
        <v>5447</v>
      </c>
      <c r="E177" s="1597" t="s">
        <v>5448</v>
      </c>
      <c r="F177" s="1595" t="s">
        <v>1080</v>
      </c>
      <c r="G177" s="1595">
        <v>40</v>
      </c>
      <c r="H177" s="1595" t="s">
        <v>5606</v>
      </c>
      <c r="I177" s="1595" t="s">
        <v>1895</v>
      </c>
      <c r="J177" s="1604" t="s">
        <v>5466</v>
      </c>
      <c r="K177" s="1595" t="s">
        <v>5475</v>
      </c>
      <c r="L177" s="1597" t="s">
        <v>5476</v>
      </c>
      <c r="M177" s="1599">
        <v>44335</v>
      </c>
    </row>
    <row r="178" spans="1:13" s="1329" customFormat="1" ht="45">
      <c r="A178" s="1595">
        <v>169</v>
      </c>
      <c r="B178" s="1596" t="s">
        <v>1260</v>
      </c>
      <c r="C178" s="1597" t="s">
        <v>1118</v>
      </c>
      <c r="D178" s="1597" t="s">
        <v>2220</v>
      </c>
      <c r="E178" s="1597" t="s">
        <v>5448</v>
      </c>
      <c r="F178" s="1595" t="s">
        <v>1080</v>
      </c>
      <c r="G178" s="1595">
        <v>87</v>
      </c>
      <c r="H178" s="1595" t="s">
        <v>2159</v>
      </c>
      <c r="I178" s="1595" t="s">
        <v>1830</v>
      </c>
      <c r="J178" s="1607">
        <v>2.58101851875E-3</v>
      </c>
      <c r="K178" s="1607">
        <v>1.8171296296296297E-3</v>
      </c>
      <c r="L178" s="1597" t="s">
        <v>5478</v>
      </c>
      <c r="M178" s="1599">
        <v>44335</v>
      </c>
    </row>
    <row r="179" spans="1:13" s="1329" customFormat="1" ht="45">
      <c r="A179" s="1595">
        <v>170</v>
      </c>
      <c r="B179" s="1596" t="s">
        <v>1260</v>
      </c>
      <c r="C179" s="1597" t="s">
        <v>1121</v>
      </c>
      <c r="D179" s="1597" t="s">
        <v>2220</v>
      </c>
      <c r="E179" s="1597" t="s">
        <v>5448</v>
      </c>
      <c r="F179" s="1595" t="s">
        <v>1080</v>
      </c>
      <c r="G179" s="1595">
        <v>87</v>
      </c>
      <c r="H179" s="1595" t="s">
        <v>2159</v>
      </c>
      <c r="I179" s="1595" t="s">
        <v>1840</v>
      </c>
      <c r="J179" s="1607">
        <v>2.546296296064815E-3</v>
      </c>
      <c r="K179" s="1607">
        <v>1.6203703703703703E-3</v>
      </c>
      <c r="L179" s="1597" t="s">
        <v>5478</v>
      </c>
      <c r="M179" s="1599">
        <v>44335</v>
      </c>
    </row>
    <row r="180" spans="1:13" s="1329" customFormat="1" ht="45">
      <c r="A180" s="1595">
        <v>171</v>
      </c>
      <c r="B180" s="1596" t="s">
        <v>1260</v>
      </c>
      <c r="C180" s="1597" t="s">
        <v>1122</v>
      </c>
      <c r="D180" s="1597" t="s">
        <v>2220</v>
      </c>
      <c r="E180" s="1597" t="s">
        <v>5448</v>
      </c>
      <c r="F180" s="1595" t="s">
        <v>1080</v>
      </c>
      <c r="G180" s="1595">
        <v>87</v>
      </c>
      <c r="H180" s="1595" t="s">
        <v>2159</v>
      </c>
      <c r="I180" s="1595" t="s">
        <v>1847</v>
      </c>
      <c r="J180" s="1607">
        <v>2.488425925694445E-3</v>
      </c>
      <c r="K180" s="1607">
        <v>1.0416666666666667E-3</v>
      </c>
      <c r="L180" s="1597" t="s">
        <v>5478</v>
      </c>
      <c r="M180" s="1599">
        <v>44335</v>
      </c>
    </row>
    <row r="181" spans="1:13" s="1329" customFormat="1" ht="45">
      <c r="A181" s="1595">
        <v>172</v>
      </c>
      <c r="B181" s="1596" t="s">
        <v>1260</v>
      </c>
      <c r="C181" s="1597" t="s">
        <v>1127</v>
      </c>
      <c r="D181" s="1597" t="s">
        <v>2220</v>
      </c>
      <c r="E181" s="1597" t="s">
        <v>5448</v>
      </c>
      <c r="F181" s="1595" t="s">
        <v>1080</v>
      </c>
      <c r="G181" s="1595">
        <v>87</v>
      </c>
      <c r="H181" s="1595" t="s">
        <v>2159</v>
      </c>
      <c r="I181" s="1595" t="s">
        <v>1853</v>
      </c>
      <c r="J181" s="1607">
        <v>2.4421296293981485E-3</v>
      </c>
      <c r="K181" s="1607">
        <v>1.0416666666666667E-3</v>
      </c>
      <c r="L181" s="1597" t="s">
        <v>5478</v>
      </c>
      <c r="M181" s="1599">
        <v>44335</v>
      </c>
    </row>
    <row r="182" spans="1:13" s="1329" customFormat="1" ht="45">
      <c r="A182" s="1595">
        <v>173</v>
      </c>
      <c r="B182" s="1596" t="s">
        <v>1260</v>
      </c>
      <c r="C182" s="1597" t="s">
        <v>1306</v>
      </c>
      <c r="D182" s="1597" t="s">
        <v>2220</v>
      </c>
      <c r="E182" s="1597" t="s">
        <v>5448</v>
      </c>
      <c r="F182" s="1595" t="s">
        <v>1080</v>
      </c>
      <c r="G182" s="1595">
        <v>87</v>
      </c>
      <c r="H182" s="1595" t="s">
        <v>2159</v>
      </c>
      <c r="I182" s="1595" t="s">
        <v>129</v>
      </c>
      <c r="J182" s="1607">
        <v>2.4305555555555556E-3</v>
      </c>
      <c r="K182" s="1607">
        <v>1.0416666666666667E-3</v>
      </c>
      <c r="L182" s="1597" t="s">
        <v>5478</v>
      </c>
      <c r="M182" s="1599">
        <v>44335</v>
      </c>
    </row>
    <row r="183" spans="1:13" s="1329" customFormat="1" ht="45">
      <c r="A183" s="1595">
        <v>174</v>
      </c>
      <c r="B183" s="1596" t="s">
        <v>1260</v>
      </c>
      <c r="C183" s="1608" t="s">
        <v>1485</v>
      </c>
      <c r="D183" s="1608" t="s">
        <v>2547</v>
      </c>
      <c r="E183" s="1597" t="s">
        <v>5448</v>
      </c>
      <c r="F183" s="1595" t="s">
        <v>1080</v>
      </c>
      <c r="G183" s="1595">
        <v>41</v>
      </c>
      <c r="H183" s="1595" t="s">
        <v>2045</v>
      </c>
      <c r="I183" s="1595" t="s">
        <v>5479</v>
      </c>
      <c r="J183" s="1598" t="s">
        <v>1828</v>
      </c>
      <c r="K183" s="1598" t="s">
        <v>1838</v>
      </c>
      <c r="L183" s="1597" t="s">
        <v>5478</v>
      </c>
      <c r="M183" s="1599">
        <v>44335</v>
      </c>
    </row>
    <row r="184" spans="1:13" s="1329" customFormat="1" ht="45">
      <c r="A184" s="1595">
        <v>175</v>
      </c>
      <c r="B184" s="1596" t="s">
        <v>5446</v>
      </c>
      <c r="C184" s="1597" t="s">
        <v>5446</v>
      </c>
      <c r="D184" s="1597" t="s">
        <v>5446</v>
      </c>
      <c r="E184" s="1597" t="s">
        <v>5448</v>
      </c>
      <c r="F184" s="1595" t="s">
        <v>1080</v>
      </c>
      <c r="G184" s="1595">
        <v>40</v>
      </c>
      <c r="H184" s="1595" t="s">
        <v>156</v>
      </c>
      <c r="I184" s="1595" t="s">
        <v>1895</v>
      </c>
      <c r="J184" s="1606" t="s">
        <v>5466</v>
      </c>
      <c r="K184" s="1606" t="s">
        <v>5467</v>
      </c>
      <c r="L184" s="1597" t="s">
        <v>5480</v>
      </c>
      <c r="M184" s="1599">
        <v>44336</v>
      </c>
    </row>
    <row r="185" spans="1:13" s="1329" customFormat="1" ht="45">
      <c r="A185" s="1595">
        <v>176</v>
      </c>
      <c r="B185" s="1596" t="s">
        <v>1260</v>
      </c>
      <c r="C185" s="1608" t="s">
        <v>1485</v>
      </c>
      <c r="D185" s="1608" t="s">
        <v>2547</v>
      </c>
      <c r="E185" s="1597" t="s">
        <v>5448</v>
      </c>
      <c r="F185" s="1595" t="s">
        <v>1080</v>
      </c>
      <c r="G185" s="1595">
        <v>38</v>
      </c>
      <c r="H185" s="1595" t="s">
        <v>2171</v>
      </c>
      <c r="I185" s="1595" t="s">
        <v>5479</v>
      </c>
      <c r="J185" s="1606" t="s">
        <v>321</v>
      </c>
      <c r="K185" s="1606" t="s">
        <v>1857</v>
      </c>
      <c r="L185" s="1597" t="s">
        <v>5478</v>
      </c>
      <c r="M185" s="1599">
        <v>44336</v>
      </c>
    </row>
    <row r="186" spans="1:13" s="1329" customFormat="1" ht="45">
      <c r="A186" s="1595">
        <v>177</v>
      </c>
      <c r="B186" s="1596" t="s">
        <v>1278</v>
      </c>
      <c r="C186" s="1608" t="s">
        <v>1708</v>
      </c>
      <c r="D186" s="1608" t="s">
        <v>3057</v>
      </c>
      <c r="E186" s="1597" t="s">
        <v>5448</v>
      </c>
      <c r="F186" s="1595" t="s">
        <v>1080</v>
      </c>
      <c r="G186" s="1595">
        <v>39</v>
      </c>
      <c r="H186" s="1595" t="s">
        <v>2172</v>
      </c>
      <c r="I186" s="1595" t="s">
        <v>5479</v>
      </c>
      <c r="J186" s="1606" t="s">
        <v>5485</v>
      </c>
      <c r="K186" s="1606" t="s">
        <v>3059</v>
      </c>
      <c r="L186" s="1597" t="s">
        <v>5486</v>
      </c>
      <c r="M186" s="1599">
        <v>44340</v>
      </c>
    </row>
    <row r="187" spans="1:13" s="1329" customFormat="1" ht="45">
      <c r="A187" s="1595">
        <v>178</v>
      </c>
      <c r="B187" s="1596" t="s">
        <v>1278</v>
      </c>
      <c r="C187" s="1608" t="s">
        <v>1725</v>
      </c>
      <c r="D187" s="1608" t="s">
        <v>3074</v>
      </c>
      <c r="E187" s="1597" t="s">
        <v>5448</v>
      </c>
      <c r="F187" s="1595" t="s">
        <v>1080</v>
      </c>
      <c r="G187" s="1595">
        <v>39</v>
      </c>
      <c r="H187" s="1595" t="s">
        <v>2172</v>
      </c>
      <c r="I187" s="1595" t="s">
        <v>5479</v>
      </c>
      <c r="J187" s="1606" t="s">
        <v>5485</v>
      </c>
      <c r="K187" s="1606" t="s">
        <v>3059</v>
      </c>
      <c r="L187" s="1597" t="s">
        <v>5486</v>
      </c>
      <c r="M187" s="1599">
        <v>44340</v>
      </c>
    </row>
    <row r="188" spans="1:13" s="1329" customFormat="1" ht="45">
      <c r="A188" s="1595">
        <v>179</v>
      </c>
      <c r="B188" s="1596" t="s">
        <v>1278</v>
      </c>
      <c r="C188" s="1608" t="s">
        <v>1708</v>
      </c>
      <c r="D188" s="1608" t="s">
        <v>3057</v>
      </c>
      <c r="E188" s="1597" t="s">
        <v>5448</v>
      </c>
      <c r="F188" s="1595" t="s">
        <v>1080</v>
      </c>
      <c r="G188" s="1595">
        <v>38</v>
      </c>
      <c r="H188" s="1595" t="s">
        <v>5487</v>
      </c>
      <c r="I188" s="1595" t="s">
        <v>5479</v>
      </c>
      <c r="J188" s="1606" t="s">
        <v>321</v>
      </c>
      <c r="K188" s="1606" t="s">
        <v>1897</v>
      </c>
      <c r="L188" s="1597" t="s">
        <v>5486</v>
      </c>
      <c r="M188" s="1599">
        <v>44340</v>
      </c>
    </row>
    <row r="189" spans="1:13" s="1329" customFormat="1" ht="45">
      <c r="A189" s="1595">
        <v>180</v>
      </c>
      <c r="B189" s="1596" t="s">
        <v>1278</v>
      </c>
      <c r="C189" s="1608" t="s">
        <v>1725</v>
      </c>
      <c r="D189" s="1608" t="s">
        <v>3074</v>
      </c>
      <c r="E189" s="1597" t="s">
        <v>5448</v>
      </c>
      <c r="F189" s="1595" t="s">
        <v>1080</v>
      </c>
      <c r="G189" s="1595">
        <v>38</v>
      </c>
      <c r="H189" s="1595" t="s">
        <v>5487</v>
      </c>
      <c r="I189" s="1595" t="s">
        <v>5479</v>
      </c>
      <c r="J189" s="1606" t="s">
        <v>321</v>
      </c>
      <c r="K189" s="1606" t="s">
        <v>1897</v>
      </c>
      <c r="L189" s="1597" t="s">
        <v>5486</v>
      </c>
      <c r="M189" s="1599">
        <v>44340</v>
      </c>
    </row>
    <row r="190" spans="1:13" s="1329" customFormat="1" ht="15">
      <c r="A190" s="1589">
        <v>181</v>
      </c>
      <c r="B190" s="1590" t="s">
        <v>1241</v>
      </c>
      <c r="C190" s="1591" t="s">
        <v>1300</v>
      </c>
      <c r="D190" s="1591" t="s">
        <v>705</v>
      </c>
      <c r="E190" s="1591" t="s">
        <v>5398</v>
      </c>
      <c r="F190" s="1589" t="s">
        <v>1080</v>
      </c>
      <c r="G190" s="1589">
        <v>90</v>
      </c>
      <c r="H190" s="1589" t="s">
        <v>2156</v>
      </c>
      <c r="I190" s="1589" t="s">
        <v>1830</v>
      </c>
      <c r="J190" s="1601">
        <v>-4.7</v>
      </c>
      <c r="K190" s="1601">
        <v>-20</v>
      </c>
      <c r="L190" s="1591" t="s">
        <v>5401</v>
      </c>
      <c r="M190" s="1593">
        <v>44341</v>
      </c>
    </row>
    <row r="191" spans="1:13" s="1329" customFormat="1" ht="15">
      <c r="A191" s="1589">
        <v>182</v>
      </c>
      <c r="B191" s="1590" t="s">
        <v>1241</v>
      </c>
      <c r="C191" s="1591" t="s">
        <v>1300</v>
      </c>
      <c r="D191" s="1591" t="s">
        <v>705</v>
      </c>
      <c r="E191" s="1591" t="s">
        <v>5398</v>
      </c>
      <c r="F191" s="1589" t="s">
        <v>1080</v>
      </c>
      <c r="G191" s="1589">
        <v>90</v>
      </c>
      <c r="H191" s="1589" t="s">
        <v>2156</v>
      </c>
      <c r="I191" s="1589" t="s">
        <v>1840</v>
      </c>
      <c r="J191" s="1601">
        <v>-4.7</v>
      </c>
      <c r="K191" s="1601">
        <v>-20</v>
      </c>
      <c r="L191" s="1591" t="s">
        <v>5401</v>
      </c>
      <c r="M191" s="1593">
        <v>44341</v>
      </c>
    </row>
    <row r="192" spans="1:13" s="1329" customFormat="1" ht="15">
      <c r="A192" s="1589">
        <v>183</v>
      </c>
      <c r="B192" s="1590" t="s">
        <v>1241</v>
      </c>
      <c r="C192" s="1591" t="s">
        <v>1300</v>
      </c>
      <c r="D192" s="1591" t="s">
        <v>705</v>
      </c>
      <c r="E192" s="1591" t="s">
        <v>5398</v>
      </c>
      <c r="F192" s="1589" t="s">
        <v>1080</v>
      </c>
      <c r="G192" s="1589">
        <v>90</v>
      </c>
      <c r="H192" s="1589" t="s">
        <v>2156</v>
      </c>
      <c r="I192" s="1589" t="s">
        <v>1847</v>
      </c>
      <c r="J192" s="1601">
        <v>-4.7</v>
      </c>
      <c r="K192" s="1601">
        <v>-20</v>
      </c>
      <c r="L192" s="1591" t="s">
        <v>5401</v>
      </c>
      <c r="M192" s="1593">
        <v>44341</v>
      </c>
    </row>
    <row r="193" spans="1:13" s="1329" customFormat="1" ht="15">
      <c r="A193" s="1589">
        <v>184</v>
      </c>
      <c r="B193" s="1590" t="s">
        <v>1241</v>
      </c>
      <c r="C193" s="1591" t="s">
        <v>1300</v>
      </c>
      <c r="D193" s="1591" t="s">
        <v>705</v>
      </c>
      <c r="E193" s="1591" t="s">
        <v>5398</v>
      </c>
      <c r="F193" s="1589" t="s">
        <v>1080</v>
      </c>
      <c r="G193" s="1589">
        <v>90</v>
      </c>
      <c r="H193" s="1589" t="s">
        <v>2156</v>
      </c>
      <c r="I193" s="1589" t="s">
        <v>1853</v>
      </c>
      <c r="J193" s="1601">
        <v>-4.7</v>
      </c>
      <c r="K193" s="1601">
        <v>-20</v>
      </c>
      <c r="L193" s="1591" t="s">
        <v>5401</v>
      </c>
      <c r="M193" s="1593">
        <v>44341</v>
      </c>
    </row>
    <row r="194" spans="1:13" s="1329" customFormat="1" ht="15">
      <c r="A194" s="1589">
        <v>185</v>
      </c>
      <c r="B194" s="1590" t="s">
        <v>1241</v>
      </c>
      <c r="C194" s="1591" t="s">
        <v>1300</v>
      </c>
      <c r="D194" s="1591" t="s">
        <v>705</v>
      </c>
      <c r="E194" s="1591" t="s">
        <v>5398</v>
      </c>
      <c r="F194" s="1589" t="s">
        <v>1080</v>
      </c>
      <c r="G194" s="1589">
        <v>90</v>
      </c>
      <c r="H194" s="1589" t="s">
        <v>2156</v>
      </c>
      <c r="I194" s="1589" t="s">
        <v>129</v>
      </c>
      <c r="J194" s="1601">
        <v>-4.7</v>
      </c>
      <c r="K194" s="1601">
        <v>-20</v>
      </c>
      <c r="L194" s="1591" t="s">
        <v>5401</v>
      </c>
      <c r="M194" s="1593">
        <v>44341</v>
      </c>
    </row>
    <row r="195" spans="1:13" s="1329" customFormat="1" ht="15">
      <c r="A195" s="1589">
        <v>186</v>
      </c>
      <c r="B195" s="1590" t="s">
        <v>1143</v>
      </c>
      <c r="C195" s="1591" t="s">
        <v>1146</v>
      </c>
      <c r="D195" s="1591" t="s">
        <v>5524</v>
      </c>
      <c r="E195" s="1591" t="s">
        <v>5398</v>
      </c>
      <c r="F195" s="1589" t="s">
        <v>1080</v>
      </c>
      <c r="G195" s="1589">
        <v>90</v>
      </c>
      <c r="H195" s="1589" t="s">
        <v>2156</v>
      </c>
      <c r="I195" s="1589" t="s">
        <v>1830</v>
      </c>
      <c r="J195" s="1601">
        <v>-20.2</v>
      </c>
      <c r="K195" s="1601">
        <v>-38</v>
      </c>
      <c r="L195" s="1591" t="s">
        <v>5401</v>
      </c>
      <c r="M195" s="1593">
        <v>44341</v>
      </c>
    </row>
    <row r="196" spans="1:13" s="1329" customFormat="1" ht="15">
      <c r="A196" s="1589">
        <v>187</v>
      </c>
      <c r="B196" s="1590" t="s">
        <v>1143</v>
      </c>
      <c r="C196" s="1591" t="s">
        <v>1146</v>
      </c>
      <c r="D196" s="1591" t="s">
        <v>5524</v>
      </c>
      <c r="E196" s="1591" t="s">
        <v>5398</v>
      </c>
      <c r="F196" s="1589" t="s">
        <v>1080</v>
      </c>
      <c r="G196" s="1589">
        <v>90</v>
      </c>
      <c r="H196" s="1589" t="s">
        <v>2156</v>
      </c>
      <c r="I196" s="1589" t="s">
        <v>1840</v>
      </c>
      <c r="J196" s="1601">
        <v>-20.2</v>
      </c>
      <c r="K196" s="1601">
        <v>-38</v>
      </c>
      <c r="L196" s="1591" t="s">
        <v>5401</v>
      </c>
      <c r="M196" s="1593">
        <v>44341</v>
      </c>
    </row>
    <row r="197" spans="1:13" s="1329" customFormat="1" ht="15">
      <c r="A197" s="1589">
        <v>188</v>
      </c>
      <c r="B197" s="1590" t="s">
        <v>1143</v>
      </c>
      <c r="C197" s="1591" t="s">
        <v>1146</v>
      </c>
      <c r="D197" s="1591" t="s">
        <v>5524</v>
      </c>
      <c r="E197" s="1591" t="s">
        <v>5398</v>
      </c>
      <c r="F197" s="1589" t="s">
        <v>1080</v>
      </c>
      <c r="G197" s="1589">
        <v>90</v>
      </c>
      <c r="H197" s="1589" t="s">
        <v>2156</v>
      </c>
      <c r="I197" s="1589" t="s">
        <v>1847</v>
      </c>
      <c r="J197" s="1601">
        <v>-20.2</v>
      </c>
      <c r="K197" s="1601">
        <v>-38</v>
      </c>
      <c r="L197" s="1591" t="s">
        <v>5401</v>
      </c>
      <c r="M197" s="1593">
        <v>44341</v>
      </c>
    </row>
    <row r="198" spans="1:13" s="1329" customFormat="1" ht="15">
      <c r="A198" s="1589">
        <v>189</v>
      </c>
      <c r="B198" s="1590" t="s">
        <v>1143</v>
      </c>
      <c r="C198" s="1591" t="s">
        <v>1146</v>
      </c>
      <c r="D198" s="1591" t="s">
        <v>5524</v>
      </c>
      <c r="E198" s="1591" t="s">
        <v>5398</v>
      </c>
      <c r="F198" s="1589" t="s">
        <v>1080</v>
      </c>
      <c r="G198" s="1589">
        <v>90</v>
      </c>
      <c r="H198" s="1589" t="s">
        <v>2156</v>
      </c>
      <c r="I198" s="1589" t="s">
        <v>1853</v>
      </c>
      <c r="J198" s="1601">
        <v>-20.2</v>
      </c>
      <c r="K198" s="1601">
        <v>-38</v>
      </c>
      <c r="L198" s="1591" t="s">
        <v>5401</v>
      </c>
      <c r="M198" s="1593">
        <v>44341</v>
      </c>
    </row>
    <row r="199" spans="1:13" s="1329" customFormat="1" ht="15">
      <c r="A199" s="1589">
        <v>190</v>
      </c>
      <c r="B199" s="1590" t="s">
        <v>1143</v>
      </c>
      <c r="C199" s="1591" t="s">
        <v>1146</v>
      </c>
      <c r="D199" s="1591" t="s">
        <v>5524</v>
      </c>
      <c r="E199" s="1591" t="s">
        <v>5398</v>
      </c>
      <c r="F199" s="1589" t="s">
        <v>1080</v>
      </c>
      <c r="G199" s="1589">
        <v>90</v>
      </c>
      <c r="H199" s="1589" t="s">
        <v>2156</v>
      </c>
      <c r="I199" s="1589" t="s">
        <v>129</v>
      </c>
      <c r="J199" s="1601">
        <v>-20.2</v>
      </c>
      <c r="K199" s="1601">
        <v>-38</v>
      </c>
      <c r="L199" s="1591" t="s">
        <v>5401</v>
      </c>
      <c r="M199" s="1593">
        <v>44341</v>
      </c>
    </row>
    <row r="200" spans="1:13" s="1329" customFormat="1" ht="15">
      <c r="A200" s="1589">
        <v>191</v>
      </c>
      <c r="B200" s="1590" t="s">
        <v>1143</v>
      </c>
      <c r="C200" s="1591" t="s">
        <v>1160</v>
      </c>
      <c r="D200" s="1591" t="s">
        <v>5607</v>
      </c>
      <c r="E200" s="1591" t="s">
        <v>5398</v>
      </c>
      <c r="F200" s="1589" t="s">
        <v>1080</v>
      </c>
      <c r="G200" s="1589">
        <v>90</v>
      </c>
      <c r="H200" s="1589" t="s">
        <v>2156</v>
      </c>
      <c r="I200" s="1589" t="s">
        <v>1830</v>
      </c>
      <c r="J200" s="1601">
        <v>-56.6</v>
      </c>
      <c r="K200" s="1601">
        <v>-77.3</v>
      </c>
      <c r="L200" s="1591" t="s">
        <v>5401</v>
      </c>
      <c r="M200" s="1593">
        <v>44341</v>
      </c>
    </row>
    <row r="201" spans="1:13" s="1329" customFormat="1" ht="15">
      <c r="A201" s="1589">
        <v>192</v>
      </c>
      <c r="B201" s="1590" t="s">
        <v>1143</v>
      </c>
      <c r="C201" s="1591" t="s">
        <v>1160</v>
      </c>
      <c r="D201" s="1591" t="s">
        <v>5607</v>
      </c>
      <c r="E201" s="1591" t="s">
        <v>5398</v>
      </c>
      <c r="F201" s="1589" t="s">
        <v>1080</v>
      </c>
      <c r="G201" s="1589">
        <v>90</v>
      </c>
      <c r="H201" s="1589" t="s">
        <v>2156</v>
      </c>
      <c r="I201" s="1589" t="s">
        <v>1840</v>
      </c>
      <c r="J201" s="1601">
        <v>-56.6</v>
      </c>
      <c r="K201" s="1601">
        <v>-77.3</v>
      </c>
      <c r="L201" s="1591" t="s">
        <v>5401</v>
      </c>
      <c r="M201" s="1593">
        <v>44341</v>
      </c>
    </row>
    <row r="202" spans="1:13" s="1329" customFormat="1" ht="15">
      <c r="A202" s="1589">
        <v>193</v>
      </c>
      <c r="B202" s="1590" t="s">
        <v>1143</v>
      </c>
      <c r="C202" s="1591" t="s">
        <v>1160</v>
      </c>
      <c r="D202" s="1591" t="s">
        <v>5607</v>
      </c>
      <c r="E202" s="1591" t="s">
        <v>5398</v>
      </c>
      <c r="F202" s="1589" t="s">
        <v>1080</v>
      </c>
      <c r="G202" s="1589">
        <v>90</v>
      </c>
      <c r="H202" s="1589" t="s">
        <v>2156</v>
      </c>
      <c r="I202" s="1589" t="s">
        <v>1847</v>
      </c>
      <c r="J202" s="1601">
        <v>-56.6</v>
      </c>
      <c r="K202" s="1601">
        <v>-77.3</v>
      </c>
      <c r="L202" s="1591" t="s">
        <v>5401</v>
      </c>
      <c r="M202" s="1593">
        <v>44341</v>
      </c>
    </row>
    <row r="203" spans="1:13" s="1329" customFormat="1" ht="15">
      <c r="A203" s="1589">
        <v>194</v>
      </c>
      <c r="B203" s="1590" t="s">
        <v>1143</v>
      </c>
      <c r="C203" s="1591" t="s">
        <v>1160</v>
      </c>
      <c r="D203" s="1591" t="s">
        <v>5607</v>
      </c>
      <c r="E203" s="1591" t="s">
        <v>5398</v>
      </c>
      <c r="F203" s="1589" t="s">
        <v>1080</v>
      </c>
      <c r="G203" s="1589">
        <v>90</v>
      </c>
      <c r="H203" s="1589" t="s">
        <v>2156</v>
      </c>
      <c r="I203" s="1589" t="s">
        <v>1853</v>
      </c>
      <c r="J203" s="1601">
        <v>-56.6</v>
      </c>
      <c r="K203" s="1601">
        <v>-77.3</v>
      </c>
      <c r="L203" s="1591" t="s">
        <v>5401</v>
      </c>
      <c r="M203" s="1593">
        <v>44341</v>
      </c>
    </row>
    <row r="204" spans="1:13" s="1329" customFormat="1" ht="15">
      <c r="A204" s="1589">
        <v>195</v>
      </c>
      <c r="B204" s="1590" t="s">
        <v>1143</v>
      </c>
      <c r="C204" s="1591" t="s">
        <v>1160</v>
      </c>
      <c r="D204" s="1591" t="s">
        <v>5607</v>
      </c>
      <c r="E204" s="1591" t="s">
        <v>5398</v>
      </c>
      <c r="F204" s="1589" t="s">
        <v>1080</v>
      </c>
      <c r="G204" s="1589">
        <v>90</v>
      </c>
      <c r="H204" s="1589" t="s">
        <v>2156</v>
      </c>
      <c r="I204" s="1589" t="s">
        <v>129</v>
      </c>
      <c r="J204" s="1601">
        <v>-56.6</v>
      </c>
      <c r="K204" s="1601">
        <v>-77.3</v>
      </c>
      <c r="L204" s="1591" t="s">
        <v>5401</v>
      </c>
      <c r="M204" s="1593">
        <v>44341</v>
      </c>
    </row>
    <row r="205" spans="1:13" s="1329" customFormat="1" ht="15">
      <c r="A205" s="1589">
        <v>196</v>
      </c>
      <c r="B205" s="1590" t="s">
        <v>1143</v>
      </c>
      <c r="C205" s="1591" t="s">
        <v>1146</v>
      </c>
      <c r="D205" s="1591" t="s">
        <v>2679</v>
      </c>
      <c r="E205" s="1591" t="s">
        <v>5398</v>
      </c>
      <c r="F205" s="1589" t="s">
        <v>1080</v>
      </c>
      <c r="G205" s="1589">
        <v>59</v>
      </c>
      <c r="H205" s="1589" t="s">
        <v>5409</v>
      </c>
      <c r="I205" s="1589" t="s">
        <v>1830</v>
      </c>
      <c r="J205" s="1601">
        <v>0.9</v>
      </c>
      <c r="K205" s="1601">
        <v>1</v>
      </c>
      <c r="L205" s="1591" t="s">
        <v>5489</v>
      </c>
      <c r="M205" s="1593">
        <v>44341</v>
      </c>
    </row>
    <row r="206" spans="1:13" s="1329" customFormat="1" ht="15">
      <c r="A206" s="1589">
        <v>197</v>
      </c>
      <c r="B206" s="1590" t="s">
        <v>1143</v>
      </c>
      <c r="C206" s="1591" t="s">
        <v>1146</v>
      </c>
      <c r="D206" s="1591" t="s">
        <v>2679</v>
      </c>
      <c r="E206" s="1591" t="s">
        <v>5398</v>
      </c>
      <c r="F206" s="1589" t="s">
        <v>1080</v>
      </c>
      <c r="G206" s="1589">
        <v>59</v>
      </c>
      <c r="H206" s="1589" t="s">
        <v>5409</v>
      </c>
      <c r="I206" s="1589" t="s">
        <v>1840</v>
      </c>
      <c r="J206" s="1601">
        <v>1.9</v>
      </c>
      <c r="K206" s="1601">
        <v>3</v>
      </c>
      <c r="L206" s="1591" t="s">
        <v>5489</v>
      </c>
      <c r="M206" s="1593">
        <v>44341</v>
      </c>
    </row>
    <row r="207" spans="1:13" s="1329" customFormat="1" ht="15">
      <c r="A207" s="1589">
        <v>198</v>
      </c>
      <c r="B207" s="1590" t="s">
        <v>1143</v>
      </c>
      <c r="C207" s="1591" t="s">
        <v>1146</v>
      </c>
      <c r="D207" s="1591" t="s">
        <v>2679</v>
      </c>
      <c r="E207" s="1591" t="s">
        <v>5398</v>
      </c>
      <c r="F207" s="1589" t="s">
        <v>1080</v>
      </c>
      <c r="G207" s="1589">
        <v>59</v>
      </c>
      <c r="H207" s="1589" t="s">
        <v>5409</v>
      </c>
      <c r="I207" s="1589" t="s">
        <v>1847</v>
      </c>
      <c r="J207" s="1601">
        <v>5</v>
      </c>
      <c r="K207" s="1601">
        <v>6</v>
      </c>
      <c r="L207" s="1591" t="s">
        <v>5489</v>
      </c>
      <c r="M207" s="1593">
        <v>44341</v>
      </c>
    </row>
    <row r="208" spans="1:13" s="1329" customFormat="1" ht="15">
      <c r="A208" s="1589">
        <v>199</v>
      </c>
      <c r="B208" s="1590" t="s">
        <v>1143</v>
      </c>
      <c r="C208" s="1591" t="s">
        <v>1146</v>
      </c>
      <c r="D208" s="1591" t="s">
        <v>2679</v>
      </c>
      <c r="E208" s="1591" t="s">
        <v>5398</v>
      </c>
      <c r="F208" s="1589" t="s">
        <v>1080</v>
      </c>
      <c r="G208" s="1589">
        <v>59</v>
      </c>
      <c r="H208" s="1589" t="s">
        <v>5409</v>
      </c>
      <c r="I208" s="1589" t="s">
        <v>1853</v>
      </c>
      <c r="J208" s="1601">
        <v>8</v>
      </c>
      <c r="K208" s="1601">
        <v>9</v>
      </c>
      <c r="L208" s="1591" t="s">
        <v>5489</v>
      </c>
      <c r="M208" s="1593">
        <v>44341</v>
      </c>
    </row>
    <row r="209" spans="1:13" s="1329" customFormat="1" ht="15">
      <c r="A209" s="1589">
        <v>200</v>
      </c>
      <c r="B209" s="1590" t="s">
        <v>1143</v>
      </c>
      <c r="C209" s="1591" t="s">
        <v>1146</v>
      </c>
      <c r="D209" s="1591" t="s">
        <v>2679</v>
      </c>
      <c r="E209" s="1591" t="s">
        <v>5398</v>
      </c>
      <c r="F209" s="1589" t="s">
        <v>1080</v>
      </c>
      <c r="G209" s="1589">
        <v>59</v>
      </c>
      <c r="H209" s="1589" t="s">
        <v>5409</v>
      </c>
      <c r="I209" s="1589" t="s">
        <v>129</v>
      </c>
      <c r="J209" s="1601">
        <v>11</v>
      </c>
      <c r="K209" s="1601">
        <v>12</v>
      </c>
      <c r="L209" s="1591" t="s">
        <v>5489</v>
      </c>
      <c r="M209" s="1593">
        <v>44341</v>
      </c>
    </row>
    <row r="210" spans="1:13" s="1329" customFormat="1" ht="15">
      <c r="A210" s="1589">
        <v>201</v>
      </c>
      <c r="B210" s="1590" t="s">
        <v>1143</v>
      </c>
      <c r="C210" s="1591" t="s">
        <v>1160</v>
      </c>
      <c r="D210" s="1591" t="s">
        <v>2683</v>
      </c>
      <c r="E210" s="1591" t="s">
        <v>5398</v>
      </c>
      <c r="F210" s="1589" t="s">
        <v>1080</v>
      </c>
      <c r="G210" s="1589">
        <v>59</v>
      </c>
      <c r="H210" s="1589" t="s">
        <v>5409</v>
      </c>
      <c r="I210" s="1589" t="s">
        <v>1830</v>
      </c>
      <c r="J210" s="1601">
        <v>6.2</v>
      </c>
      <c r="K210" s="1601">
        <v>1.3</v>
      </c>
      <c r="L210" s="1591" t="s">
        <v>5489</v>
      </c>
      <c r="M210" s="1593">
        <v>44341</v>
      </c>
    </row>
    <row r="211" spans="1:13" s="1329" customFormat="1" ht="15">
      <c r="A211" s="1589">
        <v>202</v>
      </c>
      <c r="B211" s="1590" t="s">
        <v>1143</v>
      </c>
      <c r="C211" s="1591" t="s">
        <v>1160</v>
      </c>
      <c r="D211" s="1591" t="s">
        <v>2683</v>
      </c>
      <c r="E211" s="1591" t="s">
        <v>5398</v>
      </c>
      <c r="F211" s="1589" t="s">
        <v>1080</v>
      </c>
      <c r="G211" s="1589">
        <v>59</v>
      </c>
      <c r="H211" s="1589" t="s">
        <v>5409</v>
      </c>
      <c r="I211" s="1589" t="s">
        <v>1840</v>
      </c>
      <c r="J211" s="1601">
        <v>8.5</v>
      </c>
      <c r="K211" s="1601">
        <v>3.7</v>
      </c>
      <c r="L211" s="1591" t="s">
        <v>5489</v>
      </c>
      <c r="M211" s="1593">
        <v>44341</v>
      </c>
    </row>
    <row r="212" spans="1:13" s="1329" customFormat="1" ht="15">
      <c r="A212" s="1589">
        <v>203</v>
      </c>
      <c r="B212" s="1590" t="s">
        <v>1143</v>
      </c>
      <c r="C212" s="1591" t="s">
        <v>1160</v>
      </c>
      <c r="D212" s="1591" t="s">
        <v>2683</v>
      </c>
      <c r="E212" s="1591" t="s">
        <v>5398</v>
      </c>
      <c r="F212" s="1589" t="s">
        <v>1080</v>
      </c>
      <c r="G212" s="1589">
        <v>59</v>
      </c>
      <c r="H212" s="1589" t="s">
        <v>5409</v>
      </c>
      <c r="I212" s="1589" t="s">
        <v>1847</v>
      </c>
      <c r="J212" s="1601">
        <v>11.8</v>
      </c>
      <c r="K212" s="1601">
        <v>7.2</v>
      </c>
      <c r="L212" s="1591" t="s">
        <v>5489</v>
      </c>
      <c r="M212" s="1593">
        <v>44341</v>
      </c>
    </row>
    <row r="213" spans="1:13" s="1329" customFormat="1" ht="15">
      <c r="A213" s="1589">
        <v>204</v>
      </c>
      <c r="B213" s="1590" t="s">
        <v>1143</v>
      </c>
      <c r="C213" s="1591" t="s">
        <v>1160</v>
      </c>
      <c r="D213" s="1591" t="s">
        <v>2683</v>
      </c>
      <c r="E213" s="1591" t="s">
        <v>5398</v>
      </c>
      <c r="F213" s="1589" t="s">
        <v>1080</v>
      </c>
      <c r="G213" s="1589">
        <v>59</v>
      </c>
      <c r="H213" s="1589" t="s">
        <v>5409</v>
      </c>
      <c r="I213" s="1589" t="s">
        <v>1853</v>
      </c>
      <c r="J213" s="1601">
        <v>15.2</v>
      </c>
      <c r="K213" s="1601">
        <v>10.5</v>
      </c>
      <c r="L213" s="1591" t="s">
        <v>5489</v>
      </c>
      <c r="M213" s="1593">
        <v>44341</v>
      </c>
    </row>
    <row r="214" spans="1:13" s="1329" customFormat="1" ht="15">
      <c r="A214" s="1589">
        <v>205</v>
      </c>
      <c r="B214" s="1590" t="s">
        <v>1143</v>
      </c>
      <c r="C214" s="1591" t="s">
        <v>1160</v>
      </c>
      <c r="D214" s="1591" t="s">
        <v>2683</v>
      </c>
      <c r="E214" s="1591" t="s">
        <v>5398</v>
      </c>
      <c r="F214" s="1589" t="s">
        <v>1080</v>
      </c>
      <c r="G214" s="1589">
        <v>59</v>
      </c>
      <c r="H214" s="1589" t="s">
        <v>5409</v>
      </c>
      <c r="I214" s="1589" t="s">
        <v>129</v>
      </c>
      <c r="J214" s="1601">
        <v>18.5</v>
      </c>
      <c r="K214" s="1601">
        <v>14.1</v>
      </c>
      <c r="L214" s="1591" t="s">
        <v>5489</v>
      </c>
      <c r="M214" s="1593">
        <v>44341</v>
      </c>
    </row>
    <row r="215" spans="1:13" s="1329" customFormat="1" ht="15">
      <c r="A215" s="1589">
        <v>206</v>
      </c>
      <c r="B215" s="1590" t="s">
        <v>1102</v>
      </c>
      <c r="C215" s="1591" t="s">
        <v>1105</v>
      </c>
      <c r="D215" s="1591" t="s">
        <v>705</v>
      </c>
      <c r="E215" s="1591" t="s">
        <v>5398</v>
      </c>
      <c r="F215" s="1589" t="s">
        <v>1080</v>
      </c>
      <c r="G215" s="1589">
        <v>90</v>
      </c>
      <c r="H215" s="1589" t="s">
        <v>2156</v>
      </c>
      <c r="I215" s="1589" t="s">
        <v>1830</v>
      </c>
      <c r="J215" s="1601">
        <v>-80.8</v>
      </c>
      <c r="K215" s="1601">
        <v>-109.5</v>
      </c>
      <c r="L215" s="1591" t="s">
        <v>5490</v>
      </c>
      <c r="M215" s="1593">
        <v>44342</v>
      </c>
    </row>
    <row r="216" spans="1:13" s="1329" customFormat="1" ht="15">
      <c r="A216" s="1589">
        <v>207</v>
      </c>
      <c r="B216" s="1590" t="s">
        <v>1102</v>
      </c>
      <c r="C216" s="1591" t="s">
        <v>1105</v>
      </c>
      <c r="D216" s="1591" t="s">
        <v>705</v>
      </c>
      <c r="E216" s="1591" t="s">
        <v>5398</v>
      </c>
      <c r="F216" s="1589" t="s">
        <v>1080</v>
      </c>
      <c r="G216" s="1589">
        <v>90</v>
      </c>
      <c r="H216" s="1589" t="s">
        <v>2156</v>
      </c>
      <c r="I216" s="1589" t="s">
        <v>1840</v>
      </c>
      <c r="J216" s="1601">
        <v>-80.8</v>
      </c>
      <c r="K216" s="1601">
        <v>-109.5</v>
      </c>
      <c r="L216" s="1591" t="s">
        <v>5490</v>
      </c>
      <c r="M216" s="1593">
        <v>44342</v>
      </c>
    </row>
    <row r="217" spans="1:13" s="1329" customFormat="1" ht="15">
      <c r="A217" s="1589">
        <v>208</v>
      </c>
      <c r="B217" s="1590" t="s">
        <v>1102</v>
      </c>
      <c r="C217" s="1591" t="s">
        <v>1105</v>
      </c>
      <c r="D217" s="1591" t="s">
        <v>705</v>
      </c>
      <c r="E217" s="1591" t="s">
        <v>5398</v>
      </c>
      <c r="F217" s="1589" t="s">
        <v>1080</v>
      </c>
      <c r="G217" s="1589">
        <v>90</v>
      </c>
      <c r="H217" s="1589" t="s">
        <v>2156</v>
      </c>
      <c r="I217" s="1589" t="s">
        <v>1847</v>
      </c>
      <c r="J217" s="1601">
        <v>-80.8</v>
      </c>
      <c r="K217" s="1601">
        <v>-109.5</v>
      </c>
      <c r="L217" s="1591" t="s">
        <v>5490</v>
      </c>
      <c r="M217" s="1593">
        <v>44342</v>
      </c>
    </row>
    <row r="218" spans="1:13" s="1329" customFormat="1" ht="15">
      <c r="A218" s="1589">
        <v>209</v>
      </c>
      <c r="B218" s="1590" t="s">
        <v>1102</v>
      </c>
      <c r="C218" s="1591" t="s">
        <v>1105</v>
      </c>
      <c r="D218" s="1591" t="s">
        <v>705</v>
      </c>
      <c r="E218" s="1591" t="s">
        <v>5398</v>
      </c>
      <c r="F218" s="1589" t="s">
        <v>1080</v>
      </c>
      <c r="G218" s="1589">
        <v>90</v>
      </c>
      <c r="H218" s="1589" t="s">
        <v>2156</v>
      </c>
      <c r="I218" s="1589" t="s">
        <v>1853</v>
      </c>
      <c r="J218" s="1601">
        <v>-80.8</v>
      </c>
      <c r="K218" s="1601">
        <v>-109.5</v>
      </c>
      <c r="L218" s="1591" t="s">
        <v>5490</v>
      </c>
      <c r="M218" s="1593">
        <v>44342</v>
      </c>
    </row>
    <row r="219" spans="1:13" s="1329" customFormat="1" ht="15">
      <c r="A219" s="1589">
        <v>210</v>
      </c>
      <c r="B219" s="1590" t="s">
        <v>1102</v>
      </c>
      <c r="C219" s="1591" t="s">
        <v>1105</v>
      </c>
      <c r="D219" s="1591" t="s">
        <v>705</v>
      </c>
      <c r="E219" s="1591" t="s">
        <v>5398</v>
      </c>
      <c r="F219" s="1589" t="s">
        <v>1080</v>
      </c>
      <c r="G219" s="1589">
        <v>90</v>
      </c>
      <c r="H219" s="1589" t="s">
        <v>2156</v>
      </c>
      <c r="I219" s="1589" t="s">
        <v>129</v>
      </c>
      <c r="J219" s="1601">
        <v>-80.8</v>
      </c>
      <c r="K219" s="1601">
        <v>-109.5</v>
      </c>
      <c r="L219" s="1591" t="s">
        <v>5490</v>
      </c>
      <c r="M219" s="1593">
        <v>44342</v>
      </c>
    </row>
    <row r="220" spans="1:13" s="1329" customFormat="1" ht="30">
      <c r="A220" s="1595">
        <v>211</v>
      </c>
      <c r="B220" s="1596" t="s">
        <v>1269</v>
      </c>
      <c r="C220" s="1597" t="s">
        <v>1168</v>
      </c>
      <c r="D220" s="1597" t="s">
        <v>567</v>
      </c>
      <c r="E220" s="1597" t="s">
        <v>913</v>
      </c>
      <c r="F220" s="1595" t="s">
        <v>1080</v>
      </c>
      <c r="G220" s="1595">
        <v>59</v>
      </c>
      <c r="H220" s="1595" t="s">
        <v>5409</v>
      </c>
      <c r="I220" s="1595" t="s">
        <v>1830</v>
      </c>
      <c r="J220" s="1595">
        <v>0.8</v>
      </c>
      <c r="K220" s="1609">
        <v>0.84</v>
      </c>
      <c r="L220" s="1597" t="s">
        <v>5505</v>
      </c>
      <c r="M220" s="1599">
        <v>44342</v>
      </c>
    </row>
    <row r="221" spans="1:13" s="1329" customFormat="1" ht="30">
      <c r="A221" s="1595">
        <v>212</v>
      </c>
      <c r="B221" s="1596" t="s">
        <v>1269</v>
      </c>
      <c r="C221" s="1597" t="s">
        <v>1168</v>
      </c>
      <c r="D221" s="1597" t="s">
        <v>567</v>
      </c>
      <c r="E221" s="1597" t="s">
        <v>913</v>
      </c>
      <c r="F221" s="1595" t="s">
        <v>1080</v>
      </c>
      <c r="G221" s="1595">
        <v>59</v>
      </c>
      <c r="H221" s="1595" t="s">
        <v>5409</v>
      </c>
      <c r="I221" s="1595" t="s">
        <v>1840</v>
      </c>
      <c r="J221" s="1595">
        <v>0.8</v>
      </c>
      <c r="K221" s="1609">
        <v>0.84</v>
      </c>
      <c r="L221" s="1597" t="s">
        <v>5505</v>
      </c>
      <c r="M221" s="1599">
        <v>44342</v>
      </c>
    </row>
    <row r="222" spans="1:13" s="1329" customFormat="1" ht="30">
      <c r="A222" s="1595">
        <v>213</v>
      </c>
      <c r="B222" s="1596" t="s">
        <v>1269</v>
      </c>
      <c r="C222" s="1597" t="s">
        <v>1168</v>
      </c>
      <c r="D222" s="1597" t="s">
        <v>567</v>
      </c>
      <c r="E222" s="1597" t="s">
        <v>913</v>
      </c>
      <c r="F222" s="1595" t="s">
        <v>1080</v>
      </c>
      <c r="G222" s="1595">
        <v>59</v>
      </c>
      <c r="H222" s="1595" t="s">
        <v>5409</v>
      </c>
      <c r="I222" s="1595" t="s">
        <v>1847</v>
      </c>
      <c r="J222" s="1595">
        <v>0.8</v>
      </c>
      <c r="K222" s="1609">
        <v>0.76</v>
      </c>
      <c r="L222" s="1597" t="s">
        <v>5505</v>
      </c>
      <c r="M222" s="1599">
        <v>44342</v>
      </c>
    </row>
    <row r="223" spans="1:13" s="1329" customFormat="1" ht="30">
      <c r="A223" s="1595">
        <v>214</v>
      </c>
      <c r="B223" s="1596" t="s">
        <v>1269</v>
      </c>
      <c r="C223" s="1597" t="s">
        <v>1168</v>
      </c>
      <c r="D223" s="1597" t="s">
        <v>567</v>
      </c>
      <c r="E223" s="1597" t="s">
        <v>913</v>
      </c>
      <c r="F223" s="1595" t="s">
        <v>1080</v>
      </c>
      <c r="G223" s="1595">
        <v>59</v>
      </c>
      <c r="H223" s="1595" t="s">
        <v>5409</v>
      </c>
      <c r="I223" s="1595" t="s">
        <v>1853</v>
      </c>
      <c r="J223" s="1595">
        <v>0.7</v>
      </c>
      <c r="K223" s="1609">
        <v>0.68</v>
      </c>
      <c r="L223" s="1597" t="s">
        <v>5505</v>
      </c>
      <c r="M223" s="1599">
        <v>44342</v>
      </c>
    </row>
    <row r="224" spans="1:13" s="1329" customFormat="1" ht="30">
      <c r="A224" s="1595">
        <v>215</v>
      </c>
      <c r="B224" s="1596" t="s">
        <v>1269</v>
      </c>
      <c r="C224" s="1597" t="s">
        <v>1168</v>
      </c>
      <c r="D224" s="1597" t="s">
        <v>567</v>
      </c>
      <c r="E224" s="1597" t="s">
        <v>913</v>
      </c>
      <c r="F224" s="1595" t="s">
        <v>1080</v>
      </c>
      <c r="G224" s="1595">
        <v>59</v>
      </c>
      <c r="H224" s="1595" t="s">
        <v>5409</v>
      </c>
      <c r="I224" s="1595" t="s">
        <v>129</v>
      </c>
      <c r="J224" s="1595">
        <v>0.3</v>
      </c>
      <c r="K224" s="1609">
        <v>0.32</v>
      </c>
      <c r="L224" s="1597" t="s">
        <v>5505</v>
      </c>
      <c r="M224" s="1599">
        <v>44342</v>
      </c>
    </row>
    <row r="225" spans="1:13" s="1329" customFormat="1" ht="15">
      <c r="A225" s="1595">
        <v>216</v>
      </c>
      <c r="B225" s="1596" t="s">
        <v>1227</v>
      </c>
      <c r="C225" s="1597" t="s">
        <v>1291</v>
      </c>
      <c r="D225" s="1597" t="s">
        <v>1084</v>
      </c>
      <c r="E225" s="1597" t="s">
        <v>913</v>
      </c>
      <c r="F225" s="1595" t="s">
        <v>1080</v>
      </c>
      <c r="G225" s="1595">
        <v>90</v>
      </c>
      <c r="H225" s="1595" t="s">
        <v>2156</v>
      </c>
      <c r="I225" s="1595" t="s">
        <v>1830</v>
      </c>
      <c r="J225" s="1598" t="s">
        <v>5400</v>
      </c>
      <c r="K225" s="1598">
        <v>-12.7</v>
      </c>
      <c r="L225" s="1597" t="s">
        <v>5608</v>
      </c>
      <c r="M225" s="1599">
        <v>44343</v>
      </c>
    </row>
    <row r="226" spans="1:13" s="1329" customFormat="1" ht="15">
      <c r="A226" s="1595">
        <v>217</v>
      </c>
      <c r="B226" s="1596" t="s">
        <v>1227</v>
      </c>
      <c r="C226" s="1597" t="s">
        <v>1387</v>
      </c>
      <c r="D226" s="1597" t="s">
        <v>1084</v>
      </c>
      <c r="E226" s="1597" t="s">
        <v>913</v>
      </c>
      <c r="F226" s="1595" t="s">
        <v>1080</v>
      </c>
      <c r="G226" s="1595">
        <v>90</v>
      </c>
      <c r="H226" s="1595" t="s">
        <v>2156</v>
      </c>
      <c r="I226" s="1595" t="s">
        <v>1840</v>
      </c>
      <c r="J226" s="1598" t="s">
        <v>5400</v>
      </c>
      <c r="K226" s="1598">
        <v>-12.7</v>
      </c>
      <c r="L226" s="1597" t="s">
        <v>5608</v>
      </c>
      <c r="M226" s="1599">
        <v>44342</v>
      </c>
    </row>
    <row r="227" spans="1:13" s="1329" customFormat="1" ht="15">
      <c r="A227" s="1595">
        <v>218</v>
      </c>
      <c r="B227" s="1596" t="s">
        <v>1227</v>
      </c>
      <c r="C227" s="1597" t="s">
        <v>1652</v>
      </c>
      <c r="D227" s="1597" t="s">
        <v>1084</v>
      </c>
      <c r="E227" s="1597" t="s">
        <v>913</v>
      </c>
      <c r="F227" s="1595" t="s">
        <v>1080</v>
      </c>
      <c r="G227" s="1595">
        <v>90</v>
      </c>
      <c r="H227" s="1595" t="s">
        <v>2156</v>
      </c>
      <c r="I227" s="1595" t="s">
        <v>1847</v>
      </c>
      <c r="J227" s="1598" t="s">
        <v>5400</v>
      </c>
      <c r="K227" s="1598">
        <v>-12.7</v>
      </c>
      <c r="L227" s="1597" t="s">
        <v>5608</v>
      </c>
      <c r="M227" s="1599">
        <v>44342</v>
      </c>
    </row>
    <row r="228" spans="1:13" s="1329" customFormat="1" ht="15">
      <c r="A228" s="1595">
        <v>219</v>
      </c>
      <c r="B228" s="1596" t="s">
        <v>1227</v>
      </c>
      <c r="C228" s="1597" t="s">
        <v>5609</v>
      </c>
      <c r="D228" s="1597" t="s">
        <v>1084</v>
      </c>
      <c r="E228" s="1597" t="s">
        <v>913</v>
      </c>
      <c r="F228" s="1595" t="s">
        <v>1080</v>
      </c>
      <c r="G228" s="1595">
        <v>90</v>
      </c>
      <c r="H228" s="1595" t="s">
        <v>2156</v>
      </c>
      <c r="I228" s="1595" t="s">
        <v>1853</v>
      </c>
      <c r="J228" s="1598" t="s">
        <v>5400</v>
      </c>
      <c r="K228" s="1598">
        <v>-12.7</v>
      </c>
      <c r="L228" s="1597" t="s">
        <v>5608</v>
      </c>
      <c r="M228" s="1599">
        <v>44342</v>
      </c>
    </row>
    <row r="229" spans="1:13" s="1329" customFormat="1" ht="15">
      <c r="A229" s="1595">
        <v>220</v>
      </c>
      <c r="B229" s="1596" t="s">
        <v>1227</v>
      </c>
      <c r="C229" s="1597" t="s">
        <v>5610</v>
      </c>
      <c r="D229" s="1597" t="s">
        <v>1084</v>
      </c>
      <c r="E229" s="1597" t="s">
        <v>913</v>
      </c>
      <c r="F229" s="1595" t="s">
        <v>1080</v>
      </c>
      <c r="G229" s="1595">
        <v>90</v>
      </c>
      <c r="H229" s="1595" t="s">
        <v>2156</v>
      </c>
      <c r="I229" s="1595" t="s">
        <v>129</v>
      </c>
      <c r="J229" s="1598" t="s">
        <v>5400</v>
      </c>
      <c r="K229" s="1598">
        <v>-12.7</v>
      </c>
      <c r="L229" s="1597" t="s">
        <v>5608</v>
      </c>
      <c r="M229" s="1599">
        <v>44342</v>
      </c>
    </row>
    <row r="230" spans="1:13" s="1329" customFormat="1" ht="15">
      <c r="A230" s="1595">
        <v>221</v>
      </c>
      <c r="B230" s="1596" t="s">
        <v>1116</v>
      </c>
      <c r="C230" s="1597" t="s">
        <v>1290</v>
      </c>
      <c r="D230" s="1597" t="s">
        <v>705</v>
      </c>
      <c r="E230" s="1597" t="s">
        <v>913</v>
      </c>
      <c r="F230" s="1595" t="s">
        <v>1080</v>
      </c>
      <c r="G230" s="1595">
        <v>105</v>
      </c>
      <c r="H230" s="1595" t="s">
        <v>2159</v>
      </c>
      <c r="I230" s="1595" t="s">
        <v>1830</v>
      </c>
      <c r="J230" s="1598">
        <v>4</v>
      </c>
      <c r="K230" s="1598">
        <v>11.5</v>
      </c>
      <c r="L230" s="1597" t="s">
        <v>5611</v>
      </c>
      <c r="M230" s="1599">
        <v>44344</v>
      </c>
    </row>
    <row r="231" spans="1:13" s="1329" customFormat="1" ht="15">
      <c r="A231" s="1595">
        <v>222</v>
      </c>
      <c r="B231" s="1596" t="s">
        <v>1116</v>
      </c>
      <c r="C231" s="1597" t="s">
        <v>1282</v>
      </c>
      <c r="D231" s="1597" t="s">
        <v>705</v>
      </c>
      <c r="E231" s="1597" t="s">
        <v>913</v>
      </c>
      <c r="F231" s="1595" t="s">
        <v>1080</v>
      </c>
      <c r="G231" s="1595">
        <v>105</v>
      </c>
      <c r="H231" s="1595" t="s">
        <v>2159</v>
      </c>
      <c r="I231" s="1595" t="s">
        <v>1840</v>
      </c>
      <c r="J231" s="1598">
        <v>6.4</v>
      </c>
      <c r="K231" s="1598">
        <v>13.7</v>
      </c>
      <c r="L231" s="1597" t="s">
        <v>5611</v>
      </c>
      <c r="M231" s="1599">
        <v>44344</v>
      </c>
    </row>
    <row r="232" spans="1:13" s="1329" customFormat="1" ht="15">
      <c r="A232" s="1595">
        <v>223</v>
      </c>
      <c r="B232" s="1596" t="s">
        <v>1116</v>
      </c>
      <c r="C232" s="1597" t="s">
        <v>1503</v>
      </c>
      <c r="D232" s="1597" t="s">
        <v>705</v>
      </c>
      <c r="E232" s="1597" t="s">
        <v>913</v>
      </c>
      <c r="F232" s="1595" t="s">
        <v>1080</v>
      </c>
      <c r="G232" s="1595">
        <v>105</v>
      </c>
      <c r="H232" s="1595" t="s">
        <v>2159</v>
      </c>
      <c r="I232" s="1595" t="s">
        <v>1847</v>
      </c>
      <c r="J232" s="1598">
        <v>9.5</v>
      </c>
      <c r="K232" s="1598">
        <v>16.5</v>
      </c>
      <c r="L232" s="1597" t="s">
        <v>5611</v>
      </c>
      <c r="M232" s="1599">
        <v>44344</v>
      </c>
    </row>
    <row r="233" spans="1:13" s="1329" customFormat="1" ht="15">
      <c r="A233" s="1595">
        <v>224</v>
      </c>
      <c r="B233" s="1596" t="s">
        <v>1116</v>
      </c>
      <c r="C233" s="1597" t="s">
        <v>1514</v>
      </c>
      <c r="D233" s="1597" t="s">
        <v>705</v>
      </c>
      <c r="E233" s="1597" t="s">
        <v>913</v>
      </c>
      <c r="F233" s="1595" t="s">
        <v>1080</v>
      </c>
      <c r="G233" s="1595">
        <v>105</v>
      </c>
      <c r="H233" s="1595" t="s">
        <v>2159</v>
      </c>
      <c r="I233" s="1595" t="s">
        <v>1853</v>
      </c>
      <c r="J233" s="1598">
        <v>12.5</v>
      </c>
      <c r="K233" s="1598">
        <v>19.3</v>
      </c>
      <c r="L233" s="1597" t="s">
        <v>5611</v>
      </c>
      <c r="M233" s="1599">
        <v>44344</v>
      </c>
    </row>
    <row r="234" spans="1:13" s="1329" customFormat="1" ht="15">
      <c r="A234" s="1595">
        <v>225</v>
      </c>
      <c r="B234" s="1596" t="s">
        <v>1116</v>
      </c>
      <c r="C234" s="1597" t="s">
        <v>1525</v>
      </c>
      <c r="D234" s="1597" t="s">
        <v>705</v>
      </c>
      <c r="E234" s="1597" t="s">
        <v>913</v>
      </c>
      <c r="F234" s="1595" t="s">
        <v>1080</v>
      </c>
      <c r="G234" s="1595">
        <v>105</v>
      </c>
      <c r="H234" s="1595" t="s">
        <v>2159</v>
      </c>
      <c r="I234" s="1595" t="s">
        <v>129</v>
      </c>
      <c r="J234" s="1598">
        <v>15.5</v>
      </c>
      <c r="K234" s="1598">
        <v>22.1</v>
      </c>
      <c r="L234" s="1597" t="s">
        <v>5611</v>
      </c>
      <c r="M234" s="1599">
        <v>44344</v>
      </c>
    </row>
    <row r="235" spans="1:13" s="1329" customFormat="1" ht="15">
      <c r="A235" s="1595">
        <v>226</v>
      </c>
      <c r="B235" s="1596" t="s">
        <v>1227</v>
      </c>
      <c r="C235" s="1597" t="s">
        <v>1235</v>
      </c>
      <c r="D235" s="1597" t="s">
        <v>788</v>
      </c>
      <c r="E235" s="1597" t="s">
        <v>913</v>
      </c>
      <c r="F235" s="1595" t="s">
        <v>1080</v>
      </c>
      <c r="G235" s="1595">
        <v>118</v>
      </c>
      <c r="H235" s="1595" t="s">
        <v>2208</v>
      </c>
      <c r="I235" s="1595" t="s">
        <v>259</v>
      </c>
      <c r="J235" s="1598">
        <v>-0.85699999999999998</v>
      </c>
      <c r="K235" s="1598">
        <v>-0.85399999999999998</v>
      </c>
      <c r="L235" s="1597" t="s">
        <v>5612</v>
      </c>
      <c r="M235" s="1599">
        <v>44344</v>
      </c>
    </row>
    <row r="236" spans="1:13" s="1329" customFormat="1" ht="15">
      <c r="A236" s="1595">
        <v>227</v>
      </c>
      <c r="B236" s="1610" t="s">
        <v>1227</v>
      </c>
      <c r="C236" s="1611" t="s">
        <v>1235</v>
      </c>
      <c r="D236" s="1611" t="s">
        <v>788</v>
      </c>
      <c r="E236" s="1611" t="s">
        <v>913</v>
      </c>
      <c r="F236" s="1612" t="s">
        <v>1080</v>
      </c>
      <c r="G236" s="1612">
        <v>122</v>
      </c>
      <c r="H236" s="1612" t="s">
        <v>2212</v>
      </c>
      <c r="I236" s="1612" t="s">
        <v>259</v>
      </c>
      <c r="J236" s="1613">
        <v>0.85699999999999998</v>
      </c>
      <c r="K236" s="1613">
        <v>0.85399999999999998</v>
      </c>
      <c r="L236" s="1611" t="s">
        <v>5612</v>
      </c>
      <c r="M236" s="1614">
        <v>44344</v>
      </c>
    </row>
    <row r="237" spans="1:13" s="1329" customFormat="1" ht="30">
      <c r="A237" s="1615">
        <v>228</v>
      </c>
      <c r="B237" s="1616" t="s">
        <v>1116</v>
      </c>
      <c r="C237" s="1616" t="s">
        <v>1271</v>
      </c>
      <c r="D237" s="1616" t="s">
        <v>179</v>
      </c>
      <c r="E237" s="1616" t="s">
        <v>913</v>
      </c>
      <c r="F237" s="1617" t="s">
        <v>1080</v>
      </c>
      <c r="G237" s="1617">
        <v>95</v>
      </c>
      <c r="H237" s="1616" t="s">
        <v>2157</v>
      </c>
      <c r="I237" s="1617" t="s">
        <v>1830</v>
      </c>
      <c r="J237" s="1618">
        <v>0</v>
      </c>
      <c r="K237" s="1616"/>
      <c r="L237" s="1619" t="s">
        <v>5613</v>
      </c>
      <c r="M237" s="1620">
        <v>44356</v>
      </c>
    </row>
    <row r="238" spans="1:13" s="1329" customFormat="1" ht="30">
      <c r="A238" s="1615">
        <v>229</v>
      </c>
      <c r="B238" s="1616" t="s">
        <v>1116</v>
      </c>
      <c r="C238" s="1616" t="s">
        <v>1271</v>
      </c>
      <c r="D238" s="1616" t="s">
        <v>179</v>
      </c>
      <c r="E238" s="1616" t="s">
        <v>913</v>
      </c>
      <c r="F238" s="1617" t="s">
        <v>1080</v>
      </c>
      <c r="G238" s="1617">
        <v>95</v>
      </c>
      <c r="H238" s="1616" t="s">
        <v>2157</v>
      </c>
      <c r="I238" s="1617" t="s">
        <v>1840</v>
      </c>
      <c r="J238" s="1618">
        <v>0</v>
      </c>
      <c r="K238" s="1616"/>
      <c r="L238" s="1619" t="s">
        <v>5613</v>
      </c>
      <c r="M238" s="1620">
        <v>44356</v>
      </c>
    </row>
    <row r="239" spans="1:13" s="1329" customFormat="1" ht="30">
      <c r="A239" s="1615">
        <v>230</v>
      </c>
      <c r="B239" s="1616" t="s">
        <v>1116</v>
      </c>
      <c r="C239" s="1616" t="s">
        <v>1271</v>
      </c>
      <c r="D239" s="1616" t="s">
        <v>179</v>
      </c>
      <c r="E239" s="1616" t="s">
        <v>913</v>
      </c>
      <c r="F239" s="1617" t="s">
        <v>1080</v>
      </c>
      <c r="G239" s="1617">
        <v>95</v>
      </c>
      <c r="H239" s="1616" t="s">
        <v>2157</v>
      </c>
      <c r="I239" s="1617" t="s">
        <v>1847</v>
      </c>
      <c r="J239" s="1618">
        <v>0</v>
      </c>
      <c r="K239" s="1616"/>
      <c r="L239" s="1619" t="s">
        <v>5613</v>
      </c>
      <c r="M239" s="1620">
        <v>44356</v>
      </c>
    </row>
    <row r="240" spans="1:13" s="1329" customFormat="1" ht="30">
      <c r="A240" s="1615">
        <v>231</v>
      </c>
      <c r="B240" s="1616" t="s">
        <v>1116</v>
      </c>
      <c r="C240" s="1616" t="s">
        <v>1271</v>
      </c>
      <c r="D240" s="1616" t="s">
        <v>179</v>
      </c>
      <c r="E240" s="1616" t="s">
        <v>913</v>
      </c>
      <c r="F240" s="1617" t="s">
        <v>1080</v>
      </c>
      <c r="G240" s="1617">
        <v>95</v>
      </c>
      <c r="H240" s="1616" t="s">
        <v>2157</v>
      </c>
      <c r="I240" s="1617" t="s">
        <v>1853</v>
      </c>
      <c r="J240" s="1618">
        <v>0</v>
      </c>
      <c r="K240" s="1616"/>
      <c r="L240" s="1619" t="s">
        <v>5613</v>
      </c>
      <c r="M240" s="1620">
        <v>44356</v>
      </c>
    </row>
    <row r="241" spans="1:13" s="1329" customFormat="1" ht="30">
      <c r="A241" s="1615">
        <v>232</v>
      </c>
      <c r="B241" s="1616" t="s">
        <v>1116</v>
      </c>
      <c r="C241" s="1616" t="s">
        <v>1271</v>
      </c>
      <c r="D241" s="1616" t="s">
        <v>179</v>
      </c>
      <c r="E241" s="1616" t="s">
        <v>913</v>
      </c>
      <c r="F241" s="1617" t="s">
        <v>1080</v>
      </c>
      <c r="G241" s="1617">
        <v>95</v>
      </c>
      <c r="H241" s="1616" t="s">
        <v>2157</v>
      </c>
      <c r="I241" s="1617" t="s">
        <v>129</v>
      </c>
      <c r="J241" s="1618">
        <v>0</v>
      </c>
      <c r="K241" s="1616"/>
      <c r="L241" s="1619" t="s">
        <v>5613</v>
      </c>
      <c r="M241" s="1620">
        <v>44356</v>
      </c>
    </row>
    <row r="242" spans="1:13" s="1329" customFormat="1" ht="30">
      <c r="A242" s="1615">
        <v>233</v>
      </c>
      <c r="B242" s="1616" t="s">
        <v>1116</v>
      </c>
      <c r="C242" s="1616" t="s">
        <v>1271</v>
      </c>
      <c r="D242" s="1616" t="s">
        <v>179</v>
      </c>
      <c r="E242" s="1616" t="s">
        <v>913</v>
      </c>
      <c r="F242" s="1617" t="s">
        <v>1080</v>
      </c>
      <c r="G242" s="1617">
        <v>100</v>
      </c>
      <c r="H242" s="1616" t="s">
        <v>2158</v>
      </c>
      <c r="I242" s="1617" t="s">
        <v>1830</v>
      </c>
      <c r="J242" s="1618">
        <v>0</v>
      </c>
      <c r="K242" s="1616"/>
      <c r="L242" s="1619" t="s">
        <v>5613</v>
      </c>
      <c r="M242" s="1620">
        <v>44356</v>
      </c>
    </row>
    <row r="243" spans="1:13" s="1329" customFormat="1" ht="30">
      <c r="A243" s="1615">
        <v>234</v>
      </c>
      <c r="B243" s="1616" t="s">
        <v>1116</v>
      </c>
      <c r="C243" s="1616" t="s">
        <v>1271</v>
      </c>
      <c r="D243" s="1616" t="s">
        <v>179</v>
      </c>
      <c r="E243" s="1616" t="s">
        <v>913</v>
      </c>
      <c r="F243" s="1617" t="s">
        <v>1080</v>
      </c>
      <c r="G243" s="1617">
        <v>100</v>
      </c>
      <c r="H243" s="1616" t="s">
        <v>2158</v>
      </c>
      <c r="I243" s="1617" t="s">
        <v>1840</v>
      </c>
      <c r="J243" s="1618">
        <v>0</v>
      </c>
      <c r="K243" s="1616"/>
      <c r="L243" s="1619" t="s">
        <v>5613</v>
      </c>
      <c r="M243" s="1620">
        <v>44356</v>
      </c>
    </row>
    <row r="244" spans="1:13" s="1329" customFormat="1" ht="30">
      <c r="A244" s="1615">
        <v>235</v>
      </c>
      <c r="B244" s="1616" t="s">
        <v>1116</v>
      </c>
      <c r="C244" s="1616" t="s">
        <v>1271</v>
      </c>
      <c r="D244" s="1616" t="s">
        <v>179</v>
      </c>
      <c r="E244" s="1616" t="s">
        <v>913</v>
      </c>
      <c r="F244" s="1617" t="s">
        <v>1080</v>
      </c>
      <c r="G244" s="1617">
        <v>100</v>
      </c>
      <c r="H244" s="1616" t="s">
        <v>2158</v>
      </c>
      <c r="I244" s="1617" t="s">
        <v>1847</v>
      </c>
      <c r="J244" s="1618">
        <v>0</v>
      </c>
      <c r="K244" s="1616"/>
      <c r="L244" s="1619" t="s">
        <v>5613</v>
      </c>
      <c r="M244" s="1620">
        <v>44356</v>
      </c>
    </row>
    <row r="245" spans="1:13" s="1329" customFormat="1" ht="30">
      <c r="A245" s="1615">
        <v>236</v>
      </c>
      <c r="B245" s="1616" t="s">
        <v>1116</v>
      </c>
      <c r="C245" s="1616" t="s">
        <v>1271</v>
      </c>
      <c r="D245" s="1616" t="s">
        <v>179</v>
      </c>
      <c r="E245" s="1616" t="s">
        <v>913</v>
      </c>
      <c r="F245" s="1617" t="s">
        <v>1080</v>
      </c>
      <c r="G245" s="1617">
        <v>100</v>
      </c>
      <c r="H245" s="1616" t="s">
        <v>2158</v>
      </c>
      <c r="I245" s="1617" t="s">
        <v>1853</v>
      </c>
      <c r="J245" s="1618">
        <v>0</v>
      </c>
      <c r="K245" s="1616"/>
      <c r="L245" s="1619" t="s">
        <v>5613</v>
      </c>
      <c r="M245" s="1620">
        <v>44356</v>
      </c>
    </row>
    <row r="246" spans="1:13" s="1329" customFormat="1" ht="30">
      <c r="A246" s="1615">
        <v>237</v>
      </c>
      <c r="B246" s="1616" t="s">
        <v>1116</v>
      </c>
      <c r="C246" s="1616" t="s">
        <v>1271</v>
      </c>
      <c r="D246" s="1616" t="s">
        <v>179</v>
      </c>
      <c r="E246" s="1616" t="s">
        <v>913</v>
      </c>
      <c r="F246" s="1617" t="s">
        <v>1080</v>
      </c>
      <c r="G246" s="1617">
        <v>100</v>
      </c>
      <c r="H246" s="1616" t="s">
        <v>2158</v>
      </c>
      <c r="I246" s="1617" t="s">
        <v>129</v>
      </c>
      <c r="J246" s="1618">
        <v>0</v>
      </c>
      <c r="K246" s="1616"/>
      <c r="L246" s="1619" t="s">
        <v>5613</v>
      </c>
      <c r="M246" s="1620">
        <v>44356</v>
      </c>
    </row>
    <row r="247" spans="1:13" s="1329" customFormat="1" ht="15">
      <c r="A247" s="1615">
        <v>238</v>
      </c>
      <c r="B247" s="1616" t="s">
        <v>1269</v>
      </c>
      <c r="C247" s="1616" t="s">
        <v>2857</v>
      </c>
      <c r="D247" s="1616" t="s">
        <v>179</v>
      </c>
      <c r="E247" s="1616" t="s">
        <v>913</v>
      </c>
      <c r="F247" s="1617" t="s">
        <v>1080</v>
      </c>
      <c r="G247" s="1617">
        <v>105</v>
      </c>
      <c r="H247" s="1616" t="s">
        <v>2159</v>
      </c>
      <c r="I247" s="1617" t="s">
        <v>1830</v>
      </c>
      <c r="J247" s="1618">
        <v>3.4722222222222225E-3</v>
      </c>
      <c r="K247" s="1618">
        <v>1.9328703703703704E-3</v>
      </c>
      <c r="L247" s="1616" t="s">
        <v>5513</v>
      </c>
      <c r="M247" s="1620">
        <v>44356</v>
      </c>
    </row>
    <row r="248" spans="1:13" s="1329" customFormat="1" ht="15">
      <c r="A248" s="1615">
        <v>239</v>
      </c>
      <c r="B248" s="1616" t="s">
        <v>1269</v>
      </c>
      <c r="C248" s="1616" t="s">
        <v>2857</v>
      </c>
      <c r="D248" s="1616" t="s">
        <v>179</v>
      </c>
      <c r="E248" s="1616" t="s">
        <v>913</v>
      </c>
      <c r="F248" s="1617" t="s">
        <v>1080</v>
      </c>
      <c r="G248" s="1617">
        <v>105</v>
      </c>
      <c r="H248" s="1616" t="s">
        <v>2159</v>
      </c>
      <c r="I248" s="1617" t="s">
        <v>1840</v>
      </c>
      <c r="J248" s="1618">
        <v>3.2175925925925931E-3</v>
      </c>
      <c r="K248" s="1618">
        <v>1.712962962962963E-3</v>
      </c>
      <c r="L248" s="1616" t="s">
        <v>5513</v>
      </c>
      <c r="M248" s="1620">
        <v>44356</v>
      </c>
    </row>
    <row r="249" spans="1:13" s="1329" customFormat="1" ht="15">
      <c r="A249" s="1615">
        <v>240</v>
      </c>
      <c r="B249" s="1616" t="s">
        <v>1269</v>
      </c>
      <c r="C249" s="1616" t="s">
        <v>2857</v>
      </c>
      <c r="D249" s="1616" t="s">
        <v>179</v>
      </c>
      <c r="E249" s="1616" t="s">
        <v>913</v>
      </c>
      <c r="F249" s="1617" t="s">
        <v>1080</v>
      </c>
      <c r="G249" s="1617">
        <v>105</v>
      </c>
      <c r="H249" s="1616" t="s">
        <v>2159</v>
      </c>
      <c r="I249" s="1617" t="s">
        <v>1847</v>
      </c>
      <c r="J249" s="1618">
        <v>2.9513888888888897E-3</v>
      </c>
      <c r="K249" s="1618">
        <v>1.5046296296296294E-3</v>
      </c>
      <c r="L249" s="1616" t="s">
        <v>5513</v>
      </c>
      <c r="M249" s="1620">
        <v>44356</v>
      </c>
    </row>
    <row r="250" spans="1:13" s="1329" customFormat="1" ht="15">
      <c r="A250" s="1615">
        <v>241</v>
      </c>
      <c r="B250" s="1616" t="s">
        <v>1269</v>
      </c>
      <c r="C250" s="1616" t="s">
        <v>2857</v>
      </c>
      <c r="D250" s="1616" t="s">
        <v>179</v>
      </c>
      <c r="E250" s="1616" t="s">
        <v>913</v>
      </c>
      <c r="F250" s="1617" t="s">
        <v>1080</v>
      </c>
      <c r="G250" s="1617">
        <v>105</v>
      </c>
      <c r="H250" s="1616" t="s">
        <v>2159</v>
      </c>
      <c r="I250" s="1617" t="s">
        <v>1853</v>
      </c>
      <c r="J250" s="1618">
        <v>2.6967592592592594E-3</v>
      </c>
      <c r="K250" s="1618">
        <v>1.2962962962962963E-3</v>
      </c>
      <c r="L250" s="1616" t="s">
        <v>5513</v>
      </c>
      <c r="M250" s="1620">
        <v>44356</v>
      </c>
    </row>
    <row r="251" spans="1:13" s="1329" customFormat="1" ht="15">
      <c r="A251" s="1615">
        <v>242</v>
      </c>
      <c r="B251" s="1616" t="s">
        <v>1269</v>
      </c>
      <c r="C251" s="1616" t="s">
        <v>2857</v>
      </c>
      <c r="D251" s="1616" t="s">
        <v>179</v>
      </c>
      <c r="E251" s="1616" t="s">
        <v>913</v>
      </c>
      <c r="F251" s="1617" t="s">
        <v>1080</v>
      </c>
      <c r="G251" s="1617">
        <v>105</v>
      </c>
      <c r="H251" s="1616" t="s">
        <v>2159</v>
      </c>
      <c r="I251" s="1617" t="s">
        <v>129</v>
      </c>
      <c r="J251" s="1618">
        <v>2.4305555555555556E-3</v>
      </c>
      <c r="K251" s="1618">
        <v>1.0416666666666667E-3</v>
      </c>
      <c r="L251" s="1616" t="s">
        <v>5513</v>
      </c>
      <c r="M251" s="1620">
        <v>44356</v>
      </c>
    </row>
    <row r="252" spans="1:13" s="1329" customFormat="1" ht="15">
      <c r="A252" s="1615">
        <v>243</v>
      </c>
      <c r="B252" s="1621" t="s">
        <v>1102</v>
      </c>
      <c r="C252" s="1622" t="s">
        <v>1095</v>
      </c>
      <c r="D252" s="1622" t="s">
        <v>784</v>
      </c>
      <c r="E252" s="1616" t="s">
        <v>913</v>
      </c>
      <c r="F252" s="1617" t="s">
        <v>1080</v>
      </c>
      <c r="G252" s="1615">
        <v>105</v>
      </c>
      <c r="H252" s="1616" t="s">
        <v>2159</v>
      </c>
      <c r="I252" s="1617" t="s">
        <v>1830</v>
      </c>
      <c r="J252" s="1623">
        <v>1.62</v>
      </c>
      <c r="K252" s="1623">
        <v>1.35</v>
      </c>
      <c r="L252" s="1622" t="s">
        <v>5504</v>
      </c>
      <c r="M252" s="1620">
        <v>44356</v>
      </c>
    </row>
    <row r="253" spans="1:13" s="1329" customFormat="1" ht="15">
      <c r="A253" s="1615">
        <v>244</v>
      </c>
      <c r="B253" s="1621" t="s">
        <v>1102</v>
      </c>
      <c r="C253" s="1622" t="s">
        <v>1095</v>
      </c>
      <c r="D253" s="1622" t="s">
        <v>784</v>
      </c>
      <c r="E253" s="1616" t="s">
        <v>913</v>
      </c>
      <c r="F253" s="1617" t="s">
        <v>1080</v>
      </c>
      <c r="G253" s="1615">
        <v>105</v>
      </c>
      <c r="H253" s="1616" t="s">
        <v>2159</v>
      </c>
      <c r="I253" s="1617" t="s">
        <v>1840</v>
      </c>
      <c r="J253" s="1623">
        <v>1.52</v>
      </c>
      <c r="K253" s="1623">
        <v>1.3</v>
      </c>
      <c r="L253" s="1622" t="s">
        <v>5504</v>
      </c>
      <c r="M253" s="1620">
        <v>44356</v>
      </c>
    </row>
    <row r="254" spans="1:13" s="1329" customFormat="1" ht="15">
      <c r="A254" s="1615">
        <v>245</v>
      </c>
      <c r="B254" s="1621" t="s">
        <v>1102</v>
      </c>
      <c r="C254" s="1622" t="s">
        <v>1095</v>
      </c>
      <c r="D254" s="1622" t="s">
        <v>784</v>
      </c>
      <c r="E254" s="1616" t="s">
        <v>913</v>
      </c>
      <c r="F254" s="1617" t="s">
        <v>1080</v>
      </c>
      <c r="G254" s="1615">
        <v>105</v>
      </c>
      <c r="H254" s="1616" t="s">
        <v>2159</v>
      </c>
      <c r="I254" s="1617" t="s">
        <v>1847</v>
      </c>
      <c r="J254" s="1623">
        <v>1.43</v>
      </c>
      <c r="K254" s="1623">
        <v>1.25</v>
      </c>
      <c r="L254" s="1622" t="s">
        <v>5504</v>
      </c>
      <c r="M254" s="1620">
        <v>44356</v>
      </c>
    </row>
    <row r="255" spans="1:13" s="1329" customFormat="1" ht="15">
      <c r="A255" s="1615">
        <v>246</v>
      </c>
      <c r="B255" s="1621" t="s">
        <v>1102</v>
      </c>
      <c r="C255" s="1622" t="s">
        <v>1095</v>
      </c>
      <c r="D255" s="1622" t="s">
        <v>784</v>
      </c>
      <c r="E255" s="1616" t="s">
        <v>913</v>
      </c>
      <c r="F255" s="1617" t="s">
        <v>1080</v>
      </c>
      <c r="G255" s="1615">
        <v>105</v>
      </c>
      <c r="H255" s="1616" t="s">
        <v>2159</v>
      </c>
      <c r="I255" s="1617" t="s">
        <v>1853</v>
      </c>
      <c r="J255" s="1623">
        <v>1.23</v>
      </c>
      <c r="K255" s="1623">
        <v>1.1100000000000001</v>
      </c>
      <c r="L255" s="1622" t="s">
        <v>5504</v>
      </c>
      <c r="M255" s="1620">
        <v>44356</v>
      </c>
    </row>
    <row r="256" spans="1:13" s="1329" customFormat="1" ht="15">
      <c r="A256" s="1615">
        <v>247</v>
      </c>
      <c r="B256" s="1621" t="s">
        <v>1102</v>
      </c>
      <c r="C256" s="1622" t="s">
        <v>1095</v>
      </c>
      <c r="D256" s="1622" t="s">
        <v>784</v>
      </c>
      <c r="E256" s="1616" t="s">
        <v>913</v>
      </c>
      <c r="F256" s="1617" t="s">
        <v>1080</v>
      </c>
      <c r="G256" s="1615">
        <v>105</v>
      </c>
      <c r="H256" s="1616" t="s">
        <v>2159</v>
      </c>
      <c r="I256" s="1617" t="s">
        <v>129</v>
      </c>
      <c r="J256" s="1623">
        <v>1.07</v>
      </c>
      <c r="K256" s="1623">
        <v>1.01</v>
      </c>
      <c r="L256" s="1622" t="s">
        <v>5504</v>
      </c>
      <c r="M256" s="1620">
        <v>44356</v>
      </c>
    </row>
    <row r="257" spans="1:13" s="1329" customFormat="1" ht="15">
      <c r="A257" s="1615">
        <v>248</v>
      </c>
      <c r="B257" s="1621" t="s">
        <v>1102</v>
      </c>
      <c r="C257" s="1622" t="s">
        <v>1096</v>
      </c>
      <c r="D257" s="1622" t="s">
        <v>788</v>
      </c>
      <c r="E257" s="1616" t="s">
        <v>913</v>
      </c>
      <c r="F257" s="1617" t="s">
        <v>1080</v>
      </c>
      <c r="G257" s="1615">
        <v>105</v>
      </c>
      <c r="H257" s="1616" t="s">
        <v>2159</v>
      </c>
      <c r="I257" s="1617" t="s">
        <v>1830</v>
      </c>
      <c r="J257" s="1623">
        <v>17</v>
      </c>
      <c r="K257" s="1623">
        <v>9.51</v>
      </c>
      <c r="L257" s="1622" t="s">
        <v>5504</v>
      </c>
      <c r="M257" s="1620">
        <v>44356</v>
      </c>
    </row>
    <row r="258" spans="1:13" s="1329" customFormat="1" ht="15">
      <c r="A258" s="1615">
        <v>249</v>
      </c>
      <c r="B258" s="1621" t="s">
        <v>1102</v>
      </c>
      <c r="C258" s="1622" t="s">
        <v>1096</v>
      </c>
      <c r="D258" s="1622" t="s">
        <v>788</v>
      </c>
      <c r="E258" s="1616" t="s">
        <v>913</v>
      </c>
      <c r="F258" s="1617" t="s">
        <v>1080</v>
      </c>
      <c r="G258" s="1615">
        <v>105</v>
      </c>
      <c r="H258" s="1616" t="s">
        <v>2159</v>
      </c>
      <c r="I258" s="1617" t="s">
        <v>1840</v>
      </c>
      <c r="J258" s="1623">
        <v>16.5</v>
      </c>
      <c r="K258" s="1623">
        <v>8.74</v>
      </c>
      <c r="L258" s="1622" t="s">
        <v>5504</v>
      </c>
      <c r="M258" s="1620">
        <v>44356</v>
      </c>
    </row>
    <row r="259" spans="1:13" s="1329" customFormat="1" ht="15">
      <c r="A259" s="1615">
        <v>250</v>
      </c>
      <c r="B259" s="1621" t="s">
        <v>1102</v>
      </c>
      <c r="C259" s="1622" t="s">
        <v>1096</v>
      </c>
      <c r="D259" s="1622" t="s">
        <v>788</v>
      </c>
      <c r="E259" s="1616" t="s">
        <v>913</v>
      </c>
      <c r="F259" s="1617" t="s">
        <v>1080</v>
      </c>
      <c r="G259" s="1615">
        <v>105</v>
      </c>
      <c r="H259" s="1616" t="s">
        <v>2159</v>
      </c>
      <c r="I259" s="1617" t="s">
        <v>1847</v>
      </c>
      <c r="J259" s="1623">
        <v>16</v>
      </c>
      <c r="K259" s="1623">
        <v>8</v>
      </c>
      <c r="L259" s="1622" t="s">
        <v>5504</v>
      </c>
      <c r="M259" s="1620">
        <v>44356</v>
      </c>
    </row>
    <row r="260" spans="1:13" s="1329" customFormat="1" ht="15">
      <c r="A260" s="1615">
        <v>251</v>
      </c>
      <c r="B260" s="1621" t="s">
        <v>1102</v>
      </c>
      <c r="C260" s="1622" t="s">
        <v>1096</v>
      </c>
      <c r="D260" s="1622" t="s">
        <v>788</v>
      </c>
      <c r="E260" s="1616" t="s">
        <v>913</v>
      </c>
      <c r="F260" s="1617" t="s">
        <v>1080</v>
      </c>
      <c r="G260" s="1615">
        <v>105</v>
      </c>
      <c r="H260" s="1616" t="s">
        <v>2159</v>
      </c>
      <c r="I260" s="1617" t="s">
        <v>1853</v>
      </c>
      <c r="J260" s="1623">
        <v>15.5</v>
      </c>
      <c r="K260" s="1623">
        <v>7.4</v>
      </c>
      <c r="L260" s="1622" t="s">
        <v>5504</v>
      </c>
      <c r="M260" s="1620">
        <v>44356</v>
      </c>
    </row>
    <row r="261" spans="1:13" s="1329" customFormat="1" ht="15">
      <c r="A261" s="1615">
        <v>252</v>
      </c>
      <c r="B261" s="1621" t="s">
        <v>1102</v>
      </c>
      <c r="C261" s="1622" t="s">
        <v>1096</v>
      </c>
      <c r="D261" s="1622" t="s">
        <v>788</v>
      </c>
      <c r="E261" s="1616" t="s">
        <v>913</v>
      </c>
      <c r="F261" s="1617" t="s">
        <v>1080</v>
      </c>
      <c r="G261" s="1615">
        <v>105</v>
      </c>
      <c r="H261" s="1616" t="s">
        <v>2159</v>
      </c>
      <c r="I261" s="1617" t="s">
        <v>129</v>
      </c>
      <c r="J261" s="1623">
        <v>15</v>
      </c>
      <c r="K261" s="1623">
        <v>4.5</v>
      </c>
      <c r="L261" s="1622" t="s">
        <v>5504</v>
      </c>
      <c r="M261" s="1620">
        <v>44356</v>
      </c>
    </row>
    <row r="262" spans="1:13" s="1329" customFormat="1" ht="15">
      <c r="A262" s="1615">
        <v>253</v>
      </c>
      <c r="B262" s="1621" t="s">
        <v>1102</v>
      </c>
      <c r="C262" s="1616" t="s">
        <v>1105</v>
      </c>
      <c r="D262" s="1622" t="s">
        <v>705</v>
      </c>
      <c r="E262" s="1616" t="s">
        <v>913</v>
      </c>
      <c r="F262" s="1617" t="s">
        <v>1080</v>
      </c>
      <c r="G262" s="1615">
        <v>105</v>
      </c>
      <c r="H262" s="1616" t="s">
        <v>2159</v>
      </c>
      <c r="I262" s="1615" t="s">
        <v>1830</v>
      </c>
      <c r="J262" s="1615">
        <v>6.6</v>
      </c>
      <c r="K262" s="1615" t="s">
        <v>4430</v>
      </c>
      <c r="L262" s="1622" t="s">
        <v>5517</v>
      </c>
      <c r="M262" s="1620">
        <v>44356</v>
      </c>
    </row>
    <row r="263" spans="1:13" s="1329" customFormat="1" ht="15">
      <c r="A263" s="1615">
        <v>254</v>
      </c>
      <c r="B263" s="1621" t="s">
        <v>1102</v>
      </c>
      <c r="C263" s="1616" t="s">
        <v>1105</v>
      </c>
      <c r="D263" s="1622" t="s">
        <v>705</v>
      </c>
      <c r="E263" s="1616" t="s">
        <v>913</v>
      </c>
      <c r="F263" s="1617" t="s">
        <v>1080</v>
      </c>
      <c r="G263" s="1615">
        <v>105</v>
      </c>
      <c r="H263" s="1616" t="s">
        <v>2159</v>
      </c>
      <c r="I263" s="1615" t="s">
        <v>1840</v>
      </c>
      <c r="J263" s="1615">
        <v>8.1999999999999993</v>
      </c>
      <c r="K263" s="1615" t="s">
        <v>4430</v>
      </c>
      <c r="L263" s="1622" t="s">
        <v>5517</v>
      </c>
      <c r="M263" s="1620">
        <v>44356</v>
      </c>
    </row>
    <row r="264" spans="1:13" s="1329" customFormat="1" ht="15">
      <c r="A264" s="1615">
        <v>255</v>
      </c>
      <c r="B264" s="1621" t="s">
        <v>1102</v>
      </c>
      <c r="C264" s="1616" t="s">
        <v>1105</v>
      </c>
      <c r="D264" s="1622" t="s">
        <v>705</v>
      </c>
      <c r="E264" s="1616" t="s">
        <v>913</v>
      </c>
      <c r="F264" s="1617" t="s">
        <v>1080</v>
      </c>
      <c r="G264" s="1615">
        <v>105</v>
      </c>
      <c r="H264" s="1616" t="s">
        <v>2159</v>
      </c>
      <c r="I264" s="1615" t="s">
        <v>1847</v>
      </c>
      <c r="J264" s="1615">
        <v>11.1</v>
      </c>
      <c r="K264" s="1615" t="s">
        <v>4430</v>
      </c>
      <c r="L264" s="1622" t="s">
        <v>5517</v>
      </c>
      <c r="M264" s="1620">
        <v>44356</v>
      </c>
    </row>
    <row r="265" spans="1:13" s="1329" customFormat="1" ht="15">
      <c r="A265" s="1615">
        <v>256</v>
      </c>
      <c r="B265" s="1621" t="s">
        <v>1102</v>
      </c>
      <c r="C265" s="1616" t="s">
        <v>1105</v>
      </c>
      <c r="D265" s="1622" t="s">
        <v>705</v>
      </c>
      <c r="E265" s="1616" t="s">
        <v>913</v>
      </c>
      <c r="F265" s="1617" t="s">
        <v>1080</v>
      </c>
      <c r="G265" s="1615">
        <v>105</v>
      </c>
      <c r="H265" s="1616" t="s">
        <v>2159</v>
      </c>
      <c r="I265" s="1615" t="s">
        <v>1853</v>
      </c>
      <c r="J265" s="1615">
        <v>14.9</v>
      </c>
      <c r="K265" s="1615" t="s">
        <v>4430</v>
      </c>
      <c r="L265" s="1622" t="s">
        <v>5517</v>
      </c>
      <c r="M265" s="1620">
        <v>44356</v>
      </c>
    </row>
    <row r="266" spans="1:13" s="1329" customFormat="1" ht="15">
      <c r="A266" s="1615">
        <v>257</v>
      </c>
      <c r="B266" s="1621" t="s">
        <v>1102</v>
      </c>
      <c r="C266" s="1616" t="s">
        <v>1105</v>
      </c>
      <c r="D266" s="1622" t="s">
        <v>705</v>
      </c>
      <c r="E266" s="1616" t="s">
        <v>913</v>
      </c>
      <c r="F266" s="1617" t="s">
        <v>1080</v>
      </c>
      <c r="G266" s="1615">
        <v>105</v>
      </c>
      <c r="H266" s="1616" t="s">
        <v>2159</v>
      </c>
      <c r="I266" s="1615" t="s">
        <v>129</v>
      </c>
      <c r="J266" s="1615">
        <v>18.7</v>
      </c>
      <c r="K266" s="1615" t="s">
        <v>4430</v>
      </c>
      <c r="L266" s="1622" t="s">
        <v>5517</v>
      </c>
      <c r="M266" s="1620">
        <v>44356</v>
      </c>
    </row>
    <row r="267" spans="1:13" s="1329" customFormat="1" ht="15">
      <c r="A267" s="1615">
        <v>258</v>
      </c>
      <c r="B267" s="1624" t="s">
        <v>1213</v>
      </c>
      <c r="C267" s="1625" t="s">
        <v>1265</v>
      </c>
      <c r="D267" s="1626" t="s">
        <v>203</v>
      </c>
      <c r="E267" s="1626" t="s">
        <v>913</v>
      </c>
      <c r="F267" s="1617" t="s">
        <v>1080</v>
      </c>
      <c r="G267" s="1627">
        <v>105</v>
      </c>
      <c r="H267" s="1616" t="s">
        <v>2159</v>
      </c>
      <c r="I267" s="1627" t="s">
        <v>1840</v>
      </c>
      <c r="J267" s="1627">
        <v>88.2</v>
      </c>
      <c r="K267" s="1627">
        <v>88.3</v>
      </c>
      <c r="L267" s="1626" t="s">
        <v>5513</v>
      </c>
      <c r="M267" s="1628">
        <v>44358</v>
      </c>
    </row>
    <row r="268" spans="1:13" s="1329" customFormat="1" ht="15">
      <c r="A268" s="1615">
        <v>259</v>
      </c>
      <c r="B268" s="1624" t="s">
        <v>1278</v>
      </c>
      <c r="C268" s="1616" t="s">
        <v>1187</v>
      </c>
      <c r="D268" s="1616" t="s">
        <v>179</v>
      </c>
      <c r="E268" s="1616" t="s">
        <v>913</v>
      </c>
      <c r="F268" s="1617" t="s">
        <v>1080</v>
      </c>
      <c r="G268" s="1615">
        <v>105</v>
      </c>
      <c r="H268" s="1616" t="s">
        <v>2159</v>
      </c>
      <c r="I268" s="1615" t="s">
        <v>1830</v>
      </c>
      <c r="J268" s="1618">
        <v>4.0972222222222226E-3</v>
      </c>
      <c r="K268" s="1618">
        <v>3.2291666666666666E-3</v>
      </c>
      <c r="L268" s="1626" t="s">
        <v>5513</v>
      </c>
      <c r="M268" s="1628">
        <v>44358</v>
      </c>
    </row>
    <row r="269" spans="1:13" s="1329" customFormat="1" ht="15">
      <c r="A269" s="1615">
        <v>260</v>
      </c>
      <c r="B269" s="1624" t="s">
        <v>1278</v>
      </c>
      <c r="C269" s="1616" t="s">
        <v>1187</v>
      </c>
      <c r="D269" s="1616" t="s">
        <v>179</v>
      </c>
      <c r="E269" s="1626" t="s">
        <v>913</v>
      </c>
      <c r="F269" s="1617" t="s">
        <v>1080</v>
      </c>
      <c r="G269" s="1627">
        <v>105</v>
      </c>
      <c r="H269" s="1616" t="s">
        <v>2159</v>
      </c>
      <c r="I269" s="1615" t="s">
        <v>1840</v>
      </c>
      <c r="J269" s="1618">
        <v>3.8425925925925932E-3</v>
      </c>
      <c r="K269" s="1618">
        <v>2.8240740740740739E-3</v>
      </c>
      <c r="L269" s="1626" t="s">
        <v>5513</v>
      </c>
      <c r="M269" s="1628">
        <v>44358</v>
      </c>
    </row>
    <row r="270" spans="1:13" s="1329" customFormat="1" ht="15">
      <c r="A270" s="1615">
        <v>261</v>
      </c>
      <c r="B270" s="1624" t="s">
        <v>1278</v>
      </c>
      <c r="C270" s="1616" t="s">
        <v>1187</v>
      </c>
      <c r="D270" s="1616" t="s">
        <v>179</v>
      </c>
      <c r="E270" s="1616" t="s">
        <v>913</v>
      </c>
      <c r="F270" s="1617" t="s">
        <v>1080</v>
      </c>
      <c r="G270" s="1615">
        <v>105</v>
      </c>
      <c r="H270" s="1616" t="s">
        <v>2159</v>
      </c>
      <c r="I270" s="1615" t="s">
        <v>1847</v>
      </c>
      <c r="J270" s="1618">
        <v>3.5763888888888898E-3</v>
      </c>
      <c r="K270" s="1618">
        <v>2.4421296296296296E-3</v>
      </c>
      <c r="L270" s="1626" t="s">
        <v>5513</v>
      </c>
      <c r="M270" s="1628">
        <v>44358</v>
      </c>
    </row>
    <row r="271" spans="1:13" s="1329" customFormat="1" ht="15">
      <c r="A271" s="1615">
        <v>262</v>
      </c>
      <c r="B271" s="1624" t="s">
        <v>1278</v>
      </c>
      <c r="C271" s="1616" t="s">
        <v>1187</v>
      </c>
      <c r="D271" s="1616" t="s">
        <v>179</v>
      </c>
      <c r="E271" s="1626" t="s">
        <v>913</v>
      </c>
      <c r="F271" s="1617" t="s">
        <v>1080</v>
      </c>
      <c r="G271" s="1627">
        <v>105</v>
      </c>
      <c r="H271" s="1616" t="s">
        <v>2159</v>
      </c>
      <c r="I271" s="1615" t="s">
        <v>1853</v>
      </c>
      <c r="J271" s="1618">
        <v>3.3217592592592595E-3</v>
      </c>
      <c r="K271" s="1618">
        <v>2.0601851851851853E-3</v>
      </c>
      <c r="L271" s="1626" t="s">
        <v>5513</v>
      </c>
      <c r="M271" s="1628">
        <v>44358</v>
      </c>
    </row>
    <row r="272" spans="1:13" s="1329" customFormat="1" ht="15">
      <c r="A272" s="1615">
        <v>263</v>
      </c>
      <c r="B272" s="1624" t="s">
        <v>1278</v>
      </c>
      <c r="C272" s="1616" t="s">
        <v>1187</v>
      </c>
      <c r="D272" s="1616" t="s">
        <v>179</v>
      </c>
      <c r="E272" s="1616" t="s">
        <v>913</v>
      </c>
      <c r="F272" s="1617" t="s">
        <v>1080</v>
      </c>
      <c r="G272" s="1615">
        <v>105</v>
      </c>
      <c r="H272" s="1616" t="s">
        <v>2159</v>
      </c>
      <c r="I272" s="1615" t="s">
        <v>129</v>
      </c>
      <c r="J272" s="1618">
        <v>3.0555555555555553E-3</v>
      </c>
      <c r="K272" s="1618">
        <v>1.6666666666666668E-3</v>
      </c>
      <c r="L272" s="1626" t="s">
        <v>5513</v>
      </c>
      <c r="M272" s="1628">
        <v>44358</v>
      </c>
    </row>
    <row r="273" spans="1:13" s="1329" customFormat="1" ht="15">
      <c r="A273" s="1615">
        <v>264</v>
      </c>
      <c r="B273" s="1616" t="s">
        <v>1102</v>
      </c>
      <c r="C273" s="1616" t="s">
        <v>1104</v>
      </c>
      <c r="D273" s="1616" t="s">
        <v>179</v>
      </c>
      <c r="E273" s="1616" t="s">
        <v>913</v>
      </c>
      <c r="F273" s="1617" t="s">
        <v>1080</v>
      </c>
      <c r="G273" s="1617">
        <v>95</v>
      </c>
      <c r="H273" s="1616" t="s">
        <v>5614</v>
      </c>
      <c r="I273" s="1617" t="s">
        <v>1830</v>
      </c>
      <c r="J273" s="1618">
        <v>0</v>
      </c>
      <c r="K273" s="1616"/>
      <c r="L273" s="1616" t="s">
        <v>5613</v>
      </c>
      <c r="M273" s="1620">
        <v>44358</v>
      </c>
    </row>
    <row r="274" spans="1:13" s="1329" customFormat="1" ht="15">
      <c r="A274" s="1615">
        <v>265</v>
      </c>
      <c r="B274" s="1616" t="s">
        <v>1102</v>
      </c>
      <c r="C274" s="1616" t="s">
        <v>1104</v>
      </c>
      <c r="D274" s="1616" t="s">
        <v>179</v>
      </c>
      <c r="E274" s="1616" t="s">
        <v>913</v>
      </c>
      <c r="F274" s="1617" t="s">
        <v>1080</v>
      </c>
      <c r="G274" s="1617">
        <v>95</v>
      </c>
      <c r="H274" s="1616" t="s">
        <v>5614</v>
      </c>
      <c r="I274" s="1617" t="s">
        <v>1840</v>
      </c>
      <c r="J274" s="1618">
        <v>0</v>
      </c>
      <c r="K274" s="1616"/>
      <c r="L274" s="1616" t="s">
        <v>5613</v>
      </c>
      <c r="M274" s="1620">
        <v>44358</v>
      </c>
    </row>
    <row r="275" spans="1:13" s="1329" customFormat="1" ht="15">
      <c r="A275" s="1615">
        <v>266</v>
      </c>
      <c r="B275" s="1616" t="s">
        <v>1102</v>
      </c>
      <c r="C275" s="1616" t="s">
        <v>1104</v>
      </c>
      <c r="D275" s="1616" t="s">
        <v>179</v>
      </c>
      <c r="E275" s="1616" t="s">
        <v>913</v>
      </c>
      <c r="F275" s="1617" t="s">
        <v>1080</v>
      </c>
      <c r="G275" s="1617">
        <v>95</v>
      </c>
      <c r="H275" s="1616" t="s">
        <v>5614</v>
      </c>
      <c r="I275" s="1617" t="s">
        <v>1847</v>
      </c>
      <c r="J275" s="1618">
        <v>0</v>
      </c>
      <c r="K275" s="1616"/>
      <c r="L275" s="1616" t="s">
        <v>5613</v>
      </c>
      <c r="M275" s="1620">
        <v>44358</v>
      </c>
    </row>
    <row r="276" spans="1:13" s="1329" customFormat="1" ht="15">
      <c r="A276" s="1615">
        <v>267</v>
      </c>
      <c r="B276" s="1616" t="s">
        <v>1102</v>
      </c>
      <c r="C276" s="1616" t="s">
        <v>1104</v>
      </c>
      <c r="D276" s="1616" t="s">
        <v>179</v>
      </c>
      <c r="E276" s="1616" t="s">
        <v>913</v>
      </c>
      <c r="F276" s="1617" t="s">
        <v>1080</v>
      </c>
      <c r="G276" s="1617">
        <v>95</v>
      </c>
      <c r="H276" s="1616" t="s">
        <v>5614</v>
      </c>
      <c r="I276" s="1617" t="s">
        <v>1853</v>
      </c>
      <c r="J276" s="1618">
        <v>0</v>
      </c>
      <c r="K276" s="1616"/>
      <c r="L276" s="1616" t="s">
        <v>5613</v>
      </c>
      <c r="M276" s="1620">
        <v>44358</v>
      </c>
    </row>
    <row r="277" spans="1:13" s="1329" customFormat="1" ht="15">
      <c r="A277" s="1615">
        <v>268</v>
      </c>
      <c r="B277" s="1616" t="s">
        <v>1102</v>
      </c>
      <c r="C277" s="1616" t="s">
        <v>1104</v>
      </c>
      <c r="D277" s="1616" t="s">
        <v>179</v>
      </c>
      <c r="E277" s="1616" t="s">
        <v>913</v>
      </c>
      <c r="F277" s="1617" t="s">
        <v>1080</v>
      </c>
      <c r="G277" s="1617">
        <v>95</v>
      </c>
      <c r="H277" s="1616" t="s">
        <v>5614</v>
      </c>
      <c r="I277" s="1617" t="s">
        <v>129</v>
      </c>
      <c r="J277" s="1618">
        <v>0</v>
      </c>
      <c r="K277" s="1616"/>
      <c r="L277" s="1616" t="s">
        <v>5613</v>
      </c>
      <c r="M277" s="1620">
        <v>44358</v>
      </c>
    </row>
    <row r="278" spans="1:13" s="1329" customFormat="1" ht="15">
      <c r="A278" s="1615">
        <v>269</v>
      </c>
      <c r="B278" s="1616" t="s">
        <v>1102</v>
      </c>
      <c r="C278" s="1616" t="s">
        <v>1104</v>
      </c>
      <c r="D278" s="1616" t="s">
        <v>179</v>
      </c>
      <c r="E278" s="1616" t="s">
        <v>913</v>
      </c>
      <c r="F278" s="1617" t="s">
        <v>1080</v>
      </c>
      <c r="G278" s="1617">
        <v>100</v>
      </c>
      <c r="H278" s="1616" t="s">
        <v>2158</v>
      </c>
      <c r="I278" s="1617" t="s">
        <v>1830</v>
      </c>
      <c r="J278" s="1618">
        <v>0</v>
      </c>
      <c r="K278" s="1616"/>
      <c r="L278" s="1616" t="s">
        <v>5613</v>
      </c>
      <c r="M278" s="1620">
        <v>44358</v>
      </c>
    </row>
    <row r="279" spans="1:13" s="1329" customFormat="1" ht="15">
      <c r="A279" s="1615">
        <v>270</v>
      </c>
      <c r="B279" s="1616" t="s">
        <v>1102</v>
      </c>
      <c r="C279" s="1616" t="s">
        <v>1104</v>
      </c>
      <c r="D279" s="1616" t="s">
        <v>179</v>
      </c>
      <c r="E279" s="1616" t="s">
        <v>913</v>
      </c>
      <c r="F279" s="1617" t="s">
        <v>1080</v>
      </c>
      <c r="G279" s="1617">
        <v>100</v>
      </c>
      <c r="H279" s="1616" t="s">
        <v>2158</v>
      </c>
      <c r="I279" s="1617" t="s">
        <v>1840</v>
      </c>
      <c r="J279" s="1618">
        <v>0</v>
      </c>
      <c r="K279" s="1616"/>
      <c r="L279" s="1616" t="s">
        <v>5613</v>
      </c>
      <c r="M279" s="1620">
        <v>44358</v>
      </c>
    </row>
    <row r="280" spans="1:13" s="1329" customFormat="1" ht="15">
      <c r="A280" s="1615">
        <v>271</v>
      </c>
      <c r="B280" s="1616" t="s">
        <v>1102</v>
      </c>
      <c r="C280" s="1616" t="s">
        <v>1104</v>
      </c>
      <c r="D280" s="1616" t="s">
        <v>179</v>
      </c>
      <c r="E280" s="1616" t="s">
        <v>913</v>
      </c>
      <c r="F280" s="1617" t="s">
        <v>1080</v>
      </c>
      <c r="G280" s="1617">
        <v>100</v>
      </c>
      <c r="H280" s="1616" t="s">
        <v>2158</v>
      </c>
      <c r="I280" s="1617" t="s">
        <v>1847</v>
      </c>
      <c r="J280" s="1618">
        <v>0</v>
      </c>
      <c r="K280" s="1616"/>
      <c r="L280" s="1616" t="s">
        <v>5613</v>
      </c>
      <c r="M280" s="1620">
        <v>44358</v>
      </c>
    </row>
    <row r="281" spans="1:13" s="1329" customFormat="1" ht="15">
      <c r="A281" s="1615">
        <v>272</v>
      </c>
      <c r="B281" s="1616" t="s">
        <v>1102</v>
      </c>
      <c r="C281" s="1616" t="s">
        <v>1104</v>
      </c>
      <c r="D281" s="1616" t="s">
        <v>179</v>
      </c>
      <c r="E281" s="1616" t="s">
        <v>913</v>
      </c>
      <c r="F281" s="1617" t="s">
        <v>1080</v>
      </c>
      <c r="G281" s="1617">
        <v>100</v>
      </c>
      <c r="H281" s="1616" t="s">
        <v>2158</v>
      </c>
      <c r="I281" s="1617" t="s">
        <v>1853</v>
      </c>
      <c r="J281" s="1618">
        <v>0</v>
      </c>
      <c r="K281" s="1616"/>
      <c r="L281" s="1616" t="s">
        <v>5613</v>
      </c>
      <c r="M281" s="1620">
        <v>44358</v>
      </c>
    </row>
    <row r="282" spans="1:13" s="1329" customFormat="1" ht="15">
      <c r="A282" s="1615">
        <v>273</v>
      </c>
      <c r="B282" s="1616" t="s">
        <v>1102</v>
      </c>
      <c r="C282" s="1616" t="s">
        <v>1104</v>
      </c>
      <c r="D282" s="1616" t="s">
        <v>179</v>
      </c>
      <c r="E282" s="1616" t="s">
        <v>913</v>
      </c>
      <c r="F282" s="1617" t="s">
        <v>1080</v>
      </c>
      <c r="G282" s="1617">
        <v>100</v>
      </c>
      <c r="H282" s="1616" t="s">
        <v>2158</v>
      </c>
      <c r="I282" s="1617" t="s">
        <v>129</v>
      </c>
      <c r="J282" s="1618">
        <v>0</v>
      </c>
      <c r="K282" s="1616"/>
      <c r="L282" s="1616" t="s">
        <v>5613</v>
      </c>
      <c r="M282" s="1620">
        <v>44358</v>
      </c>
    </row>
    <row r="283" spans="1:13" s="1329" customFormat="1" ht="15">
      <c r="A283" s="1615">
        <v>274</v>
      </c>
      <c r="B283" s="1616" t="s">
        <v>1260</v>
      </c>
      <c r="C283" s="1616" t="s">
        <v>1118</v>
      </c>
      <c r="D283" s="1616" t="s">
        <v>179</v>
      </c>
      <c r="E283" s="1616" t="s">
        <v>913</v>
      </c>
      <c r="F283" s="1617" t="s">
        <v>1080</v>
      </c>
      <c r="G283" s="1617">
        <v>95</v>
      </c>
      <c r="H283" s="1616" t="s">
        <v>5614</v>
      </c>
      <c r="I283" s="1617" t="s">
        <v>1830</v>
      </c>
      <c r="J283" s="1618">
        <v>0</v>
      </c>
      <c r="K283" s="1616"/>
      <c r="L283" s="1616" t="s">
        <v>5613</v>
      </c>
      <c r="M283" s="1620">
        <v>44358</v>
      </c>
    </row>
    <row r="284" spans="1:13" s="1329" customFormat="1" ht="15">
      <c r="A284" s="1615">
        <v>275</v>
      </c>
      <c r="B284" s="1616" t="s">
        <v>1260</v>
      </c>
      <c r="C284" s="1616" t="s">
        <v>1118</v>
      </c>
      <c r="D284" s="1616" t="s">
        <v>179</v>
      </c>
      <c r="E284" s="1616" t="s">
        <v>913</v>
      </c>
      <c r="F284" s="1617" t="s">
        <v>1080</v>
      </c>
      <c r="G284" s="1617">
        <v>95</v>
      </c>
      <c r="H284" s="1616" t="s">
        <v>5614</v>
      </c>
      <c r="I284" s="1617" t="s">
        <v>1840</v>
      </c>
      <c r="J284" s="1618">
        <v>0</v>
      </c>
      <c r="K284" s="1616"/>
      <c r="L284" s="1616" t="s">
        <v>5613</v>
      </c>
      <c r="M284" s="1620">
        <v>44358</v>
      </c>
    </row>
    <row r="285" spans="1:13" s="1329" customFormat="1" ht="15">
      <c r="A285" s="1615">
        <v>276</v>
      </c>
      <c r="B285" s="1616" t="s">
        <v>1260</v>
      </c>
      <c r="C285" s="1616" t="s">
        <v>1118</v>
      </c>
      <c r="D285" s="1616" t="s">
        <v>179</v>
      </c>
      <c r="E285" s="1616" t="s">
        <v>913</v>
      </c>
      <c r="F285" s="1617" t="s">
        <v>1080</v>
      </c>
      <c r="G285" s="1617">
        <v>95</v>
      </c>
      <c r="H285" s="1616" t="s">
        <v>5614</v>
      </c>
      <c r="I285" s="1617" t="s">
        <v>1847</v>
      </c>
      <c r="J285" s="1618">
        <v>0</v>
      </c>
      <c r="K285" s="1616"/>
      <c r="L285" s="1616" t="s">
        <v>5613</v>
      </c>
      <c r="M285" s="1620">
        <v>44358</v>
      </c>
    </row>
    <row r="286" spans="1:13" s="1329" customFormat="1" ht="15">
      <c r="A286" s="1615">
        <v>277</v>
      </c>
      <c r="B286" s="1616" t="s">
        <v>1260</v>
      </c>
      <c r="C286" s="1616" t="s">
        <v>1118</v>
      </c>
      <c r="D286" s="1616" t="s">
        <v>179</v>
      </c>
      <c r="E286" s="1616" t="s">
        <v>913</v>
      </c>
      <c r="F286" s="1617" t="s">
        <v>1080</v>
      </c>
      <c r="G286" s="1617">
        <v>95</v>
      </c>
      <c r="H286" s="1616" t="s">
        <v>5614</v>
      </c>
      <c r="I286" s="1617" t="s">
        <v>1853</v>
      </c>
      <c r="J286" s="1618">
        <v>0</v>
      </c>
      <c r="K286" s="1616"/>
      <c r="L286" s="1616" t="s">
        <v>5613</v>
      </c>
      <c r="M286" s="1620">
        <v>44358</v>
      </c>
    </row>
    <row r="287" spans="1:13" s="1329" customFormat="1" ht="15">
      <c r="A287" s="1615">
        <v>278</v>
      </c>
      <c r="B287" s="1616" t="s">
        <v>1260</v>
      </c>
      <c r="C287" s="1616" t="s">
        <v>1118</v>
      </c>
      <c r="D287" s="1616" t="s">
        <v>179</v>
      </c>
      <c r="E287" s="1616" t="s">
        <v>913</v>
      </c>
      <c r="F287" s="1617" t="s">
        <v>1080</v>
      </c>
      <c r="G287" s="1617">
        <v>95</v>
      </c>
      <c r="H287" s="1616" t="s">
        <v>5614</v>
      </c>
      <c r="I287" s="1617" t="s">
        <v>129</v>
      </c>
      <c r="J287" s="1618">
        <v>0</v>
      </c>
      <c r="K287" s="1616"/>
      <c r="L287" s="1616" t="s">
        <v>5613</v>
      </c>
      <c r="M287" s="1620">
        <v>44358</v>
      </c>
    </row>
    <row r="288" spans="1:13" s="1329" customFormat="1" ht="15">
      <c r="A288" s="1615">
        <v>279</v>
      </c>
      <c r="B288" s="1616" t="s">
        <v>1260</v>
      </c>
      <c r="C288" s="1616" t="s">
        <v>1118</v>
      </c>
      <c r="D288" s="1616" t="s">
        <v>179</v>
      </c>
      <c r="E288" s="1616" t="s">
        <v>913</v>
      </c>
      <c r="F288" s="1617" t="s">
        <v>1080</v>
      </c>
      <c r="G288" s="1617">
        <v>100</v>
      </c>
      <c r="H288" s="1616" t="s">
        <v>2158</v>
      </c>
      <c r="I288" s="1617" t="s">
        <v>1830</v>
      </c>
      <c r="J288" s="1618">
        <v>0</v>
      </c>
      <c r="K288" s="1616"/>
      <c r="L288" s="1616" t="s">
        <v>5613</v>
      </c>
      <c r="M288" s="1620">
        <v>44358</v>
      </c>
    </row>
    <row r="289" spans="1:13" s="1329" customFormat="1" ht="15">
      <c r="A289" s="1615">
        <v>280</v>
      </c>
      <c r="B289" s="1616" t="s">
        <v>1260</v>
      </c>
      <c r="C289" s="1616" t="s">
        <v>1118</v>
      </c>
      <c r="D289" s="1616" t="s">
        <v>179</v>
      </c>
      <c r="E289" s="1616" t="s">
        <v>913</v>
      </c>
      <c r="F289" s="1617" t="s">
        <v>1080</v>
      </c>
      <c r="G289" s="1617">
        <v>100</v>
      </c>
      <c r="H289" s="1616" t="s">
        <v>2158</v>
      </c>
      <c r="I289" s="1617" t="s">
        <v>1840</v>
      </c>
      <c r="J289" s="1618">
        <v>0</v>
      </c>
      <c r="K289" s="1616"/>
      <c r="L289" s="1616" t="s">
        <v>5613</v>
      </c>
      <c r="M289" s="1620">
        <v>44358</v>
      </c>
    </row>
    <row r="290" spans="1:13" s="1329" customFormat="1" ht="15">
      <c r="A290" s="1615">
        <v>281</v>
      </c>
      <c r="B290" s="1616" t="s">
        <v>1260</v>
      </c>
      <c r="C290" s="1616" t="s">
        <v>1118</v>
      </c>
      <c r="D290" s="1616" t="s">
        <v>179</v>
      </c>
      <c r="E290" s="1616" t="s">
        <v>913</v>
      </c>
      <c r="F290" s="1617" t="s">
        <v>1080</v>
      </c>
      <c r="G290" s="1617">
        <v>100</v>
      </c>
      <c r="H290" s="1616" t="s">
        <v>2158</v>
      </c>
      <c r="I290" s="1617" t="s">
        <v>1847</v>
      </c>
      <c r="J290" s="1618">
        <v>0</v>
      </c>
      <c r="K290" s="1616"/>
      <c r="L290" s="1616" t="s">
        <v>5613</v>
      </c>
      <c r="M290" s="1620">
        <v>44358</v>
      </c>
    </row>
    <row r="291" spans="1:13" s="1329" customFormat="1" ht="15">
      <c r="A291" s="1615">
        <v>282</v>
      </c>
      <c r="B291" s="1616" t="s">
        <v>1260</v>
      </c>
      <c r="C291" s="1616" t="s">
        <v>1118</v>
      </c>
      <c r="D291" s="1616" t="s">
        <v>179</v>
      </c>
      <c r="E291" s="1616" t="s">
        <v>913</v>
      </c>
      <c r="F291" s="1617" t="s">
        <v>1080</v>
      </c>
      <c r="G291" s="1617">
        <v>100</v>
      </c>
      <c r="H291" s="1616" t="s">
        <v>2158</v>
      </c>
      <c r="I291" s="1617" t="s">
        <v>1853</v>
      </c>
      <c r="J291" s="1618">
        <v>0</v>
      </c>
      <c r="K291" s="1616"/>
      <c r="L291" s="1616" t="s">
        <v>5613</v>
      </c>
      <c r="M291" s="1620">
        <v>44358</v>
      </c>
    </row>
    <row r="292" spans="1:13" s="1329" customFormat="1" ht="15">
      <c r="A292" s="1615">
        <v>283</v>
      </c>
      <c r="B292" s="1616" t="s">
        <v>1260</v>
      </c>
      <c r="C292" s="1616" t="s">
        <v>1118</v>
      </c>
      <c r="D292" s="1616" t="s">
        <v>179</v>
      </c>
      <c r="E292" s="1616" t="s">
        <v>913</v>
      </c>
      <c r="F292" s="1617" t="s">
        <v>1080</v>
      </c>
      <c r="G292" s="1617">
        <v>100</v>
      </c>
      <c r="H292" s="1616" t="s">
        <v>2158</v>
      </c>
      <c r="I292" s="1617" t="s">
        <v>129</v>
      </c>
      <c r="J292" s="1618">
        <v>0</v>
      </c>
      <c r="K292" s="1616"/>
      <c r="L292" s="1616" t="s">
        <v>5613</v>
      </c>
      <c r="M292" s="1620">
        <v>44358</v>
      </c>
    </row>
    <row r="293" spans="1:13" s="1329" customFormat="1" ht="15">
      <c r="A293" s="1615">
        <v>284</v>
      </c>
      <c r="B293" s="1616" t="s">
        <v>1296</v>
      </c>
      <c r="C293" s="1616" t="s">
        <v>1173</v>
      </c>
      <c r="D293" s="1616" t="s">
        <v>179</v>
      </c>
      <c r="E293" s="1616" t="s">
        <v>913</v>
      </c>
      <c r="F293" s="1617" t="s">
        <v>1080</v>
      </c>
      <c r="G293" s="1617">
        <v>95</v>
      </c>
      <c r="H293" s="1616" t="s">
        <v>5614</v>
      </c>
      <c r="I293" s="1617" t="s">
        <v>1830</v>
      </c>
      <c r="J293" s="1618">
        <v>0</v>
      </c>
      <c r="K293" s="1616"/>
      <c r="L293" s="1616" t="s">
        <v>5613</v>
      </c>
      <c r="M293" s="1620">
        <v>44358</v>
      </c>
    </row>
    <row r="294" spans="1:13" s="1329" customFormat="1" ht="15">
      <c r="A294" s="1615">
        <v>285</v>
      </c>
      <c r="B294" s="1616" t="s">
        <v>1296</v>
      </c>
      <c r="C294" s="1616" t="s">
        <v>1173</v>
      </c>
      <c r="D294" s="1616" t="s">
        <v>179</v>
      </c>
      <c r="E294" s="1616" t="s">
        <v>913</v>
      </c>
      <c r="F294" s="1617" t="s">
        <v>1080</v>
      </c>
      <c r="G294" s="1617">
        <v>95</v>
      </c>
      <c r="H294" s="1616" t="s">
        <v>5614</v>
      </c>
      <c r="I294" s="1617" t="s">
        <v>1840</v>
      </c>
      <c r="J294" s="1618">
        <v>0</v>
      </c>
      <c r="K294" s="1616"/>
      <c r="L294" s="1616" t="s">
        <v>5613</v>
      </c>
      <c r="M294" s="1620">
        <v>44358</v>
      </c>
    </row>
    <row r="295" spans="1:13" s="1329" customFormat="1" ht="15">
      <c r="A295" s="1615">
        <v>286</v>
      </c>
      <c r="B295" s="1616" t="s">
        <v>1296</v>
      </c>
      <c r="C295" s="1616" t="s">
        <v>1173</v>
      </c>
      <c r="D295" s="1616" t="s">
        <v>179</v>
      </c>
      <c r="E295" s="1616" t="s">
        <v>913</v>
      </c>
      <c r="F295" s="1617" t="s">
        <v>1080</v>
      </c>
      <c r="G295" s="1617">
        <v>95</v>
      </c>
      <c r="H295" s="1616" t="s">
        <v>5614</v>
      </c>
      <c r="I295" s="1617" t="s">
        <v>1847</v>
      </c>
      <c r="J295" s="1618">
        <v>0</v>
      </c>
      <c r="K295" s="1616"/>
      <c r="L295" s="1616" t="s">
        <v>5613</v>
      </c>
      <c r="M295" s="1620">
        <v>44358</v>
      </c>
    </row>
    <row r="296" spans="1:13" s="1329" customFormat="1" ht="15">
      <c r="A296" s="1615">
        <v>287</v>
      </c>
      <c r="B296" s="1616" t="s">
        <v>1296</v>
      </c>
      <c r="C296" s="1616" t="s">
        <v>1173</v>
      </c>
      <c r="D296" s="1616" t="s">
        <v>179</v>
      </c>
      <c r="E296" s="1616" t="s">
        <v>913</v>
      </c>
      <c r="F296" s="1617" t="s">
        <v>1080</v>
      </c>
      <c r="G296" s="1617">
        <v>95</v>
      </c>
      <c r="H296" s="1616" t="s">
        <v>5614</v>
      </c>
      <c r="I296" s="1617" t="s">
        <v>1853</v>
      </c>
      <c r="J296" s="1618">
        <v>0</v>
      </c>
      <c r="K296" s="1616"/>
      <c r="L296" s="1616" t="s">
        <v>5613</v>
      </c>
      <c r="M296" s="1620">
        <v>44358</v>
      </c>
    </row>
    <row r="297" spans="1:13" s="1329" customFormat="1" ht="15">
      <c r="A297" s="1615">
        <v>288</v>
      </c>
      <c r="B297" s="1616" t="s">
        <v>1296</v>
      </c>
      <c r="C297" s="1616" t="s">
        <v>1173</v>
      </c>
      <c r="D297" s="1616" t="s">
        <v>179</v>
      </c>
      <c r="E297" s="1616" t="s">
        <v>913</v>
      </c>
      <c r="F297" s="1617" t="s">
        <v>1080</v>
      </c>
      <c r="G297" s="1617">
        <v>95</v>
      </c>
      <c r="H297" s="1616" t="s">
        <v>5614</v>
      </c>
      <c r="I297" s="1617" t="s">
        <v>129</v>
      </c>
      <c r="J297" s="1618">
        <v>0</v>
      </c>
      <c r="K297" s="1616"/>
      <c r="L297" s="1616" t="s">
        <v>5613</v>
      </c>
      <c r="M297" s="1620">
        <v>44358</v>
      </c>
    </row>
    <row r="298" spans="1:13" s="1329" customFormat="1" ht="15">
      <c r="A298" s="1615">
        <v>289</v>
      </c>
      <c r="B298" s="1616" t="s">
        <v>1296</v>
      </c>
      <c r="C298" s="1616" t="s">
        <v>1173</v>
      </c>
      <c r="D298" s="1616" t="s">
        <v>179</v>
      </c>
      <c r="E298" s="1616" t="s">
        <v>913</v>
      </c>
      <c r="F298" s="1617" t="s">
        <v>1080</v>
      </c>
      <c r="G298" s="1617">
        <v>100</v>
      </c>
      <c r="H298" s="1616" t="s">
        <v>2158</v>
      </c>
      <c r="I298" s="1617" t="s">
        <v>1830</v>
      </c>
      <c r="J298" s="1618">
        <v>0</v>
      </c>
      <c r="K298" s="1616"/>
      <c r="L298" s="1616" t="s">
        <v>5613</v>
      </c>
      <c r="M298" s="1620">
        <v>44358</v>
      </c>
    </row>
    <row r="299" spans="1:13" s="1329" customFormat="1" ht="15">
      <c r="A299" s="1615">
        <v>290</v>
      </c>
      <c r="B299" s="1616" t="s">
        <v>1296</v>
      </c>
      <c r="C299" s="1616" t="s">
        <v>1173</v>
      </c>
      <c r="D299" s="1616" t="s">
        <v>179</v>
      </c>
      <c r="E299" s="1616" t="s">
        <v>913</v>
      </c>
      <c r="F299" s="1617" t="s">
        <v>1080</v>
      </c>
      <c r="G299" s="1617">
        <v>100</v>
      </c>
      <c r="H299" s="1616" t="s">
        <v>2158</v>
      </c>
      <c r="I299" s="1617" t="s">
        <v>1840</v>
      </c>
      <c r="J299" s="1618">
        <v>0</v>
      </c>
      <c r="K299" s="1616"/>
      <c r="L299" s="1616" t="s">
        <v>5613</v>
      </c>
      <c r="M299" s="1620">
        <v>44358</v>
      </c>
    </row>
    <row r="300" spans="1:13" s="1329" customFormat="1" ht="15">
      <c r="A300" s="1615">
        <v>291</v>
      </c>
      <c r="B300" s="1616" t="s">
        <v>1296</v>
      </c>
      <c r="C300" s="1616" t="s">
        <v>1173</v>
      </c>
      <c r="D300" s="1616" t="s">
        <v>179</v>
      </c>
      <c r="E300" s="1616" t="s">
        <v>913</v>
      </c>
      <c r="F300" s="1617" t="s">
        <v>1080</v>
      </c>
      <c r="G300" s="1617">
        <v>100</v>
      </c>
      <c r="H300" s="1616" t="s">
        <v>2158</v>
      </c>
      <c r="I300" s="1617" t="s">
        <v>1847</v>
      </c>
      <c r="J300" s="1618">
        <v>0</v>
      </c>
      <c r="K300" s="1616"/>
      <c r="L300" s="1616" t="s">
        <v>5613</v>
      </c>
      <c r="M300" s="1620">
        <v>44358</v>
      </c>
    </row>
    <row r="301" spans="1:13" s="1329" customFormat="1" ht="15">
      <c r="A301" s="1615">
        <v>292</v>
      </c>
      <c r="B301" s="1616" t="s">
        <v>1296</v>
      </c>
      <c r="C301" s="1616" t="s">
        <v>1173</v>
      </c>
      <c r="D301" s="1616" t="s">
        <v>179</v>
      </c>
      <c r="E301" s="1616" t="s">
        <v>913</v>
      </c>
      <c r="F301" s="1617" t="s">
        <v>1080</v>
      </c>
      <c r="G301" s="1617">
        <v>100</v>
      </c>
      <c r="H301" s="1616" t="s">
        <v>2158</v>
      </c>
      <c r="I301" s="1617" t="s">
        <v>1853</v>
      </c>
      <c r="J301" s="1618">
        <v>0</v>
      </c>
      <c r="K301" s="1616"/>
      <c r="L301" s="1616" t="s">
        <v>5613</v>
      </c>
      <c r="M301" s="1620">
        <v>44358</v>
      </c>
    </row>
    <row r="302" spans="1:13" s="1329" customFormat="1" ht="15">
      <c r="A302" s="1615">
        <v>293</v>
      </c>
      <c r="B302" s="1616" t="s">
        <v>1296</v>
      </c>
      <c r="C302" s="1616" t="s">
        <v>1173</v>
      </c>
      <c r="D302" s="1616" t="s">
        <v>179</v>
      </c>
      <c r="E302" s="1616" t="s">
        <v>913</v>
      </c>
      <c r="F302" s="1617" t="s">
        <v>1080</v>
      </c>
      <c r="G302" s="1617">
        <v>100</v>
      </c>
      <c r="H302" s="1616" t="s">
        <v>2158</v>
      </c>
      <c r="I302" s="1617" t="s">
        <v>129</v>
      </c>
      <c r="J302" s="1618">
        <v>0</v>
      </c>
      <c r="K302" s="1616"/>
      <c r="L302" s="1616" t="s">
        <v>5613</v>
      </c>
      <c r="M302" s="1620">
        <v>44358</v>
      </c>
    </row>
    <row r="303" spans="1:13" s="1329" customFormat="1" ht="15">
      <c r="A303" s="1615">
        <v>294</v>
      </c>
      <c r="B303" s="1621" t="s">
        <v>1102</v>
      </c>
      <c r="C303" s="1616" t="s">
        <v>1506</v>
      </c>
      <c r="D303" s="1622" t="s">
        <v>2385</v>
      </c>
      <c r="E303" s="1622" t="s">
        <v>913</v>
      </c>
      <c r="F303" s="1617" t="s">
        <v>1080</v>
      </c>
      <c r="G303" s="1615">
        <v>80</v>
      </c>
      <c r="H303" s="1615" t="s">
        <v>1816</v>
      </c>
      <c r="I303" s="1615" t="s">
        <v>1830</v>
      </c>
      <c r="J303" s="1615" t="s">
        <v>5518</v>
      </c>
      <c r="K303" s="1615"/>
      <c r="L303" s="1622" t="s">
        <v>5519</v>
      </c>
      <c r="M303" s="1620">
        <v>44372</v>
      </c>
    </row>
    <row r="304" spans="1:13" s="1329" customFormat="1" ht="15">
      <c r="A304" s="1615">
        <v>295</v>
      </c>
      <c r="B304" s="1621" t="s">
        <v>1102</v>
      </c>
      <c r="C304" s="1616" t="s">
        <v>1506</v>
      </c>
      <c r="D304" s="1622" t="s">
        <v>2385</v>
      </c>
      <c r="E304" s="1622" t="s">
        <v>913</v>
      </c>
      <c r="F304" s="1617" t="s">
        <v>1080</v>
      </c>
      <c r="G304" s="1615">
        <v>80</v>
      </c>
      <c r="H304" s="1615" t="s">
        <v>1816</v>
      </c>
      <c r="I304" s="1615" t="s">
        <v>1840</v>
      </c>
      <c r="J304" s="1615" t="s">
        <v>5518</v>
      </c>
      <c r="K304" s="1615"/>
      <c r="L304" s="1622" t="s">
        <v>5519</v>
      </c>
      <c r="M304" s="1620">
        <v>44372</v>
      </c>
    </row>
    <row r="305" spans="1:13" s="1329" customFormat="1" ht="15">
      <c r="A305" s="1615">
        <v>296</v>
      </c>
      <c r="B305" s="1621" t="s">
        <v>1102</v>
      </c>
      <c r="C305" s="1616" t="s">
        <v>1506</v>
      </c>
      <c r="D305" s="1622" t="s">
        <v>2385</v>
      </c>
      <c r="E305" s="1622" t="s">
        <v>913</v>
      </c>
      <c r="F305" s="1617" t="s">
        <v>1080</v>
      </c>
      <c r="G305" s="1615">
        <v>80</v>
      </c>
      <c r="H305" s="1615" t="s">
        <v>1816</v>
      </c>
      <c r="I305" s="1615" t="s">
        <v>1847</v>
      </c>
      <c r="J305" s="1615" t="s">
        <v>5518</v>
      </c>
      <c r="K305" s="1615"/>
      <c r="L305" s="1622" t="s">
        <v>5519</v>
      </c>
      <c r="M305" s="1620">
        <v>44372</v>
      </c>
    </row>
    <row r="306" spans="1:13" s="1329" customFormat="1" ht="15">
      <c r="A306" s="1615">
        <v>297</v>
      </c>
      <c r="B306" s="1621" t="s">
        <v>1102</v>
      </c>
      <c r="C306" s="1616" t="s">
        <v>1506</v>
      </c>
      <c r="D306" s="1622" t="s">
        <v>2385</v>
      </c>
      <c r="E306" s="1622" t="s">
        <v>913</v>
      </c>
      <c r="F306" s="1617" t="s">
        <v>1080</v>
      </c>
      <c r="G306" s="1615">
        <v>80</v>
      </c>
      <c r="H306" s="1615" t="s">
        <v>1816</v>
      </c>
      <c r="I306" s="1615" t="s">
        <v>1853</v>
      </c>
      <c r="J306" s="1615" t="s">
        <v>5518</v>
      </c>
      <c r="K306" s="1615"/>
      <c r="L306" s="1622" t="s">
        <v>5519</v>
      </c>
      <c r="M306" s="1620">
        <v>44372</v>
      </c>
    </row>
    <row r="307" spans="1:13" s="1329" customFormat="1" ht="30">
      <c r="A307" s="1615">
        <v>298</v>
      </c>
      <c r="B307" s="1621" t="s">
        <v>1157</v>
      </c>
      <c r="C307" s="1616" t="s">
        <v>5615</v>
      </c>
      <c r="D307" s="1622" t="s">
        <v>784</v>
      </c>
      <c r="E307" s="1622" t="s">
        <v>913</v>
      </c>
      <c r="F307" s="1617" t="s">
        <v>1080</v>
      </c>
      <c r="G307" s="1615">
        <v>85</v>
      </c>
      <c r="H307" s="1616" t="s">
        <v>2155</v>
      </c>
      <c r="I307" s="1617" t="s">
        <v>1830</v>
      </c>
      <c r="J307" s="1615">
        <v>2.35</v>
      </c>
      <c r="K307" s="1615">
        <v>2.56</v>
      </c>
      <c r="L307" s="1622" t="s">
        <v>5616</v>
      </c>
      <c r="M307" s="1620">
        <v>44533</v>
      </c>
    </row>
    <row r="308" spans="1:13" s="1329" customFormat="1" ht="30">
      <c r="A308" s="1615">
        <v>299</v>
      </c>
      <c r="B308" s="1621" t="s">
        <v>1157</v>
      </c>
      <c r="C308" s="1616" t="s">
        <v>5615</v>
      </c>
      <c r="D308" s="1622" t="s">
        <v>784</v>
      </c>
      <c r="E308" s="1622" t="s">
        <v>913</v>
      </c>
      <c r="F308" s="1617" t="s">
        <v>1080</v>
      </c>
      <c r="G308" s="1615">
        <v>85</v>
      </c>
      <c r="H308" s="1616" t="s">
        <v>2155</v>
      </c>
      <c r="I308" s="1617" t="s">
        <v>1840</v>
      </c>
      <c r="J308" s="1615">
        <v>2.35</v>
      </c>
      <c r="K308" s="1615">
        <v>2.56</v>
      </c>
      <c r="L308" s="1622" t="s">
        <v>5616</v>
      </c>
      <c r="M308" s="1620">
        <v>44533</v>
      </c>
    </row>
    <row r="309" spans="1:13" s="1329" customFormat="1" ht="30">
      <c r="A309" s="1615">
        <v>300</v>
      </c>
      <c r="B309" s="1621" t="s">
        <v>1157</v>
      </c>
      <c r="C309" s="1616" t="s">
        <v>5615</v>
      </c>
      <c r="D309" s="1622" t="s">
        <v>784</v>
      </c>
      <c r="E309" s="1622" t="s">
        <v>913</v>
      </c>
      <c r="F309" s="1617" t="s">
        <v>1080</v>
      </c>
      <c r="G309" s="1615">
        <v>85</v>
      </c>
      <c r="H309" s="1616" t="s">
        <v>2155</v>
      </c>
      <c r="I309" s="1617" t="s">
        <v>1847</v>
      </c>
      <c r="J309" s="1615">
        <v>2.35</v>
      </c>
      <c r="K309" s="1615">
        <v>2.56</v>
      </c>
      <c r="L309" s="1622" t="s">
        <v>5616</v>
      </c>
      <c r="M309" s="1620">
        <v>44533</v>
      </c>
    </row>
    <row r="310" spans="1:13" s="1329" customFormat="1" ht="30">
      <c r="A310" s="1615">
        <v>301</v>
      </c>
      <c r="B310" s="1621" t="s">
        <v>1157</v>
      </c>
      <c r="C310" s="1616" t="s">
        <v>5615</v>
      </c>
      <c r="D310" s="1622" t="s">
        <v>784</v>
      </c>
      <c r="E310" s="1622" t="s">
        <v>913</v>
      </c>
      <c r="F310" s="1617" t="s">
        <v>1080</v>
      </c>
      <c r="G310" s="1615">
        <v>85</v>
      </c>
      <c r="H310" s="1616" t="s">
        <v>2155</v>
      </c>
      <c r="I310" s="1617" t="s">
        <v>1853</v>
      </c>
      <c r="J310" s="1615">
        <v>2.35</v>
      </c>
      <c r="K310" s="1615">
        <v>2.56</v>
      </c>
      <c r="L310" s="1622" t="s">
        <v>5616</v>
      </c>
      <c r="M310" s="1620">
        <v>44533</v>
      </c>
    </row>
    <row r="311" spans="1:13" s="1329" customFormat="1" ht="30">
      <c r="A311" s="1615">
        <v>302</v>
      </c>
      <c r="B311" s="1621" t="s">
        <v>1157</v>
      </c>
      <c r="C311" s="1616" t="s">
        <v>5615</v>
      </c>
      <c r="D311" s="1622" t="s">
        <v>784</v>
      </c>
      <c r="E311" s="1622" t="s">
        <v>913</v>
      </c>
      <c r="F311" s="1617" t="s">
        <v>1080</v>
      </c>
      <c r="G311" s="1615">
        <v>85</v>
      </c>
      <c r="H311" s="1616" t="s">
        <v>2155</v>
      </c>
      <c r="I311" s="1617" t="s">
        <v>129</v>
      </c>
      <c r="J311" s="1615">
        <v>2.35</v>
      </c>
      <c r="K311" s="1615">
        <v>2.56</v>
      </c>
      <c r="L311" s="1622" t="s">
        <v>5616</v>
      </c>
      <c r="M311" s="1620">
        <v>44533</v>
      </c>
    </row>
    <row r="312" spans="1:13" s="1329" customFormat="1" ht="30">
      <c r="A312" s="1615">
        <v>303</v>
      </c>
      <c r="B312" s="1621" t="s">
        <v>1157</v>
      </c>
      <c r="C312" s="1616" t="s">
        <v>5615</v>
      </c>
      <c r="D312" s="1622" t="s">
        <v>784</v>
      </c>
      <c r="E312" s="1622" t="s">
        <v>913</v>
      </c>
      <c r="F312" s="1617" t="s">
        <v>1080</v>
      </c>
      <c r="G312" s="1615">
        <v>90</v>
      </c>
      <c r="H312" s="1616" t="s">
        <v>2156</v>
      </c>
      <c r="I312" s="1617" t="s">
        <v>1830</v>
      </c>
      <c r="J312" s="1615">
        <v>2.56</v>
      </c>
      <c r="K312" s="1615">
        <v>2.35</v>
      </c>
      <c r="L312" s="1622" t="s">
        <v>5616</v>
      </c>
      <c r="M312" s="1620">
        <v>44533</v>
      </c>
    </row>
    <row r="313" spans="1:13" s="1329" customFormat="1" ht="30">
      <c r="A313" s="1615">
        <v>304</v>
      </c>
      <c r="B313" s="1621" t="s">
        <v>1157</v>
      </c>
      <c r="C313" s="1616" t="s">
        <v>5615</v>
      </c>
      <c r="D313" s="1622" t="s">
        <v>784</v>
      </c>
      <c r="E313" s="1622" t="s">
        <v>913</v>
      </c>
      <c r="F313" s="1617" t="s">
        <v>1080</v>
      </c>
      <c r="G313" s="1615">
        <v>90</v>
      </c>
      <c r="H313" s="1616" t="s">
        <v>2156</v>
      </c>
      <c r="I313" s="1617" t="s">
        <v>1840</v>
      </c>
      <c r="J313" s="1615">
        <v>2.56</v>
      </c>
      <c r="K313" s="1615">
        <v>2.35</v>
      </c>
      <c r="L313" s="1622" t="s">
        <v>5616</v>
      </c>
      <c r="M313" s="1620">
        <v>44533</v>
      </c>
    </row>
    <row r="314" spans="1:13" s="1329" customFormat="1" ht="30">
      <c r="A314" s="1615">
        <v>305</v>
      </c>
      <c r="B314" s="1621" t="s">
        <v>1157</v>
      </c>
      <c r="C314" s="1616" t="s">
        <v>5615</v>
      </c>
      <c r="D314" s="1622" t="s">
        <v>784</v>
      </c>
      <c r="E314" s="1622" t="s">
        <v>913</v>
      </c>
      <c r="F314" s="1617" t="s">
        <v>1080</v>
      </c>
      <c r="G314" s="1615">
        <v>90</v>
      </c>
      <c r="H314" s="1616" t="s">
        <v>2156</v>
      </c>
      <c r="I314" s="1617" t="s">
        <v>1847</v>
      </c>
      <c r="J314" s="1615">
        <v>2.56</v>
      </c>
      <c r="K314" s="1615">
        <v>2.35</v>
      </c>
      <c r="L314" s="1622" t="s">
        <v>5616</v>
      </c>
      <c r="M314" s="1620">
        <v>44533</v>
      </c>
    </row>
    <row r="315" spans="1:13" s="1329" customFormat="1" ht="30">
      <c r="A315" s="1615">
        <v>306</v>
      </c>
      <c r="B315" s="1621" t="s">
        <v>1157</v>
      </c>
      <c r="C315" s="1616" t="s">
        <v>5615</v>
      </c>
      <c r="D315" s="1622" t="s">
        <v>784</v>
      </c>
      <c r="E315" s="1622" t="s">
        <v>913</v>
      </c>
      <c r="F315" s="1617" t="s">
        <v>1080</v>
      </c>
      <c r="G315" s="1615">
        <v>90</v>
      </c>
      <c r="H315" s="1616" t="s">
        <v>2156</v>
      </c>
      <c r="I315" s="1617" t="s">
        <v>1853</v>
      </c>
      <c r="J315" s="1615">
        <v>2.56</v>
      </c>
      <c r="K315" s="1615">
        <v>2.35</v>
      </c>
      <c r="L315" s="1622" t="s">
        <v>5616</v>
      </c>
      <c r="M315" s="1620">
        <v>44533</v>
      </c>
    </row>
    <row r="316" spans="1:13" s="1329" customFormat="1" ht="30">
      <c r="A316" s="1615">
        <v>307</v>
      </c>
      <c r="B316" s="1621" t="s">
        <v>1157</v>
      </c>
      <c r="C316" s="1616" t="s">
        <v>5615</v>
      </c>
      <c r="D316" s="1622" t="s">
        <v>784</v>
      </c>
      <c r="E316" s="1622" t="s">
        <v>913</v>
      </c>
      <c r="F316" s="1617" t="s">
        <v>1080</v>
      </c>
      <c r="G316" s="1615">
        <v>90</v>
      </c>
      <c r="H316" s="1616" t="s">
        <v>2156</v>
      </c>
      <c r="I316" s="1617" t="s">
        <v>129</v>
      </c>
      <c r="J316" s="1615">
        <v>2.56</v>
      </c>
      <c r="K316" s="1615">
        <v>2.35</v>
      </c>
      <c r="L316" s="1622" t="s">
        <v>5616</v>
      </c>
      <c r="M316" s="1620">
        <v>44533</v>
      </c>
    </row>
    <row r="317" spans="1:13" s="1329" customFormat="1" ht="30">
      <c r="A317" s="1615">
        <v>308</v>
      </c>
      <c r="B317" s="1621" t="s">
        <v>1251</v>
      </c>
      <c r="C317" s="1619" t="s">
        <v>1092</v>
      </c>
      <c r="D317" s="1622" t="s">
        <v>680</v>
      </c>
      <c r="E317" s="1622" t="s">
        <v>913</v>
      </c>
      <c r="F317" s="1617" t="s">
        <v>1080</v>
      </c>
      <c r="G317" s="1615">
        <v>36</v>
      </c>
      <c r="H317" s="1615" t="s">
        <v>1804</v>
      </c>
      <c r="I317" s="1627"/>
      <c r="J317" s="1627" t="s">
        <v>1827</v>
      </c>
      <c r="K317" s="1627" t="s">
        <v>1837</v>
      </c>
      <c r="L317" s="1622" t="s">
        <v>5520</v>
      </c>
      <c r="M317" s="1620">
        <v>44539</v>
      </c>
    </row>
    <row r="318" spans="1:13" s="1329" customFormat="1" ht="30">
      <c r="A318" s="1615">
        <v>309</v>
      </c>
      <c r="B318" s="1621" t="s">
        <v>1102</v>
      </c>
      <c r="C318" s="1619" t="s">
        <v>1106</v>
      </c>
      <c r="D318" s="1622" t="s">
        <v>680</v>
      </c>
      <c r="E318" s="1622" t="s">
        <v>913</v>
      </c>
      <c r="F318" s="1617" t="s">
        <v>1080</v>
      </c>
      <c r="G318" s="1615">
        <v>36</v>
      </c>
      <c r="H318" s="1615" t="s">
        <v>1804</v>
      </c>
      <c r="I318" s="1627"/>
      <c r="J318" s="1627" t="s">
        <v>1827</v>
      </c>
      <c r="K318" s="1627" t="s">
        <v>1837</v>
      </c>
      <c r="L318" s="1622" t="s">
        <v>5520</v>
      </c>
      <c r="M318" s="1620">
        <v>44539</v>
      </c>
    </row>
    <row r="319" spans="1:13" s="1332" customFormat="1" ht="30">
      <c r="A319" s="1569">
        <v>310</v>
      </c>
      <c r="B319" s="1570" t="s">
        <v>1260</v>
      </c>
      <c r="C319" s="1571" t="s">
        <v>1120</v>
      </c>
      <c r="D319" s="1571" t="s">
        <v>680</v>
      </c>
      <c r="E319" s="1571" t="s">
        <v>913</v>
      </c>
      <c r="F319" s="1569" t="s">
        <v>1080</v>
      </c>
      <c r="G319" s="1569">
        <v>36</v>
      </c>
      <c r="H319" s="1569" t="s">
        <v>1804</v>
      </c>
      <c r="I319" s="1564"/>
      <c r="J319" s="1564" t="s">
        <v>1827</v>
      </c>
      <c r="K319" s="1564" t="s">
        <v>1837</v>
      </c>
      <c r="L319" s="1571" t="s">
        <v>5520</v>
      </c>
      <c r="M319" s="1572">
        <v>44539</v>
      </c>
    </row>
    <row r="320" spans="1:13" s="1329" customFormat="1" ht="30">
      <c r="A320" s="1615">
        <v>311</v>
      </c>
      <c r="B320" s="1621" t="s">
        <v>5521</v>
      </c>
      <c r="C320" s="1619" t="s">
        <v>1134</v>
      </c>
      <c r="D320" s="1622" t="s">
        <v>680</v>
      </c>
      <c r="E320" s="1622" t="s">
        <v>913</v>
      </c>
      <c r="F320" s="1617" t="s">
        <v>1080</v>
      </c>
      <c r="G320" s="1615">
        <v>36</v>
      </c>
      <c r="H320" s="1615" t="s">
        <v>1804</v>
      </c>
      <c r="I320" s="1627"/>
      <c r="J320" s="1627" t="s">
        <v>1827</v>
      </c>
      <c r="K320" s="1627" t="s">
        <v>1837</v>
      </c>
      <c r="L320" s="1622" t="s">
        <v>5520</v>
      </c>
      <c r="M320" s="1620">
        <v>44539</v>
      </c>
    </row>
    <row r="321" spans="1:13" s="1329" customFormat="1" ht="30">
      <c r="A321" s="1615">
        <v>312</v>
      </c>
      <c r="B321" s="1621" t="s">
        <v>1143</v>
      </c>
      <c r="C321" s="1619" t="s">
        <v>1147</v>
      </c>
      <c r="D321" s="1622" t="s">
        <v>680</v>
      </c>
      <c r="E321" s="1622" t="s">
        <v>913</v>
      </c>
      <c r="F321" s="1617" t="s">
        <v>1080</v>
      </c>
      <c r="G321" s="1615">
        <v>36</v>
      </c>
      <c r="H321" s="1615" t="s">
        <v>1804</v>
      </c>
      <c r="I321" s="1627"/>
      <c r="J321" s="1627" t="s">
        <v>1827</v>
      </c>
      <c r="K321" s="1627" t="s">
        <v>1837</v>
      </c>
      <c r="L321" s="1622" t="s">
        <v>5520</v>
      </c>
      <c r="M321" s="1620">
        <v>44539</v>
      </c>
    </row>
    <row r="322" spans="1:13" s="1329" customFormat="1" ht="30">
      <c r="A322" s="1615">
        <v>313</v>
      </c>
      <c r="B322" s="1621" t="s">
        <v>1269</v>
      </c>
      <c r="C322" s="1619" t="s">
        <v>1161</v>
      </c>
      <c r="D322" s="1622" t="s">
        <v>680</v>
      </c>
      <c r="E322" s="1622" t="s">
        <v>913</v>
      </c>
      <c r="F322" s="1617" t="s">
        <v>1080</v>
      </c>
      <c r="G322" s="1615">
        <v>36</v>
      </c>
      <c r="H322" s="1615" t="s">
        <v>1804</v>
      </c>
      <c r="I322" s="1627"/>
      <c r="J322" s="1627" t="s">
        <v>1827</v>
      </c>
      <c r="K322" s="1627" t="s">
        <v>1837</v>
      </c>
      <c r="L322" s="1622" t="s">
        <v>5520</v>
      </c>
      <c r="M322" s="1620">
        <v>44539</v>
      </c>
    </row>
    <row r="323" spans="1:13" s="1329" customFormat="1" ht="30">
      <c r="A323" s="1615">
        <v>314</v>
      </c>
      <c r="B323" s="1621" t="s">
        <v>5522</v>
      </c>
      <c r="C323" s="1619" t="s">
        <v>1175</v>
      </c>
      <c r="D323" s="1622" t="s">
        <v>680</v>
      </c>
      <c r="E323" s="1622" t="s">
        <v>913</v>
      </c>
      <c r="F323" s="1617" t="s">
        <v>1080</v>
      </c>
      <c r="G323" s="1615">
        <v>36</v>
      </c>
      <c r="H323" s="1615" t="s">
        <v>1804</v>
      </c>
      <c r="I323" s="1627"/>
      <c r="J323" s="1627" t="s">
        <v>1827</v>
      </c>
      <c r="K323" s="1627" t="s">
        <v>1837</v>
      </c>
      <c r="L323" s="1622" t="s">
        <v>5520</v>
      </c>
      <c r="M323" s="1620">
        <v>44539</v>
      </c>
    </row>
    <row r="324" spans="1:13" s="1329" customFormat="1" ht="30">
      <c r="A324" s="1615">
        <v>315</v>
      </c>
      <c r="B324" s="1621" t="s">
        <v>1278</v>
      </c>
      <c r="C324" s="1619" t="s">
        <v>1189</v>
      </c>
      <c r="D324" s="1622" t="s">
        <v>680</v>
      </c>
      <c r="E324" s="1622" t="s">
        <v>913</v>
      </c>
      <c r="F324" s="1617" t="s">
        <v>1080</v>
      </c>
      <c r="G324" s="1615">
        <v>36</v>
      </c>
      <c r="H324" s="1615" t="s">
        <v>1804</v>
      </c>
      <c r="I324" s="1627"/>
      <c r="J324" s="1627" t="s">
        <v>1827</v>
      </c>
      <c r="K324" s="1627" t="s">
        <v>1837</v>
      </c>
      <c r="L324" s="1622" t="s">
        <v>5520</v>
      </c>
      <c r="M324" s="1620">
        <v>44539</v>
      </c>
    </row>
    <row r="325" spans="1:13" s="1329" customFormat="1" ht="30">
      <c r="A325" s="1615">
        <v>316</v>
      </c>
      <c r="B325" s="1621" t="s">
        <v>1185</v>
      </c>
      <c r="C325" s="1619" t="s">
        <v>1203</v>
      </c>
      <c r="D325" s="1622" t="s">
        <v>680</v>
      </c>
      <c r="E325" s="1622" t="s">
        <v>913</v>
      </c>
      <c r="F325" s="1617" t="s">
        <v>1080</v>
      </c>
      <c r="G325" s="1615">
        <v>36</v>
      </c>
      <c r="H325" s="1615" t="s">
        <v>1804</v>
      </c>
      <c r="I325" s="1627"/>
      <c r="J325" s="1627" t="s">
        <v>1827</v>
      </c>
      <c r="K325" s="1627" t="s">
        <v>1837</v>
      </c>
      <c r="L325" s="1622" t="s">
        <v>5520</v>
      </c>
      <c r="M325" s="1620">
        <v>44539</v>
      </c>
    </row>
    <row r="326" spans="1:13" s="1329" customFormat="1" ht="30">
      <c r="A326" s="1615">
        <v>317</v>
      </c>
      <c r="B326" s="1621" t="s">
        <v>1287</v>
      </c>
      <c r="C326" s="1619" t="s">
        <v>1217</v>
      </c>
      <c r="D326" s="1622" t="s">
        <v>680</v>
      </c>
      <c r="E326" s="1622" t="s">
        <v>913</v>
      </c>
      <c r="F326" s="1617" t="s">
        <v>1080</v>
      </c>
      <c r="G326" s="1615">
        <v>36</v>
      </c>
      <c r="H326" s="1615" t="s">
        <v>1804</v>
      </c>
      <c r="I326" s="1627"/>
      <c r="J326" s="1627" t="s">
        <v>1827</v>
      </c>
      <c r="K326" s="1627" t="s">
        <v>1837</v>
      </c>
      <c r="L326" s="1622" t="s">
        <v>5520</v>
      </c>
      <c r="M326" s="1620">
        <v>44539</v>
      </c>
    </row>
    <row r="327" spans="1:13" s="1329" customFormat="1" ht="30">
      <c r="A327" s="1615">
        <v>318</v>
      </c>
      <c r="B327" s="1621" t="s">
        <v>1287</v>
      </c>
      <c r="C327" s="1619" t="s">
        <v>1231</v>
      </c>
      <c r="D327" s="1622" t="s">
        <v>680</v>
      </c>
      <c r="E327" s="1622" t="s">
        <v>913</v>
      </c>
      <c r="F327" s="1617" t="s">
        <v>1080</v>
      </c>
      <c r="G327" s="1615">
        <v>36</v>
      </c>
      <c r="H327" s="1615" t="s">
        <v>1804</v>
      </c>
      <c r="I327" s="1627"/>
      <c r="J327" s="1627" t="s">
        <v>1827</v>
      </c>
      <c r="K327" s="1627" t="s">
        <v>1837</v>
      </c>
      <c r="L327" s="1622" t="s">
        <v>5520</v>
      </c>
      <c r="M327" s="1620">
        <v>44539</v>
      </c>
    </row>
    <row r="328" spans="1:13" s="1329" customFormat="1" ht="30">
      <c r="A328" s="1615">
        <v>319</v>
      </c>
      <c r="B328" s="1621" t="s">
        <v>1157</v>
      </c>
      <c r="C328" s="1619" t="s">
        <v>1245</v>
      </c>
      <c r="D328" s="1622" t="s">
        <v>680</v>
      </c>
      <c r="E328" s="1622" t="s">
        <v>913</v>
      </c>
      <c r="F328" s="1617" t="s">
        <v>1080</v>
      </c>
      <c r="G328" s="1615">
        <v>36</v>
      </c>
      <c r="H328" s="1615" t="s">
        <v>1804</v>
      </c>
      <c r="I328" s="1627"/>
      <c r="J328" s="1627" t="s">
        <v>1827</v>
      </c>
      <c r="K328" s="1627" t="s">
        <v>1837</v>
      </c>
      <c r="L328" s="1622" t="s">
        <v>5520</v>
      </c>
      <c r="M328" s="1620">
        <v>44539</v>
      </c>
    </row>
    <row r="329" spans="1:13" s="1329" customFormat="1" ht="30">
      <c r="A329" s="1615">
        <v>320</v>
      </c>
      <c r="B329" s="1621" t="s">
        <v>1199</v>
      </c>
      <c r="C329" s="1619" t="s">
        <v>1264</v>
      </c>
      <c r="D329" s="1622" t="s">
        <v>680</v>
      </c>
      <c r="E329" s="1622" t="s">
        <v>913</v>
      </c>
      <c r="F329" s="1617" t="s">
        <v>1080</v>
      </c>
      <c r="G329" s="1615">
        <v>36</v>
      </c>
      <c r="H329" s="1615" t="s">
        <v>1804</v>
      </c>
      <c r="I329" s="1627"/>
      <c r="J329" s="1627" t="s">
        <v>1827</v>
      </c>
      <c r="K329" s="1627" t="s">
        <v>1837</v>
      </c>
      <c r="L329" s="1622" t="s">
        <v>5520</v>
      </c>
      <c r="M329" s="1620">
        <v>44539</v>
      </c>
    </row>
    <row r="330" spans="1:13" s="1329" customFormat="1" ht="30">
      <c r="A330" s="1615">
        <v>321</v>
      </c>
      <c r="B330" s="1621" t="s">
        <v>1213</v>
      </c>
      <c r="C330" s="1619" t="s">
        <v>1273</v>
      </c>
      <c r="D330" s="1622" t="s">
        <v>680</v>
      </c>
      <c r="E330" s="1622" t="s">
        <v>913</v>
      </c>
      <c r="F330" s="1617" t="s">
        <v>1080</v>
      </c>
      <c r="G330" s="1615">
        <v>36</v>
      </c>
      <c r="H330" s="1615" t="s">
        <v>1804</v>
      </c>
      <c r="I330" s="1627"/>
      <c r="J330" s="1627" t="s">
        <v>1827</v>
      </c>
      <c r="K330" s="1627" t="s">
        <v>1837</v>
      </c>
      <c r="L330" s="1622" t="s">
        <v>5520</v>
      </c>
      <c r="M330" s="1620">
        <v>44539</v>
      </c>
    </row>
    <row r="331" spans="1:13" s="1329" customFormat="1" ht="30">
      <c r="A331" s="1615">
        <v>322</v>
      </c>
      <c r="B331" s="1621" t="s">
        <v>1116</v>
      </c>
      <c r="C331" s="1619" t="s">
        <v>1282</v>
      </c>
      <c r="D331" s="1622" t="s">
        <v>680</v>
      </c>
      <c r="E331" s="1622" t="s">
        <v>913</v>
      </c>
      <c r="F331" s="1617" t="s">
        <v>1080</v>
      </c>
      <c r="G331" s="1615">
        <v>36</v>
      </c>
      <c r="H331" s="1615" t="s">
        <v>1804</v>
      </c>
      <c r="I331" s="1627"/>
      <c r="J331" s="1627" t="s">
        <v>1827</v>
      </c>
      <c r="K331" s="1627" t="s">
        <v>1837</v>
      </c>
      <c r="L331" s="1622" t="s">
        <v>5520</v>
      </c>
      <c r="M331" s="1620">
        <v>44539</v>
      </c>
    </row>
    <row r="332" spans="1:13" s="1329" customFormat="1" ht="30">
      <c r="A332" s="1615">
        <v>323</v>
      </c>
      <c r="B332" s="1621" t="s">
        <v>1227</v>
      </c>
      <c r="C332" s="1619" t="s">
        <v>1291</v>
      </c>
      <c r="D332" s="1622" t="s">
        <v>680</v>
      </c>
      <c r="E332" s="1622" t="s">
        <v>913</v>
      </c>
      <c r="F332" s="1617" t="s">
        <v>1080</v>
      </c>
      <c r="G332" s="1615">
        <v>36</v>
      </c>
      <c r="H332" s="1615" t="s">
        <v>1804</v>
      </c>
      <c r="I332" s="1627"/>
      <c r="J332" s="1627" t="s">
        <v>1827</v>
      </c>
      <c r="K332" s="1627" t="s">
        <v>1837</v>
      </c>
      <c r="L332" s="1622" t="s">
        <v>5520</v>
      </c>
      <c r="M332" s="1620">
        <v>44539</v>
      </c>
    </row>
    <row r="333" spans="1:13" s="1332" customFormat="1" ht="30">
      <c r="A333" s="1569">
        <v>324</v>
      </c>
      <c r="B333" s="1570" t="s">
        <v>1241</v>
      </c>
      <c r="C333" s="1571" t="s">
        <v>1298</v>
      </c>
      <c r="D333" s="1571" t="s">
        <v>680</v>
      </c>
      <c r="E333" s="1571" t="s">
        <v>913</v>
      </c>
      <c r="F333" s="1569" t="s">
        <v>1080</v>
      </c>
      <c r="G333" s="1569">
        <v>36</v>
      </c>
      <c r="H333" s="1569" t="s">
        <v>1804</v>
      </c>
      <c r="I333" s="1564"/>
      <c r="J333" s="1564" t="s">
        <v>1827</v>
      </c>
      <c r="K333" s="1564" t="s">
        <v>1837</v>
      </c>
      <c r="L333" s="1571" t="s">
        <v>5520</v>
      </c>
      <c r="M333" s="1572">
        <v>44539</v>
      </c>
    </row>
    <row r="334" spans="1:13" s="1329" customFormat="1" ht="30">
      <c r="A334" s="1615">
        <v>325</v>
      </c>
      <c r="B334" s="1621" t="s">
        <v>1278</v>
      </c>
      <c r="C334" s="1619" t="s">
        <v>1362</v>
      </c>
      <c r="D334" s="1622" t="s">
        <v>2091</v>
      </c>
      <c r="E334" s="1622" t="s">
        <v>913</v>
      </c>
      <c r="F334" s="1617" t="s">
        <v>1080</v>
      </c>
      <c r="G334" s="1615">
        <v>36</v>
      </c>
      <c r="H334" s="1615" t="s">
        <v>1804</v>
      </c>
      <c r="I334" s="1627"/>
      <c r="J334" s="1627" t="s">
        <v>1827</v>
      </c>
      <c r="K334" s="1627" t="s">
        <v>1837</v>
      </c>
      <c r="L334" s="1622" t="s">
        <v>5520</v>
      </c>
      <c r="M334" s="1620">
        <v>44539</v>
      </c>
    </row>
    <row r="335" spans="1:13" s="1332" customFormat="1" ht="51">
      <c r="A335" s="1569">
        <v>326</v>
      </c>
      <c r="B335" s="1570" t="s">
        <v>5446</v>
      </c>
      <c r="C335" s="1570" t="s">
        <v>5446</v>
      </c>
      <c r="D335" s="1570" t="s">
        <v>5446</v>
      </c>
      <c r="E335" s="1571" t="s">
        <v>913</v>
      </c>
      <c r="F335" s="1569" t="s">
        <v>1080</v>
      </c>
      <c r="G335" s="1569">
        <v>115</v>
      </c>
      <c r="H335" s="1629" t="s">
        <v>5617</v>
      </c>
      <c r="I335" s="1564" t="s">
        <v>5479</v>
      </c>
      <c r="J335" s="1465" t="s">
        <v>5618</v>
      </c>
      <c r="K335" s="1465" t="s">
        <v>2205</v>
      </c>
      <c r="L335" s="1571" t="s">
        <v>5619</v>
      </c>
      <c r="M335" s="1572">
        <v>44540</v>
      </c>
    </row>
    <row r="336" spans="1:13" s="1332" customFormat="1" ht="51">
      <c r="A336" s="1569">
        <v>327</v>
      </c>
      <c r="B336" s="1570" t="s">
        <v>5446</v>
      </c>
      <c r="C336" s="1570" t="s">
        <v>5446</v>
      </c>
      <c r="D336" s="1570" t="s">
        <v>5446</v>
      </c>
      <c r="E336" s="1571" t="s">
        <v>913</v>
      </c>
      <c r="F336" s="1569" t="s">
        <v>1080</v>
      </c>
      <c r="G336" s="1569">
        <v>115</v>
      </c>
      <c r="H336" s="1629" t="s">
        <v>5617</v>
      </c>
      <c r="I336" s="1564" t="s">
        <v>5479</v>
      </c>
      <c r="J336" s="1465" t="s">
        <v>5620</v>
      </c>
      <c r="K336" s="1465" t="s">
        <v>2206</v>
      </c>
      <c r="L336" s="1571" t="s">
        <v>5619</v>
      </c>
      <c r="M336" s="1572">
        <v>44540</v>
      </c>
    </row>
    <row r="337" spans="1:13" s="1332" customFormat="1" ht="51">
      <c r="A337" s="1569">
        <v>328</v>
      </c>
      <c r="B337" s="1570" t="s">
        <v>5446</v>
      </c>
      <c r="C337" s="1570" t="s">
        <v>5446</v>
      </c>
      <c r="D337" s="1570" t="s">
        <v>5446</v>
      </c>
      <c r="E337" s="1571" t="s">
        <v>913</v>
      </c>
      <c r="F337" s="1569" t="s">
        <v>1080</v>
      </c>
      <c r="G337" s="1569">
        <v>115</v>
      </c>
      <c r="H337" s="1629" t="s">
        <v>5617</v>
      </c>
      <c r="I337" s="1564" t="s">
        <v>5479</v>
      </c>
      <c r="J337" s="1465" t="s">
        <v>5621</v>
      </c>
      <c r="K337" s="1465" t="s">
        <v>2207</v>
      </c>
      <c r="L337" s="1571" t="s">
        <v>5619</v>
      </c>
      <c r="M337" s="1572">
        <v>44540</v>
      </c>
    </row>
    <row r="338" spans="1:13" s="1332" customFormat="1" ht="51">
      <c r="A338" s="1569">
        <v>329</v>
      </c>
      <c r="B338" s="1570" t="s">
        <v>5446</v>
      </c>
      <c r="C338" s="1570" t="s">
        <v>5446</v>
      </c>
      <c r="D338" s="1570" t="s">
        <v>5446</v>
      </c>
      <c r="E338" s="1571" t="s">
        <v>913</v>
      </c>
      <c r="F338" s="1569" t="s">
        <v>1080</v>
      </c>
      <c r="G338" s="1569">
        <v>119</v>
      </c>
      <c r="H338" s="1629" t="s">
        <v>5622</v>
      </c>
      <c r="I338" s="1564" t="s">
        <v>5479</v>
      </c>
      <c r="J338" s="1465" t="s">
        <v>5623</v>
      </c>
      <c r="K338" s="1465" t="s">
        <v>2209</v>
      </c>
      <c r="L338" s="1571" t="s">
        <v>5619</v>
      </c>
      <c r="M338" s="1572">
        <v>44540</v>
      </c>
    </row>
    <row r="339" spans="1:13" s="1332" customFormat="1" ht="51">
      <c r="A339" s="1569">
        <v>330</v>
      </c>
      <c r="B339" s="1570" t="s">
        <v>5446</v>
      </c>
      <c r="C339" s="1570" t="s">
        <v>5446</v>
      </c>
      <c r="D339" s="1570" t="s">
        <v>5446</v>
      </c>
      <c r="E339" s="1571" t="s">
        <v>913</v>
      </c>
      <c r="F339" s="1569" t="s">
        <v>1080</v>
      </c>
      <c r="G339" s="1569">
        <v>119</v>
      </c>
      <c r="H339" s="1629" t="s">
        <v>5622</v>
      </c>
      <c r="I339" s="1564" t="s">
        <v>5479</v>
      </c>
      <c r="J339" s="1465" t="s">
        <v>5624</v>
      </c>
      <c r="K339" s="1465" t="s">
        <v>2210</v>
      </c>
      <c r="L339" s="1571" t="s">
        <v>5619</v>
      </c>
      <c r="M339" s="1572">
        <v>44540</v>
      </c>
    </row>
    <row r="340" spans="1:13" s="1332" customFormat="1" ht="51">
      <c r="A340" s="1569">
        <v>331</v>
      </c>
      <c r="B340" s="1570" t="s">
        <v>5446</v>
      </c>
      <c r="C340" s="1570" t="s">
        <v>5446</v>
      </c>
      <c r="D340" s="1570" t="s">
        <v>5446</v>
      </c>
      <c r="E340" s="1571" t="s">
        <v>913</v>
      </c>
      <c r="F340" s="1569" t="s">
        <v>1080</v>
      </c>
      <c r="G340" s="1569">
        <v>119</v>
      </c>
      <c r="H340" s="1629" t="s">
        <v>5622</v>
      </c>
      <c r="I340" s="1564" t="s">
        <v>5479</v>
      </c>
      <c r="J340" s="1465" t="s">
        <v>5625</v>
      </c>
      <c r="K340" s="1465" t="s">
        <v>2211</v>
      </c>
      <c r="L340" s="1571" t="s">
        <v>5619</v>
      </c>
      <c r="M340" s="1572">
        <v>44540</v>
      </c>
    </row>
    <row r="341" spans="1:13" s="1329" customFormat="1" ht="15">
      <c r="A341" s="1615">
        <v>332</v>
      </c>
      <c r="B341" s="1621" t="s">
        <v>1143</v>
      </c>
      <c r="C341" s="1619" t="s">
        <v>1146</v>
      </c>
      <c r="D341" s="1621" t="s">
        <v>5524</v>
      </c>
      <c r="E341" s="1622" t="s">
        <v>5398</v>
      </c>
      <c r="F341" s="1617" t="s">
        <v>1080</v>
      </c>
      <c r="G341" s="1615">
        <v>105</v>
      </c>
      <c r="H341" s="1616" t="s">
        <v>2159</v>
      </c>
      <c r="I341" s="1617" t="s">
        <v>1830</v>
      </c>
      <c r="J341" s="1630">
        <v>37.700000000000003</v>
      </c>
      <c r="K341" s="1630" t="s">
        <v>4430</v>
      </c>
      <c r="L341" s="1622" t="s">
        <v>5517</v>
      </c>
      <c r="M341" s="1620">
        <v>44545</v>
      </c>
    </row>
    <row r="342" spans="1:13" s="1329" customFormat="1" ht="15">
      <c r="A342" s="1615">
        <v>333</v>
      </c>
      <c r="B342" s="1621" t="s">
        <v>1143</v>
      </c>
      <c r="C342" s="1619" t="s">
        <v>1146</v>
      </c>
      <c r="D342" s="1621" t="s">
        <v>5524</v>
      </c>
      <c r="E342" s="1622" t="s">
        <v>5398</v>
      </c>
      <c r="F342" s="1617" t="s">
        <v>1080</v>
      </c>
      <c r="G342" s="1615">
        <v>105</v>
      </c>
      <c r="H342" s="1616" t="s">
        <v>2159</v>
      </c>
      <c r="I342" s="1617" t="s">
        <v>1840</v>
      </c>
      <c r="J342" s="1630">
        <v>38.299999999999997</v>
      </c>
      <c r="K342" s="1630" t="s">
        <v>4430</v>
      </c>
      <c r="L342" s="1622" t="s">
        <v>5517</v>
      </c>
      <c r="M342" s="1620">
        <v>44545</v>
      </c>
    </row>
    <row r="343" spans="1:13" s="1329" customFormat="1" ht="15">
      <c r="A343" s="1615">
        <v>334</v>
      </c>
      <c r="B343" s="1621" t="s">
        <v>1143</v>
      </c>
      <c r="C343" s="1619" t="s">
        <v>1146</v>
      </c>
      <c r="D343" s="1621" t="s">
        <v>5524</v>
      </c>
      <c r="E343" s="1622" t="s">
        <v>5398</v>
      </c>
      <c r="F343" s="1617" t="s">
        <v>1080</v>
      </c>
      <c r="G343" s="1615">
        <v>105</v>
      </c>
      <c r="H343" s="1616" t="s">
        <v>2159</v>
      </c>
      <c r="I343" s="1617" t="s">
        <v>1847</v>
      </c>
      <c r="J343" s="1630">
        <v>39.200000000000003</v>
      </c>
      <c r="K343" s="1630" t="s">
        <v>4430</v>
      </c>
      <c r="L343" s="1622" t="s">
        <v>5517</v>
      </c>
      <c r="M343" s="1620">
        <v>44545</v>
      </c>
    </row>
    <row r="344" spans="1:13" s="1329" customFormat="1" ht="15">
      <c r="A344" s="1615">
        <v>335</v>
      </c>
      <c r="B344" s="1621" t="s">
        <v>1143</v>
      </c>
      <c r="C344" s="1619" t="s">
        <v>1146</v>
      </c>
      <c r="D344" s="1621" t="s">
        <v>5524</v>
      </c>
      <c r="E344" s="1622" t="s">
        <v>5398</v>
      </c>
      <c r="F344" s="1617" t="s">
        <v>1080</v>
      </c>
      <c r="G344" s="1615">
        <v>105</v>
      </c>
      <c r="H344" s="1616" t="s">
        <v>2159</v>
      </c>
      <c r="I344" s="1617" t="s">
        <v>1853</v>
      </c>
      <c r="J344" s="1630">
        <v>40.299999999999997</v>
      </c>
      <c r="K344" s="1630" t="s">
        <v>4430</v>
      </c>
      <c r="L344" s="1622" t="s">
        <v>5517</v>
      </c>
      <c r="M344" s="1620">
        <v>44545</v>
      </c>
    </row>
    <row r="345" spans="1:13" s="1329" customFormat="1" ht="15">
      <c r="A345" s="1615">
        <v>336</v>
      </c>
      <c r="B345" s="1621" t="s">
        <v>1143</v>
      </c>
      <c r="C345" s="1619" t="s">
        <v>1146</v>
      </c>
      <c r="D345" s="1621" t="s">
        <v>5524</v>
      </c>
      <c r="E345" s="1622" t="s">
        <v>5398</v>
      </c>
      <c r="F345" s="1617" t="s">
        <v>1080</v>
      </c>
      <c r="G345" s="1615">
        <v>105</v>
      </c>
      <c r="H345" s="1616" t="s">
        <v>2159</v>
      </c>
      <c r="I345" s="1617" t="s">
        <v>129</v>
      </c>
      <c r="J345" s="1630">
        <v>42.2</v>
      </c>
      <c r="K345" s="1630" t="s">
        <v>4430</v>
      </c>
      <c r="L345" s="1622" t="s">
        <v>5517</v>
      </c>
      <c r="M345" s="1620">
        <v>44545</v>
      </c>
    </row>
    <row r="346" spans="1:13" s="1329" customFormat="1" ht="15">
      <c r="A346" s="1615">
        <v>337</v>
      </c>
      <c r="B346" s="1616" t="s">
        <v>1102</v>
      </c>
      <c r="C346" s="1616" t="s">
        <v>1104</v>
      </c>
      <c r="D346" s="1622" t="s">
        <v>179</v>
      </c>
      <c r="E346" s="1622" t="s">
        <v>913</v>
      </c>
      <c r="F346" s="1615" t="s">
        <v>1080</v>
      </c>
      <c r="G346" s="1615">
        <v>105</v>
      </c>
      <c r="H346" s="1631" t="s">
        <v>2159</v>
      </c>
      <c r="I346" s="1617" t="s">
        <v>1830</v>
      </c>
      <c r="J346" s="1632" t="s">
        <v>5626</v>
      </c>
      <c r="K346" s="1633">
        <v>3.9004629629629632E-3</v>
      </c>
      <c r="L346" s="1622" t="s">
        <v>5627</v>
      </c>
      <c r="M346" s="1620">
        <v>44547</v>
      </c>
    </row>
    <row r="347" spans="1:13" s="1329" customFormat="1" ht="15">
      <c r="A347" s="1615">
        <v>338</v>
      </c>
      <c r="B347" s="1616" t="s">
        <v>1102</v>
      </c>
      <c r="C347" s="1616" t="s">
        <v>1104</v>
      </c>
      <c r="D347" s="1622" t="s">
        <v>179</v>
      </c>
      <c r="E347" s="1622" t="s">
        <v>913</v>
      </c>
      <c r="F347" s="1615" t="s">
        <v>1080</v>
      </c>
      <c r="G347" s="1615">
        <v>105</v>
      </c>
      <c r="H347" s="1631" t="s">
        <v>2159</v>
      </c>
      <c r="I347" s="1617" t="s">
        <v>1847</v>
      </c>
      <c r="J347" s="1632" t="s">
        <v>5628</v>
      </c>
      <c r="K347" s="1633">
        <v>2.8356481481481479E-3</v>
      </c>
      <c r="L347" s="1622" t="s">
        <v>5627</v>
      </c>
      <c r="M347" s="1620">
        <v>44547</v>
      </c>
    </row>
    <row r="348" spans="1:13" s="1329" customFormat="1" ht="15">
      <c r="A348" s="1615">
        <v>339</v>
      </c>
      <c r="B348" s="1616" t="s">
        <v>1102</v>
      </c>
      <c r="C348" s="1616" t="s">
        <v>1104</v>
      </c>
      <c r="D348" s="1622" t="s">
        <v>179</v>
      </c>
      <c r="E348" s="1622" t="s">
        <v>913</v>
      </c>
      <c r="F348" s="1615" t="s">
        <v>1080</v>
      </c>
      <c r="G348" s="1615">
        <v>105</v>
      </c>
      <c r="H348" s="1631" t="s">
        <v>2159</v>
      </c>
      <c r="I348" s="1617" t="s">
        <v>1853</v>
      </c>
      <c r="J348" s="1632" t="s">
        <v>5629</v>
      </c>
      <c r="K348" s="1633">
        <v>2.2800925925925927E-3</v>
      </c>
      <c r="L348" s="1622" t="s">
        <v>5627</v>
      </c>
      <c r="M348" s="1620">
        <v>44547</v>
      </c>
    </row>
    <row r="349" spans="1:13" s="1329" customFormat="1" ht="15">
      <c r="A349" s="1615">
        <v>340</v>
      </c>
      <c r="B349" s="1616" t="s">
        <v>1102</v>
      </c>
      <c r="C349" s="1616" t="s">
        <v>1104</v>
      </c>
      <c r="D349" s="1622" t="s">
        <v>179</v>
      </c>
      <c r="E349" s="1622" t="s">
        <v>913</v>
      </c>
      <c r="F349" s="1615" t="s">
        <v>1080</v>
      </c>
      <c r="G349" s="1615">
        <v>105</v>
      </c>
      <c r="H349" s="1631" t="s">
        <v>2159</v>
      </c>
      <c r="I349" s="1617" t="s">
        <v>129</v>
      </c>
      <c r="J349" s="1632" t="s">
        <v>5630</v>
      </c>
      <c r="K349" s="1633">
        <v>1.689814814814815E-3</v>
      </c>
      <c r="L349" s="1622" t="s">
        <v>5627</v>
      </c>
      <c r="M349" s="1620">
        <v>44547</v>
      </c>
    </row>
    <row r="350" spans="1:13" s="1329" customFormat="1" ht="15">
      <c r="A350" s="1615">
        <v>341</v>
      </c>
      <c r="B350" s="1616" t="s">
        <v>1143</v>
      </c>
      <c r="C350" s="1616" t="s">
        <v>1145</v>
      </c>
      <c r="D350" s="1622" t="s">
        <v>179</v>
      </c>
      <c r="E350" s="1622" t="s">
        <v>913</v>
      </c>
      <c r="F350" s="1615" t="s">
        <v>1080</v>
      </c>
      <c r="G350" s="1615">
        <v>85</v>
      </c>
      <c r="H350" s="1631" t="s">
        <v>2155</v>
      </c>
      <c r="I350" s="1615" t="s">
        <v>1830</v>
      </c>
      <c r="J350" s="1634" t="s">
        <v>5631</v>
      </c>
      <c r="K350" s="1633">
        <v>1.3391203703703704E-2</v>
      </c>
      <c r="L350" s="1622" t="s">
        <v>5627</v>
      </c>
      <c r="M350" s="1620">
        <v>44547</v>
      </c>
    </row>
    <row r="351" spans="1:13" s="1329" customFormat="1" ht="15">
      <c r="A351" s="1615">
        <v>342</v>
      </c>
      <c r="B351" s="1616" t="s">
        <v>1143</v>
      </c>
      <c r="C351" s="1616" t="s">
        <v>1145</v>
      </c>
      <c r="D351" s="1622" t="s">
        <v>179</v>
      </c>
      <c r="E351" s="1622" t="s">
        <v>913</v>
      </c>
      <c r="F351" s="1615" t="s">
        <v>1080</v>
      </c>
      <c r="G351" s="1615">
        <v>85</v>
      </c>
      <c r="H351" s="1615" t="s">
        <v>2155</v>
      </c>
      <c r="I351" s="1615" t="s">
        <v>1840</v>
      </c>
      <c r="J351" s="1635" t="s">
        <v>5631</v>
      </c>
      <c r="K351" s="1633">
        <v>1.3391203703703704E-2</v>
      </c>
      <c r="L351" s="1622" t="s">
        <v>5627</v>
      </c>
      <c r="M351" s="1620">
        <v>44547</v>
      </c>
    </row>
    <row r="352" spans="1:13" s="1329" customFormat="1" ht="15">
      <c r="A352" s="1615">
        <v>343</v>
      </c>
      <c r="B352" s="1616" t="s">
        <v>1143</v>
      </c>
      <c r="C352" s="1616" t="s">
        <v>1145</v>
      </c>
      <c r="D352" s="1622" t="s">
        <v>179</v>
      </c>
      <c r="E352" s="1622" t="s">
        <v>913</v>
      </c>
      <c r="F352" s="1615" t="s">
        <v>1080</v>
      </c>
      <c r="G352" s="1615">
        <v>85</v>
      </c>
      <c r="H352" s="1615" t="s">
        <v>2155</v>
      </c>
      <c r="I352" s="1615" t="s">
        <v>1847</v>
      </c>
      <c r="J352" s="1635" t="s">
        <v>5631</v>
      </c>
      <c r="K352" s="1633">
        <v>1.3391203703703704E-2</v>
      </c>
      <c r="L352" s="1622" t="s">
        <v>5627</v>
      </c>
      <c r="M352" s="1620">
        <v>44547</v>
      </c>
    </row>
    <row r="353" spans="1:13" s="1329" customFormat="1" ht="15">
      <c r="A353" s="1615">
        <v>344</v>
      </c>
      <c r="B353" s="1616" t="s">
        <v>1143</v>
      </c>
      <c r="C353" s="1616" t="s">
        <v>1145</v>
      </c>
      <c r="D353" s="1622" t="s">
        <v>179</v>
      </c>
      <c r="E353" s="1622" t="s">
        <v>913</v>
      </c>
      <c r="F353" s="1615" t="s">
        <v>1080</v>
      </c>
      <c r="G353" s="1615">
        <v>85</v>
      </c>
      <c r="H353" s="1615" t="s">
        <v>2155</v>
      </c>
      <c r="I353" s="1615" t="s">
        <v>1853</v>
      </c>
      <c r="J353" s="1635" t="s">
        <v>5631</v>
      </c>
      <c r="K353" s="1633">
        <v>1.3391203703703704E-2</v>
      </c>
      <c r="L353" s="1622" t="s">
        <v>5627</v>
      </c>
      <c r="M353" s="1620">
        <v>44547</v>
      </c>
    </row>
    <row r="354" spans="1:13" s="1329" customFormat="1" ht="15">
      <c r="A354" s="1615">
        <v>345</v>
      </c>
      <c r="B354" s="1616" t="s">
        <v>1143</v>
      </c>
      <c r="C354" s="1616" t="s">
        <v>1145</v>
      </c>
      <c r="D354" s="1622" t="s">
        <v>179</v>
      </c>
      <c r="E354" s="1622" t="s">
        <v>913</v>
      </c>
      <c r="F354" s="1615" t="s">
        <v>1080</v>
      </c>
      <c r="G354" s="1615">
        <v>85</v>
      </c>
      <c r="H354" s="1615" t="s">
        <v>2155</v>
      </c>
      <c r="I354" s="1615" t="s">
        <v>129</v>
      </c>
      <c r="J354" s="1635" t="s">
        <v>5631</v>
      </c>
      <c r="K354" s="1633">
        <v>1.3391203703703704E-2</v>
      </c>
      <c r="L354" s="1622" t="s">
        <v>5627</v>
      </c>
      <c r="M354" s="1620">
        <v>44547</v>
      </c>
    </row>
    <row r="355" spans="1:13" s="1329" customFormat="1" ht="15">
      <c r="A355" s="1615">
        <v>346</v>
      </c>
      <c r="B355" s="1616" t="s">
        <v>1143</v>
      </c>
      <c r="C355" s="1616" t="s">
        <v>1145</v>
      </c>
      <c r="D355" s="1622" t="s">
        <v>179</v>
      </c>
      <c r="E355" s="1622" t="s">
        <v>913</v>
      </c>
      <c r="F355" s="1615" t="s">
        <v>1080</v>
      </c>
      <c r="G355" s="1615">
        <v>90</v>
      </c>
      <c r="H355" s="1631" t="s">
        <v>2156</v>
      </c>
      <c r="I355" s="1615" t="s">
        <v>1830</v>
      </c>
      <c r="J355" s="1634" t="s">
        <v>5632</v>
      </c>
      <c r="K355" s="1633">
        <v>1.1793981481481482E-2</v>
      </c>
      <c r="L355" s="1622" t="s">
        <v>5627</v>
      </c>
      <c r="M355" s="1620">
        <v>44547</v>
      </c>
    </row>
    <row r="356" spans="1:13" s="1329" customFormat="1" ht="15">
      <c r="A356" s="1615">
        <v>347</v>
      </c>
      <c r="B356" s="1616" t="s">
        <v>1143</v>
      </c>
      <c r="C356" s="1616" t="s">
        <v>1145</v>
      </c>
      <c r="D356" s="1622" t="s">
        <v>179</v>
      </c>
      <c r="E356" s="1622" t="s">
        <v>913</v>
      </c>
      <c r="F356" s="1615" t="s">
        <v>1080</v>
      </c>
      <c r="G356" s="1615">
        <v>90</v>
      </c>
      <c r="H356" s="1631" t="s">
        <v>2156</v>
      </c>
      <c r="I356" s="1615" t="s">
        <v>1840</v>
      </c>
      <c r="J356" s="1634" t="s">
        <v>5632</v>
      </c>
      <c r="K356" s="1633">
        <v>1.1793981481481482E-2</v>
      </c>
      <c r="L356" s="1622" t="s">
        <v>5627</v>
      </c>
      <c r="M356" s="1620">
        <v>44547</v>
      </c>
    </row>
    <row r="357" spans="1:13" s="1329" customFormat="1" ht="15">
      <c r="A357" s="1615">
        <v>348</v>
      </c>
      <c r="B357" s="1616" t="s">
        <v>1143</v>
      </c>
      <c r="C357" s="1616" t="s">
        <v>1145</v>
      </c>
      <c r="D357" s="1622" t="s">
        <v>179</v>
      </c>
      <c r="E357" s="1622" t="s">
        <v>913</v>
      </c>
      <c r="F357" s="1615" t="s">
        <v>1080</v>
      </c>
      <c r="G357" s="1615">
        <v>90</v>
      </c>
      <c r="H357" s="1631" t="s">
        <v>2156</v>
      </c>
      <c r="I357" s="1615" t="s">
        <v>1847</v>
      </c>
      <c r="J357" s="1634" t="s">
        <v>5632</v>
      </c>
      <c r="K357" s="1633">
        <v>1.1793981481481482E-2</v>
      </c>
      <c r="L357" s="1622" t="s">
        <v>5627</v>
      </c>
      <c r="M357" s="1620">
        <v>44547</v>
      </c>
    </row>
    <row r="358" spans="1:13" s="1329" customFormat="1" ht="15">
      <c r="A358" s="1615">
        <v>349</v>
      </c>
      <c r="B358" s="1616" t="s">
        <v>1143</v>
      </c>
      <c r="C358" s="1616" t="s">
        <v>1145</v>
      </c>
      <c r="D358" s="1622" t="s">
        <v>179</v>
      </c>
      <c r="E358" s="1622" t="s">
        <v>913</v>
      </c>
      <c r="F358" s="1615" t="s">
        <v>1080</v>
      </c>
      <c r="G358" s="1615">
        <v>90</v>
      </c>
      <c r="H358" s="1631" t="s">
        <v>2156</v>
      </c>
      <c r="I358" s="1615" t="s">
        <v>1853</v>
      </c>
      <c r="J358" s="1634" t="s">
        <v>5632</v>
      </c>
      <c r="K358" s="1633">
        <v>1.1793981481481482E-2</v>
      </c>
      <c r="L358" s="1622" t="s">
        <v>5627</v>
      </c>
      <c r="M358" s="1620">
        <v>44547</v>
      </c>
    </row>
    <row r="359" spans="1:13" s="1329" customFormat="1" ht="15">
      <c r="A359" s="1615">
        <v>350</v>
      </c>
      <c r="B359" s="1621" t="s">
        <v>1143</v>
      </c>
      <c r="C359" s="1616" t="s">
        <v>1145</v>
      </c>
      <c r="D359" s="1622" t="s">
        <v>179</v>
      </c>
      <c r="E359" s="1622" t="s">
        <v>913</v>
      </c>
      <c r="F359" s="1615" t="s">
        <v>1080</v>
      </c>
      <c r="G359" s="1615">
        <v>90</v>
      </c>
      <c r="H359" s="1631" t="s">
        <v>2156</v>
      </c>
      <c r="I359" s="1615" t="s">
        <v>129</v>
      </c>
      <c r="J359" s="1634" t="s">
        <v>5632</v>
      </c>
      <c r="K359" s="1633">
        <v>1.1793981481481482E-2</v>
      </c>
      <c r="L359" s="1622" t="s">
        <v>5627</v>
      </c>
      <c r="M359" s="1620">
        <v>44547</v>
      </c>
    </row>
    <row r="360" spans="1:13" s="1329" customFormat="1" ht="15">
      <c r="A360" s="1615">
        <v>351</v>
      </c>
      <c r="B360" s="1621" t="s">
        <v>1143</v>
      </c>
      <c r="C360" s="1616" t="s">
        <v>1145</v>
      </c>
      <c r="D360" s="1622" t="s">
        <v>179</v>
      </c>
      <c r="E360" s="1622" t="s">
        <v>913</v>
      </c>
      <c r="F360" s="1615" t="s">
        <v>1080</v>
      </c>
      <c r="G360" s="1615">
        <v>105</v>
      </c>
      <c r="H360" s="1631" t="s">
        <v>2159</v>
      </c>
      <c r="I360" s="1615" t="s">
        <v>1830</v>
      </c>
      <c r="J360" s="1634" t="s">
        <v>5633</v>
      </c>
      <c r="K360" s="1633">
        <v>1.8287037037037037E-3</v>
      </c>
      <c r="L360" s="1622" t="s">
        <v>5627</v>
      </c>
      <c r="M360" s="1620">
        <v>44547</v>
      </c>
    </row>
    <row r="361" spans="1:13" s="1329" customFormat="1" ht="15">
      <c r="A361" s="1615">
        <v>352</v>
      </c>
      <c r="B361" s="1621" t="s">
        <v>1143</v>
      </c>
      <c r="C361" s="1616" t="s">
        <v>1145</v>
      </c>
      <c r="D361" s="1622" t="s">
        <v>179</v>
      </c>
      <c r="E361" s="1622" t="s">
        <v>913</v>
      </c>
      <c r="F361" s="1615" t="s">
        <v>1080</v>
      </c>
      <c r="G361" s="1615">
        <v>105</v>
      </c>
      <c r="H361" s="1631" t="s">
        <v>2159</v>
      </c>
      <c r="I361" s="1615" t="s">
        <v>1840</v>
      </c>
      <c r="J361" s="1634" t="s">
        <v>5634</v>
      </c>
      <c r="K361" s="1633">
        <v>1.689814814814815E-3</v>
      </c>
      <c r="L361" s="1622" t="s">
        <v>5627</v>
      </c>
      <c r="M361" s="1620">
        <v>44547</v>
      </c>
    </row>
    <row r="362" spans="1:13" s="1329" customFormat="1" ht="15">
      <c r="A362" s="1615">
        <v>353</v>
      </c>
      <c r="B362" s="1621" t="s">
        <v>1143</v>
      </c>
      <c r="C362" s="1616" t="s">
        <v>1145</v>
      </c>
      <c r="D362" s="1622" t="s">
        <v>179</v>
      </c>
      <c r="E362" s="1622" t="s">
        <v>913</v>
      </c>
      <c r="F362" s="1615" t="s">
        <v>1080</v>
      </c>
      <c r="G362" s="1615">
        <v>105</v>
      </c>
      <c r="H362" s="1631" t="s">
        <v>2159</v>
      </c>
      <c r="I362" s="1615" t="s">
        <v>1847</v>
      </c>
      <c r="J362" s="1634" t="s">
        <v>5635</v>
      </c>
      <c r="K362" s="1633">
        <v>1.5624999999999999E-3</v>
      </c>
      <c r="L362" s="1622" t="s">
        <v>5627</v>
      </c>
      <c r="M362" s="1620">
        <v>44547</v>
      </c>
    </row>
    <row r="363" spans="1:13" s="1329" customFormat="1" ht="15">
      <c r="A363" s="1615">
        <v>354</v>
      </c>
      <c r="B363" s="1621" t="s">
        <v>1143</v>
      </c>
      <c r="C363" s="1616" t="s">
        <v>1145</v>
      </c>
      <c r="D363" s="1622" t="s">
        <v>179</v>
      </c>
      <c r="E363" s="1622" t="s">
        <v>913</v>
      </c>
      <c r="F363" s="1615" t="s">
        <v>1080</v>
      </c>
      <c r="G363" s="1615">
        <v>105</v>
      </c>
      <c r="H363" s="1631" t="s">
        <v>2159</v>
      </c>
      <c r="I363" s="1615" t="s">
        <v>1853</v>
      </c>
      <c r="J363" s="1636" t="s">
        <v>5636</v>
      </c>
      <c r="K363" s="1633">
        <v>1.4351851851851854E-3</v>
      </c>
      <c r="L363" s="1622" t="s">
        <v>5627</v>
      </c>
      <c r="M363" s="1620">
        <v>44547</v>
      </c>
    </row>
    <row r="364" spans="1:13" s="1329" customFormat="1" ht="15">
      <c r="A364" s="1615">
        <v>355</v>
      </c>
      <c r="B364" s="1616" t="s">
        <v>1296</v>
      </c>
      <c r="C364" s="1616" t="s">
        <v>1173</v>
      </c>
      <c r="D364" s="1622" t="s">
        <v>179</v>
      </c>
      <c r="E364" s="1622" t="s">
        <v>913</v>
      </c>
      <c r="F364" s="1615" t="s">
        <v>1080</v>
      </c>
      <c r="G364" s="1615">
        <v>85</v>
      </c>
      <c r="H364" s="1631" t="s">
        <v>2155</v>
      </c>
      <c r="I364" s="1615" t="s">
        <v>1830</v>
      </c>
      <c r="J364" s="1634" t="s">
        <v>5631</v>
      </c>
      <c r="K364" s="1633">
        <v>1.3391203703703704E-2</v>
      </c>
      <c r="L364" s="1622" t="s">
        <v>5627</v>
      </c>
      <c r="M364" s="1620">
        <v>44547</v>
      </c>
    </row>
    <row r="365" spans="1:13" s="1329" customFormat="1" ht="15">
      <c r="A365" s="1615">
        <v>356</v>
      </c>
      <c r="B365" s="1616" t="s">
        <v>1296</v>
      </c>
      <c r="C365" s="1616" t="s">
        <v>1173</v>
      </c>
      <c r="D365" s="1622" t="s">
        <v>179</v>
      </c>
      <c r="E365" s="1622" t="s">
        <v>913</v>
      </c>
      <c r="F365" s="1615" t="s">
        <v>1080</v>
      </c>
      <c r="G365" s="1615">
        <v>85</v>
      </c>
      <c r="H365" s="1615" t="s">
        <v>2155</v>
      </c>
      <c r="I365" s="1615" t="s">
        <v>1840</v>
      </c>
      <c r="J365" s="1635" t="s">
        <v>5631</v>
      </c>
      <c r="K365" s="1633">
        <v>1.3391203703703704E-2</v>
      </c>
      <c r="L365" s="1622" t="s">
        <v>5627</v>
      </c>
      <c r="M365" s="1620">
        <v>44547</v>
      </c>
    </row>
    <row r="366" spans="1:13" s="1329" customFormat="1" ht="15">
      <c r="A366" s="1615">
        <v>357</v>
      </c>
      <c r="B366" s="1616" t="s">
        <v>1296</v>
      </c>
      <c r="C366" s="1616" t="s">
        <v>1173</v>
      </c>
      <c r="D366" s="1622" t="s">
        <v>179</v>
      </c>
      <c r="E366" s="1622" t="s">
        <v>913</v>
      </c>
      <c r="F366" s="1615" t="s">
        <v>1080</v>
      </c>
      <c r="G366" s="1615">
        <v>85</v>
      </c>
      <c r="H366" s="1615" t="s">
        <v>2155</v>
      </c>
      <c r="I366" s="1615" t="s">
        <v>1847</v>
      </c>
      <c r="J366" s="1635" t="s">
        <v>5631</v>
      </c>
      <c r="K366" s="1633">
        <v>1.3391203703703704E-2</v>
      </c>
      <c r="L366" s="1622" t="s">
        <v>5627</v>
      </c>
      <c r="M366" s="1620">
        <v>44547</v>
      </c>
    </row>
    <row r="367" spans="1:13" s="1329" customFormat="1" ht="15">
      <c r="A367" s="1615">
        <v>358</v>
      </c>
      <c r="B367" s="1616" t="s">
        <v>1296</v>
      </c>
      <c r="C367" s="1616" t="s">
        <v>1173</v>
      </c>
      <c r="D367" s="1622" t="s">
        <v>179</v>
      </c>
      <c r="E367" s="1622" t="s">
        <v>913</v>
      </c>
      <c r="F367" s="1615" t="s">
        <v>1080</v>
      </c>
      <c r="G367" s="1615">
        <v>85</v>
      </c>
      <c r="H367" s="1615" t="s">
        <v>2155</v>
      </c>
      <c r="I367" s="1615" t="s">
        <v>1853</v>
      </c>
      <c r="J367" s="1635" t="s">
        <v>5631</v>
      </c>
      <c r="K367" s="1633">
        <v>1.3391203703703704E-2</v>
      </c>
      <c r="L367" s="1622" t="s">
        <v>5627</v>
      </c>
      <c r="M367" s="1620">
        <v>44547</v>
      </c>
    </row>
    <row r="368" spans="1:13" s="1329" customFormat="1" ht="15">
      <c r="A368" s="1615">
        <v>359</v>
      </c>
      <c r="B368" s="1616" t="s">
        <v>1296</v>
      </c>
      <c r="C368" s="1616" t="s">
        <v>1173</v>
      </c>
      <c r="D368" s="1622" t="s">
        <v>179</v>
      </c>
      <c r="E368" s="1622" t="s">
        <v>913</v>
      </c>
      <c r="F368" s="1615" t="s">
        <v>1080</v>
      </c>
      <c r="G368" s="1615">
        <v>85</v>
      </c>
      <c r="H368" s="1615" t="s">
        <v>2155</v>
      </c>
      <c r="I368" s="1615" t="s">
        <v>129</v>
      </c>
      <c r="J368" s="1635" t="s">
        <v>5631</v>
      </c>
      <c r="K368" s="1633">
        <v>1.3391203703703704E-2</v>
      </c>
      <c r="L368" s="1622" t="s">
        <v>5627</v>
      </c>
      <c r="M368" s="1620">
        <v>44547</v>
      </c>
    </row>
    <row r="369" spans="1:13" s="1329" customFormat="1" ht="15">
      <c r="A369" s="1615">
        <v>360</v>
      </c>
      <c r="B369" s="1616" t="s">
        <v>1296</v>
      </c>
      <c r="C369" s="1616" t="s">
        <v>1173</v>
      </c>
      <c r="D369" s="1622" t="s">
        <v>179</v>
      </c>
      <c r="E369" s="1622" t="s">
        <v>913</v>
      </c>
      <c r="F369" s="1615" t="s">
        <v>1080</v>
      </c>
      <c r="G369" s="1615">
        <v>90</v>
      </c>
      <c r="H369" s="1631" t="s">
        <v>2156</v>
      </c>
      <c r="I369" s="1615" t="s">
        <v>1830</v>
      </c>
      <c r="J369" s="1634" t="s">
        <v>5632</v>
      </c>
      <c r="K369" s="1633">
        <v>1.1793981481481482E-2</v>
      </c>
      <c r="L369" s="1622" t="s">
        <v>5627</v>
      </c>
      <c r="M369" s="1620">
        <v>44547</v>
      </c>
    </row>
    <row r="370" spans="1:13" s="1329" customFormat="1" ht="15">
      <c r="A370" s="1615">
        <v>361</v>
      </c>
      <c r="B370" s="1616" t="s">
        <v>1296</v>
      </c>
      <c r="C370" s="1616" t="s">
        <v>1173</v>
      </c>
      <c r="D370" s="1622" t="s">
        <v>179</v>
      </c>
      <c r="E370" s="1622" t="s">
        <v>913</v>
      </c>
      <c r="F370" s="1615" t="s">
        <v>1080</v>
      </c>
      <c r="G370" s="1615">
        <v>90</v>
      </c>
      <c r="H370" s="1631" t="s">
        <v>2156</v>
      </c>
      <c r="I370" s="1615" t="s">
        <v>1840</v>
      </c>
      <c r="J370" s="1634" t="s">
        <v>5632</v>
      </c>
      <c r="K370" s="1633">
        <v>1.1793981481481482E-2</v>
      </c>
      <c r="L370" s="1622" t="s">
        <v>5627</v>
      </c>
      <c r="M370" s="1620">
        <v>44547</v>
      </c>
    </row>
    <row r="371" spans="1:13" s="1329" customFormat="1" ht="15">
      <c r="A371" s="1615">
        <v>362</v>
      </c>
      <c r="B371" s="1616" t="s">
        <v>1296</v>
      </c>
      <c r="C371" s="1616" t="s">
        <v>1173</v>
      </c>
      <c r="D371" s="1622" t="s">
        <v>179</v>
      </c>
      <c r="E371" s="1622" t="s">
        <v>913</v>
      </c>
      <c r="F371" s="1615" t="s">
        <v>1080</v>
      </c>
      <c r="G371" s="1615">
        <v>90</v>
      </c>
      <c r="H371" s="1631" t="s">
        <v>2156</v>
      </c>
      <c r="I371" s="1615" t="s">
        <v>1847</v>
      </c>
      <c r="J371" s="1634" t="s">
        <v>5632</v>
      </c>
      <c r="K371" s="1633">
        <v>1.1793981481481482E-2</v>
      </c>
      <c r="L371" s="1622" t="s">
        <v>5627</v>
      </c>
      <c r="M371" s="1620">
        <v>44547</v>
      </c>
    </row>
    <row r="372" spans="1:13" s="1329" customFormat="1" ht="15">
      <c r="A372" s="1615">
        <v>363</v>
      </c>
      <c r="B372" s="1616" t="s">
        <v>1296</v>
      </c>
      <c r="C372" s="1616" t="s">
        <v>1173</v>
      </c>
      <c r="D372" s="1622" t="s">
        <v>179</v>
      </c>
      <c r="E372" s="1622" t="s">
        <v>913</v>
      </c>
      <c r="F372" s="1615" t="s">
        <v>1080</v>
      </c>
      <c r="G372" s="1615">
        <v>90</v>
      </c>
      <c r="H372" s="1631" t="s">
        <v>2156</v>
      </c>
      <c r="I372" s="1615" t="s">
        <v>1853</v>
      </c>
      <c r="J372" s="1634" t="s">
        <v>5632</v>
      </c>
      <c r="K372" s="1633">
        <v>1.1793981481481482E-2</v>
      </c>
      <c r="L372" s="1622" t="s">
        <v>5627</v>
      </c>
      <c r="M372" s="1620">
        <v>44547</v>
      </c>
    </row>
    <row r="373" spans="1:13" s="1329" customFormat="1" ht="15">
      <c r="A373" s="1615">
        <v>364</v>
      </c>
      <c r="B373" s="1616" t="s">
        <v>1296</v>
      </c>
      <c r="C373" s="1616" t="s">
        <v>1173</v>
      </c>
      <c r="D373" s="1622" t="s">
        <v>179</v>
      </c>
      <c r="E373" s="1622" t="s">
        <v>913</v>
      </c>
      <c r="F373" s="1615" t="s">
        <v>1080</v>
      </c>
      <c r="G373" s="1615">
        <v>90</v>
      </c>
      <c r="H373" s="1631" t="s">
        <v>2156</v>
      </c>
      <c r="I373" s="1615" t="s">
        <v>129</v>
      </c>
      <c r="J373" s="1634" t="s">
        <v>5632</v>
      </c>
      <c r="K373" s="1633">
        <v>1.1793981481481482E-2</v>
      </c>
      <c r="L373" s="1622" t="s">
        <v>5627</v>
      </c>
      <c r="M373" s="1620">
        <v>44547</v>
      </c>
    </row>
    <row r="374" spans="1:13" s="1329" customFormat="1" ht="15">
      <c r="A374" s="1615">
        <v>365</v>
      </c>
      <c r="B374" s="1616" t="s">
        <v>1296</v>
      </c>
      <c r="C374" s="1616" t="s">
        <v>1173</v>
      </c>
      <c r="D374" s="1622" t="s">
        <v>179</v>
      </c>
      <c r="E374" s="1622" t="s">
        <v>913</v>
      </c>
      <c r="F374" s="1615" t="s">
        <v>1080</v>
      </c>
      <c r="G374" s="1615">
        <v>105</v>
      </c>
      <c r="H374" s="1631" t="s">
        <v>2159</v>
      </c>
      <c r="I374" s="1615" t="s">
        <v>1830</v>
      </c>
      <c r="J374" s="1634" t="s">
        <v>5637</v>
      </c>
      <c r="K374" s="1633">
        <v>9.2592592592592585E-4</v>
      </c>
      <c r="L374" s="1622" t="s">
        <v>5627</v>
      </c>
      <c r="M374" s="1620">
        <v>44547</v>
      </c>
    </row>
    <row r="375" spans="1:13" s="1329" customFormat="1" ht="15">
      <c r="A375" s="1615">
        <v>366</v>
      </c>
      <c r="B375" s="1616" t="s">
        <v>1296</v>
      </c>
      <c r="C375" s="1616" t="s">
        <v>1173</v>
      </c>
      <c r="D375" s="1622" t="s">
        <v>179</v>
      </c>
      <c r="E375" s="1622" t="s">
        <v>913</v>
      </c>
      <c r="F375" s="1615" t="s">
        <v>1080</v>
      </c>
      <c r="G375" s="1615">
        <v>105</v>
      </c>
      <c r="H375" s="1631" t="s">
        <v>2159</v>
      </c>
      <c r="I375" s="1615" t="s">
        <v>1840</v>
      </c>
      <c r="J375" s="1634" t="s">
        <v>5638</v>
      </c>
      <c r="K375" s="1633">
        <v>8.7962962962962962E-4</v>
      </c>
      <c r="L375" s="1622" t="s">
        <v>5627</v>
      </c>
      <c r="M375" s="1620">
        <v>44547</v>
      </c>
    </row>
    <row r="376" spans="1:13" s="1329" customFormat="1" ht="15">
      <c r="A376" s="1615">
        <v>367</v>
      </c>
      <c r="B376" s="1616" t="s">
        <v>1296</v>
      </c>
      <c r="C376" s="1616" t="s">
        <v>1173</v>
      </c>
      <c r="D376" s="1622" t="s">
        <v>179</v>
      </c>
      <c r="E376" s="1622" t="s">
        <v>913</v>
      </c>
      <c r="F376" s="1615" t="s">
        <v>1080</v>
      </c>
      <c r="G376" s="1615">
        <v>105</v>
      </c>
      <c r="H376" s="1631" t="s">
        <v>2159</v>
      </c>
      <c r="I376" s="1615" t="s">
        <v>1847</v>
      </c>
      <c r="J376" s="1634" t="s">
        <v>5639</v>
      </c>
      <c r="K376" s="1633">
        <v>8.2175925925925917E-4</v>
      </c>
      <c r="L376" s="1622" t="s">
        <v>5627</v>
      </c>
      <c r="M376" s="1620">
        <v>44547</v>
      </c>
    </row>
    <row r="377" spans="1:13" s="1329" customFormat="1" ht="15">
      <c r="A377" s="1615">
        <v>368</v>
      </c>
      <c r="B377" s="1616" t="s">
        <v>1296</v>
      </c>
      <c r="C377" s="1616" t="s">
        <v>1173</v>
      </c>
      <c r="D377" s="1622" t="s">
        <v>179</v>
      </c>
      <c r="E377" s="1622" t="s">
        <v>913</v>
      </c>
      <c r="F377" s="1615" t="s">
        <v>1080</v>
      </c>
      <c r="G377" s="1615">
        <v>105</v>
      </c>
      <c r="H377" s="1631" t="s">
        <v>2159</v>
      </c>
      <c r="I377" s="1615" t="s">
        <v>1853</v>
      </c>
      <c r="J377" s="1636" t="s">
        <v>5640</v>
      </c>
      <c r="K377" s="1633">
        <v>7.7546296296296304E-4</v>
      </c>
      <c r="L377" s="1622" t="s">
        <v>5627</v>
      </c>
      <c r="M377" s="1620">
        <v>44547</v>
      </c>
    </row>
    <row r="378" spans="1:13" s="1329" customFormat="1" ht="15">
      <c r="A378" s="1615">
        <v>369</v>
      </c>
      <c r="B378" s="1616" t="s">
        <v>1227</v>
      </c>
      <c r="C378" s="1616" t="s">
        <v>1280</v>
      </c>
      <c r="D378" s="1622" t="s">
        <v>179</v>
      </c>
      <c r="E378" s="1622" t="s">
        <v>913</v>
      </c>
      <c r="F378" s="1615" t="s">
        <v>1080</v>
      </c>
      <c r="G378" s="1615">
        <v>85</v>
      </c>
      <c r="H378" s="1631" t="s">
        <v>2155</v>
      </c>
      <c r="I378" s="1615" t="s">
        <v>1830</v>
      </c>
      <c r="J378" s="1634" t="s">
        <v>5631</v>
      </c>
      <c r="K378" s="1633">
        <v>1.3391203703703704E-2</v>
      </c>
      <c r="L378" s="1622" t="s">
        <v>5627</v>
      </c>
      <c r="M378" s="1620">
        <v>44547</v>
      </c>
    </row>
    <row r="379" spans="1:13" s="1329" customFormat="1" ht="15">
      <c r="A379" s="1615">
        <v>370</v>
      </c>
      <c r="B379" s="1616" t="s">
        <v>1227</v>
      </c>
      <c r="C379" s="1616" t="s">
        <v>1280</v>
      </c>
      <c r="D379" s="1622" t="s">
        <v>179</v>
      </c>
      <c r="E379" s="1622" t="s">
        <v>913</v>
      </c>
      <c r="F379" s="1615" t="s">
        <v>1080</v>
      </c>
      <c r="G379" s="1615">
        <v>85</v>
      </c>
      <c r="H379" s="1615" t="s">
        <v>2155</v>
      </c>
      <c r="I379" s="1615" t="s">
        <v>1840</v>
      </c>
      <c r="J379" s="1635" t="s">
        <v>5631</v>
      </c>
      <c r="K379" s="1633">
        <v>1.3391203703703704E-2</v>
      </c>
      <c r="L379" s="1622" t="s">
        <v>5627</v>
      </c>
      <c r="M379" s="1620">
        <v>44547</v>
      </c>
    </row>
    <row r="380" spans="1:13" s="1329" customFormat="1" ht="15">
      <c r="A380" s="1615">
        <v>371</v>
      </c>
      <c r="B380" s="1616" t="s">
        <v>1227</v>
      </c>
      <c r="C380" s="1616" t="s">
        <v>1280</v>
      </c>
      <c r="D380" s="1622" t="s">
        <v>179</v>
      </c>
      <c r="E380" s="1622" t="s">
        <v>913</v>
      </c>
      <c r="F380" s="1615" t="s">
        <v>1080</v>
      </c>
      <c r="G380" s="1615">
        <v>85</v>
      </c>
      <c r="H380" s="1615" t="s">
        <v>2155</v>
      </c>
      <c r="I380" s="1615" t="s">
        <v>1847</v>
      </c>
      <c r="J380" s="1635" t="s">
        <v>5631</v>
      </c>
      <c r="K380" s="1633">
        <v>1.3391203703703704E-2</v>
      </c>
      <c r="L380" s="1622" t="s">
        <v>5627</v>
      </c>
      <c r="M380" s="1620">
        <v>44547</v>
      </c>
    </row>
    <row r="381" spans="1:13" s="1329" customFormat="1" ht="15">
      <c r="A381" s="1615">
        <v>372</v>
      </c>
      <c r="B381" s="1616" t="s">
        <v>1227</v>
      </c>
      <c r="C381" s="1616" t="s">
        <v>1280</v>
      </c>
      <c r="D381" s="1622" t="s">
        <v>179</v>
      </c>
      <c r="E381" s="1622" t="s">
        <v>913</v>
      </c>
      <c r="F381" s="1615" t="s">
        <v>1080</v>
      </c>
      <c r="G381" s="1615">
        <v>85</v>
      </c>
      <c r="H381" s="1615" t="s">
        <v>2155</v>
      </c>
      <c r="I381" s="1615" t="s">
        <v>1853</v>
      </c>
      <c r="J381" s="1635" t="s">
        <v>5631</v>
      </c>
      <c r="K381" s="1633">
        <v>1.3391203703703704E-2</v>
      </c>
      <c r="L381" s="1622" t="s">
        <v>5627</v>
      </c>
      <c r="M381" s="1620">
        <v>44547</v>
      </c>
    </row>
    <row r="382" spans="1:13" s="1329" customFormat="1" ht="15">
      <c r="A382" s="1615">
        <v>373</v>
      </c>
      <c r="B382" s="1616" t="s">
        <v>1227</v>
      </c>
      <c r="C382" s="1616" t="s">
        <v>1280</v>
      </c>
      <c r="D382" s="1622" t="s">
        <v>179</v>
      </c>
      <c r="E382" s="1622" t="s">
        <v>913</v>
      </c>
      <c r="F382" s="1615" t="s">
        <v>1080</v>
      </c>
      <c r="G382" s="1615">
        <v>85</v>
      </c>
      <c r="H382" s="1615" t="s">
        <v>2155</v>
      </c>
      <c r="I382" s="1615" t="s">
        <v>129</v>
      </c>
      <c r="J382" s="1635" t="s">
        <v>5631</v>
      </c>
      <c r="K382" s="1633">
        <v>1.3391203703703704E-2</v>
      </c>
      <c r="L382" s="1622" t="s">
        <v>5627</v>
      </c>
      <c r="M382" s="1620">
        <v>44547</v>
      </c>
    </row>
    <row r="383" spans="1:13" s="1329" customFormat="1" ht="15">
      <c r="A383" s="1615">
        <v>374</v>
      </c>
      <c r="B383" s="1616" t="s">
        <v>1227</v>
      </c>
      <c r="C383" s="1616" t="s">
        <v>1280</v>
      </c>
      <c r="D383" s="1622" t="s">
        <v>179</v>
      </c>
      <c r="E383" s="1622" t="s">
        <v>913</v>
      </c>
      <c r="F383" s="1615" t="s">
        <v>1080</v>
      </c>
      <c r="G383" s="1615">
        <v>90</v>
      </c>
      <c r="H383" s="1631" t="s">
        <v>2156</v>
      </c>
      <c r="I383" s="1615" t="s">
        <v>1830</v>
      </c>
      <c r="J383" s="1634" t="s">
        <v>5632</v>
      </c>
      <c r="K383" s="1633">
        <v>1.1793981481481482E-2</v>
      </c>
      <c r="L383" s="1622" t="s">
        <v>5627</v>
      </c>
      <c r="M383" s="1620">
        <v>44547</v>
      </c>
    </row>
    <row r="384" spans="1:13" s="1329" customFormat="1" ht="15">
      <c r="A384" s="1615">
        <v>375</v>
      </c>
      <c r="B384" s="1616" t="s">
        <v>1227</v>
      </c>
      <c r="C384" s="1616" t="s">
        <v>1280</v>
      </c>
      <c r="D384" s="1622" t="s">
        <v>179</v>
      </c>
      <c r="E384" s="1622" t="s">
        <v>913</v>
      </c>
      <c r="F384" s="1615" t="s">
        <v>1080</v>
      </c>
      <c r="G384" s="1615">
        <v>90</v>
      </c>
      <c r="H384" s="1631" t="s">
        <v>2156</v>
      </c>
      <c r="I384" s="1615" t="s">
        <v>1840</v>
      </c>
      <c r="J384" s="1634" t="s">
        <v>5632</v>
      </c>
      <c r="K384" s="1633">
        <v>1.1793981481481482E-2</v>
      </c>
      <c r="L384" s="1622" t="s">
        <v>5627</v>
      </c>
      <c r="M384" s="1620">
        <v>44547</v>
      </c>
    </row>
    <row r="385" spans="1:13" s="1329" customFormat="1" ht="15">
      <c r="A385" s="1615">
        <v>376</v>
      </c>
      <c r="B385" s="1616" t="s">
        <v>1227</v>
      </c>
      <c r="C385" s="1616" t="s">
        <v>1280</v>
      </c>
      <c r="D385" s="1622" t="s">
        <v>179</v>
      </c>
      <c r="E385" s="1622" t="s">
        <v>913</v>
      </c>
      <c r="F385" s="1615" t="s">
        <v>1080</v>
      </c>
      <c r="G385" s="1615">
        <v>90</v>
      </c>
      <c r="H385" s="1631" t="s">
        <v>2156</v>
      </c>
      <c r="I385" s="1615" t="s">
        <v>1847</v>
      </c>
      <c r="J385" s="1634" t="s">
        <v>5632</v>
      </c>
      <c r="K385" s="1633">
        <v>1.1793981481481482E-2</v>
      </c>
      <c r="L385" s="1622" t="s">
        <v>5627</v>
      </c>
      <c r="M385" s="1620">
        <v>44547</v>
      </c>
    </row>
    <row r="386" spans="1:13" s="1329" customFormat="1" ht="15">
      <c r="A386" s="1615">
        <v>377</v>
      </c>
      <c r="B386" s="1616" t="s">
        <v>1227</v>
      </c>
      <c r="C386" s="1616" t="s">
        <v>1280</v>
      </c>
      <c r="D386" s="1622" t="s">
        <v>179</v>
      </c>
      <c r="E386" s="1622" t="s">
        <v>913</v>
      </c>
      <c r="F386" s="1615" t="s">
        <v>1080</v>
      </c>
      <c r="G386" s="1615">
        <v>90</v>
      </c>
      <c r="H386" s="1631" t="s">
        <v>2156</v>
      </c>
      <c r="I386" s="1615" t="s">
        <v>1853</v>
      </c>
      <c r="J386" s="1634" t="s">
        <v>5632</v>
      </c>
      <c r="K386" s="1633">
        <v>1.1793981481481482E-2</v>
      </c>
      <c r="L386" s="1622" t="s">
        <v>5627</v>
      </c>
      <c r="M386" s="1620">
        <v>44547</v>
      </c>
    </row>
    <row r="387" spans="1:13" s="1329" customFormat="1" ht="15">
      <c r="A387" s="1615">
        <v>378</v>
      </c>
      <c r="B387" s="1616" t="s">
        <v>1227</v>
      </c>
      <c r="C387" s="1616" t="s">
        <v>1280</v>
      </c>
      <c r="D387" s="1622" t="s">
        <v>179</v>
      </c>
      <c r="E387" s="1622" t="s">
        <v>913</v>
      </c>
      <c r="F387" s="1615" t="s">
        <v>1080</v>
      </c>
      <c r="G387" s="1615">
        <v>90</v>
      </c>
      <c r="H387" s="1631" t="s">
        <v>2156</v>
      </c>
      <c r="I387" s="1615" t="s">
        <v>129</v>
      </c>
      <c r="J387" s="1634" t="s">
        <v>5632</v>
      </c>
      <c r="K387" s="1633">
        <v>1.1793981481481482E-2</v>
      </c>
      <c r="L387" s="1622" t="s">
        <v>5627</v>
      </c>
      <c r="M387" s="1620">
        <v>44547</v>
      </c>
    </row>
    <row r="388" spans="1:13" s="1329" customFormat="1" ht="15">
      <c r="A388" s="1615">
        <v>379</v>
      </c>
      <c r="B388" s="1616" t="s">
        <v>1241</v>
      </c>
      <c r="C388" s="1616" t="s">
        <v>1289</v>
      </c>
      <c r="D388" s="1622" t="s">
        <v>179</v>
      </c>
      <c r="E388" s="1622" t="s">
        <v>913</v>
      </c>
      <c r="F388" s="1615" t="s">
        <v>1080</v>
      </c>
      <c r="G388" s="1615">
        <v>85</v>
      </c>
      <c r="H388" s="1631" t="s">
        <v>2155</v>
      </c>
      <c r="I388" s="1615" t="s">
        <v>1830</v>
      </c>
      <c r="J388" s="1634" t="s">
        <v>5631</v>
      </c>
      <c r="K388" s="1633">
        <v>1.3391203703703704E-2</v>
      </c>
      <c r="L388" s="1622" t="s">
        <v>5627</v>
      </c>
      <c r="M388" s="1620">
        <v>44547</v>
      </c>
    </row>
    <row r="389" spans="1:13" s="1329" customFormat="1" ht="15">
      <c r="A389" s="1615">
        <v>380</v>
      </c>
      <c r="B389" s="1616" t="s">
        <v>1241</v>
      </c>
      <c r="C389" s="1616" t="s">
        <v>1289</v>
      </c>
      <c r="D389" s="1622" t="s">
        <v>179</v>
      </c>
      <c r="E389" s="1622" t="s">
        <v>913</v>
      </c>
      <c r="F389" s="1615" t="s">
        <v>1080</v>
      </c>
      <c r="G389" s="1615">
        <v>85</v>
      </c>
      <c r="H389" s="1615" t="s">
        <v>2155</v>
      </c>
      <c r="I389" s="1615" t="s">
        <v>1840</v>
      </c>
      <c r="J389" s="1635" t="s">
        <v>5631</v>
      </c>
      <c r="K389" s="1633">
        <v>1.3391203703703704E-2</v>
      </c>
      <c r="L389" s="1622" t="s">
        <v>5627</v>
      </c>
      <c r="M389" s="1620">
        <v>44547</v>
      </c>
    </row>
    <row r="390" spans="1:13" s="1329" customFormat="1" ht="15">
      <c r="A390" s="1615">
        <v>381</v>
      </c>
      <c r="B390" s="1616" t="s">
        <v>1241</v>
      </c>
      <c r="C390" s="1616" t="s">
        <v>1289</v>
      </c>
      <c r="D390" s="1622" t="s">
        <v>179</v>
      </c>
      <c r="E390" s="1622" t="s">
        <v>913</v>
      </c>
      <c r="F390" s="1615" t="s">
        <v>1080</v>
      </c>
      <c r="G390" s="1615">
        <v>85</v>
      </c>
      <c r="H390" s="1615" t="s">
        <v>2155</v>
      </c>
      <c r="I390" s="1615" t="s">
        <v>1847</v>
      </c>
      <c r="J390" s="1635" t="s">
        <v>5631</v>
      </c>
      <c r="K390" s="1633">
        <v>1.3391203703703704E-2</v>
      </c>
      <c r="L390" s="1622" t="s">
        <v>5627</v>
      </c>
      <c r="M390" s="1620">
        <v>44547</v>
      </c>
    </row>
    <row r="391" spans="1:13" s="1329" customFormat="1" ht="15">
      <c r="A391" s="1615">
        <v>382</v>
      </c>
      <c r="B391" s="1616" t="s">
        <v>1241</v>
      </c>
      <c r="C391" s="1616" t="s">
        <v>1289</v>
      </c>
      <c r="D391" s="1622" t="s">
        <v>179</v>
      </c>
      <c r="E391" s="1622" t="s">
        <v>913</v>
      </c>
      <c r="F391" s="1615" t="s">
        <v>1080</v>
      </c>
      <c r="G391" s="1615">
        <v>85</v>
      </c>
      <c r="H391" s="1615" t="s">
        <v>2155</v>
      </c>
      <c r="I391" s="1615" t="s">
        <v>1853</v>
      </c>
      <c r="J391" s="1635" t="s">
        <v>5631</v>
      </c>
      <c r="K391" s="1633">
        <v>1.3391203703703704E-2</v>
      </c>
      <c r="L391" s="1622" t="s">
        <v>5627</v>
      </c>
      <c r="M391" s="1620">
        <v>44547</v>
      </c>
    </row>
    <row r="392" spans="1:13" s="1329" customFormat="1" ht="15">
      <c r="A392" s="1615">
        <v>383</v>
      </c>
      <c r="B392" s="1616" t="s">
        <v>1241</v>
      </c>
      <c r="C392" s="1616" t="s">
        <v>1289</v>
      </c>
      <c r="D392" s="1622" t="s">
        <v>179</v>
      </c>
      <c r="E392" s="1622" t="s">
        <v>913</v>
      </c>
      <c r="F392" s="1615" t="s">
        <v>1080</v>
      </c>
      <c r="G392" s="1615">
        <v>85</v>
      </c>
      <c r="H392" s="1615" t="s">
        <v>2155</v>
      </c>
      <c r="I392" s="1615" t="s">
        <v>129</v>
      </c>
      <c r="J392" s="1635" t="s">
        <v>5631</v>
      </c>
      <c r="K392" s="1633">
        <v>1.3391203703703704E-2</v>
      </c>
      <c r="L392" s="1622" t="s">
        <v>5627</v>
      </c>
      <c r="M392" s="1620">
        <v>44547</v>
      </c>
    </row>
    <row r="393" spans="1:13" s="1329" customFormat="1" ht="15">
      <c r="A393" s="1615">
        <v>384</v>
      </c>
      <c r="B393" s="1616" t="s">
        <v>1241</v>
      </c>
      <c r="C393" s="1616" t="s">
        <v>1289</v>
      </c>
      <c r="D393" s="1622" t="s">
        <v>179</v>
      </c>
      <c r="E393" s="1622" t="s">
        <v>913</v>
      </c>
      <c r="F393" s="1615" t="s">
        <v>1080</v>
      </c>
      <c r="G393" s="1615">
        <v>90</v>
      </c>
      <c r="H393" s="1631" t="s">
        <v>2156</v>
      </c>
      <c r="I393" s="1615" t="s">
        <v>1830</v>
      </c>
      <c r="J393" s="1634" t="s">
        <v>5632</v>
      </c>
      <c r="K393" s="1633">
        <v>1.1793981481481482E-2</v>
      </c>
      <c r="L393" s="1622" t="s">
        <v>5627</v>
      </c>
      <c r="M393" s="1620">
        <v>44547</v>
      </c>
    </row>
    <row r="394" spans="1:13" s="1329" customFormat="1" ht="15">
      <c r="A394" s="1615">
        <v>385</v>
      </c>
      <c r="B394" s="1616" t="s">
        <v>1241</v>
      </c>
      <c r="C394" s="1616" t="s">
        <v>1289</v>
      </c>
      <c r="D394" s="1622" t="s">
        <v>179</v>
      </c>
      <c r="E394" s="1622" t="s">
        <v>913</v>
      </c>
      <c r="F394" s="1615" t="s">
        <v>1080</v>
      </c>
      <c r="G394" s="1615">
        <v>90</v>
      </c>
      <c r="H394" s="1631" t="s">
        <v>2156</v>
      </c>
      <c r="I394" s="1615" t="s">
        <v>1840</v>
      </c>
      <c r="J394" s="1634" t="s">
        <v>5632</v>
      </c>
      <c r="K394" s="1633">
        <v>1.1793981481481482E-2</v>
      </c>
      <c r="L394" s="1622" t="s">
        <v>5627</v>
      </c>
      <c r="M394" s="1620">
        <v>44547</v>
      </c>
    </row>
    <row r="395" spans="1:13" s="1329" customFormat="1" ht="15">
      <c r="A395" s="1615">
        <v>386</v>
      </c>
      <c r="B395" s="1616" t="s">
        <v>1241</v>
      </c>
      <c r="C395" s="1616" t="s">
        <v>1289</v>
      </c>
      <c r="D395" s="1622" t="s">
        <v>179</v>
      </c>
      <c r="E395" s="1622" t="s">
        <v>913</v>
      </c>
      <c r="F395" s="1615" t="s">
        <v>1080</v>
      </c>
      <c r="G395" s="1615">
        <v>90</v>
      </c>
      <c r="H395" s="1631" t="s">
        <v>2156</v>
      </c>
      <c r="I395" s="1615" t="s">
        <v>1847</v>
      </c>
      <c r="J395" s="1634" t="s">
        <v>5632</v>
      </c>
      <c r="K395" s="1633">
        <v>1.1793981481481482E-2</v>
      </c>
      <c r="L395" s="1622" t="s">
        <v>5627</v>
      </c>
      <c r="M395" s="1620">
        <v>44547</v>
      </c>
    </row>
    <row r="396" spans="1:13" s="1329" customFormat="1" ht="15">
      <c r="A396" s="1615">
        <v>387</v>
      </c>
      <c r="B396" s="1616" t="s">
        <v>1241</v>
      </c>
      <c r="C396" s="1616" t="s">
        <v>1289</v>
      </c>
      <c r="D396" s="1622" t="s">
        <v>179</v>
      </c>
      <c r="E396" s="1622" t="s">
        <v>913</v>
      </c>
      <c r="F396" s="1615" t="s">
        <v>1080</v>
      </c>
      <c r="G396" s="1615">
        <v>90</v>
      </c>
      <c r="H396" s="1631" t="s">
        <v>2156</v>
      </c>
      <c r="I396" s="1615" t="s">
        <v>1853</v>
      </c>
      <c r="J396" s="1634" t="s">
        <v>5632</v>
      </c>
      <c r="K396" s="1633">
        <v>1.1793981481481482E-2</v>
      </c>
      <c r="L396" s="1622" t="s">
        <v>5627</v>
      </c>
      <c r="M396" s="1620">
        <v>44547</v>
      </c>
    </row>
    <row r="397" spans="1:13" s="1329" customFormat="1" ht="15">
      <c r="A397" s="1615">
        <v>388</v>
      </c>
      <c r="B397" s="1616" t="s">
        <v>1241</v>
      </c>
      <c r="C397" s="1616" t="s">
        <v>1289</v>
      </c>
      <c r="D397" s="1622" t="s">
        <v>179</v>
      </c>
      <c r="E397" s="1622" t="s">
        <v>913</v>
      </c>
      <c r="F397" s="1615" t="s">
        <v>1080</v>
      </c>
      <c r="G397" s="1615">
        <v>90</v>
      </c>
      <c r="H397" s="1631" t="s">
        <v>2156</v>
      </c>
      <c r="I397" s="1615" t="s">
        <v>129</v>
      </c>
      <c r="J397" s="1634" t="s">
        <v>5632</v>
      </c>
      <c r="K397" s="1633">
        <v>1.1793981481481482E-2</v>
      </c>
      <c r="L397" s="1622" t="s">
        <v>5627</v>
      </c>
      <c r="M397" s="1620">
        <v>44547</v>
      </c>
    </row>
    <row r="398" spans="1:13" s="1329" customFormat="1" ht="30">
      <c r="A398" s="1569">
        <v>389</v>
      </c>
      <c r="B398" s="1570" t="s">
        <v>1143</v>
      </c>
      <c r="C398" s="1571" t="s">
        <v>1160</v>
      </c>
      <c r="D398" s="1570" t="s">
        <v>5607</v>
      </c>
      <c r="E398" s="1571" t="s">
        <v>5398</v>
      </c>
      <c r="F398" s="1569" t="s">
        <v>1080</v>
      </c>
      <c r="G398" s="1569">
        <v>105</v>
      </c>
      <c r="H398" s="1570" t="s">
        <v>2159</v>
      </c>
      <c r="I398" s="1569" t="s">
        <v>1830</v>
      </c>
      <c r="J398" s="1637">
        <v>18.2</v>
      </c>
      <c r="K398" s="1637" t="s">
        <v>4430</v>
      </c>
      <c r="L398" s="1571" t="s">
        <v>5641</v>
      </c>
      <c r="M398" s="1572">
        <v>44572</v>
      </c>
    </row>
    <row r="399" spans="1:13" s="1329" customFormat="1" ht="30">
      <c r="A399" s="1569">
        <v>390</v>
      </c>
      <c r="B399" s="1570" t="s">
        <v>1143</v>
      </c>
      <c r="C399" s="1571" t="s">
        <v>1160</v>
      </c>
      <c r="D399" s="1570" t="s">
        <v>5607</v>
      </c>
      <c r="E399" s="1571" t="s">
        <v>5398</v>
      </c>
      <c r="F399" s="1569" t="s">
        <v>1080</v>
      </c>
      <c r="G399" s="1569">
        <v>105</v>
      </c>
      <c r="H399" s="1570" t="s">
        <v>2159</v>
      </c>
      <c r="I399" s="1569" t="s">
        <v>1840</v>
      </c>
      <c r="J399" s="1637">
        <v>19.3</v>
      </c>
      <c r="K399" s="1637" t="s">
        <v>4430</v>
      </c>
      <c r="L399" s="1571" t="s">
        <v>5641</v>
      </c>
      <c r="M399" s="1572">
        <v>44572</v>
      </c>
    </row>
    <row r="400" spans="1:13" s="1329" customFormat="1" ht="30">
      <c r="A400" s="1569">
        <v>391</v>
      </c>
      <c r="B400" s="1570" t="s">
        <v>1143</v>
      </c>
      <c r="C400" s="1571" t="s">
        <v>1160</v>
      </c>
      <c r="D400" s="1570" t="s">
        <v>5607</v>
      </c>
      <c r="E400" s="1571" t="s">
        <v>5398</v>
      </c>
      <c r="F400" s="1569" t="s">
        <v>1080</v>
      </c>
      <c r="G400" s="1569">
        <v>105</v>
      </c>
      <c r="H400" s="1570" t="s">
        <v>2159</v>
      </c>
      <c r="I400" s="1569" t="s">
        <v>1847</v>
      </c>
      <c r="J400" s="1637">
        <v>20.9</v>
      </c>
      <c r="K400" s="1637" t="s">
        <v>4430</v>
      </c>
      <c r="L400" s="1571" t="s">
        <v>5641</v>
      </c>
      <c r="M400" s="1572">
        <v>44572</v>
      </c>
    </row>
    <row r="401" spans="1:13" s="1329" customFormat="1" ht="30">
      <c r="A401" s="1569">
        <v>392</v>
      </c>
      <c r="B401" s="1570" t="s">
        <v>1143</v>
      </c>
      <c r="C401" s="1571" t="s">
        <v>1160</v>
      </c>
      <c r="D401" s="1570" t="s">
        <v>5607</v>
      </c>
      <c r="E401" s="1571" t="s">
        <v>5398</v>
      </c>
      <c r="F401" s="1569" t="s">
        <v>1080</v>
      </c>
      <c r="G401" s="1569">
        <v>105</v>
      </c>
      <c r="H401" s="1570" t="s">
        <v>2159</v>
      </c>
      <c r="I401" s="1569" t="s">
        <v>1853</v>
      </c>
      <c r="J401" s="1637">
        <v>22.7</v>
      </c>
      <c r="K401" s="1637" t="s">
        <v>4430</v>
      </c>
      <c r="L401" s="1571" t="s">
        <v>5641</v>
      </c>
      <c r="M401" s="1572">
        <v>44572</v>
      </c>
    </row>
    <row r="402" spans="1:13" s="1329" customFormat="1" ht="30">
      <c r="A402" s="1569">
        <v>393</v>
      </c>
      <c r="B402" s="1570" t="s">
        <v>1143</v>
      </c>
      <c r="C402" s="1571" t="s">
        <v>1160</v>
      </c>
      <c r="D402" s="1570" t="s">
        <v>5607</v>
      </c>
      <c r="E402" s="1571" t="s">
        <v>5398</v>
      </c>
      <c r="F402" s="1569" t="s">
        <v>1080</v>
      </c>
      <c r="G402" s="1569">
        <v>105</v>
      </c>
      <c r="H402" s="1570" t="s">
        <v>2159</v>
      </c>
      <c r="I402" s="1569" t="s">
        <v>129</v>
      </c>
      <c r="J402" s="1637">
        <v>24.9</v>
      </c>
      <c r="K402" s="1637" t="s">
        <v>4430</v>
      </c>
      <c r="L402" s="1571" t="s">
        <v>5641</v>
      </c>
      <c r="M402" s="1572">
        <v>44572</v>
      </c>
    </row>
    <row r="403" spans="1:13" s="1332" customFormat="1" ht="30">
      <c r="A403" s="1583">
        <v>394</v>
      </c>
      <c r="B403" s="1581" t="s">
        <v>1241</v>
      </c>
      <c r="C403" s="1582" t="s">
        <v>1300</v>
      </c>
      <c r="D403" s="1581" t="s">
        <v>705</v>
      </c>
      <c r="E403" s="1582" t="s">
        <v>5398</v>
      </c>
      <c r="F403" s="1583" t="s">
        <v>1080</v>
      </c>
      <c r="G403" s="1583">
        <v>105</v>
      </c>
      <c r="H403" s="1581" t="s">
        <v>2159</v>
      </c>
      <c r="I403" s="1583" t="s">
        <v>1830</v>
      </c>
      <c r="J403" s="1465">
        <v>47.7</v>
      </c>
      <c r="K403" s="1465" t="s">
        <v>4430</v>
      </c>
      <c r="L403" s="1582" t="s">
        <v>5641</v>
      </c>
      <c r="M403" s="1572">
        <v>44582</v>
      </c>
    </row>
    <row r="404" spans="1:13" s="1332" customFormat="1" ht="30">
      <c r="A404" s="1569">
        <v>395</v>
      </c>
      <c r="B404" s="1570" t="s">
        <v>1241</v>
      </c>
      <c r="C404" s="1571" t="s">
        <v>1300</v>
      </c>
      <c r="D404" s="1570" t="s">
        <v>705</v>
      </c>
      <c r="E404" s="1571" t="s">
        <v>5398</v>
      </c>
      <c r="F404" s="1569" t="s">
        <v>1080</v>
      </c>
      <c r="G404" s="1569">
        <v>105</v>
      </c>
      <c r="H404" s="1570" t="s">
        <v>2159</v>
      </c>
      <c r="I404" s="1569" t="s">
        <v>1840</v>
      </c>
      <c r="J404" s="1465">
        <v>47.7</v>
      </c>
      <c r="K404" s="1465" t="s">
        <v>4430</v>
      </c>
      <c r="L404" s="1571" t="s">
        <v>5641</v>
      </c>
      <c r="M404" s="1572">
        <v>44582</v>
      </c>
    </row>
    <row r="405" spans="1:13" s="1332" customFormat="1" ht="30">
      <c r="A405" s="1569">
        <v>396</v>
      </c>
      <c r="B405" s="1570" t="s">
        <v>1241</v>
      </c>
      <c r="C405" s="1571" t="s">
        <v>1300</v>
      </c>
      <c r="D405" s="1570" t="s">
        <v>705</v>
      </c>
      <c r="E405" s="1571" t="s">
        <v>5398</v>
      </c>
      <c r="F405" s="1569" t="s">
        <v>1080</v>
      </c>
      <c r="G405" s="1569">
        <v>105</v>
      </c>
      <c r="H405" s="1570" t="s">
        <v>2159</v>
      </c>
      <c r="I405" s="1569" t="s">
        <v>1847</v>
      </c>
      <c r="J405" s="1465">
        <v>47.7</v>
      </c>
      <c r="K405" s="1465" t="s">
        <v>4430</v>
      </c>
      <c r="L405" s="1571" t="s">
        <v>5641</v>
      </c>
      <c r="M405" s="1572">
        <v>44582</v>
      </c>
    </row>
    <row r="406" spans="1:13" s="1332" customFormat="1" ht="30">
      <c r="A406" s="1569">
        <v>397</v>
      </c>
      <c r="B406" s="1570" t="s">
        <v>1241</v>
      </c>
      <c r="C406" s="1571" t="s">
        <v>1300</v>
      </c>
      <c r="D406" s="1570" t="s">
        <v>705</v>
      </c>
      <c r="E406" s="1571" t="s">
        <v>5398</v>
      </c>
      <c r="F406" s="1569" t="s">
        <v>1080</v>
      </c>
      <c r="G406" s="1569">
        <v>105</v>
      </c>
      <c r="H406" s="1570" t="s">
        <v>2159</v>
      </c>
      <c r="I406" s="1569" t="s">
        <v>1853</v>
      </c>
      <c r="J406" s="1465">
        <v>48.3</v>
      </c>
      <c r="K406" s="1465" t="s">
        <v>4430</v>
      </c>
      <c r="L406" s="1571" t="s">
        <v>5641</v>
      </c>
      <c r="M406" s="1572">
        <v>44582</v>
      </c>
    </row>
    <row r="407" spans="1:13" s="1332" customFormat="1" ht="30">
      <c r="A407" s="1569">
        <v>398</v>
      </c>
      <c r="B407" s="1570" t="s">
        <v>1241</v>
      </c>
      <c r="C407" s="1571" t="s">
        <v>1300</v>
      </c>
      <c r="D407" s="1570" t="s">
        <v>705</v>
      </c>
      <c r="E407" s="1571" t="s">
        <v>5398</v>
      </c>
      <c r="F407" s="1569" t="s">
        <v>1080</v>
      </c>
      <c r="G407" s="1569">
        <v>105</v>
      </c>
      <c r="H407" s="1570" t="s">
        <v>2159</v>
      </c>
      <c r="I407" s="1569" t="s">
        <v>129</v>
      </c>
      <c r="J407" s="1465">
        <v>49.6</v>
      </c>
      <c r="K407" s="1465" t="s">
        <v>4430</v>
      </c>
      <c r="L407" s="1571" t="s">
        <v>5641</v>
      </c>
      <c r="M407" s="1572">
        <v>44582</v>
      </c>
    </row>
    <row r="408" spans="1:13" s="1332" customFormat="1" ht="30">
      <c r="A408" s="1569">
        <v>399</v>
      </c>
      <c r="B408" s="1570" t="s">
        <v>1241</v>
      </c>
      <c r="C408" s="1571" t="s">
        <v>1300</v>
      </c>
      <c r="D408" s="1570" t="s">
        <v>705</v>
      </c>
      <c r="E408" s="1571" t="s">
        <v>5398</v>
      </c>
      <c r="F408" s="1569" t="s">
        <v>1080</v>
      </c>
      <c r="G408" s="1569">
        <v>85</v>
      </c>
      <c r="H408" s="1570" t="s">
        <v>2155</v>
      </c>
      <c r="I408" s="1569" t="s">
        <v>1830</v>
      </c>
      <c r="J408" s="1465"/>
      <c r="K408" s="1465">
        <v>-20</v>
      </c>
      <c r="L408" s="1571" t="s">
        <v>5642</v>
      </c>
      <c r="M408" s="1572">
        <v>44589</v>
      </c>
    </row>
    <row r="409" spans="1:13" s="1332" customFormat="1" ht="30">
      <c r="A409" s="1569">
        <v>400</v>
      </c>
      <c r="B409" s="1570" t="s">
        <v>1241</v>
      </c>
      <c r="C409" s="1571" t="s">
        <v>1300</v>
      </c>
      <c r="D409" s="1570" t="s">
        <v>705</v>
      </c>
      <c r="E409" s="1571" t="s">
        <v>5398</v>
      </c>
      <c r="F409" s="1569" t="s">
        <v>1080</v>
      </c>
      <c r="G409" s="1569">
        <v>85</v>
      </c>
      <c r="H409" s="1570" t="s">
        <v>2155</v>
      </c>
      <c r="I409" s="1569" t="s">
        <v>1840</v>
      </c>
      <c r="J409" s="1465"/>
      <c r="K409" s="1465">
        <v>-20</v>
      </c>
      <c r="L409" s="1571" t="s">
        <v>5642</v>
      </c>
      <c r="M409" s="1572">
        <v>44589</v>
      </c>
    </row>
    <row r="410" spans="1:13" s="1332" customFormat="1" ht="30">
      <c r="A410" s="1569">
        <v>401</v>
      </c>
      <c r="B410" s="1570" t="s">
        <v>1241</v>
      </c>
      <c r="C410" s="1571" t="s">
        <v>1300</v>
      </c>
      <c r="D410" s="1570" t="s">
        <v>705</v>
      </c>
      <c r="E410" s="1571" t="s">
        <v>5398</v>
      </c>
      <c r="F410" s="1569" t="s">
        <v>1080</v>
      </c>
      <c r="G410" s="1569">
        <v>85</v>
      </c>
      <c r="H410" s="1570" t="s">
        <v>2155</v>
      </c>
      <c r="I410" s="1569" t="s">
        <v>1847</v>
      </c>
      <c r="J410" s="1465"/>
      <c r="K410" s="1465">
        <v>-20</v>
      </c>
      <c r="L410" s="1571" t="s">
        <v>5642</v>
      </c>
      <c r="M410" s="1572">
        <v>44589</v>
      </c>
    </row>
    <row r="411" spans="1:13" s="1332" customFormat="1" ht="30">
      <c r="A411" s="1569">
        <v>402</v>
      </c>
      <c r="B411" s="1570" t="s">
        <v>1241</v>
      </c>
      <c r="C411" s="1571" t="s">
        <v>1300</v>
      </c>
      <c r="D411" s="1570" t="s">
        <v>705</v>
      </c>
      <c r="E411" s="1571" t="s">
        <v>5398</v>
      </c>
      <c r="F411" s="1569" t="s">
        <v>1080</v>
      </c>
      <c r="G411" s="1569">
        <v>85</v>
      </c>
      <c r="H411" s="1570" t="s">
        <v>2155</v>
      </c>
      <c r="I411" s="1569" t="s">
        <v>1853</v>
      </c>
      <c r="J411" s="1465"/>
      <c r="K411" s="1465">
        <v>-20</v>
      </c>
      <c r="L411" s="1571" t="s">
        <v>5642</v>
      </c>
      <c r="M411" s="1572">
        <v>44589</v>
      </c>
    </row>
    <row r="412" spans="1:13" s="1332" customFormat="1" ht="30">
      <c r="A412" s="1569">
        <v>403</v>
      </c>
      <c r="B412" s="1570" t="s">
        <v>1241</v>
      </c>
      <c r="C412" s="1571" t="s">
        <v>1300</v>
      </c>
      <c r="D412" s="1570" t="s">
        <v>705</v>
      </c>
      <c r="E412" s="1571" t="s">
        <v>5398</v>
      </c>
      <c r="F412" s="1569" t="s">
        <v>1080</v>
      </c>
      <c r="G412" s="1569">
        <v>85</v>
      </c>
      <c r="H412" s="1570" t="s">
        <v>2155</v>
      </c>
      <c r="I412" s="1569" t="s">
        <v>129</v>
      </c>
      <c r="J412" s="1465"/>
      <c r="K412" s="1465">
        <v>-20</v>
      </c>
      <c r="L412" s="1571" t="s">
        <v>5642</v>
      </c>
      <c r="M412" s="1572">
        <v>44589</v>
      </c>
    </row>
    <row r="413" spans="1:13" s="1332" customFormat="1" ht="30">
      <c r="A413" s="1569">
        <v>404</v>
      </c>
      <c r="B413" s="1570" t="s">
        <v>1241</v>
      </c>
      <c r="C413" s="1571" t="s">
        <v>1300</v>
      </c>
      <c r="D413" s="1570" t="s">
        <v>705</v>
      </c>
      <c r="E413" s="1571" t="s">
        <v>5398</v>
      </c>
      <c r="F413" s="1569" t="s">
        <v>1080</v>
      </c>
      <c r="G413" s="1569">
        <v>90</v>
      </c>
      <c r="H413" s="1638" t="s">
        <v>2156</v>
      </c>
      <c r="I413" s="1569" t="s">
        <v>1830</v>
      </c>
      <c r="J413" s="1465">
        <v>-20</v>
      </c>
      <c r="K413" s="1465">
        <v>0</v>
      </c>
      <c r="L413" s="1571" t="s">
        <v>5643</v>
      </c>
      <c r="M413" s="1572">
        <v>44589</v>
      </c>
    </row>
    <row r="414" spans="1:13" s="1332" customFormat="1" ht="30">
      <c r="A414" s="1569">
        <v>405</v>
      </c>
      <c r="B414" s="1570" t="s">
        <v>1241</v>
      </c>
      <c r="C414" s="1571" t="s">
        <v>1300</v>
      </c>
      <c r="D414" s="1570" t="s">
        <v>705</v>
      </c>
      <c r="E414" s="1571" t="s">
        <v>5398</v>
      </c>
      <c r="F414" s="1569" t="s">
        <v>1080</v>
      </c>
      <c r="G414" s="1569">
        <v>90</v>
      </c>
      <c r="H414" s="1638" t="s">
        <v>2156</v>
      </c>
      <c r="I414" s="1569" t="s">
        <v>1840</v>
      </c>
      <c r="J414" s="1465">
        <v>-20</v>
      </c>
      <c r="K414" s="1465">
        <v>0</v>
      </c>
      <c r="L414" s="1571" t="s">
        <v>5643</v>
      </c>
      <c r="M414" s="1572">
        <v>44589</v>
      </c>
    </row>
    <row r="415" spans="1:13" s="1332" customFormat="1" ht="30">
      <c r="A415" s="1569">
        <v>406</v>
      </c>
      <c r="B415" s="1570" t="s">
        <v>1241</v>
      </c>
      <c r="C415" s="1571" t="s">
        <v>1300</v>
      </c>
      <c r="D415" s="1570" t="s">
        <v>705</v>
      </c>
      <c r="E415" s="1571" t="s">
        <v>5398</v>
      </c>
      <c r="F415" s="1569" t="s">
        <v>1080</v>
      </c>
      <c r="G415" s="1569">
        <v>90</v>
      </c>
      <c r="H415" s="1638" t="s">
        <v>2156</v>
      </c>
      <c r="I415" s="1569" t="s">
        <v>1847</v>
      </c>
      <c r="J415" s="1465">
        <v>-20</v>
      </c>
      <c r="K415" s="1465">
        <v>0</v>
      </c>
      <c r="L415" s="1571" t="s">
        <v>5643</v>
      </c>
      <c r="M415" s="1572">
        <v>44589</v>
      </c>
    </row>
    <row r="416" spans="1:13" s="1332" customFormat="1" ht="30">
      <c r="A416" s="1569">
        <v>407</v>
      </c>
      <c r="B416" s="1570" t="s">
        <v>1241</v>
      </c>
      <c r="C416" s="1571" t="s">
        <v>1300</v>
      </c>
      <c r="D416" s="1570" t="s">
        <v>705</v>
      </c>
      <c r="E416" s="1571" t="s">
        <v>5398</v>
      </c>
      <c r="F416" s="1569" t="s">
        <v>1080</v>
      </c>
      <c r="G416" s="1569">
        <v>90</v>
      </c>
      <c r="H416" s="1638" t="s">
        <v>2156</v>
      </c>
      <c r="I416" s="1569" t="s">
        <v>1853</v>
      </c>
      <c r="J416" s="1465">
        <v>-20</v>
      </c>
      <c r="K416" s="1465">
        <v>0</v>
      </c>
      <c r="L416" s="1571" t="s">
        <v>5643</v>
      </c>
      <c r="M416" s="1572">
        <v>44589</v>
      </c>
    </row>
    <row r="417" spans="1:13" s="1332" customFormat="1" ht="30">
      <c r="A417" s="1569">
        <v>408</v>
      </c>
      <c r="B417" s="1570" t="s">
        <v>1241</v>
      </c>
      <c r="C417" s="1571" t="s">
        <v>1300</v>
      </c>
      <c r="D417" s="1570" t="s">
        <v>705</v>
      </c>
      <c r="E417" s="1571" t="s">
        <v>5398</v>
      </c>
      <c r="F417" s="1569" t="s">
        <v>1080</v>
      </c>
      <c r="G417" s="1569">
        <v>90</v>
      </c>
      <c r="H417" s="1638" t="s">
        <v>2156</v>
      </c>
      <c r="I417" s="1569" t="s">
        <v>129</v>
      </c>
      <c r="J417" s="1465">
        <v>-20</v>
      </c>
      <c r="K417" s="1465">
        <v>0</v>
      </c>
      <c r="L417" s="1571" t="s">
        <v>5643</v>
      </c>
      <c r="M417" s="1572">
        <v>44589</v>
      </c>
    </row>
    <row r="418" spans="1:13" s="1329" customFormat="1" ht="30">
      <c r="A418" s="1569">
        <v>409</v>
      </c>
      <c r="B418" s="1570" t="s">
        <v>1260</v>
      </c>
      <c r="C418" s="1571" t="s">
        <v>1119</v>
      </c>
      <c r="D418" s="1570" t="s">
        <v>705</v>
      </c>
      <c r="E418" s="1571" t="s">
        <v>5398</v>
      </c>
      <c r="F418" s="1569" t="s">
        <v>1080</v>
      </c>
      <c r="G418" s="1569">
        <v>85</v>
      </c>
      <c r="H418" s="1570" t="s">
        <v>2155</v>
      </c>
      <c r="I418" s="1569" t="s">
        <v>1830</v>
      </c>
      <c r="J418" s="1465"/>
      <c r="K418" s="1465">
        <v>-5</v>
      </c>
      <c r="L418" s="1571" t="s">
        <v>5644</v>
      </c>
      <c r="M418" s="1572">
        <v>44589</v>
      </c>
    </row>
    <row r="419" spans="1:13" s="1329" customFormat="1" ht="30">
      <c r="A419" s="1569">
        <v>410</v>
      </c>
      <c r="B419" s="1570" t="s">
        <v>1260</v>
      </c>
      <c r="C419" s="1571" t="s">
        <v>1119</v>
      </c>
      <c r="D419" s="1570" t="s">
        <v>705</v>
      </c>
      <c r="E419" s="1571" t="s">
        <v>5398</v>
      </c>
      <c r="F419" s="1569" t="s">
        <v>1080</v>
      </c>
      <c r="G419" s="1569">
        <v>85</v>
      </c>
      <c r="H419" s="1570" t="s">
        <v>2155</v>
      </c>
      <c r="I419" s="1569" t="s">
        <v>1840</v>
      </c>
      <c r="J419" s="1465"/>
      <c r="K419" s="1465">
        <v>-5</v>
      </c>
      <c r="L419" s="1571" t="s">
        <v>5644</v>
      </c>
      <c r="M419" s="1572">
        <v>44589</v>
      </c>
    </row>
    <row r="420" spans="1:13" s="1329" customFormat="1" ht="30">
      <c r="A420" s="1569">
        <v>411</v>
      </c>
      <c r="B420" s="1570" t="s">
        <v>1260</v>
      </c>
      <c r="C420" s="1571" t="s">
        <v>1119</v>
      </c>
      <c r="D420" s="1570" t="s">
        <v>705</v>
      </c>
      <c r="E420" s="1571" t="s">
        <v>5398</v>
      </c>
      <c r="F420" s="1569" t="s">
        <v>1080</v>
      </c>
      <c r="G420" s="1569">
        <v>85</v>
      </c>
      <c r="H420" s="1570" t="s">
        <v>2155</v>
      </c>
      <c r="I420" s="1569" t="s">
        <v>1847</v>
      </c>
      <c r="J420" s="1465"/>
      <c r="K420" s="1465">
        <v>-5</v>
      </c>
      <c r="L420" s="1571" t="s">
        <v>5644</v>
      </c>
      <c r="M420" s="1572">
        <v>44589</v>
      </c>
    </row>
    <row r="421" spans="1:13" s="1329" customFormat="1" ht="30">
      <c r="A421" s="1569">
        <v>412</v>
      </c>
      <c r="B421" s="1570" t="s">
        <v>1260</v>
      </c>
      <c r="C421" s="1571" t="s">
        <v>1119</v>
      </c>
      <c r="D421" s="1570" t="s">
        <v>705</v>
      </c>
      <c r="E421" s="1571" t="s">
        <v>5398</v>
      </c>
      <c r="F421" s="1569" t="s">
        <v>1080</v>
      </c>
      <c r="G421" s="1569">
        <v>85</v>
      </c>
      <c r="H421" s="1570" t="s">
        <v>2155</v>
      </c>
      <c r="I421" s="1569" t="s">
        <v>1853</v>
      </c>
      <c r="J421" s="1465"/>
      <c r="K421" s="1465">
        <v>-5</v>
      </c>
      <c r="L421" s="1571" t="s">
        <v>5644</v>
      </c>
      <c r="M421" s="1572">
        <v>44589</v>
      </c>
    </row>
    <row r="422" spans="1:13" s="1329" customFormat="1" ht="30">
      <c r="A422" s="1569">
        <v>413</v>
      </c>
      <c r="B422" s="1570" t="s">
        <v>1260</v>
      </c>
      <c r="C422" s="1571" t="s">
        <v>1119</v>
      </c>
      <c r="D422" s="1570" t="s">
        <v>705</v>
      </c>
      <c r="E422" s="1571" t="s">
        <v>5398</v>
      </c>
      <c r="F422" s="1569" t="s">
        <v>1080</v>
      </c>
      <c r="G422" s="1569">
        <v>85</v>
      </c>
      <c r="H422" s="1570" t="s">
        <v>2155</v>
      </c>
      <c r="I422" s="1569" t="s">
        <v>129</v>
      </c>
      <c r="J422" s="1465"/>
      <c r="K422" s="1465">
        <v>-5</v>
      </c>
      <c r="L422" s="1571" t="s">
        <v>5644</v>
      </c>
      <c r="M422" s="1572">
        <v>44589</v>
      </c>
    </row>
    <row r="423" spans="1:13" s="1329" customFormat="1" ht="30">
      <c r="A423" s="1569">
        <v>414</v>
      </c>
      <c r="B423" s="1570" t="s">
        <v>1260</v>
      </c>
      <c r="C423" s="1571" t="s">
        <v>1119</v>
      </c>
      <c r="D423" s="1570" t="s">
        <v>705</v>
      </c>
      <c r="E423" s="1571" t="s">
        <v>5398</v>
      </c>
      <c r="F423" s="1569" t="s">
        <v>1080</v>
      </c>
      <c r="G423" s="1569">
        <v>90</v>
      </c>
      <c r="H423" s="1638" t="s">
        <v>2156</v>
      </c>
      <c r="I423" s="1569" t="s">
        <v>1830</v>
      </c>
      <c r="J423" s="1465">
        <v>-5</v>
      </c>
      <c r="K423" s="1465">
        <v>0</v>
      </c>
      <c r="L423" s="1571" t="s">
        <v>5643</v>
      </c>
      <c r="M423" s="1572">
        <v>44589</v>
      </c>
    </row>
    <row r="424" spans="1:13" s="1329" customFormat="1" ht="30">
      <c r="A424" s="1569">
        <v>415</v>
      </c>
      <c r="B424" s="1570" t="s">
        <v>1260</v>
      </c>
      <c r="C424" s="1571" t="s">
        <v>1119</v>
      </c>
      <c r="D424" s="1570" t="s">
        <v>705</v>
      </c>
      <c r="E424" s="1571" t="s">
        <v>5398</v>
      </c>
      <c r="F424" s="1569" t="s">
        <v>1080</v>
      </c>
      <c r="G424" s="1569">
        <v>90</v>
      </c>
      <c r="H424" s="1638" t="s">
        <v>2156</v>
      </c>
      <c r="I424" s="1569" t="s">
        <v>1840</v>
      </c>
      <c r="J424" s="1465">
        <v>-5</v>
      </c>
      <c r="K424" s="1465">
        <v>0</v>
      </c>
      <c r="L424" s="1571" t="s">
        <v>5643</v>
      </c>
      <c r="M424" s="1572">
        <v>44589</v>
      </c>
    </row>
    <row r="425" spans="1:13" s="1329" customFormat="1" ht="30">
      <c r="A425" s="1569">
        <v>416</v>
      </c>
      <c r="B425" s="1570" t="s">
        <v>1260</v>
      </c>
      <c r="C425" s="1571" t="s">
        <v>1119</v>
      </c>
      <c r="D425" s="1570" t="s">
        <v>705</v>
      </c>
      <c r="E425" s="1571" t="s">
        <v>5398</v>
      </c>
      <c r="F425" s="1569" t="s">
        <v>1080</v>
      </c>
      <c r="G425" s="1569">
        <v>90</v>
      </c>
      <c r="H425" s="1638" t="s">
        <v>2156</v>
      </c>
      <c r="I425" s="1569" t="s">
        <v>1847</v>
      </c>
      <c r="J425" s="1465">
        <v>-5</v>
      </c>
      <c r="K425" s="1465">
        <v>0</v>
      </c>
      <c r="L425" s="1571" t="s">
        <v>5643</v>
      </c>
      <c r="M425" s="1572">
        <v>44589</v>
      </c>
    </row>
    <row r="426" spans="1:13" s="1329" customFormat="1" ht="30">
      <c r="A426" s="1569">
        <v>417</v>
      </c>
      <c r="B426" s="1570" t="s">
        <v>1260</v>
      </c>
      <c r="C426" s="1571" t="s">
        <v>1119</v>
      </c>
      <c r="D426" s="1570" t="s">
        <v>705</v>
      </c>
      <c r="E426" s="1571" t="s">
        <v>5398</v>
      </c>
      <c r="F426" s="1569" t="s">
        <v>1080</v>
      </c>
      <c r="G426" s="1569">
        <v>90</v>
      </c>
      <c r="H426" s="1638" t="s">
        <v>2156</v>
      </c>
      <c r="I426" s="1569" t="s">
        <v>1853</v>
      </c>
      <c r="J426" s="1465">
        <v>-5</v>
      </c>
      <c r="K426" s="1465">
        <v>0</v>
      </c>
      <c r="L426" s="1571" t="s">
        <v>5643</v>
      </c>
      <c r="M426" s="1572">
        <v>44589</v>
      </c>
    </row>
    <row r="427" spans="1:13" s="1329" customFormat="1" ht="30">
      <c r="A427" s="1569">
        <v>418</v>
      </c>
      <c r="B427" s="1570" t="s">
        <v>1260</v>
      </c>
      <c r="C427" s="1571" t="s">
        <v>1119</v>
      </c>
      <c r="D427" s="1570" t="s">
        <v>705</v>
      </c>
      <c r="E427" s="1571" t="s">
        <v>5398</v>
      </c>
      <c r="F427" s="1569" t="s">
        <v>1080</v>
      </c>
      <c r="G427" s="1569">
        <v>90</v>
      </c>
      <c r="H427" s="1638" t="s">
        <v>2156</v>
      </c>
      <c r="I427" s="1569" t="s">
        <v>129</v>
      </c>
      <c r="J427" s="1465">
        <v>-5</v>
      </c>
      <c r="K427" s="1465">
        <v>0</v>
      </c>
      <c r="L427" s="1571" t="s">
        <v>5643</v>
      </c>
      <c r="M427" s="1572">
        <v>44589</v>
      </c>
    </row>
    <row r="428" spans="1:13" s="1329" customFormat="1" ht="30">
      <c r="A428" s="1569">
        <v>419</v>
      </c>
      <c r="B428" s="1570" t="s">
        <v>1102</v>
      </c>
      <c r="C428" s="1571" t="s">
        <v>1105</v>
      </c>
      <c r="D428" s="1570" t="s">
        <v>705</v>
      </c>
      <c r="E428" s="1571" t="s">
        <v>5398</v>
      </c>
      <c r="F428" s="1569" t="s">
        <v>1080</v>
      </c>
      <c r="G428" s="1569">
        <v>85</v>
      </c>
      <c r="H428" s="1570" t="s">
        <v>2155</v>
      </c>
      <c r="I428" s="1569" t="s">
        <v>1830</v>
      </c>
      <c r="J428" s="1750"/>
      <c r="K428" s="1750">
        <v>-109.5</v>
      </c>
      <c r="L428" s="1571" t="s">
        <v>5645</v>
      </c>
      <c r="M428" s="1586">
        <v>44589</v>
      </c>
    </row>
    <row r="429" spans="1:13" s="1329" customFormat="1" ht="30">
      <c r="A429" s="1569">
        <v>420</v>
      </c>
      <c r="B429" s="1570" t="s">
        <v>1102</v>
      </c>
      <c r="C429" s="1571" t="s">
        <v>1105</v>
      </c>
      <c r="D429" s="1570" t="s">
        <v>705</v>
      </c>
      <c r="E429" s="1571" t="s">
        <v>5398</v>
      </c>
      <c r="F429" s="1569" t="s">
        <v>1080</v>
      </c>
      <c r="G429" s="1569">
        <v>85</v>
      </c>
      <c r="H429" s="1570" t="s">
        <v>2155</v>
      </c>
      <c r="I429" s="1569" t="s">
        <v>1840</v>
      </c>
      <c r="J429" s="1750"/>
      <c r="K429" s="1750">
        <v>-109.5</v>
      </c>
      <c r="L429" s="1571" t="s">
        <v>5645</v>
      </c>
      <c r="M429" s="1572">
        <v>44589</v>
      </c>
    </row>
    <row r="430" spans="1:13" s="1329" customFormat="1" ht="30">
      <c r="A430" s="1569">
        <v>421</v>
      </c>
      <c r="B430" s="1570" t="s">
        <v>1102</v>
      </c>
      <c r="C430" s="1571" t="s">
        <v>1105</v>
      </c>
      <c r="D430" s="1570" t="s">
        <v>705</v>
      </c>
      <c r="E430" s="1571" t="s">
        <v>5398</v>
      </c>
      <c r="F430" s="1569" t="s">
        <v>1080</v>
      </c>
      <c r="G430" s="1569">
        <v>85</v>
      </c>
      <c r="H430" s="1570" t="s">
        <v>2155</v>
      </c>
      <c r="I430" s="1569" t="s">
        <v>1847</v>
      </c>
      <c r="J430" s="1750"/>
      <c r="K430" s="1750">
        <v>-109.5</v>
      </c>
      <c r="L430" s="1571" t="s">
        <v>5645</v>
      </c>
      <c r="M430" s="1572">
        <v>44589</v>
      </c>
    </row>
    <row r="431" spans="1:13" s="1329" customFormat="1" ht="30">
      <c r="A431" s="1569">
        <v>422</v>
      </c>
      <c r="B431" s="1570" t="s">
        <v>1102</v>
      </c>
      <c r="C431" s="1571" t="s">
        <v>1105</v>
      </c>
      <c r="D431" s="1570" t="s">
        <v>705</v>
      </c>
      <c r="E431" s="1571" t="s">
        <v>5398</v>
      </c>
      <c r="F431" s="1569" t="s">
        <v>1080</v>
      </c>
      <c r="G431" s="1569">
        <v>85</v>
      </c>
      <c r="H431" s="1570" t="s">
        <v>2155</v>
      </c>
      <c r="I431" s="1569" t="s">
        <v>1853</v>
      </c>
      <c r="J431" s="1750"/>
      <c r="K431" s="1750">
        <v>-109.5</v>
      </c>
      <c r="L431" s="1571" t="s">
        <v>5645</v>
      </c>
      <c r="M431" s="1572">
        <v>44589</v>
      </c>
    </row>
    <row r="432" spans="1:13" s="1329" customFormat="1" ht="30">
      <c r="A432" s="1569">
        <v>423</v>
      </c>
      <c r="B432" s="1570" t="s">
        <v>1102</v>
      </c>
      <c r="C432" s="1571" t="s">
        <v>1105</v>
      </c>
      <c r="D432" s="1570" t="s">
        <v>705</v>
      </c>
      <c r="E432" s="1571" t="s">
        <v>5398</v>
      </c>
      <c r="F432" s="1569" t="s">
        <v>1080</v>
      </c>
      <c r="G432" s="1569">
        <v>85</v>
      </c>
      <c r="H432" s="1570" t="s">
        <v>2155</v>
      </c>
      <c r="I432" s="1569" t="s">
        <v>129</v>
      </c>
      <c r="J432" s="1750"/>
      <c r="K432" s="1750">
        <v>-109.5</v>
      </c>
      <c r="L432" s="1571" t="s">
        <v>5645</v>
      </c>
      <c r="M432" s="1572">
        <v>44589</v>
      </c>
    </row>
    <row r="433" spans="1:13" s="1329" customFormat="1" ht="30">
      <c r="A433" s="1569">
        <v>424</v>
      </c>
      <c r="B433" s="1570" t="s">
        <v>1102</v>
      </c>
      <c r="C433" s="1571" t="s">
        <v>1105</v>
      </c>
      <c r="D433" s="1570" t="s">
        <v>705</v>
      </c>
      <c r="E433" s="1571" t="s">
        <v>5398</v>
      </c>
      <c r="F433" s="1569" t="s">
        <v>1080</v>
      </c>
      <c r="G433" s="1569">
        <v>90</v>
      </c>
      <c r="H433" s="1638" t="s">
        <v>2156</v>
      </c>
      <c r="I433" s="1569" t="s">
        <v>1830</v>
      </c>
      <c r="J433" s="1750">
        <v>-109.5</v>
      </c>
      <c r="K433" s="1750">
        <v>0</v>
      </c>
      <c r="L433" s="1571" t="s">
        <v>5643</v>
      </c>
      <c r="M433" s="1572">
        <v>44589</v>
      </c>
    </row>
    <row r="434" spans="1:13" s="1329" customFormat="1" ht="30">
      <c r="A434" s="1569">
        <v>425</v>
      </c>
      <c r="B434" s="1570" t="s">
        <v>1102</v>
      </c>
      <c r="C434" s="1571" t="s">
        <v>1105</v>
      </c>
      <c r="D434" s="1570" t="s">
        <v>705</v>
      </c>
      <c r="E434" s="1571" t="s">
        <v>5398</v>
      </c>
      <c r="F434" s="1569" t="s">
        <v>1080</v>
      </c>
      <c r="G434" s="1569">
        <v>90</v>
      </c>
      <c r="H434" s="1638" t="s">
        <v>2156</v>
      </c>
      <c r="I434" s="1569" t="s">
        <v>1840</v>
      </c>
      <c r="J434" s="1750">
        <v>-109.5</v>
      </c>
      <c r="K434" s="1750">
        <v>0</v>
      </c>
      <c r="L434" s="1571" t="s">
        <v>5643</v>
      </c>
      <c r="M434" s="1572">
        <v>44589</v>
      </c>
    </row>
    <row r="435" spans="1:13" s="1329" customFormat="1" ht="30">
      <c r="A435" s="1569">
        <v>426</v>
      </c>
      <c r="B435" s="1570" t="s">
        <v>1102</v>
      </c>
      <c r="C435" s="1571" t="s">
        <v>1105</v>
      </c>
      <c r="D435" s="1570" t="s">
        <v>705</v>
      </c>
      <c r="E435" s="1571" t="s">
        <v>5398</v>
      </c>
      <c r="F435" s="1569" t="s">
        <v>1080</v>
      </c>
      <c r="G435" s="1569">
        <v>90</v>
      </c>
      <c r="H435" s="1638" t="s">
        <v>2156</v>
      </c>
      <c r="I435" s="1569" t="s">
        <v>1847</v>
      </c>
      <c r="J435" s="1750">
        <v>-109.5</v>
      </c>
      <c r="K435" s="1750">
        <v>0</v>
      </c>
      <c r="L435" s="1571" t="s">
        <v>5643</v>
      </c>
      <c r="M435" s="1572">
        <v>44589</v>
      </c>
    </row>
    <row r="436" spans="1:13" s="1329" customFormat="1" ht="30">
      <c r="A436" s="1569">
        <v>427</v>
      </c>
      <c r="B436" s="1570" t="s">
        <v>1102</v>
      </c>
      <c r="C436" s="1571" t="s">
        <v>1105</v>
      </c>
      <c r="D436" s="1570" t="s">
        <v>705</v>
      </c>
      <c r="E436" s="1571" t="s">
        <v>5398</v>
      </c>
      <c r="F436" s="1569" t="s">
        <v>1080</v>
      </c>
      <c r="G436" s="1569">
        <v>90</v>
      </c>
      <c r="H436" s="1638" t="s">
        <v>2156</v>
      </c>
      <c r="I436" s="1569" t="s">
        <v>1853</v>
      </c>
      <c r="J436" s="1750">
        <v>-109.5</v>
      </c>
      <c r="K436" s="1750">
        <v>0</v>
      </c>
      <c r="L436" s="1571" t="s">
        <v>5643</v>
      </c>
      <c r="M436" s="1572">
        <v>44589</v>
      </c>
    </row>
    <row r="437" spans="1:13" s="1329" customFormat="1" ht="30">
      <c r="A437" s="1569">
        <v>428</v>
      </c>
      <c r="B437" s="1570" t="s">
        <v>1102</v>
      </c>
      <c r="C437" s="1571" t="s">
        <v>1105</v>
      </c>
      <c r="D437" s="1570" t="s">
        <v>705</v>
      </c>
      <c r="E437" s="1571" t="s">
        <v>5398</v>
      </c>
      <c r="F437" s="1569" t="s">
        <v>1080</v>
      </c>
      <c r="G437" s="1569">
        <v>90</v>
      </c>
      <c r="H437" s="1638" t="s">
        <v>2156</v>
      </c>
      <c r="I437" s="1569" t="s">
        <v>129</v>
      </c>
      <c r="J437" s="1750">
        <v>-109.5</v>
      </c>
      <c r="K437" s="1750">
        <v>0</v>
      </c>
      <c r="L437" s="1571" t="s">
        <v>5643</v>
      </c>
      <c r="M437" s="1572">
        <v>44589</v>
      </c>
    </row>
    <row r="438" spans="1:13" s="1329" customFormat="1" ht="60">
      <c r="A438" s="1569">
        <v>429</v>
      </c>
      <c r="B438" s="1571" t="s">
        <v>5538</v>
      </c>
      <c r="C438" s="1565"/>
      <c r="D438" s="1566" t="s">
        <v>5539</v>
      </c>
      <c r="E438" s="1571" t="s">
        <v>913</v>
      </c>
      <c r="F438" s="1569" t="s">
        <v>1080</v>
      </c>
      <c r="G438" s="1629" t="s">
        <v>5646</v>
      </c>
      <c r="H438" s="1569" t="s">
        <v>5646</v>
      </c>
      <c r="I438" s="1569" t="s">
        <v>1936</v>
      </c>
      <c r="J438" s="1753" t="s">
        <v>5541</v>
      </c>
      <c r="K438" s="1569"/>
      <c r="L438" s="1566" t="s">
        <v>5647</v>
      </c>
      <c r="M438" s="1801">
        <v>44634</v>
      </c>
    </row>
    <row r="439" spans="1:13" s="1329" customFormat="1" ht="60">
      <c r="A439" s="1817">
        <f>A438+1</f>
        <v>430</v>
      </c>
      <c r="B439" s="1819" t="s">
        <v>1143</v>
      </c>
      <c r="C439" s="1818" t="s">
        <v>1539</v>
      </c>
      <c r="D439" s="1819" t="s">
        <v>2081</v>
      </c>
      <c r="E439" s="1819" t="s">
        <v>5547</v>
      </c>
      <c r="F439" s="1817" t="s">
        <v>1080</v>
      </c>
      <c r="G439" s="1820">
        <v>41</v>
      </c>
      <c r="H439" s="1817" t="s">
        <v>2045</v>
      </c>
      <c r="I439" s="1817" t="s">
        <v>1001</v>
      </c>
      <c r="J439" s="1823" t="s">
        <v>1838</v>
      </c>
      <c r="K439" s="1817" t="s">
        <v>1828</v>
      </c>
      <c r="L439" s="1819" t="s">
        <v>5548</v>
      </c>
      <c r="M439" s="1824">
        <v>44900</v>
      </c>
    </row>
    <row r="440" spans="1:13" s="1329" customFormat="1" ht="30">
      <c r="A440" s="1830">
        <f t="shared" ref="A440:A458" si="0">A439+1</f>
        <v>431</v>
      </c>
      <c r="B440" s="1832" t="s">
        <v>1171</v>
      </c>
      <c r="C440" s="1831" t="s">
        <v>1263</v>
      </c>
      <c r="D440" s="1832" t="s">
        <v>705</v>
      </c>
      <c r="E440" s="1832" t="s">
        <v>5566</v>
      </c>
      <c r="F440" s="1830" t="s">
        <v>1080</v>
      </c>
      <c r="G440" s="1833">
        <v>100</v>
      </c>
      <c r="H440" s="1830" t="s">
        <v>2158</v>
      </c>
      <c r="I440" s="1830" t="s">
        <v>1830</v>
      </c>
      <c r="J440" s="1872"/>
      <c r="K440" s="1861">
        <v>3</v>
      </c>
      <c r="L440" s="1862" t="s">
        <v>5567</v>
      </c>
      <c r="M440" s="1834">
        <v>44915</v>
      </c>
    </row>
    <row r="441" spans="1:13" s="1329" customFormat="1" ht="30">
      <c r="A441" s="1830">
        <f t="shared" si="0"/>
        <v>432</v>
      </c>
      <c r="B441" s="1832" t="s">
        <v>1171</v>
      </c>
      <c r="C441" s="1831" t="s">
        <v>1263</v>
      </c>
      <c r="D441" s="1832" t="s">
        <v>705</v>
      </c>
      <c r="E441" s="1832" t="s">
        <v>5566</v>
      </c>
      <c r="F441" s="1830" t="s">
        <v>1080</v>
      </c>
      <c r="G441" s="1833">
        <v>100</v>
      </c>
      <c r="H441" s="1830" t="s">
        <v>2158</v>
      </c>
      <c r="I441" s="1830" t="s">
        <v>1840</v>
      </c>
      <c r="J441" s="1872"/>
      <c r="K441" s="1861">
        <v>6</v>
      </c>
      <c r="L441" s="1862" t="s">
        <v>5567</v>
      </c>
      <c r="M441" s="1834">
        <v>44915</v>
      </c>
    </row>
    <row r="442" spans="1:13" s="1329" customFormat="1" ht="30">
      <c r="A442" s="1830">
        <f t="shared" si="0"/>
        <v>433</v>
      </c>
      <c r="B442" s="1832" t="s">
        <v>1171</v>
      </c>
      <c r="C442" s="1831" t="s">
        <v>1263</v>
      </c>
      <c r="D442" s="1832" t="s">
        <v>705</v>
      </c>
      <c r="E442" s="1832" t="s">
        <v>5566</v>
      </c>
      <c r="F442" s="1830" t="s">
        <v>1080</v>
      </c>
      <c r="G442" s="1833">
        <v>100</v>
      </c>
      <c r="H442" s="1830" t="s">
        <v>2158</v>
      </c>
      <c r="I442" s="1830" t="s">
        <v>1847</v>
      </c>
      <c r="J442" s="1872"/>
      <c r="K442" s="1861">
        <v>9.1</v>
      </c>
      <c r="L442" s="1862" t="s">
        <v>5567</v>
      </c>
      <c r="M442" s="1834">
        <v>44915</v>
      </c>
    </row>
    <row r="443" spans="1:13" s="1329" customFormat="1" ht="30">
      <c r="A443" s="1830">
        <f t="shared" si="0"/>
        <v>434</v>
      </c>
      <c r="B443" s="1832" t="s">
        <v>1171</v>
      </c>
      <c r="C443" s="1831" t="s">
        <v>1263</v>
      </c>
      <c r="D443" s="1832" t="s">
        <v>705</v>
      </c>
      <c r="E443" s="1832" t="s">
        <v>5566</v>
      </c>
      <c r="F443" s="1830" t="s">
        <v>1080</v>
      </c>
      <c r="G443" s="1833">
        <v>100</v>
      </c>
      <c r="H443" s="1830" t="s">
        <v>2158</v>
      </c>
      <c r="I443" s="1830" t="s">
        <v>1853</v>
      </c>
      <c r="J443" s="1872"/>
      <c r="K443" s="1861">
        <v>12.3</v>
      </c>
      <c r="L443" s="1862" t="s">
        <v>5567</v>
      </c>
      <c r="M443" s="1834">
        <v>44915</v>
      </c>
    </row>
    <row r="444" spans="1:13" s="1329" customFormat="1" ht="30">
      <c r="A444" s="1830">
        <f t="shared" si="0"/>
        <v>435</v>
      </c>
      <c r="B444" s="1832" t="s">
        <v>1171</v>
      </c>
      <c r="C444" s="1831" t="s">
        <v>1263</v>
      </c>
      <c r="D444" s="1832" t="s">
        <v>705</v>
      </c>
      <c r="E444" s="1832" t="s">
        <v>5566</v>
      </c>
      <c r="F444" s="1830" t="s">
        <v>1080</v>
      </c>
      <c r="G444" s="1833">
        <v>100</v>
      </c>
      <c r="H444" s="1830" t="s">
        <v>2158</v>
      </c>
      <c r="I444" s="1830" t="s">
        <v>129</v>
      </c>
      <c r="J444" s="1872"/>
      <c r="K444" s="1861">
        <v>15.6</v>
      </c>
      <c r="L444" s="1862" t="s">
        <v>5567</v>
      </c>
      <c r="M444" s="1834">
        <v>44915</v>
      </c>
    </row>
    <row r="445" spans="1:13" s="1329" customFormat="1" ht="30">
      <c r="A445" s="1830">
        <f t="shared" si="0"/>
        <v>436</v>
      </c>
      <c r="B445" s="1832" t="s">
        <v>1260</v>
      </c>
      <c r="C445" s="1831" t="s">
        <v>1119</v>
      </c>
      <c r="D445" s="1832" t="s">
        <v>705</v>
      </c>
      <c r="E445" s="1832" t="s">
        <v>1260</v>
      </c>
      <c r="F445" s="1830" t="s">
        <v>1080</v>
      </c>
      <c r="G445" s="1833">
        <v>115</v>
      </c>
      <c r="H445" s="1971" t="s">
        <v>2205</v>
      </c>
      <c r="I445" s="1830" t="s">
        <v>1001</v>
      </c>
      <c r="J445" s="1872">
        <v>-0.191</v>
      </c>
      <c r="K445" s="1830">
        <v>-0.26200000000000001</v>
      </c>
      <c r="L445" s="1832" t="s">
        <v>5648</v>
      </c>
      <c r="M445" s="1972">
        <v>45002</v>
      </c>
    </row>
    <row r="446" spans="1:13" s="1329" customFormat="1" ht="30">
      <c r="A446" s="1830">
        <f t="shared" si="0"/>
        <v>437</v>
      </c>
      <c r="B446" s="1832" t="s">
        <v>1260</v>
      </c>
      <c r="C446" s="1831" t="s">
        <v>1119</v>
      </c>
      <c r="D446" s="1832" t="s">
        <v>705</v>
      </c>
      <c r="E446" s="1832" t="s">
        <v>1260</v>
      </c>
      <c r="F446" s="1830" t="s">
        <v>1080</v>
      </c>
      <c r="G446" s="1833">
        <v>115</v>
      </c>
      <c r="H446" s="1971" t="s">
        <v>2206</v>
      </c>
      <c r="I446" s="1830" t="s">
        <v>1001</v>
      </c>
      <c r="J446" s="1872">
        <v>-0.26200000000000001</v>
      </c>
      <c r="K446" s="1830">
        <v>-0.191</v>
      </c>
      <c r="L446" s="1832" t="s">
        <v>5649</v>
      </c>
      <c r="M446" s="1972">
        <v>45002</v>
      </c>
    </row>
    <row r="447" spans="1:13" s="1329" customFormat="1" ht="45">
      <c r="A447" s="1830">
        <f t="shared" si="0"/>
        <v>438</v>
      </c>
      <c r="B447" s="1832" t="s">
        <v>1199</v>
      </c>
      <c r="C447" s="1831" t="s">
        <v>1272</v>
      </c>
      <c r="D447" s="1832" t="s">
        <v>705</v>
      </c>
      <c r="E447" s="1832" t="s">
        <v>5650</v>
      </c>
      <c r="F447" s="1830" t="s">
        <v>1080</v>
      </c>
      <c r="G447" s="1833">
        <v>59</v>
      </c>
      <c r="H447" s="1830" t="s">
        <v>2153</v>
      </c>
      <c r="I447" s="1830" t="s">
        <v>129</v>
      </c>
      <c r="J447" s="1872">
        <v>20.399999999999999</v>
      </c>
      <c r="K447" s="1830">
        <v>20.5</v>
      </c>
      <c r="L447" s="1978" t="s">
        <v>5651</v>
      </c>
      <c r="M447" s="1972">
        <v>45009</v>
      </c>
    </row>
    <row r="448" spans="1:13" s="1329" customFormat="1" ht="45">
      <c r="A448" s="1830">
        <f t="shared" si="0"/>
        <v>439</v>
      </c>
      <c r="B448" s="1832" t="s">
        <v>1199</v>
      </c>
      <c r="C448" s="1831" t="s">
        <v>1256</v>
      </c>
      <c r="D448" s="1832" t="s">
        <v>203</v>
      </c>
      <c r="E448" s="1832" t="s">
        <v>5650</v>
      </c>
      <c r="F448" s="1830" t="s">
        <v>1080</v>
      </c>
      <c r="G448" s="1833">
        <v>59</v>
      </c>
      <c r="H448" s="1830" t="s">
        <v>2153</v>
      </c>
      <c r="I448" s="1830" t="s">
        <v>1853</v>
      </c>
      <c r="J448" s="1872">
        <v>254.8</v>
      </c>
      <c r="K448" s="1830">
        <v>254.7</v>
      </c>
      <c r="L448" s="1978" t="s">
        <v>5651</v>
      </c>
      <c r="M448" s="1972">
        <v>45009</v>
      </c>
    </row>
    <row r="449" spans="1:13" s="1329" customFormat="1" ht="45">
      <c r="A449" s="1830">
        <f t="shared" si="0"/>
        <v>440</v>
      </c>
      <c r="B449" s="1832" t="s">
        <v>1199</v>
      </c>
      <c r="C449" s="1831" t="s">
        <v>1256</v>
      </c>
      <c r="D449" s="1832" t="s">
        <v>203</v>
      </c>
      <c r="E449" s="1832" t="s">
        <v>5650</v>
      </c>
      <c r="F449" s="1830" t="s">
        <v>1080</v>
      </c>
      <c r="G449" s="1833">
        <v>59</v>
      </c>
      <c r="H449" s="1830" t="s">
        <v>2153</v>
      </c>
      <c r="I449" s="1830" t="s">
        <v>129</v>
      </c>
      <c r="J449" s="1872">
        <v>251.1</v>
      </c>
      <c r="K449" s="1830">
        <v>249.3</v>
      </c>
      <c r="L449" s="1978" t="s">
        <v>5651</v>
      </c>
      <c r="M449" s="1972">
        <v>45009</v>
      </c>
    </row>
    <row r="450" spans="1:13" s="1329" customFormat="1" ht="30">
      <c r="A450" s="1830">
        <f t="shared" si="0"/>
        <v>441</v>
      </c>
      <c r="B450" s="1832" t="s">
        <v>1102</v>
      </c>
      <c r="C450" s="1831" t="s">
        <v>1095</v>
      </c>
      <c r="D450" s="1832" t="s">
        <v>784</v>
      </c>
      <c r="E450" s="1832" t="s">
        <v>1102</v>
      </c>
      <c r="F450" s="1830" t="s">
        <v>1080</v>
      </c>
      <c r="G450" s="1833">
        <v>115</v>
      </c>
      <c r="H450" s="1971" t="s">
        <v>2205</v>
      </c>
      <c r="I450" s="1830" t="s">
        <v>1001</v>
      </c>
      <c r="J450" s="1872">
        <v>-10.994</v>
      </c>
      <c r="K450" s="1830">
        <v>-10.944000000000001</v>
      </c>
      <c r="L450" s="1832" t="s">
        <v>5652</v>
      </c>
      <c r="M450" s="1972">
        <v>45065</v>
      </c>
    </row>
    <row r="451" spans="1:13" s="1329" customFormat="1" ht="15">
      <c r="A451" s="1810">
        <f t="shared" si="0"/>
        <v>442</v>
      </c>
      <c r="B451" s="1812"/>
      <c r="C451" s="1811"/>
      <c r="D451" s="1812"/>
      <c r="E451" s="1812"/>
      <c r="F451" s="1810"/>
      <c r="G451" s="1813"/>
      <c r="H451" s="1810"/>
      <c r="I451" s="1810"/>
      <c r="J451" s="1815"/>
      <c r="K451" s="1810"/>
      <c r="L451" s="1812"/>
      <c r="M451" s="1816"/>
    </row>
    <row r="452" spans="1:13" s="1329" customFormat="1" ht="15">
      <c r="A452" s="1810">
        <f t="shared" si="0"/>
        <v>443</v>
      </c>
      <c r="B452" s="1812"/>
      <c r="C452" s="1811"/>
      <c r="D452" s="1812"/>
      <c r="E452" s="1812"/>
      <c r="F452" s="1810"/>
      <c r="G452" s="1813"/>
      <c r="H452" s="1810"/>
      <c r="I452" s="1810"/>
      <c r="J452" s="1815"/>
      <c r="K452" s="1810"/>
      <c r="L452" s="1812"/>
      <c r="M452" s="1816"/>
    </row>
    <row r="453" spans="1:13" s="1329" customFormat="1" ht="15">
      <c r="A453" s="1810">
        <f t="shared" si="0"/>
        <v>444</v>
      </c>
      <c r="B453" s="1812"/>
      <c r="C453" s="1811"/>
      <c r="D453" s="1812"/>
      <c r="E453" s="1812"/>
      <c r="F453" s="1810"/>
      <c r="G453" s="1813"/>
      <c r="H453" s="1810"/>
      <c r="I453" s="1810"/>
      <c r="J453" s="1815"/>
      <c r="K453" s="1810"/>
      <c r="L453" s="1812"/>
      <c r="M453" s="1816"/>
    </row>
    <row r="454" spans="1:13" s="1329" customFormat="1" ht="15">
      <c r="A454" s="1810">
        <f t="shared" si="0"/>
        <v>445</v>
      </c>
      <c r="B454" s="1812"/>
      <c r="C454" s="1811"/>
      <c r="D454" s="1812"/>
      <c r="E454" s="1812"/>
      <c r="F454" s="1810"/>
      <c r="G454" s="1813"/>
      <c r="H454" s="1810"/>
      <c r="I454" s="1810"/>
      <c r="J454" s="1815"/>
      <c r="K454" s="1810"/>
      <c r="L454" s="1812"/>
      <c r="M454" s="1816"/>
    </row>
    <row r="455" spans="1:13" s="1329" customFormat="1" ht="15">
      <c r="A455" s="1810">
        <f t="shared" si="0"/>
        <v>446</v>
      </c>
      <c r="B455" s="1812"/>
      <c r="C455" s="1811"/>
      <c r="D455" s="1812"/>
      <c r="E455" s="1812"/>
      <c r="F455" s="1810"/>
      <c r="G455" s="1813"/>
      <c r="H455" s="1810"/>
      <c r="I455" s="1810"/>
      <c r="J455" s="1815"/>
      <c r="K455" s="1810"/>
      <c r="L455" s="1812"/>
      <c r="M455" s="1816"/>
    </row>
    <row r="456" spans="1:13" s="1329" customFormat="1" ht="15">
      <c r="A456" s="1810">
        <f t="shared" si="0"/>
        <v>447</v>
      </c>
      <c r="B456" s="1812"/>
      <c r="C456" s="1811"/>
      <c r="D456" s="1812"/>
      <c r="E456" s="1812"/>
      <c r="F456" s="1810"/>
      <c r="G456" s="1813"/>
      <c r="H456" s="1810"/>
      <c r="I456" s="1810"/>
      <c r="J456" s="1815"/>
      <c r="K456" s="1810"/>
      <c r="L456" s="1812"/>
      <c r="M456" s="1816"/>
    </row>
    <row r="457" spans="1:13" s="1329" customFormat="1" ht="15">
      <c r="A457" s="1810">
        <f t="shared" si="0"/>
        <v>448</v>
      </c>
      <c r="B457" s="1812"/>
      <c r="C457" s="1811"/>
      <c r="D457" s="1812"/>
      <c r="E457" s="1812"/>
      <c r="F457" s="1810"/>
      <c r="G457" s="1813"/>
      <c r="H457" s="1810"/>
      <c r="I457" s="1810"/>
      <c r="J457" s="1815"/>
      <c r="K457" s="1810"/>
      <c r="L457" s="1812"/>
      <c r="M457" s="1816"/>
    </row>
    <row r="458" spans="1:13" s="1329" customFormat="1" ht="15">
      <c r="A458" s="1810">
        <f t="shared" si="0"/>
        <v>449</v>
      </c>
      <c r="B458" s="1812"/>
      <c r="C458" s="1811"/>
      <c r="D458" s="1812"/>
      <c r="E458" s="1812"/>
      <c r="F458" s="1810"/>
      <c r="G458" s="1813"/>
      <c r="H458" s="1810"/>
      <c r="I458" s="1810"/>
      <c r="J458" s="1815"/>
      <c r="K458" s="1810"/>
      <c r="L458" s="1812"/>
      <c r="M458" s="1816"/>
    </row>
    <row r="459" spans="1:13" s="1329" customFormat="1" ht="15">
      <c r="A459" s="1810">
        <f t="shared" ref="A459" si="1">A458+1</f>
        <v>450</v>
      </c>
      <c r="B459" s="1812"/>
      <c r="C459" s="1811"/>
      <c r="D459" s="1812"/>
      <c r="E459" s="1812"/>
      <c r="F459" s="1810"/>
      <c r="G459" s="1813"/>
      <c r="H459" s="1810"/>
      <c r="I459" s="1810"/>
      <c r="J459" s="1815"/>
      <c r="K459" s="1810"/>
      <c r="L459" s="1812"/>
      <c r="M459" s="1816"/>
    </row>
    <row r="460" spans="1:13" s="1329" customFormat="1" ht="15">
      <c r="B460" s="1474"/>
      <c r="D460" s="2372"/>
      <c r="E460" s="2372"/>
      <c r="F460" s="1519"/>
      <c r="G460" s="1519"/>
      <c r="H460" s="1519"/>
      <c r="I460" s="1519"/>
      <c r="J460" s="1519"/>
      <c r="K460" s="1519"/>
      <c r="L460" s="2372"/>
    </row>
    <row r="461" spans="1:13" s="1329" customFormat="1" ht="15">
      <c r="B461" s="1474"/>
      <c r="D461" s="2372"/>
      <c r="E461" s="2372"/>
      <c r="F461" s="1519"/>
      <c r="G461" s="1519"/>
      <c r="H461" s="1519"/>
      <c r="I461" s="1519"/>
      <c r="J461" s="1519"/>
      <c r="K461" s="1519"/>
      <c r="L461" s="2372"/>
    </row>
    <row r="462" spans="1:13" s="1329" customFormat="1" ht="15">
      <c r="B462" s="1474"/>
      <c r="D462" s="2372"/>
      <c r="E462" s="2372"/>
      <c r="F462" s="1519"/>
      <c r="G462" s="1519"/>
      <c r="H462" s="1519"/>
      <c r="I462" s="1519"/>
      <c r="J462" s="1519"/>
      <c r="K462" s="1519"/>
      <c r="L462" s="2372"/>
    </row>
    <row r="463" spans="1:13" s="1329" customFormat="1" ht="15">
      <c r="B463" s="1474"/>
      <c r="D463" s="2372"/>
      <c r="E463" s="2372"/>
      <c r="F463" s="1519"/>
      <c r="G463" s="1519"/>
      <c r="H463" s="1519"/>
      <c r="I463" s="1519"/>
      <c r="J463" s="1519"/>
      <c r="K463" s="1519"/>
      <c r="L463" s="2372"/>
    </row>
    <row r="464" spans="1:13" s="1329" customFormat="1" ht="15">
      <c r="B464" s="1474"/>
      <c r="D464" s="2372"/>
      <c r="E464" s="2372"/>
      <c r="F464" s="1519"/>
      <c r="G464" s="1519"/>
      <c r="H464" s="1519"/>
      <c r="I464" s="1519"/>
      <c r="J464" s="1519"/>
      <c r="K464" s="1519"/>
      <c r="L464" s="2372"/>
    </row>
    <row r="465" spans="2:12" s="1329" customFormat="1" ht="15">
      <c r="B465" s="1474"/>
      <c r="D465" s="2372"/>
      <c r="E465" s="2372"/>
      <c r="F465" s="1519"/>
      <c r="G465" s="1519"/>
      <c r="H465" s="1519"/>
      <c r="I465" s="1519"/>
      <c r="J465" s="1519"/>
      <c r="K465" s="1519"/>
      <c r="L465" s="2372"/>
    </row>
    <row r="466" spans="2:12" s="1329" customFormat="1" ht="15">
      <c r="B466" s="1474"/>
      <c r="D466" s="2372"/>
      <c r="E466" s="2372"/>
      <c r="F466" s="1519"/>
      <c r="G466" s="1519"/>
      <c r="H466" s="1519"/>
      <c r="I466" s="1519"/>
      <c r="J466" s="1519"/>
      <c r="K466" s="1519"/>
      <c r="L466" s="2372"/>
    </row>
    <row r="467" spans="2:12" s="1329" customFormat="1" ht="15">
      <c r="B467" s="1474"/>
      <c r="D467" s="2372"/>
      <c r="E467" s="2372"/>
      <c r="F467" s="1519"/>
      <c r="G467" s="1519"/>
      <c r="H467" s="1519"/>
      <c r="I467" s="1519"/>
      <c r="J467" s="1519"/>
      <c r="K467" s="1519"/>
      <c r="L467" s="2372"/>
    </row>
    <row r="468" spans="2:12" s="1329" customFormat="1" ht="15">
      <c r="B468" s="1474"/>
      <c r="D468" s="2372"/>
      <c r="E468" s="2372"/>
      <c r="F468" s="1519"/>
      <c r="G468" s="1519"/>
      <c r="H468" s="1519"/>
      <c r="I468" s="1519"/>
      <c r="J468" s="1519"/>
      <c r="K468" s="1519"/>
      <c r="L468" s="2372"/>
    </row>
    <row r="469" spans="2:12" s="1329" customFormat="1" ht="15">
      <c r="B469" s="1474"/>
      <c r="D469" s="2372"/>
      <c r="E469" s="2372"/>
      <c r="F469" s="1519"/>
      <c r="G469" s="1519"/>
      <c r="H469" s="1519"/>
      <c r="I469" s="1519"/>
      <c r="J469" s="1519"/>
      <c r="K469" s="1519"/>
      <c r="L469" s="2372"/>
    </row>
    <row r="470" spans="2:12" s="1329" customFormat="1" ht="15">
      <c r="B470" s="1474"/>
      <c r="D470" s="2372"/>
      <c r="E470" s="2372"/>
      <c r="F470" s="1519"/>
      <c r="G470" s="1519"/>
      <c r="H470" s="1519"/>
      <c r="I470" s="1519"/>
      <c r="J470" s="1519"/>
      <c r="K470" s="1519"/>
      <c r="L470" s="2372"/>
    </row>
    <row r="471" spans="2:12" s="1329" customFormat="1" ht="15">
      <c r="B471" s="1474"/>
      <c r="D471" s="2372"/>
      <c r="E471" s="2372"/>
      <c r="F471" s="1519"/>
      <c r="G471" s="1519"/>
      <c r="H471" s="1519"/>
      <c r="I471" s="1519"/>
      <c r="J471" s="1519"/>
      <c r="K471" s="1519"/>
      <c r="L471" s="2372"/>
    </row>
    <row r="472" spans="2:12" s="1329" customFormat="1" ht="15">
      <c r="B472" s="1474"/>
      <c r="D472" s="2372"/>
      <c r="E472" s="2372"/>
      <c r="F472" s="1519"/>
      <c r="G472" s="1519"/>
      <c r="H472" s="1519"/>
      <c r="I472" s="1519"/>
      <c r="J472" s="1519"/>
      <c r="K472" s="1519"/>
      <c r="L472" s="2372"/>
    </row>
    <row r="473" spans="2:12" s="1329" customFormat="1" ht="15">
      <c r="B473" s="1474"/>
      <c r="D473" s="2372"/>
      <c r="E473" s="2372"/>
      <c r="F473" s="1519"/>
      <c r="G473" s="1519"/>
      <c r="H473" s="1519"/>
      <c r="I473" s="1519"/>
      <c r="J473" s="1519"/>
      <c r="K473" s="1519"/>
      <c r="L473" s="2372"/>
    </row>
    <row r="474" spans="2:12" s="1329" customFormat="1" ht="15">
      <c r="B474" s="1474"/>
      <c r="D474" s="2372"/>
      <c r="E474" s="2372"/>
      <c r="F474" s="1519"/>
      <c r="G474" s="1519"/>
      <c r="H474" s="1519"/>
      <c r="I474" s="1519"/>
      <c r="J474" s="1519"/>
      <c r="K474" s="1519"/>
      <c r="L474" s="2372"/>
    </row>
    <row r="475" spans="2:12" s="1329" customFormat="1" ht="15">
      <c r="B475" s="1474"/>
      <c r="D475" s="2372"/>
      <c r="E475" s="2372"/>
      <c r="F475" s="1519"/>
      <c r="G475" s="1519"/>
      <c r="H475" s="1519"/>
      <c r="I475" s="1519"/>
      <c r="J475" s="1519"/>
      <c r="K475" s="1519"/>
      <c r="L475" s="2372"/>
    </row>
    <row r="476" spans="2:12" s="1329" customFormat="1" ht="15">
      <c r="B476" s="1474"/>
      <c r="D476" s="2372"/>
      <c r="E476" s="2372"/>
      <c r="F476" s="1519"/>
      <c r="G476" s="1519"/>
      <c r="H476" s="1519"/>
      <c r="I476" s="1519"/>
      <c r="J476" s="1519"/>
      <c r="K476" s="1519"/>
      <c r="L476" s="2372"/>
    </row>
    <row r="477" spans="2:12" s="1329" customFormat="1" ht="15">
      <c r="B477" s="1474"/>
      <c r="D477" s="2372"/>
      <c r="E477" s="2372"/>
      <c r="F477" s="1519"/>
      <c r="G477" s="1519"/>
      <c r="H477" s="1519"/>
      <c r="I477" s="1519"/>
      <c r="J477" s="1519"/>
      <c r="K477" s="1519"/>
      <c r="L477" s="2372"/>
    </row>
    <row r="478" spans="2:12" s="1329" customFormat="1" ht="15">
      <c r="B478" s="1474"/>
      <c r="D478" s="2372"/>
      <c r="E478" s="2372"/>
      <c r="F478" s="1519"/>
      <c r="G478" s="1519"/>
      <c r="H478" s="1519"/>
      <c r="I478" s="1519"/>
      <c r="J478" s="1519"/>
      <c r="K478" s="1519"/>
      <c r="L478" s="2372"/>
    </row>
    <row r="479" spans="2:12" s="1329" customFormat="1" ht="15">
      <c r="B479" s="1474"/>
      <c r="D479" s="2372"/>
      <c r="E479" s="2372"/>
      <c r="F479" s="1519"/>
      <c r="G479" s="1519"/>
      <c r="H479" s="1519"/>
      <c r="I479" s="1519"/>
      <c r="J479" s="1519"/>
      <c r="K479" s="1519"/>
      <c r="L479" s="2372"/>
    </row>
    <row r="480" spans="2:12" s="1329" customFormat="1" ht="15">
      <c r="B480" s="1474"/>
      <c r="D480" s="2372"/>
      <c r="E480" s="2372"/>
      <c r="F480" s="1519"/>
      <c r="G480" s="1519"/>
      <c r="H480" s="1519"/>
      <c r="I480" s="1519"/>
      <c r="J480" s="1519"/>
      <c r="K480" s="1519"/>
      <c r="L480" s="2372"/>
    </row>
    <row r="481" spans="2:12" s="1329" customFormat="1" ht="15">
      <c r="B481" s="1474"/>
      <c r="D481" s="2372"/>
      <c r="E481" s="2372"/>
      <c r="F481" s="1519"/>
      <c r="G481" s="1519"/>
      <c r="H481" s="1519"/>
      <c r="I481" s="1519"/>
      <c r="J481" s="1519"/>
      <c r="K481" s="1519"/>
      <c r="L481" s="2372"/>
    </row>
    <row r="482" spans="2:12" s="1329" customFormat="1" ht="15">
      <c r="B482" s="1474"/>
      <c r="D482" s="2372"/>
      <c r="E482" s="2372"/>
      <c r="F482" s="1519"/>
      <c r="G482" s="1519"/>
      <c r="H482" s="1519"/>
      <c r="I482" s="1519"/>
      <c r="J482" s="1519"/>
      <c r="K482" s="1519"/>
      <c r="L482" s="2372"/>
    </row>
    <row r="483" spans="2:12" s="1329" customFormat="1" ht="15">
      <c r="B483" s="1474"/>
      <c r="D483" s="2372"/>
      <c r="E483" s="2372"/>
      <c r="F483" s="1519"/>
      <c r="G483" s="1519"/>
      <c r="H483" s="1519"/>
      <c r="I483" s="1519"/>
      <c r="J483" s="1519"/>
      <c r="K483" s="1519"/>
      <c r="L483" s="2372"/>
    </row>
    <row r="484" spans="2:12" s="1329" customFormat="1" ht="15">
      <c r="B484" s="1474"/>
      <c r="D484" s="2372"/>
      <c r="E484" s="2372"/>
      <c r="F484" s="1519"/>
      <c r="G484" s="1519"/>
      <c r="H484" s="1519"/>
      <c r="I484" s="1519"/>
      <c r="J484" s="1519"/>
      <c r="K484" s="1519"/>
      <c r="L484" s="2372"/>
    </row>
    <row r="485" spans="2:12" s="1329" customFormat="1" ht="15">
      <c r="B485" s="1474"/>
      <c r="D485" s="2372"/>
      <c r="E485" s="2372"/>
      <c r="F485" s="1519"/>
      <c r="G485" s="1519"/>
      <c r="H485" s="1519"/>
      <c r="I485" s="1519"/>
      <c r="J485" s="1519"/>
      <c r="K485" s="1519"/>
      <c r="L485" s="2372"/>
    </row>
    <row r="486" spans="2:12" s="1329" customFormat="1" ht="15">
      <c r="B486" s="1474"/>
      <c r="D486" s="2372"/>
      <c r="E486" s="2372"/>
      <c r="F486" s="1519"/>
      <c r="G486" s="1519"/>
      <c r="H486" s="1519"/>
      <c r="I486" s="1519"/>
      <c r="J486" s="1519"/>
      <c r="K486" s="1519"/>
      <c r="L486" s="2372"/>
    </row>
    <row r="487" spans="2:12" s="1329" customFormat="1" ht="15">
      <c r="B487" s="1474"/>
      <c r="D487" s="2372"/>
      <c r="E487" s="2372"/>
      <c r="F487" s="1519"/>
      <c r="G487" s="1519"/>
      <c r="H487" s="1519"/>
      <c r="I487" s="1519"/>
      <c r="J487" s="1519"/>
      <c r="K487" s="1519"/>
      <c r="L487" s="2372"/>
    </row>
    <row r="488" spans="2:12" s="1329" customFormat="1" ht="15">
      <c r="B488" s="1474"/>
      <c r="D488" s="2372"/>
      <c r="E488" s="2372"/>
      <c r="F488" s="1519"/>
      <c r="G488" s="1519"/>
      <c r="H488" s="1519"/>
      <c r="I488" s="1519"/>
      <c r="J488" s="1519"/>
      <c r="K488" s="1519"/>
      <c r="L488" s="2372"/>
    </row>
    <row r="489" spans="2:12" s="1329" customFormat="1" ht="15">
      <c r="B489" s="1474"/>
      <c r="D489" s="2372"/>
      <c r="E489" s="2372"/>
      <c r="F489" s="1519"/>
      <c r="G489" s="1519"/>
      <c r="H489" s="1519"/>
      <c r="I489" s="1519"/>
      <c r="J489" s="1519"/>
      <c r="K489" s="1519"/>
      <c r="L489" s="2372"/>
    </row>
    <row r="490" spans="2:12" s="1329" customFormat="1" ht="15">
      <c r="B490" s="1474"/>
      <c r="D490" s="2372"/>
      <c r="E490" s="2372"/>
      <c r="F490" s="1519"/>
      <c r="G490" s="1519"/>
      <c r="H490" s="1519"/>
      <c r="I490" s="1519"/>
      <c r="J490" s="1519"/>
      <c r="K490" s="1519"/>
      <c r="L490" s="2372"/>
    </row>
    <row r="491" spans="2:12" s="1329" customFormat="1" ht="15">
      <c r="B491" s="1474"/>
      <c r="D491" s="2372"/>
      <c r="E491" s="2372"/>
      <c r="F491" s="1519"/>
      <c r="G491" s="1519"/>
      <c r="H491" s="1519"/>
      <c r="I491" s="1519"/>
      <c r="J491" s="1519"/>
      <c r="K491" s="1519"/>
      <c r="L491" s="2372"/>
    </row>
    <row r="492" spans="2:12" s="1329" customFormat="1" ht="15">
      <c r="B492" s="1474"/>
      <c r="D492" s="2372"/>
      <c r="E492" s="2372"/>
      <c r="F492" s="1519"/>
      <c r="G492" s="1519"/>
      <c r="H492" s="1519"/>
      <c r="I492" s="1519"/>
      <c r="J492" s="1519"/>
      <c r="K492" s="1519"/>
      <c r="L492" s="2372"/>
    </row>
    <row r="493" spans="2:12" s="1329" customFormat="1" ht="15">
      <c r="B493" s="1474"/>
      <c r="D493" s="2372"/>
      <c r="E493" s="2372"/>
      <c r="F493" s="1519"/>
      <c r="G493" s="1519"/>
      <c r="H493" s="1519"/>
      <c r="I493" s="1519"/>
      <c r="J493" s="1519"/>
      <c r="K493" s="1519"/>
      <c r="L493" s="2372"/>
    </row>
    <row r="494" spans="2:12" s="1329" customFormat="1" ht="15">
      <c r="B494" s="1474"/>
      <c r="D494" s="2372"/>
      <c r="E494" s="2372"/>
      <c r="F494" s="1519"/>
      <c r="G494" s="1519"/>
      <c r="H494" s="1519"/>
      <c r="I494" s="1519"/>
      <c r="J494" s="1519"/>
      <c r="K494" s="1519"/>
      <c r="L494" s="2372"/>
    </row>
    <row r="495" spans="2:12" s="1329" customFormat="1" ht="15">
      <c r="B495" s="1474"/>
      <c r="D495" s="2372"/>
      <c r="E495" s="2372"/>
      <c r="F495" s="1519"/>
      <c r="G495" s="1519"/>
      <c r="H495" s="1519"/>
      <c r="I495" s="1519"/>
      <c r="J495" s="1519"/>
      <c r="K495" s="1519"/>
      <c r="L495" s="2372"/>
    </row>
    <row r="496" spans="2:12" s="1329" customFormat="1" ht="15">
      <c r="B496" s="1474"/>
      <c r="D496" s="2372"/>
      <c r="E496" s="2372"/>
      <c r="F496" s="1519"/>
      <c r="G496" s="1519"/>
      <c r="H496" s="1519"/>
      <c r="I496" s="1519"/>
      <c r="J496" s="1519"/>
      <c r="K496" s="1519"/>
      <c r="L496" s="2372"/>
    </row>
    <row r="497" spans="2:12" s="1329" customFormat="1" ht="15">
      <c r="B497" s="1474"/>
      <c r="D497" s="2372"/>
      <c r="E497" s="2372"/>
      <c r="F497" s="1519"/>
      <c r="G497" s="1519"/>
      <c r="H497" s="1519"/>
      <c r="I497" s="1519"/>
      <c r="J497" s="1519"/>
      <c r="K497" s="1519"/>
      <c r="L497" s="2372"/>
    </row>
    <row r="498" spans="2:12" s="1329" customFormat="1" ht="15">
      <c r="B498" s="1474"/>
      <c r="D498" s="2372"/>
      <c r="E498" s="2372"/>
      <c r="F498" s="1519"/>
      <c r="G498" s="1519"/>
      <c r="H498" s="1519"/>
      <c r="I498" s="1519"/>
      <c r="J498" s="1519"/>
      <c r="K498" s="1519"/>
      <c r="L498" s="2372"/>
    </row>
    <row r="499" spans="2:12" s="1329" customFormat="1" ht="15">
      <c r="B499" s="1474"/>
      <c r="D499" s="2372"/>
      <c r="E499" s="2372"/>
      <c r="F499" s="1519"/>
      <c r="G499" s="1519"/>
      <c r="H499" s="1519"/>
      <c r="I499" s="1519"/>
      <c r="J499" s="1519"/>
      <c r="K499" s="1519"/>
      <c r="L499" s="2372"/>
    </row>
    <row r="500" spans="2:12" s="1329" customFormat="1" ht="15">
      <c r="B500" s="1474"/>
      <c r="D500" s="2372"/>
      <c r="E500" s="2372"/>
      <c r="F500" s="1519"/>
      <c r="G500" s="1519"/>
      <c r="H500" s="1519"/>
      <c r="I500" s="1519"/>
      <c r="J500" s="1519"/>
      <c r="K500" s="1519"/>
      <c r="L500" s="2372"/>
    </row>
    <row r="501" spans="2:12" s="1329" customFormat="1" ht="15">
      <c r="B501" s="1474"/>
      <c r="D501" s="2372"/>
      <c r="E501" s="2372"/>
      <c r="F501" s="1519"/>
      <c r="G501" s="1519"/>
      <c r="H501" s="1519"/>
      <c r="I501" s="1519"/>
      <c r="J501" s="1519"/>
      <c r="K501" s="1519"/>
      <c r="L501" s="2372"/>
    </row>
    <row r="502" spans="2:12" s="1329" customFormat="1" ht="15">
      <c r="B502" s="1474"/>
      <c r="D502" s="2372"/>
      <c r="E502" s="2372"/>
      <c r="F502" s="1519"/>
      <c r="G502" s="1519"/>
      <c r="H502" s="1519"/>
      <c r="I502" s="1519"/>
      <c r="J502" s="1519"/>
      <c r="K502" s="1519"/>
      <c r="L502" s="2372"/>
    </row>
    <row r="503" spans="2:12" s="1329" customFormat="1" ht="15">
      <c r="B503" s="1474"/>
      <c r="D503" s="2372"/>
      <c r="E503" s="2372"/>
      <c r="F503" s="1519"/>
      <c r="G503" s="1519"/>
      <c r="H503" s="1519"/>
      <c r="I503" s="1519"/>
      <c r="J503" s="1519"/>
      <c r="K503" s="1519"/>
      <c r="L503" s="2372"/>
    </row>
    <row r="504" spans="2:12" s="1329" customFormat="1" ht="15">
      <c r="B504" s="1474"/>
      <c r="D504" s="2372"/>
      <c r="E504" s="2372"/>
      <c r="F504" s="1519"/>
      <c r="G504" s="1519"/>
      <c r="H504" s="1519"/>
      <c r="I504" s="1519"/>
      <c r="J504" s="1519"/>
      <c r="K504" s="1519"/>
      <c r="L504" s="2372"/>
    </row>
    <row r="505" spans="2:12" s="1329" customFormat="1" ht="15">
      <c r="B505" s="1474"/>
      <c r="D505" s="2372"/>
      <c r="E505" s="2372"/>
      <c r="F505" s="1519"/>
      <c r="G505" s="1519"/>
      <c r="H505" s="1519"/>
      <c r="I505" s="1519"/>
      <c r="J505" s="1519"/>
      <c r="K505" s="1519"/>
      <c r="L505" s="2372"/>
    </row>
    <row r="506" spans="2:12" s="1329" customFormat="1" ht="15">
      <c r="B506" s="1474"/>
      <c r="D506" s="2372"/>
      <c r="E506" s="2372"/>
      <c r="F506" s="1519"/>
      <c r="G506" s="1519"/>
      <c r="H506" s="1519"/>
      <c r="I506" s="1519"/>
      <c r="J506" s="1519"/>
      <c r="K506" s="1519"/>
      <c r="L506" s="2372"/>
    </row>
    <row r="507" spans="2:12" s="1329" customFormat="1" ht="15">
      <c r="B507" s="1474"/>
      <c r="D507" s="2372"/>
      <c r="E507" s="2372"/>
      <c r="F507" s="1519"/>
      <c r="G507" s="1519"/>
      <c r="H507" s="1519"/>
      <c r="I507" s="1519"/>
      <c r="J507" s="1519"/>
      <c r="K507" s="1519"/>
      <c r="L507" s="2372"/>
    </row>
    <row r="508" spans="2:12" s="1329" customFormat="1" ht="15">
      <c r="B508" s="1474"/>
      <c r="D508" s="2372"/>
      <c r="E508" s="2372"/>
      <c r="F508" s="1519"/>
      <c r="G508" s="1519"/>
      <c r="H508" s="1519"/>
      <c r="I508" s="1519"/>
      <c r="J508" s="1519"/>
      <c r="K508" s="1519"/>
      <c r="L508" s="2372"/>
    </row>
    <row r="509" spans="2:12" s="1329" customFormat="1" ht="15">
      <c r="B509" s="1474"/>
      <c r="D509" s="2372"/>
      <c r="E509" s="2372"/>
      <c r="F509" s="1519"/>
      <c r="G509" s="1519"/>
      <c r="H509" s="1519"/>
      <c r="I509" s="1519"/>
      <c r="J509" s="1519"/>
      <c r="K509" s="1519"/>
      <c r="L509" s="2372"/>
    </row>
    <row r="510" spans="2:12" s="1329" customFormat="1" ht="15">
      <c r="B510" s="1474"/>
      <c r="D510" s="2372"/>
      <c r="E510" s="2372"/>
      <c r="F510" s="1519"/>
      <c r="G510" s="1519"/>
      <c r="H510" s="1519"/>
      <c r="I510" s="1519"/>
      <c r="J510" s="1519"/>
      <c r="K510" s="1519"/>
      <c r="L510" s="2372"/>
    </row>
    <row r="511" spans="2:12" s="1329" customFormat="1" ht="15">
      <c r="B511" s="1474"/>
      <c r="D511" s="2372"/>
      <c r="E511" s="2372"/>
      <c r="F511" s="1519"/>
      <c r="G511" s="1519"/>
      <c r="H511" s="1519"/>
      <c r="I511" s="1519"/>
      <c r="J511" s="1519"/>
      <c r="K511" s="1519"/>
      <c r="L511" s="2372"/>
    </row>
    <row r="512" spans="2:12" s="1329" customFormat="1" ht="15">
      <c r="B512" s="1474"/>
      <c r="D512" s="2372"/>
      <c r="E512" s="2372"/>
      <c r="F512" s="1519"/>
      <c r="G512" s="1519"/>
      <c r="H512" s="1519"/>
      <c r="I512" s="1519"/>
      <c r="J512" s="1519"/>
      <c r="K512" s="1519"/>
      <c r="L512" s="2372"/>
    </row>
    <row r="513" spans="2:12" s="1329" customFormat="1" ht="15">
      <c r="B513" s="1474"/>
      <c r="D513" s="2372"/>
      <c r="E513" s="2372"/>
      <c r="F513" s="1519"/>
      <c r="G513" s="1519"/>
      <c r="H513" s="1519"/>
      <c r="I513" s="1519"/>
      <c r="J513" s="1519"/>
      <c r="K513" s="1519"/>
      <c r="L513" s="2372"/>
    </row>
    <row r="514" spans="2:12" s="1329" customFormat="1" ht="15">
      <c r="B514" s="1474"/>
      <c r="D514" s="2372"/>
      <c r="E514" s="2372"/>
      <c r="F514" s="1519"/>
      <c r="G514" s="1519"/>
      <c r="H514" s="1519"/>
      <c r="I514" s="1519"/>
      <c r="J514" s="1519"/>
      <c r="K514" s="1519"/>
      <c r="L514" s="2372"/>
    </row>
    <row r="515" spans="2:12" s="1329" customFormat="1" ht="15">
      <c r="B515" s="1474"/>
      <c r="D515" s="2372"/>
      <c r="E515" s="2372"/>
      <c r="F515" s="1519"/>
      <c r="G515" s="1519"/>
      <c r="H515" s="1519"/>
      <c r="I515" s="1519"/>
      <c r="J515" s="1519"/>
      <c r="K515" s="1519"/>
      <c r="L515" s="2372"/>
    </row>
    <row r="516" spans="2:12" s="1329" customFormat="1" ht="15">
      <c r="B516" s="1474"/>
      <c r="D516" s="2372"/>
      <c r="E516" s="2372"/>
      <c r="F516" s="1519"/>
      <c r="G516" s="1519"/>
      <c r="H516" s="1519"/>
      <c r="I516" s="1519"/>
      <c r="J516" s="1519"/>
      <c r="K516" s="1519"/>
      <c r="L516" s="2372"/>
    </row>
    <row r="517" spans="2:12" s="1329" customFormat="1" ht="15">
      <c r="B517" s="1474"/>
      <c r="D517" s="2372"/>
      <c r="E517" s="2372"/>
      <c r="F517" s="1519"/>
      <c r="G517" s="1519"/>
      <c r="H517" s="1519"/>
      <c r="I517" s="1519"/>
      <c r="J517" s="1519"/>
      <c r="K517" s="1519"/>
      <c r="L517" s="2372"/>
    </row>
    <row r="518" spans="2:12" s="1329" customFormat="1" ht="15">
      <c r="B518" s="1474"/>
      <c r="D518" s="2372"/>
      <c r="E518" s="2372"/>
      <c r="F518" s="1519"/>
      <c r="G518" s="1519"/>
      <c r="H518" s="1519"/>
      <c r="I518" s="1519"/>
      <c r="J518" s="1519"/>
      <c r="K518" s="1519"/>
      <c r="L518" s="2372"/>
    </row>
    <row r="519" spans="2:12" s="1329" customFormat="1" ht="15">
      <c r="B519" s="1474"/>
      <c r="D519" s="2372"/>
      <c r="E519" s="2372"/>
      <c r="F519" s="1519"/>
      <c r="G519" s="1519"/>
      <c r="H519" s="1519"/>
      <c r="I519" s="1519"/>
      <c r="J519" s="1519"/>
      <c r="K519" s="1519"/>
      <c r="L519" s="2372"/>
    </row>
    <row r="520" spans="2:12" s="1329" customFormat="1" ht="15">
      <c r="B520" s="1474"/>
      <c r="D520" s="2372"/>
      <c r="E520" s="2372"/>
      <c r="F520" s="1519"/>
      <c r="G520" s="1519"/>
      <c r="H520" s="1519"/>
      <c r="I520" s="1519"/>
      <c r="J520" s="1519"/>
      <c r="K520" s="1519"/>
      <c r="L520" s="2372"/>
    </row>
    <row r="521" spans="2:12" s="1329" customFormat="1" ht="15">
      <c r="B521" s="1474"/>
      <c r="D521" s="2372"/>
      <c r="E521" s="2372"/>
      <c r="F521" s="1519"/>
      <c r="G521" s="1519"/>
      <c r="H521" s="1519"/>
      <c r="I521" s="1519"/>
      <c r="J521" s="1519"/>
      <c r="K521" s="1519"/>
      <c r="L521" s="2372"/>
    </row>
    <row r="522" spans="2:12" s="1329" customFormat="1" ht="15">
      <c r="B522" s="1474"/>
      <c r="D522" s="2372"/>
      <c r="E522" s="2372"/>
      <c r="F522" s="1519"/>
      <c r="G522" s="1519"/>
      <c r="H522" s="1519"/>
      <c r="I522" s="1519"/>
      <c r="J522" s="1519"/>
      <c r="K522" s="1519"/>
      <c r="L522" s="2372"/>
    </row>
    <row r="523" spans="2:12" s="1329" customFormat="1" ht="15">
      <c r="B523" s="1474"/>
      <c r="D523" s="2372"/>
      <c r="E523" s="2372"/>
      <c r="F523" s="1519"/>
      <c r="G523" s="1519"/>
      <c r="H523" s="1519"/>
      <c r="I523" s="1519"/>
      <c r="J523" s="1519"/>
      <c r="K523" s="1519"/>
      <c r="L523" s="2372"/>
    </row>
    <row r="524" spans="2:12" s="1329" customFormat="1" ht="15">
      <c r="B524" s="1474"/>
      <c r="D524" s="2372"/>
      <c r="E524" s="2372"/>
      <c r="F524" s="1519"/>
      <c r="G524" s="1519"/>
      <c r="H524" s="1519"/>
      <c r="I524" s="1519"/>
      <c r="J524" s="1519"/>
      <c r="K524" s="1519"/>
      <c r="L524" s="2372"/>
    </row>
    <row r="525" spans="2:12" s="1329" customFormat="1" ht="15">
      <c r="B525" s="1474"/>
      <c r="D525" s="2372"/>
      <c r="E525" s="2372"/>
      <c r="F525" s="1519"/>
      <c r="G525" s="1519"/>
      <c r="H525" s="1519"/>
      <c r="I525" s="1519"/>
      <c r="J525" s="1519"/>
      <c r="K525" s="1519"/>
      <c r="L525" s="2372"/>
    </row>
    <row r="526" spans="2:12" s="1329" customFormat="1" ht="15">
      <c r="B526" s="1474"/>
      <c r="D526" s="2372"/>
      <c r="E526" s="2372"/>
      <c r="F526" s="1519"/>
      <c r="G526" s="1519"/>
      <c r="H526" s="1519"/>
      <c r="I526" s="1519"/>
      <c r="J526" s="1519"/>
      <c r="K526" s="1519"/>
      <c r="L526" s="2372"/>
    </row>
    <row r="527" spans="2:12" s="1329" customFormat="1" ht="15">
      <c r="B527" s="1474"/>
      <c r="D527" s="2372"/>
      <c r="E527" s="2372"/>
      <c r="F527" s="1519"/>
      <c r="G527" s="1519"/>
      <c r="H527" s="1519"/>
      <c r="I527" s="1519"/>
      <c r="J527" s="1519"/>
      <c r="K527" s="1519"/>
      <c r="L527" s="2372"/>
    </row>
    <row r="528" spans="2:12" s="1329" customFormat="1" ht="15">
      <c r="B528" s="1474"/>
      <c r="D528" s="2372"/>
      <c r="E528" s="2372"/>
      <c r="F528" s="1519"/>
      <c r="G528" s="1519"/>
      <c r="H528" s="1519"/>
      <c r="I528" s="1519"/>
      <c r="J528" s="1519"/>
      <c r="K528" s="1519"/>
      <c r="L528" s="2372"/>
    </row>
    <row r="529" spans="2:12" s="1329" customFormat="1" ht="15">
      <c r="B529" s="1474"/>
      <c r="D529" s="2372"/>
      <c r="E529" s="2372"/>
      <c r="F529" s="1519"/>
      <c r="G529" s="1519"/>
      <c r="H529" s="1519"/>
      <c r="I529" s="1519"/>
      <c r="J529" s="1519"/>
      <c r="K529" s="1519"/>
      <c r="L529" s="2372"/>
    </row>
    <row r="530" spans="2:12" s="1329" customFormat="1" ht="15">
      <c r="B530" s="1474"/>
      <c r="D530" s="2372"/>
      <c r="E530" s="2372"/>
      <c r="F530" s="1519"/>
      <c r="G530" s="1519"/>
      <c r="H530" s="1519"/>
      <c r="I530" s="1519"/>
      <c r="J530" s="1519"/>
      <c r="K530" s="1519"/>
      <c r="L530" s="2372"/>
    </row>
    <row r="531" spans="2:12" s="1329" customFormat="1" ht="15">
      <c r="B531" s="1474"/>
      <c r="D531" s="2372"/>
      <c r="E531" s="2372"/>
      <c r="F531" s="1519"/>
      <c r="G531" s="1519"/>
      <c r="H531" s="1519"/>
      <c r="I531" s="1519"/>
      <c r="J531" s="1519"/>
      <c r="K531" s="1519"/>
      <c r="L531" s="2372"/>
    </row>
    <row r="532" spans="2:12" s="1329" customFormat="1" ht="15">
      <c r="B532" s="1474"/>
      <c r="D532" s="2372"/>
      <c r="E532" s="2372"/>
      <c r="F532" s="1519"/>
      <c r="G532" s="1519"/>
      <c r="H532" s="1519"/>
      <c r="I532" s="1519"/>
      <c r="J532" s="1519"/>
      <c r="K532" s="1519"/>
      <c r="L532" s="2372"/>
    </row>
    <row r="533" spans="2:12" s="1329" customFormat="1" ht="15">
      <c r="B533" s="1474"/>
      <c r="D533" s="2372"/>
      <c r="E533" s="2372"/>
      <c r="F533" s="1519"/>
      <c r="G533" s="1519"/>
      <c r="H533" s="1519"/>
      <c r="I533" s="1519"/>
      <c r="J533" s="1519"/>
      <c r="K533" s="1519"/>
      <c r="L533" s="2372"/>
    </row>
    <row r="534" spans="2:12" s="1329" customFormat="1" ht="15">
      <c r="B534" s="1474"/>
      <c r="D534" s="2372"/>
      <c r="E534" s="2372"/>
      <c r="F534" s="1519"/>
      <c r="G534" s="1519"/>
      <c r="H534" s="1519"/>
      <c r="I534" s="1519"/>
      <c r="J534" s="1519"/>
      <c r="K534" s="1519"/>
      <c r="L534" s="2372"/>
    </row>
    <row r="535" spans="2:12" s="1329" customFormat="1" ht="15">
      <c r="B535" s="1474"/>
      <c r="D535" s="2372"/>
      <c r="E535" s="2372"/>
      <c r="F535" s="1519"/>
      <c r="G535" s="1519"/>
      <c r="H535" s="1519"/>
      <c r="I535" s="1519"/>
      <c r="J535" s="1519"/>
      <c r="K535" s="1519"/>
      <c r="L535" s="2372"/>
    </row>
    <row r="536" spans="2:12" s="1329" customFormat="1" ht="15">
      <c r="B536" s="1474"/>
      <c r="D536" s="2372"/>
      <c r="E536" s="2372"/>
      <c r="F536" s="1519"/>
      <c r="G536" s="1519"/>
      <c r="H536" s="1519"/>
      <c r="I536" s="1519"/>
      <c r="J536" s="1519"/>
      <c r="K536" s="1519"/>
      <c r="L536" s="2372"/>
    </row>
    <row r="537" spans="2:12" s="1329" customFormat="1" ht="15">
      <c r="B537" s="1474"/>
      <c r="D537" s="2372"/>
      <c r="E537" s="2372"/>
      <c r="F537" s="1519"/>
      <c r="G537" s="1519"/>
      <c r="H537" s="1519"/>
      <c r="I537" s="1519"/>
      <c r="J537" s="1519"/>
      <c r="K537" s="1519"/>
      <c r="L537" s="2372"/>
    </row>
    <row r="538" spans="2:12" s="1329" customFormat="1" ht="15">
      <c r="B538" s="1474"/>
      <c r="D538" s="2372"/>
      <c r="E538" s="2372"/>
      <c r="F538" s="1519"/>
      <c r="G538" s="1519"/>
      <c r="H538" s="1519"/>
      <c r="I538" s="1519"/>
      <c r="J538" s="1519"/>
      <c r="K538" s="1519"/>
      <c r="L538" s="2372"/>
    </row>
    <row r="539" spans="2:12" s="1329" customFormat="1" ht="15">
      <c r="B539" s="1474"/>
      <c r="D539" s="2372"/>
      <c r="E539" s="2372"/>
      <c r="F539" s="1519"/>
      <c r="G539" s="1519"/>
      <c r="H539" s="1519"/>
      <c r="I539" s="1519"/>
      <c r="J539" s="1519"/>
      <c r="K539" s="1519"/>
      <c r="L539" s="2372"/>
    </row>
    <row r="540" spans="2:12" s="1329" customFormat="1" ht="15">
      <c r="B540" s="1474"/>
      <c r="D540" s="2372"/>
      <c r="E540" s="2372"/>
      <c r="F540" s="1519"/>
      <c r="G540" s="1519"/>
      <c r="H540" s="1519"/>
      <c r="I540" s="1519"/>
      <c r="J540" s="1519"/>
      <c r="K540" s="1519"/>
      <c r="L540" s="2372"/>
    </row>
    <row r="541" spans="2:12" s="1329" customFormat="1" ht="15">
      <c r="B541" s="1474"/>
      <c r="D541" s="2372"/>
      <c r="E541" s="2372"/>
      <c r="F541" s="1519"/>
      <c r="G541" s="1519"/>
      <c r="H541" s="1519"/>
      <c r="I541" s="1519"/>
      <c r="J541" s="1519"/>
      <c r="K541" s="1519"/>
      <c r="L541" s="2372"/>
    </row>
    <row r="542" spans="2:12" s="1329" customFormat="1" ht="15">
      <c r="B542" s="1474"/>
      <c r="D542" s="2372"/>
      <c r="E542" s="2372"/>
      <c r="F542" s="1519"/>
      <c r="G542" s="1519"/>
      <c r="H542" s="1519"/>
      <c r="I542" s="1519"/>
      <c r="J542" s="1519"/>
      <c r="K542" s="1519"/>
      <c r="L542" s="2372"/>
    </row>
    <row r="543" spans="2:12" s="1329" customFormat="1" ht="15">
      <c r="B543" s="1474"/>
      <c r="D543" s="2372"/>
      <c r="E543" s="2372"/>
      <c r="F543" s="1519"/>
      <c r="G543" s="1519"/>
      <c r="H543" s="1519"/>
      <c r="I543" s="1519"/>
      <c r="J543" s="1519"/>
      <c r="K543" s="1519"/>
      <c r="L543" s="2372"/>
    </row>
    <row r="544" spans="2:12" s="1329" customFormat="1" ht="15">
      <c r="B544" s="1474"/>
      <c r="D544" s="2372"/>
      <c r="E544" s="2372"/>
      <c r="F544" s="1519"/>
      <c r="G544" s="1519"/>
      <c r="H544" s="1519"/>
      <c r="I544" s="1519"/>
      <c r="J544" s="1519"/>
      <c r="K544" s="1519"/>
      <c r="L544" s="2372"/>
    </row>
    <row r="545" spans="2:12" s="1329" customFormat="1" ht="15">
      <c r="B545" s="1474"/>
      <c r="D545" s="2372"/>
      <c r="E545" s="2372"/>
      <c r="F545" s="1519"/>
      <c r="G545" s="1519"/>
      <c r="H545" s="1519"/>
      <c r="I545" s="1519"/>
      <c r="J545" s="1519"/>
      <c r="K545" s="1519"/>
      <c r="L545" s="2372"/>
    </row>
    <row r="546" spans="2:12" s="1329" customFormat="1" ht="15">
      <c r="B546" s="1474"/>
      <c r="D546" s="2372"/>
      <c r="E546" s="2372"/>
      <c r="F546" s="1519"/>
      <c r="G546" s="1519"/>
      <c r="H546" s="1519"/>
      <c r="I546" s="1519"/>
      <c r="J546" s="1519"/>
      <c r="K546" s="1519"/>
      <c r="L546" s="2372"/>
    </row>
    <row r="547" spans="2:12" s="1329" customFormat="1" ht="15">
      <c r="B547" s="1474"/>
      <c r="D547" s="2372"/>
      <c r="E547" s="2372"/>
      <c r="F547" s="1519"/>
      <c r="G547" s="1519"/>
      <c r="H547" s="1519"/>
      <c r="I547" s="1519"/>
      <c r="J547" s="1519"/>
      <c r="K547" s="1519"/>
      <c r="L547" s="2372"/>
    </row>
    <row r="548" spans="2:12" s="1329" customFormat="1" ht="15">
      <c r="B548" s="1474"/>
      <c r="D548" s="2372"/>
      <c r="E548" s="2372"/>
      <c r="F548" s="1519"/>
      <c r="G548" s="1519"/>
      <c r="H548" s="1519"/>
      <c r="I548" s="1519"/>
      <c r="J548" s="1519"/>
      <c r="K548" s="1519"/>
      <c r="L548" s="2372"/>
    </row>
    <row r="549" spans="2:12" s="1329" customFormat="1" ht="15">
      <c r="B549" s="1474"/>
      <c r="D549" s="2372"/>
      <c r="E549" s="2372"/>
      <c r="F549" s="1519"/>
      <c r="G549" s="1519"/>
      <c r="H549" s="1519"/>
      <c r="I549" s="1519"/>
      <c r="J549" s="1519"/>
      <c r="K549" s="1519"/>
      <c r="L549" s="2372"/>
    </row>
    <row r="550" spans="2:12" s="1329" customFormat="1" ht="15">
      <c r="B550" s="1474"/>
      <c r="D550" s="2372"/>
      <c r="E550" s="2372"/>
      <c r="F550" s="1519"/>
      <c r="G550" s="1519"/>
      <c r="H550" s="1519"/>
      <c r="I550" s="1519"/>
      <c r="J550" s="1519"/>
      <c r="K550" s="1519"/>
      <c r="L550" s="2372"/>
    </row>
    <row r="551" spans="2:12" s="1329" customFormat="1" ht="15">
      <c r="B551" s="1474"/>
      <c r="D551" s="2372"/>
      <c r="E551" s="2372"/>
      <c r="F551" s="1519"/>
      <c r="G551" s="1519"/>
      <c r="H551" s="1519"/>
      <c r="I551" s="1519"/>
      <c r="J551" s="1519"/>
      <c r="K551" s="1519"/>
      <c r="L551" s="2372"/>
    </row>
    <row r="552" spans="2:12" s="1329" customFormat="1" ht="15">
      <c r="B552" s="1474"/>
      <c r="D552" s="2372"/>
      <c r="E552" s="2372"/>
      <c r="F552" s="1519"/>
      <c r="G552" s="1519"/>
      <c r="H552" s="1519"/>
      <c r="I552" s="1519"/>
      <c r="J552" s="1519"/>
      <c r="K552" s="1519"/>
      <c r="L552" s="2372"/>
    </row>
    <row r="553" spans="2:12" s="1329" customFormat="1" ht="15">
      <c r="B553" s="1474"/>
      <c r="D553" s="2372"/>
      <c r="E553" s="2372"/>
      <c r="F553" s="1519"/>
      <c r="G553" s="1519"/>
      <c r="H553" s="1519"/>
      <c r="I553" s="1519"/>
      <c r="J553" s="1519"/>
      <c r="K553" s="1519"/>
      <c r="L553" s="2372"/>
    </row>
    <row r="554" spans="2:12" s="1329" customFormat="1" ht="15">
      <c r="B554" s="1474"/>
      <c r="D554" s="2372"/>
      <c r="E554" s="2372"/>
      <c r="F554" s="1519"/>
      <c r="G554" s="1519"/>
      <c r="H554" s="1519"/>
      <c r="I554" s="1519"/>
      <c r="J554" s="1519"/>
      <c r="K554" s="1519"/>
      <c r="L554" s="2372"/>
    </row>
    <row r="555" spans="2:12" s="1329" customFormat="1" ht="15">
      <c r="B555" s="1474"/>
      <c r="D555" s="2372"/>
      <c r="E555" s="2372"/>
      <c r="F555" s="1519"/>
      <c r="G555" s="1519"/>
      <c r="H555" s="1519"/>
      <c r="I555" s="1519"/>
      <c r="J555" s="1519"/>
      <c r="K555" s="1519"/>
      <c r="L555" s="2372"/>
    </row>
    <row r="556" spans="2:12" s="1329" customFormat="1" ht="15">
      <c r="B556" s="1474"/>
      <c r="D556" s="2372"/>
      <c r="E556" s="2372"/>
      <c r="F556" s="1519"/>
      <c r="G556" s="1519"/>
      <c r="H556" s="1519"/>
      <c r="I556" s="1519"/>
      <c r="J556" s="1519"/>
      <c r="K556" s="1519"/>
      <c r="L556" s="2372"/>
    </row>
    <row r="557" spans="2:12" s="1329" customFormat="1" ht="15">
      <c r="B557" s="1474"/>
      <c r="D557" s="2372"/>
      <c r="E557" s="2372"/>
      <c r="F557" s="1519"/>
      <c r="G557" s="1519"/>
      <c r="H557" s="1519"/>
      <c r="I557" s="1519"/>
      <c r="J557" s="1519"/>
      <c r="K557" s="1519"/>
      <c r="L557" s="2372"/>
    </row>
    <row r="558" spans="2:12" s="1329" customFormat="1" ht="15">
      <c r="B558" s="1474"/>
      <c r="D558" s="2372"/>
      <c r="E558" s="2372"/>
      <c r="F558" s="1519"/>
      <c r="G558" s="1519"/>
      <c r="H558" s="1519"/>
      <c r="I558" s="1519"/>
      <c r="J558" s="1519"/>
      <c r="K558" s="1519"/>
      <c r="L558" s="2372"/>
    </row>
    <row r="559" spans="2:12" s="1329" customFormat="1" ht="15">
      <c r="B559" s="1474"/>
      <c r="D559" s="2372"/>
      <c r="E559" s="2372"/>
      <c r="F559" s="1519"/>
      <c r="G559" s="1519"/>
      <c r="H559" s="1519"/>
      <c r="I559" s="1519"/>
      <c r="J559" s="1519"/>
      <c r="K559" s="1519"/>
      <c r="L559" s="2372"/>
    </row>
    <row r="560" spans="2:12" s="1329" customFormat="1" ht="15">
      <c r="B560" s="1474"/>
      <c r="D560" s="2372"/>
      <c r="E560" s="2372"/>
      <c r="F560" s="1519"/>
      <c r="G560" s="1519"/>
      <c r="H560" s="1519"/>
      <c r="I560" s="1519"/>
      <c r="J560" s="1519"/>
      <c r="K560" s="1519"/>
      <c r="L560" s="2372"/>
    </row>
    <row r="561" spans="2:12" s="1329" customFormat="1" ht="15">
      <c r="B561" s="1474"/>
      <c r="D561" s="2372"/>
      <c r="E561" s="2372"/>
      <c r="F561" s="1519"/>
      <c r="G561" s="1519"/>
      <c r="H561" s="1519"/>
      <c r="I561" s="1519"/>
      <c r="J561" s="1519"/>
      <c r="K561" s="1519"/>
      <c r="L561" s="2372"/>
    </row>
    <row r="562" spans="2:12" s="1329" customFormat="1" ht="15">
      <c r="B562" s="1474"/>
      <c r="D562" s="2372"/>
      <c r="E562" s="2372"/>
      <c r="F562" s="1519"/>
      <c r="G562" s="1519"/>
      <c r="H562" s="1519"/>
      <c r="I562" s="1519"/>
      <c r="J562" s="1519"/>
      <c r="K562" s="1519"/>
      <c r="L562" s="2372"/>
    </row>
    <row r="563" spans="2:12" s="1329" customFormat="1" ht="15">
      <c r="B563" s="1474"/>
      <c r="D563" s="2372"/>
      <c r="E563" s="2372"/>
      <c r="F563" s="1519"/>
      <c r="G563" s="1519"/>
      <c r="H563" s="1519"/>
      <c r="I563" s="1519"/>
      <c r="J563" s="1519"/>
      <c r="K563" s="1519"/>
      <c r="L563" s="2372"/>
    </row>
    <row r="564" spans="2:12" s="1329" customFormat="1" ht="15">
      <c r="B564" s="1474"/>
      <c r="D564" s="2372"/>
      <c r="E564" s="2372"/>
      <c r="F564" s="1519"/>
      <c r="G564" s="1519"/>
      <c r="H564" s="1519"/>
      <c r="I564" s="1519"/>
      <c r="J564" s="1519"/>
      <c r="K564" s="1519"/>
      <c r="L564" s="2372"/>
    </row>
    <row r="565" spans="2:12" s="1329" customFormat="1" ht="15">
      <c r="B565" s="1474"/>
      <c r="D565" s="2372"/>
      <c r="E565" s="2372"/>
      <c r="F565" s="1519"/>
      <c r="G565" s="1519"/>
      <c r="H565" s="1519"/>
      <c r="I565" s="1519"/>
      <c r="J565" s="1519"/>
      <c r="K565" s="1519"/>
      <c r="L565" s="2372"/>
    </row>
    <row r="566" spans="2:12" s="1329" customFormat="1" ht="15">
      <c r="B566" s="1474"/>
      <c r="D566" s="2372"/>
      <c r="E566" s="2372"/>
      <c r="F566" s="1519"/>
      <c r="G566" s="1519"/>
      <c r="H566" s="1519"/>
      <c r="I566" s="1519"/>
      <c r="J566" s="1519"/>
      <c r="K566" s="1519"/>
      <c r="L566" s="2372"/>
    </row>
    <row r="567" spans="2:12" s="1329" customFormat="1" ht="15">
      <c r="B567" s="1474"/>
      <c r="D567" s="2372"/>
      <c r="E567" s="2372"/>
      <c r="F567" s="1519"/>
      <c r="G567" s="1519"/>
      <c r="H567" s="1519"/>
      <c r="I567" s="1519"/>
      <c r="J567" s="1519"/>
      <c r="K567" s="1519"/>
      <c r="L567" s="2372"/>
    </row>
    <row r="568" spans="2:12" s="1329" customFormat="1" ht="15">
      <c r="B568" s="1474"/>
      <c r="D568" s="2372"/>
      <c r="E568" s="2372"/>
      <c r="F568" s="1519"/>
      <c r="G568" s="1519"/>
      <c r="H568" s="1519"/>
      <c r="I568" s="1519"/>
      <c r="J568" s="1519"/>
      <c r="K568" s="1519"/>
      <c r="L568" s="2372"/>
    </row>
    <row r="569" spans="2:12" s="1329" customFormat="1" ht="15">
      <c r="B569" s="1474"/>
      <c r="D569" s="2372"/>
      <c r="E569" s="2372"/>
      <c r="F569" s="1519"/>
      <c r="G569" s="1519"/>
      <c r="H569" s="1519"/>
      <c r="I569" s="1519"/>
      <c r="J569" s="1519"/>
      <c r="K569" s="1519"/>
      <c r="L569" s="2372"/>
    </row>
    <row r="570" spans="2:12" s="1329" customFormat="1" ht="15">
      <c r="B570" s="1474"/>
      <c r="D570" s="2372"/>
      <c r="E570" s="2372"/>
      <c r="F570" s="1519"/>
      <c r="G570" s="1519"/>
      <c r="H570" s="1519"/>
      <c r="I570" s="1519"/>
      <c r="J570" s="1519"/>
      <c r="K570" s="1519"/>
      <c r="L570" s="2372"/>
    </row>
    <row r="571" spans="2:12" s="1329" customFormat="1" ht="15">
      <c r="B571" s="1474"/>
      <c r="D571" s="2372"/>
      <c r="E571" s="2372"/>
      <c r="F571" s="1519"/>
      <c r="G571" s="1519"/>
      <c r="H571" s="1519"/>
      <c r="I571" s="1519"/>
      <c r="J571" s="1519"/>
      <c r="K571" s="1519"/>
      <c r="L571" s="2372"/>
    </row>
    <row r="572" spans="2:12" s="1329" customFormat="1" ht="15">
      <c r="B572" s="1474"/>
      <c r="D572" s="2372"/>
      <c r="E572" s="2372"/>
      <c r="F572" s="1519"/>
      <c r="G572" s="1519"/>
      <c r="H572" s="1519"/>
      <c r="I572" s="1519"/>
      <c r="J572" s="1519"/>
      <c r="K572" s="1519"/>
      <c r="L572" s="2372"/>
    </row>
    <row r="573" spans="2:12" s="1329" customFormat="1" ht="15">
      <c r="B573" s="1474"/>
      <c r="D573" s="2372"/>
      <c r="E573" s="2372"/>
      <c r="F573" s="1519"/>
      <c r="G573" s="1519"/>
      <c r="H573" s="1519"/>
      <c r="I573" s="1519"/>
      <c r="J573" s="1519"/>
      <c r="K573" s="1519"/>
      <c r="L573" s="2372"/>
    </row>
    <row r="574" spans="2:12" s="1329" customFormat="1" ht="15">
      <c r="B574" s="1474"/>
      <c r="D574" s="2372"/>
      <c r="E574" s="2372"/>
      <c r="F574" s="1519"/>
      <c r="G574" s="1519"/>
      <c r="H574" s="1519"/>
      <c r="I574" s="1519"/>
      <c r="J574" s="1519"/>
      <c r="K574" s="1519"/>
      <c r="L574" s="2372"/>
    </row>
    <row r="575" spans="2:12" s="1329" customFormat="1" ht="15">
      <c r="B575" s="1474"/>
      <c r="D575" s="2372"/>
      <c r="E575" s="2372"/>
      <c r="F575" s="1519"/>
      <c r="G575" s="1519"/>
      <c r="H575" s="1519"/>
      <c r="I575" s="1519"/>
      <c r="J575" s="1519"/>
      <c r="K575" s="1519"/>
      <c r="L575" s="2372"/>
    </row>
    <row r="576" spans="2:12" s="1329" customFormat="1" ht="15">
      <c r="B576" s="1474"/>
      <c r="D576" s="2372"/>
      <c r="E576" s="2372"/>
      <c r="F576" s="1519"/>
      <c r="G576" s="1519"/>
      <c r="H576" s="1519"/>
      <c r="I576" s="1519"/>
      <c r="J576" s="1519"/>
      <c r="K576" s="1519"/>
      <c r="L576" s="2372"/>
    </row>
    <row r="577" spans="2:12" s="1329" customFormat="1" ht="15">
      <c r="B577" s="1474"/>
      <c r="D577" s="2372"/>
      <c r="E577" s="2372"/>
      <c r="F577" s="1519"/>
      <c r="G577" s="1519"/>
      <c r="H577" s="1519"/>
      <c r="I577" s="1519"/>
      <c r="J577" s="1519"/>
      <c r="K577" s="1519"/>
      <c r="L577" s="2372"/>
    </row>
    <row r="578" spans="2:12" s="1329" customFormat="1" ht="15">
      <c r="B578" s="1474"/>
      <c r="D578" s="2372"/>
      <c r="E578" s="2372"/>
      <c r="F578" s="1519"/>
      <c r="G578" s="1519"/>
      <c r="H578" s="1519"/>
      <c r="I578" s="1519"/>
      <c r="J578" s="1519"/>
      <c r="K578" s="1519"/>
      <c r="L578" s="2372"/>
    </row>
    <row r="579" spans="2:12" s="1329" customFormat="1" ht="15">
      <c r="B579" s="1474"/>
      <c r="D579" s="2372"/>
      <c r="E579" s="2372"/>
      <c r="F579" s="1519"/>
      <c r="G579" s="1519"/>
      <c r="H579" s="1519"/>
      <c r="I579" s="1519"/>
      <c r="J579" s="1519"/>
      <c r="K579" s="1519"/>
      <c r="L579" s="2372"/>
    </row>
    <row r="580" spans="2:12" s="1329" customFormat="1" ht="15">
      <c r="B580" s="1474"/>
      <c r="D580" s="2372"/>
      <c r="E580" s="2372"/>
      <c r="F580" s="1519"/>
      <c r="G580" s="1519"/>
      <c r="H580" s="1519"/>
      <c r="I580" s="1519"/>
      <c r="J580" s="1519"/>
      <c r="K580" s="1519"/>
      <c r="L580" s="2372"/>
    </row>
    <row r="581" spans="2:12" s="1329" customFormat="1" ht="15">
      <c r="B581" s="1474"/>
      <c r="D581" s="2372"/>
      <c r="E581" s="2372"/>
      <c r="F581" s="1519"/>
      <c r="G581" s="1519"/>
      <c r="H581" s="1519"/>
      <c r="I581" s="1519"/>
      <c r="J581" s="1519"/>
      <c r="K581" s="1519"/>
      <c r="L581" s="2372"/>
    </row>
    <row r="582" spans="2:12" s="1329" customFormat="1" ht="15">
      <c r="B582" s="1474"/>
      <c r="D582" s="2372"/>
      <c r="E582" s="2372"/>
      <c r="F582" s="1519"/>
      <c r="G582" s="1519"/>
      <c r="H582" s="1519"/>
      <c r="I582" s="1519"/>
      <c r="J582" s="1519"/>
      <c r="K582" s="1519"/>
      <c r="L582" s="2372"/>
    </row>
    <row r="583" spans="2:12" s="1329" customFormat="1" ht="15">
      <c r="B583" s="1474"/>
      <c r="D583" s="2372"/>
      <c r="E583" s="2372"/>
      <c r="F583" s="1519"/>
      <c r="G583" s="1519"/>
      <c r="H583" s="1519"/>
      <c r="I583" s="1519"/>
      <c r="J583" s="1519"/>
      <c r="K583" s="1519"/>
      <c r="L583" s="2372"/>
    </row>
    <row r="584" spans="2:12" s="1329" customFormat="1" ht="15">
      <c r="B584" s="1474"/>
      <c r="D584" s="2372"/>
      <c r="E584" s="2372"/>
      <c r="F584" s="1519"/>
      <c r="G584" s="1519"/>
      <c r="H584" s="1519"/>
      <c r="I584" s="1519"/>
      <c r="J584" s="1519"/>
      <c r="K584" s="1519"/>
      <c r="L584" s="2372"/>
    </row>
    <row r="585" spans="2:12" s="1329" customFormat="1" ht="15">
      <c r="B585" s="1474"/>
      <c r="D585" s="2372"/>
      <c r="E585" s="2372"/>
      <c r="F585" s="1519"/>
      <c r="G585" s="1519"/>
      <c r="H585" s="1519"/>
      <c r="I585" s="1519"/>
      <c r="J585" s="1519"/>
      <c r="K585" s="1519"/>
      <c r="L585" s="2372"/>
    </row>
    <row r="586" spans="2:12" s="1329" customFormat="1" ht="15">
      <c r="B586" s="1474"/>
      <c r="D586" s="2372"/>
      <c r="E586" s="2372"/>
      <c r="F586" s="1519"/>
      <c r="G586" s="1519"/>
      <c r="H586" s="1519"/>
      <c r="I586" s="1519"/>
      <c r="J586" s="1519"/>
      <c r="K586" s="1519"/>
      <c r="L586" s="2372"/>
    </row>
    <row r="587" spans="2:12" s="1329" customFormat="1" ht="15">
      <c r="B587" s="1474"/>
      <c r="D587" s="2372"/>
      <c r="E587" s="2372"/>
      <c r="F587" s="1519"/>
      <c r="G587" s="1519"/>
      <c r="H587" s="1519"/>
      <c r="I587" s="1519"/>
      <c r="J587" s="1519"/>
      <c r="K587" s="1519"/>
      <c r="L587" s="2372"/>
    </row>
    <row r="588" spans="2:12" s="1329" customFormat="1" ht="15">
      <c r="B588" s="1474"/>
      <c r="D588" s="2372"/>
      <c r="E588" s="2372"/>
      <c r="F588" s="1519"/>
      <c r="G588" s="1519"/>
      <c r="H588" s="1519"/>
      <c r="I588" s="1519"/>
      <c r="J588" s="1519"/>
      <c r="K588" s="1519"/>
      <c r="L588" s="2372"/>
    </row>
    <row r="589" spans="2:12" s="1329" customFormat="1" ht="15">
      <c r="B589" s="1474"/>
      <c r="D589" s="2372"/>
      <c r="E589" s="2372"/>
      <c r="F589" s="1519"/>
      <c r="G589" s="1519"/>
      <c r="H589" s="1519"/>
      <c r="I589" s="1519"/>
      <c r="J589" s="1519"/>
      <c r="K589" s="1519"/>
      <c r="L589" s="2372"/>
    </row>
    <row r="590" spans="2:12" s="1329" customFormat="1" ht="15">
      <c r="B590" s="1474"/>
      <c r="D590" s="2372"/>
      <c r="E590" s="2372"/>
      <c r="F590" s="1519"/>
      <c r="G590" s="1519"/>
      <c r="H590" s="1519"/>
      <c r="I590" s="1519"/>
      <c r="J590" s="1519"/>
      <c r="K590" s="1519"/>
      <c r="L590" s="2372"/>
    </row>
    <row r="591" spans="2:12" s="1329" customFormat="1" ht="15">
      <c r="B591" s="1474"/>
      <c r="D591" s="2372"/>
      <c r="E591" s="2372"/>
      <c r="F591" s="1519"/>
      <c r="G591" s="1519"/>
      <c r="H591" s="1519"/>
      <c r="I591" s="1519"/>
      <c r="J591" s="1519"/>
      <c r="K591" s="1519"/>
      <c r="L591" s="2372"/>
    </row>
    <row r="592" spans="2:12" s="1329" customFormat="1" ht="15">
      <c r="B592" s="1474"/>
      <c r="D592" s="2372"/>
      <c r="E592" s="2372"/>
      <c r="F592" s="1519"/>
      <c r="G592" s="1519"/>
      <c r="H592" s="1519"/>
      <c r="I592" s="1519"/>
      <c r="J592" s="1519"/>
      <c r="K592" s="1519"/>
      <c r="L592" s="2372"/>
    </row>
    <row r="593" spans="2:12" s="1329" customFormat="1" ht="15">
      <c r="B593" s="1474"/>
      <c r="D593" s="2372"/>
      <c r="E593" s="2372"/>
      <c r="F593" s="1519"/>
      <c r="G593" s="1519"/>
      <c r="H593" s="1519"/>
      <c r="I593" s="1519"/>
      <c r="J593" s="1519"/>
      <c r="K593" s="1519"/>
      <c r="L593" s="2372"/>
    </row>
    <row r="594" spans="2:12" s="1329" customFormat="1" ht="15">
      <c r="B594" s="1474"/>
      <c r="D594" s="2372"/>
      <c r="E594" s="2372"/>
      <c r="F594" s="1519"/>
      <c r="G594" s="1519"/>
      <c r="H594" s="1519"/>
      <c r="I594" s="1519"/>
      <c r="J594" s="1519"/>
      <c r="K594" s="1519"/>
      <c r="L594" s="2372"/>
    </row>
    <row r="595" spans="2:12" s="1329" customFormat="1" ht="15">
      <c r="B595" s="1474"/>
      <c r="D595" s="2372"/>
      <c r="E595" s="2372"/>
      <c r="F595" s="1519"/>
      <c r="G595" s="1519"/>
      <c r="H595" s="1519"/>
      <c r="I595" s="1519"/>
      <c r="J595" s="1519"/>
      <c r="K595" s="1519"/>
      <c r="L595" s="2372"/>
    </row>
    <row r="596" spans="2:12" s="1329" customFormat="1" ht="15">
      <c r="B596" s="1474"/>
      <c r="D596" s="2372"/>
      <c r="E596" s="2372"/>
      <c r="F596" s="1519"/>
      <c r="G596" s="1519"/>
      <c r="H596" s="1519"/>
      <c r="I596" s="1519"/>
      <c r="J596" s="1519"/>
      <c r="K596" s="1519"/>
      <c r="L596" s="2372"/>
    </row>
    <row r="597" spans="2:12" s="1329" customFormat="1" ht="15">
      <c r="B597" s="1474"/>
      <c r="D597" s="2372"/>
      <c r="E597" s="2372"/>
      <c r="F597" s="1519"/>
      <c r="G597" s="1519"/>
      <c r="H597" s="1519"/>
      <c r="I597" s="1519"/>
      <c r="J597" s="1519"/>
      <c r="K597" s="1519"/>
      <c r="L597" s="2372"/>
    </row>
    <row r="598" spans="2:12" s="1329" customFormat="1" ht="15">
      <c r="B598" s="1474"/>
      <c r="D598" s="2372"/>
      <c r="E598" s="2372"/>
      <c r="F598" s="1519"/>
      <c r="G598" s="1519"/>
      <c r="H598" s="1519"/>
      <c r="I598" s="1519"/>
      <c r="J598" s="1519"/>
      <c r="K598" s="1519"/>
      <c r="L598" s="2372"/>
    </row>
    <row r="599" spans="2:12" s="1329" customFormat="1" ht="15">
      <c r="B599" s="1474"/>
      <c r="D599" s="2372"/>
      <c r="E599" s="2372"/>
      <c r="F599" s="1519"/>
      <c r="G599" s="1519"/>
      <c r="H599" s="1519"/>
      <c r="I599" s="1519"/>
      <c r="J599" s="1519"/>
      <c r="K599" s="1519"/>
      <c r="L599" s="2372"/>
    </row>
    <row r="600" spans="2:12" s="1329" customFormat="1" ht="15">
      <c r="B600" s="1474"/>
      <c r="D600" s="2372"/>
      <c r="E600" s="2372"/>
      <c r="F600" s="1519"/>
      <c r="G600" s="1519"/>
      <c r="H600" s="1519"/>
      <c r="I600" s="1519"/>
      <c r="J600" s="1519"/>
      <c r="K600" s="1519"/>
      <c r="L600" s="2372"/>
    </row>
    <row r="601" spans="2:12" s="1329" customFormat="1" ht="15">
      <c r="B601" s="1474"/>
      <c r="D601" s="2372"/>
      <c r="E601" s="2372"/>
      <c r="F601" s="1519"/>
      <c r="G601" s="1519"/>
      <c r="H601" s="1519"/>
      <c r="I601" s="1519"/>
      <c r="J601" s="1519"/>
      <c r="K601" s="1519"/>
      <c r="L601" s="2372"/>
    </row>
    <row r="602" spans="2:12" s="1329" customFormat="1" ht="15">
      <c r="B602" s="1474"/>
      <c r="D602" s="2372"/>
      <c r="E602" s="2372"/>
      <c r="F602" s="1519"/>
      <c r="G602" s="1519"/>
      <c r="H602" s="1519"/>
      <c r="I602" s="1519"/>
      <c r="J602" s="1519"/>
      <c r="K602" s="1519"/>
      <c r="L602" s="2372"/>
    </row>
    <row r="603" spans="2:12" s="1329" customFormat="1" ht="15">
      <c r="B603" s="1474"/>
      <c r="D603" s="2372"/>
      <c r="E603" s="2372"/>
      <c r="F603" s="1519"/>
      <c r="G603" s="1519"/>
      <c r="H603" s="1519"/>
      <c r="I603" s="1519"/>
      <c r="J603" s="1519"/>
      <c r="K603" s="1519"/>
      <c r="L603" s="2372"/>
    </row>
    <row r="604" spans="2:12" s="1329" customFormat="1" ht="15">
      <c r="B604" s="1474"/>
      <c r="D604" s="2372"/>
      <c r="E604" s="2372"/>
      <c r="F604" s="1519"/>
      <c r="G604" s="1519"/>
      <c r="H604" s="1519"/>
      <c r="I604" s="1519"/>
      <c r="J604" s="1519"/>
      <c r="K604" s="1519"/>
      <c r="L604" s="2372"/>
    </row>
    <row r="605" spans="2:12" s="1329" customFormat="1" ht="15">
      <c r="B605" s="1474"/>
      <c r="D605" s="2372"/>
      <c r="E605" s="2372"/>
      <c r="F605" s="1519"/>
      <c r="G605" s="1519"/>
      <c r="H605" s="1519"/>
      <c r="I605" s="1519"/>
      <c r="J605" s="1519"/>
      <c r="K605" s="1519"/>
      <c r="L605" s="2372"/>
    </row>
    <row r="606" spans="2:12" s="1329" customFormat="1" ht="15">
      <c r="B606" s="1474"/>
      <c r="D606" s="2372"/>
      <c r="E606" s="2372"/>
      <c r="F606" s="1519"/>
      <c r="G606" s="1519"/>
      <c r="H606" s="1519"/>
      <c r="I606" s="1519"/>
      <c r="J606" s="1519"/>
      <c r="K606" s="1519"/>
      <c r="L606" s="2372"/>
    </row>
    <row r="607" spans="2:12" s="1329" customFormat="1" ht="15">
      <c r="B607" s="1474"/>
      <c r="D607" s="2372"/>
      <c r="E607" s="2372"/>
      <c r="F607" s="1519"/>
      <c r="G607" s="1519"/>
      <c r="H607" s="1519"/>
      <c r="I607" s="1519"/>
      <c r="J607" s="1519"/>
      <c r="K607" s="1519"/>
      <c r="L607" s="2372"/>
    </row>
    <row r="608" spans="2:12" s="1329" customFormat="1" ht="15">
      <c r="B608" s="1474"/>
      <c r="D608" s="2372"/>
      <c r="E608" s="2372"/>
      <c r="F608" s="1519"/>
      <c r="G608" s="1519"/>
      <c r="H608" s="1519"/>
      <c r="I608" s="1519"/>
      <c r="J608" s="1519"/>
      <c r="K608" s="1519"/>
      <c r="L608" s="2372"/>
    </row>
    <row r="609" spans="2:12" s="1329" customFormat="1" ht="15">
      <c r="B609" s="1474"/>
      <c r="D609" s="2372"/>
      <c r="E609" s="2372"/>
      <c r="F609" s="1519"/>
      <c r="G609" s="1519"/>
      <c r="H609" s="1519"/>
      <c r="I609" s="1519"/>
      <c r="J609" s="1519"/>
      <c r="K609" s="1519"/>
      <c r="L609" s="2372"/>
    </row>
    <row r="610" spans="2:12" s="1329" customFormat="1" ht="15">
      <c r="B610" s="1474"/>
      <c r="D610" s="2372"/>
      <c r="E610" s="2372"/>
      <c r="F610" s="1519"/>
      <c r="G610" s="1519"/>
      <c r="H610" s="1519"/>
      <c r="I610" s="1519"/>
      <c r="J610" s="1519"/>
      <c r="K610" s="1519"/>
      <c r="L610" s="2372"/>
    </row>
    <row r="611" spans="2:12" s="1329" customFormat="1" ht="15">
      <c r="B611" s="1474"/>
      <c r="D611" s="2372"/>
      <c r="E611" s="2372"/>
      <c r="F611" s="1519"/>
      <c r="G611" s="1519"/>
      <c r="H611" s="1519"/>
      <c r="I611" s="1519"/>
      <c r="J611" s="1519"/>
      <c r="K611" s="1519"/>
      <c r="L611" s="2372"/>
    </row>
    <row r="612" spans="2:12" s="1329" customFormat="1" ht="15">
      <c r="B612" s="1474"/>
      <c r="D612" s="2372"/>
      <c r="E612" s="2372"/>
      <c r="F612" s="1519"/>
      <c r="G612" s="1519"/>
      <c r="H612" s="1519"/>
      <c r="I612" s="1519"/>
      <c r="J612" s="1519"/>
      <c r="K612" s="1519"/>
      <c r="L612" s="2372"/>
    </row>
    <row r="613" spans="2:12" s="1329" customFormat="1" ht="15">
      <c r="B613" s="1474"/>
      <c r="D613" s="2372"/>
      <c r="E613" s="2372"/>
      <c r="F613" s="1519"/>
      <c r="G613" s="1519"/>
      <c r="H613" s="1519"/>
      <c r="I613" s="1519"/>
      <c r="J613" s="1519"/>
      <c r="K613" s="1519"/>
      <c r="L613" s="2372"/>
    </row>
    <row r="614" spans="2:12" s="1329" customFormat="1" ht="15">
      <c r="B614" s="1474"/>
      <c r="D614" s="2372"/>
      <c r="E614" s="2372"/>
      <c r="F614" s="1519"/>
      <c r="G614" s="1519"/>
      <c r="H614" s="1519"/>
      <c r="I614" s="1519"/>
      <c r="J614" s="1519"/>
      <c r="K614" s="1519"/>
      <c r="L614" s="2372"/>
    </row>
    <row r="615" spans="2:12" s="1329" customFormat="1" ht="15">
      <c r="B615" s="1474"/>
      <c r="D615" s="2372"/>
      <c r="E615" s="2372"/>
      <c r="F615" s="1519"/>
      <c r="G615" s="1519"/>
      <c r="H615" s="1519"/>
      <c r="I615" s="1519"/>
      <c r="J615" s="1519"/>
      <c r="K615" s="1519"/>
      <c r="L615" s="2372"/>
    </row>
    <row r="616" spans="2:12" s="1329" customFormat="1" ht="15">
      <c r="B616" s="1474"/>
      <c r="D616" s="2372"/>
      <c r="E616" s="2372"/>
      <c r="F616" s="1519"/>
      <c r="G616" s="1519"/>
      <c r="H616" s="1519"/>
      <c r="I616" s="1519"/>
      <c r="J616" s="1519"/>
      <c r="K616" s="1519"/>
      <c r="L616" s="2372"/>
    </row>
    <row r="617" spans="2:12" s="1329" customFormat="1" ht="15">
      <c r="B617" s="1474"/>
      <c r="D617" s="2372"/>
      <c r="E617" s="2372"/>
      <c r="F617" s="1519"/>
      <c r="G617" s="1519"/>
      <c r="H617" s="1519"/>
      <c r="I617" s="1519"/>
      <c r="J617" s="1519"/>
      <c r="K617" s="1519"/>
      <c r="L617" s="2372"/>
    </row>
    <row r="618" spans="2:12" s="1329" customFormat="1" ht="15">
      <c r="B618" s="1474"/>
      <c r="D618" s="2372"/>
      <c r="E618" s="2372"/>
      <c r="F618" s="1519"/>
      <c r="G618" s="1519"/>
      <c r="H618" s="1519"/>
      <c r="I618" s="1519"/>
      <c r="J618" s="1519"/>
      <c r="K618" s="1519"/>
      <c r="L618" s="2372"/>
    </row>
    <row r="619" spans="2:12" s="1329" customFormat="1" ht="15">
      <c r="B619" s="1474"/>
      <c r="D619" s="2372"/>
      <c r="E619" s="2372"/>
      <c r="F619" s="1519"/>
      <c r="G619" s="1519"/>
      <c r="H619" s="1519"/>
      <c r="I619" s="1519"/>
      <c r="J619" s="1519"/>
      <c r="K619" s="1519"/>
      <c r="L619" s="2372"/>
    </row>
    <row r="620" spans="2:12" s="1329" customFormat="1" ht="15">
      <c r="B620" s="1474"/>
      <c r="D620" s="2372"/>
      <c r="E620" s="2372"/>
      <c r="F620" s="1519"/>
      <c r="G620" s="1519"/>
      <c r="H620" s="1519"/>
      <c r="I620" s="1519"/>
      <c r="J620" s="1519"/>
      <c r="K620" s="1519"/>
      <c r="L620" s="2372"/>
    </row>
    <row r="621" spans="2:12" s="1329" customFormat="1" ht="15">
      <c r="B621" s="1474"/>
      <c r="D621" s="2372"/>
      <c r="E621" s="2372"/>
      <c r="F621" s="1519"/>
      <c r="G621" s="1519"/>
      <c r="H621" s="1519"/>
      <c r="I621" s="1519"/>
      <c r="J621" s="1519"/>
      <c r="K621" s="1519"/>
      <c r="L621" s="2372"/>
    </row>
    <row r="622" spans="2:12" s="1329" customFormat="1" ht="15">
      <c r="B622" s="1474"/>
      <c r="D622" s="2372"/>
      <c r="E622" s="2372"/>
      <c r="F622" s="1519"/>
      <c r="G622" s="1519"/>
      <c r="H622" s="1519"/>
      <c r="I622" s="1519"/>
      <c r="J622" s="1519"/>
      <c r="K622" s="1519"/>
      <c r="L622" s="2372"/>
    </row>
    <row r="623" spans="2:12" s="1329" customFormat="1" ht="15">
      <c r="B623" s="1474"/>
      <c r="D623" s="2372"/>
      <c r="E623" s="2372"/>
      <c r="F623" s="1519"/>
      <c r="G623" s="1519"/>
      <c r="H623" s="1519"/>
      <c r="I623" s="1519"/>
      <c r="J623" s="1519"/>
      <c r="K623" s="1519"/>
      <c r="L623" s="2372"/>
    </row>
    <row r="624" spans="2:12" s="1329" customFormat="1" ht="15">
      <c r="B624" s="1474"/>
      <c r="D624" s="2372"/>
      <c r="E624" s="2372"/>
      <c r="F624" s="1519"/>
      <c r="G624" s="1519"/>
      <c r="H624" s="1519"/>
      <c r="I624" s="1519"/>
      <c r="J624" s="1519"/>
      <c r="K624" s="1519"/>
      <c r="L624" s="2372"/>
    </row>
    <row r="625" spans="2:12" s="1329" customFormat="1" ht="15">
      <c r="B625" s="1474"/>
      <c r="D625" s="2372"/>
      <c r="E625" s="2372"/>
      <c r="F625" s="1519"/>
      <c r="G625" s="1519"/>
      <c r="H625" s="1519"/>
      <c r="I625" s="1519"/>
      <c r="J625" s="1519"/>
      <c r="K625" s="1519"/>
      <c r="L625" s="2372"/>
    </row>
    <row r="626" spans="2:12" s="1329" customFormat="1" ht="15">
      <c r="B626" s="1474"/>
      <c r="D626" s="2372"/>
      <c r="E626" s="2372"/>
      <c r="F626" s="1519"/>
      <c r="G626" s="1519"/>
      <c r="H626" s="1519"/>
      <c r="I626" s="1519"/>
      <c r="J626" s="1519"/>
      <c r="K626" s="1519"/>
      <c r="L626" s="2372"/>
    </row>
    <row r="627" spans="2:12" s="1329" customFormat="1" ht="15">
      <c r="B627" s="1474"/>
      <c r="D627" s="2372"/>
      <c r="E627" s="2372"/>
      <c r="F627" s="1519"/>
      <c r="G627" s="1519"/>
      <c r="H627" s="1519"/>
      <c r="I627" s="1519"/>
      <c r="J627" s="1519"/>
      <c r="K627" s="1519"/>
      <c r="L627" s="2372"/>
    </row>
    <row r="628" spans="2:12" s="1329" customFormat="1" ht="15">
      <c r="B628" s="1474"/>
      <c r="D628" s="2372"/>
      <c r="E628" s="2372"/>
      <c r="F628" s="1519"/>
      <c r="G628" s="1519"/>
      <c r="H628" s="1519"/>
      <c r="I628" s="1519"/>
      <c r="J628" s="1519"/>
      <c r="K628" s="1519"/>
      <c r="L628" s="2372"/>
    </row>
    <row r="629" spans="2:12" s="1329" customFormat="1" ht="15">
      <c r="B629" s="1474"/>
      <c r="D629" s="2372"/>
      <c r="E629" s="2372"/>
      <c r="F629" s="1519"/>
      <c r="G629" s="1519"/>
      <c r="H629" s="1519"/>
      <c r="I629" s="1519"/>
      <c r="J629" s="1519"/>
      <c r="K629" s="1519"/>
      <c r="L629" s="2372"/>
    </row>
    <row r="630" spans="2:12" s="1329" customFormat="1" ht="15">
      <c r="B630" s="1474"/>
      <c r="D630" s="2372"/>
      <c r="E630" s="2372"/>
      <c r="F630" s="1519"/>
      <c r="G630" s="1519"/>
      <c r="H630" s="1519"/>
      <c r="I630" s="1519"/>
      <c r="J630" s="1519"/>
      <c r="K630" s="1519"/>
      <c r="L630" s="2372"/>
    </row>
    <row r="631" spans="2:12" s="1329" customFormat="1" ht="15">
      <c r="B631" s="1474"/>
      <c r="D631" s="2372"/>
      <c r="E631" s="2372"/>
      <c r="F631" s="1519"/>
      <c r="G631" s="1519"/>
      <c r="H631" s="1519"/>
      <c r="I631" s="1519"/>
      <c r="J631" s="1519"/>
      <c r="K631" s="1519"/>
      <c r="L631" s="2372"/>
    </row>
    <row r="632" spans="2:12" s="1329" customFormat="1" ht="15">
      <c r="B632" s="1474"/>
      <c r="D632" s="2372"/>
      <c r="E632" s="2372"/>
      <c r="F632" s="1519"/>
      <c r="G632" s="1519"/>
      <c r="H632" s="1519"/>
      <c r="I632" s="1519"/>
      <c r="J632" s="1519"/>
      <c r="K632" s="1519"/>
      <c r="L632" s="2372"/>
    </row>
    <row r="633" spans="2:12" s="1329" customFormat="1" ht="15">
      <c r="B633" s="1474"/>
      <c r="D633" s="2372"/>
      <c r="E633" s="2372"/>
      <c r="F633" s="1519"/>
      <c r="G633" s="1519"/>
      <c r="H633" s="1519"/>
      <c r="I633" s="1519"/>
      <c r="J633" s="1519"/>
      <c r="K633" s="1519"/>
      <c r="L633" s="2372"/>
    </row>
    <row r="634" spans="2:12" s="1329" customFormat="1" ht="15">
      <c r="B634" s="1474"/>
      <c r="D634" s="2372"/>
      <c r="E634" s="2372"/>
      <c r="F634" s="1519"/>
      <c r="G634" s="1519"/>
      <c r="H634" s="1519"/>
      <c r="I634" s="1519"/>
      <c r="J634" s="1519"/>
      <c r="K634" s="1519"/>
      <c r="L634" s="2372"/>
    </row>
    <row r="635" spans="2:12" s="1329" customFormat="1" ht="15">
      <c r="B635" s="1474"/>
      <c r="D635" s="2372"/>
      <c r="E635" s="2372"/>
      <c r="F635" s="1519"/>
      <c r="G635" s="1519"/>
      <c r="H635" s="1519"/>
      <c r="I635" s="1519"/>
      <c r="J635" s="1519"/>
      <c r="K635" s="1519"/>
      <c r="L635" s="2372"/>
    </row>
    <row r="636" spans="2:12" s="1329" customFormat="1" ht="15">
      <c r="B636" s="1474"/>
      <c r="D636" s="2372"/>
      <c r="E636" s="2372"/>
      <c r="F636" s="1519"/>
      <c r="G636" s="1519"/>
      <c r="H636" s="1519"/>
      <c r="I636" s="1519"/>
      <c r="J636" s="1519"/>
      <c r="K636" s="1519"/>
      <c r="L636" s="2372"/>
    </row>
    <row r="637" spans="2:12" s="1329" customFormat="1" ht="15">
      <c r="B637" s="1474"/>
      <c r="D637" s="2372"/>
      <c r="E637" s="2372"/>
      <c r="F637" s="1519"/>
      <c r="G637" s="1519"/>
      <c r="H637" s="1519"/>
      <c r="I637" s="1519"/>
      <c r="J637" s="1519"/>
      <c r="K637" s="1519"/>
      <c r="L637" s="2372"/>
    </row>
    <row r="638" spans="2:12" s="1329" customFormat="1" ht="15">
      <c r="B638" s="1474"/>
      <c r="D638" s="2372"/>
      <c r="E638" s="2372"/>
      <c r="F638" s="1519"/>
      <c r="G638" s="1519"/>
      <c r="H638" s="1519"/>
      <c r="I638" s="1519"/>
      <c r="J638" s="1519"/>
      <c r="K638" s="1519"/>
      <c r="L638" s="2372"/>
    </row>
    <row r="639" spans="2:12" s="1329" customFormat="1" ht="15">
      <c r="B639" s="1474"/>
      <c r="D639" s="2372"/>
      <c r="E639" s="2372"/>
      <c r="F639" s="1519"/>
      <c r="G639" s="1519"/>
      <c r="H639" s="1519"/>
      <c r="I639" s="1519"/>
      <c r="J639" s="1519"/>
      <c r="K639" s="1519"/>
      <c r="L639" s="2372"/>
    </row>
    <row r="640" spans="2:12" s="1329" customFormat="1" ht="15">
      <c r="B640" s="1474"/>
      <c r="D640" s="2372"/>
      <c r="E640" s="2372"/>
      <c r="F640" s="1519"/>
      <c r="G640" s="1519"/>
      <c r="H640" s="1519"/>
      <c r="I640" s="1519"/>
      <c r="J640" s="1519"/>
      <c r="K640" s="1519"/>
      <c r="L640" s="2372"/>
    </row>
    <row r="641" spans="2:12" s="1329" customFormat="1" ht="15">
      <c r="B641" s="1474"/>
      <c r="D641" s="2372"/>
      <c r="E641" s="2372"/>
      <c r="F641" s="1519"/>
      <c r="G641" s="1519"/>
      <c r="H641" s="1519"/>
      <c r="I641" s="1519"/>
      <c r="J641" s="1519"/>
      <c r="K641" s="1519"/>
      <c r="L641" s="2372"/>
    </row>
    <row r="642" spans="2:12" s="1329" customFormat="1" ht="15">
      <c r="B642" s="1474"/>
      <c r="D642" s="2372"/>
      <c r="E642" s="2372"/>
      <c r="F642" s="1519"/>
      <c r="G642" s="1519"/>
      <c r="H642" s="1519"/>
      <c r="I642" s="1519"/>
      <c r="J642" s="1519"/>
      <c r="K642" s="1519"/>
      <c r="L642" s="2372"/>
    </row>
    <row r="643" spans="2:12" s="1329" customFormat="1" ht="15">
      <c r="B643" s="1474"/>
      <c r="D643" s="2372"/>
      <c r="E643" s="2372"/>
      <c r="F643" s="1519"/>
      <c r="G643" s="1519"/>
      <c r="H643" s="1519"/>
      <c r="I643" s="1519"/>
      <c r="J643" s="1519"/>
      <c r="K643" s="1519"/>
      <c r="L643" s="2372"/>
    </row>
    <row r="644" spans="2:12" s="1329" customFormat="1" ht="15">
      <c r="B644" s="1474"/>
      <c r="D644" s="2372"/>
      <c r="E644" s="2372"/>
      <c r="F644" s="1519"/>
      <c r="G644" s="1519"/>
      <c r="H644" s="1519"/>
      <c r="I644" s="1519"/>
      <c r="J644" s="1519"/>
      <c r="K644" s="1519"/>
      <c r="L644" s="2372"/>
    </row>
    <row r="645" spans="2:12" s="1329" customFormat="1" ht="15">
      <c r="B645" s="1474"/>
      <c r="D645" s="2372"/>
      <c r="E645" s="2372"/>
      <c r="F645" s="1519"/>
      <c r="G645" s="1519"/>
      <c r="H645" s="1519"/>
      <c r="I645" s="1519"/>
      <c r="J645" s="1519"/>
      <c r="K645" s="1519"/>
      <c r="L645" s="2372"/>
    </row>
    <row r="646" spans="2:12" s="1329" customFormat="1" ht="15">
      <c r="B646" s="1474"/>
      <c r="D646" s="2372"/>
      <c r="E646" s="2372"/>
      <c r="F646" s="1519"/>
      <c r="G646" s="1519"/>
      <c r="H646" s="1519"/>
      <c r="I646" s="1519"/>
      <c r="J646" s="1519"/>
      <c r="K646" s="1519"/>
      <c r="L646" s="2372"/>
    </row>
    <row r="647" spans="2:12" s="1329" customFormat="1" ht="15">
      <c r="B647" s="1474"/>
      <c r="D647" s="2372"/>
      <c r="E647" s="2372"/>
      <c r="F647" s="1519"/>
      <c r="G647" s="1519"/>
      <c r="H647" s="1519"/>
      <c r="I647" s="1519"/>
      <c r="J647" s="1519"/>
      <c r="K647" s="1519"/>
      <c r="L647" s="2372"/>
    </row>
    <row r="648" spans="2:12" s="1329" customFormat="1" ht="15">
      <c r="B648" s="1474"/>
      <c r="D648" s="2372"/>
      <c r="E648" s="2372"/>
      <c r="F648" s="1519"/>
      <c r="G648" s="1519"/>
      <c r="H648" s="1519"/>
      <c r="I648" s="1519"/>
      <c r="J648" s="1519"/>
      <c r="K648" s="1519"/>
      <c r="L648" s="2372"/>
    </row>
    <row r="649" spans="2:12" s="1329" customFormat="1" ht="15">
      <c r="B649" s="1474"/>
      <c r="D649" s="2372"/>
      <c r="E649" s="2372"/>
      <c r="F649" s="1519"/>
      <c r="G649" s="1519"/>
      <c r="H649" s="1519"/>
      <c r="I649" s="1519"/>
      <c r="J649" s="1519"/>
      <c r="K649" s="1519"/>
      <c r="L649" s="2372"/>
    </row>
    <row r="650" spans="2:12" s="1329" customFormat="1" ht="15">
      <c r="B650" s="1474"/>
      <c r="D650" s="2372"/>
      <c r="E650" s="2372"/>
      <c r="F650" s="1519"/>
      <c r="G650" s="1519"/>
      <c r="H650" s="1519"/>
      <c r="I650" s="1519"/>
      <c r="J650" s="1519"/>
      <c r="K650" s="1519"/>
      <c r="L650" s="2372"/>
    </row>
    <row r="651" spans="2:12" s="1329" customFormat="1" ht="15">
      <c r="B651" s="1474"/>
      <c r="D651" s="2372"/>
      <c r="E651" s="2372"/>
      <c r="F651" s="1519"/>
      <c r="G651" s="1519"/>
      <c r="H651" s="1519"/>
      <c r="I651" s="1519"/>
      <c r="J651" s="1519"/>
      <c r="K651" s="1519"/>
      <c r="L651" s="2372"/>
    </row>
    <row r="652" spans="2:12" s="1329" customFormat="1" ht="15">
      <c r="B652" s="1474"/>
      <c r="D652" s="2372"/>
      <c r="E652" s="2372"/>
      <c r="F652" s="1519"/>
      <c r="G652" s="1519"/>
      <c r="H652" s="1519"/>
      <c r="I652" s="1519"/>
      <c r="J652" s="1519"/>
      <c r="K652" s="1519"/>
      <c r="L652" s="2372"/>
    </row>
    <row r="653" spans="2:12" s="1329" customFormat="1" ht="15">
      <c r="B653" s="1474"/>
      <c r="D653" s="2372"/>
      <c r="E653" s="2372"/>
      <c r="F653" s="1519"/>
      <c r="G653" s="1519"/>
      <c r="H653" s="1519"/>
      <c r="I653" s="1519"/>
      <c r="J653" s="1519"/>
      <c r="K653" s="1519"/>
      <c r="L653" s="2372"/>
    </row>
    <row r="654" spans="2:12" s="1329" customFormat="1" ht="15">
      <c r="B654" s="1474"/>
      <c r="D654" s="2372"/>
      <c r="E654" s="2372"/>
      <c r="F654" s="1519"/>
      <c r="G654" s="1519"/>
      <c r="H654" s="1519"/>
      <c r="I654" s="1519"/>
      <c r="J654" s="1519"/>
      <c r="K654" s="1519"/>
      <c r="L654" s="2372"/>
    </row>
    <row r="655" spans="2:12" s="1329" customFormat="1" ht="15">
      <c r="B655" s="1474"/>
      <c r="D655" s="2372"/>
      <c r="E655" s="2372"/>
      <c r="F655" s="1519"/>
      <c r="G655" s="1519"/>
      <c r="H655" s="1519"/>
      <c r="I655" s="1519"/>
      <c r="J655" s="1519"/>
      <c r="K655" s="1519"/>
      <c r="L655" s="2372"/>
    </row>
    <row r="656" spans="2:12" s="1329" customFormat="1" ht="15">
      <c r="B656" s="1474"/>
      <c r="D656" s="2372"/>
      <c r="E656" s="2372"/>
      <c r="F656" s="1519"/>
      <c r="G656" s="1519"/>
      <c r="H656" s="1519"/>
      <c r="I656" s="1519"/>
      <c r="J656" s="1519"/>
      <c r="K656" s="1519"/>
      <c r="L656" s="2372"/>
    </row>
    <row r="657" spans="2:12" s="1329" customFormat="1" ht="15">
      <c r="B657" s="1474"/>
      <c r="D657" s="2372"/>
      <c r="E657" s="2372"/>
      <c r="F657" s="1519"/>
      <c r="G657" s="1519"/>
      <c r="H657" s="1519"/>
      <c r="I657" s="1519"/>
      <c r="J657" s="1519"/>
      <c r="K657" s="1519"/>
      <c r="L657" s="2372"/>
    </row>
    <row r="658" spans="2:12" s="1329" customFormat="1" ht="15">
      <c r="B658" s="1474"/>
      <c r="D658" s="2372"/>
      <c r="E658" s="2372"/>
      <c r="F658" s="1519"/>
      <c r="G658" s="1519"/>
      <c r="H658" s="1519"/>
      <c r="I658" s="1519"/>
      <c r="J658" s="1519"/>
      <c r="K658" s="1519"/>
      <c r="L658" s="2372"/>
    </row>
    <row r="659" spans="2:12" s="1329" customFormat="1" ht="15">
      <c r="B659" s="1474"/>
      <c r="D659" s="2372"/>
      <c r="E659" s="2372"/>
      <c r="F659" s="1519"/>
      <c r="G659" s="1519"/>
      <c r="H659" s="1519"/>
      <c r="I659" s="1519"/>
      <c r="J659" s="1519"/>
      <c r="K659" s="1519"/>
      <c r="L659" s="2372"/>
    </row>
    <row r="660" spans="2:12" s="1329" customFormat="1" ht="15">
      <c r="B660" s="1474"/>
      <c r="D660" s="2372"/>
      <c r="E660" s="2372"/>
      <c r="F660" s="1519"/>
      <c r="G660" s="1519"/>
      <c r="H660" s="1519"/>
      <c r="I660" s="1519"/>
      <c r="J660" s="1519"/>
      <c r="K660" s="1519"/>
      <c r="L660" s="2372"/>
    </row>
    <row r="661" spans="2:12" s="1329" customFormat="1" ht="15">
      <c r="B661" s="1474"/>
      <c r="D661" s="2372"/>
      <c r="E661" s="2372"/>
      <c r="F661" s="1519"/>
      <c r="G661" s="1519"/>
      <c r="H661" s="1519"/>
      <c r="I661" s="1519"/>
      <c r="J661" s="1519"/>
      <c r="K661" s="1519"/>
      <c r="L661" s="2372"/>
    </row>
    <row r="662" spans="2:12" s="1329" customFormat="1" ht="15">
      <c r="B662" s="1474"/>
      <c r="D662" s="2372"/>
      <c r="E662" s="2372"/>
      <c r="F662" s="1519"/>
      <c r="G662" s="1519"/>
      <c r="H662" s="1519"/>
      <c r="I662" s="1519"/>
      <c r="J662" s="1519"/>
      <c r="K662" s="1519"/>
      <c r="L662" s="2372"/>
    </row>
    <row r="663" spans="2:12" s="1329" customFormat="1" ht="15">
      <c r="B663" s="1474"/>
      <c r="D663" s="2372"/>
      <c r="E663" s="2372"/>
      <c r="F663" s="1519"/>
      <c r="G663" s="1519"/>
      <c r="H663" s="1519"/>
      <c r="I663" s="1519"/>
      <c r="J663" s="1519"/>
      <c r="K663" s="1519"/>
      <c r="L663" s="2372"/>
    </row>
    <row r="664" spans="2:12" s="1329" customFormat="1" ht="15">
      <c r="B664" s="1474"/>
      <c r="D664" s="2372"/>
      <c r="E664" s="2372"/>
      <c r="F664" s="1519"/>
      <c r="G664" s="1519"/>
      <c r="H664" s="1519"/>
      <c r="I664" s="1519"/>
      <c r="J664" s="1519"/>
      <c r="K664" s="1519"/>
      <c r="L664" s="2372"/>
    </row>
    <row r="665" spans="2:12" s="1329" customFormat="1" ht="15">
      <c r="B665" s="1474"/>
      <c r="D665" s="2372"/>
      <c r="E665" s="2372"/>
      <c r="F665" s="1519"/>
      <c r="G665" s="1519"/>
      <c r="H665" s="1519"/>
      <c r="I665" s="1519"/>
      <c r="J665" s="1519"/>
      <c r="K665" s="1519"/>
      <c r="L665" s="2372"/>
    </row>
    <row r="666" spans="2:12" s="1329" customFormat="1" ht="15">
      <c r="B666" s="1474"/>
      <c r="D666" s="2372"/>
      <c r="E666" s="2372"/>
      <c r="F666" s="1519"/>
      <c r="G666" s="1519"/>
      <c r="H666" s="1519"/>
      <c r="I666" s="1519"/>
      <c r="J666" s="1519"/>
      <c r="K666" s="1519"/>
      <c r="L666" s="2372"/>
    </row>
    <row r="667" spans="2:12" s="1329" customFormat="1" ht="15">
      <c r="B667" s="1474"/>
      <c r="D667" s="2372"/>
      <c r="E667" s="2372"/>
      <c r="F667" s="1519"/>
      <c r="G667" s="1519"/>
      <c r="H667" s="1519"/>
      <c r="I667" s="1519"/>
      <c r="J667" s="1519"/>
      <c r="K667" s="1519"/>
      <c r="L667" s="2372"/>
    </row>
    <row r="668" spans="2:12" s="1329" customFormat="1" ht="15">
      <c r="B668" s="1474"/>
      <c r="D668" s="2372"/>
      <c r="E668" s="2372"/>
      <c r="F668" s="1519"/>
      <c r="G668" s="1519"/>
      <c r="H668" s="1519"/>
      <c r="I668" s="1519"/>
      <c r="J668" s="1519"/>
      <c r="K668" s="1519"/>
      <c r="L668" s="2372"/>
    </row>
    <row r="669" spans="2:12" s="1329" customFormat="1" ht="15">
      <c r="B669" s="1474"/>
      <c r="D669" s="2372"/>
      <c r="E669" s="2372"/>
      <c r="F669" s="1519"/>
      <c r="G669" s="1519"/>
      <c r="H669" s="1519"/>
      <c r="I669" s="1519"/>
      <c r="J669" s="1519"/>
      <c r="K669" s="1519"/>
      <c r="L669" s="2372"/>
    </row>
    <row r="670" spans="2:12" s="1329" customFormat="1" ht="15">
      <c r="B670" s="1474"/>
      <c r="D670" s="2372"/>
      <c r="E670" s="2372"/>
      <c r="F670" s="1519"/>
      <c r="G670" s="1519"/>
      <c r="H670" s="1519"/>
      <c r="I670" s="1519"/>
      <c r="J670" s="1519"/>
      <c r="K670" s="1519"/>
      <c r="L670" s="2372"/>
    </row>
    <row r="671" spans="2:12" s="1329" customFormat="1" ht="15">
      <c r="B671" s="1474"/>
      <c r="D671" s="2372"/>
      <c r="E671" s="2372"/>
      <c r="F671" s="1519"/>
      <c r="G671" s="1519"/>
      <c r="H671" s="1519"/>
      <c r="I671" s="1519"/>
      <c r="J671" s="1519"/>
      <c r="K671" s="1519"/>
      <c r="L671" s="2372"/>
    </row>
    <row r="672" spans="2:12" s="1329" customFormat="1" ht="15">
      <c r="B672" s="1474"/>
      <c r="D672" s="2372"/>
      <c r="E672" s="2372"/>
      <c r="F672" s="1519"/>
      <c r="G672" s="1519"/>
      <c r="H672" s="1519"/>
      <c r="I672" s="1519"/>
      <c r="J672" s="1519"/>
      <c r="K672" s="1519"/>
      <c r="L672" s="2372"/>
    </row>
    <row r="673" spans="2:12" s="1329" customFormat="1" ht="15">
      <c r="B673" s="1474"/>
      <c r="D673" s="2372"/>
      <c r="E673" s="2372"/>
      <c r="F673" s="1519"/>
      <c r="G673" s="1519"/>
      <c r="H673" s="1519"/>
      <c r="I673" s="1519"/>
      <c r="J673" s="1519"/>
      <c r="K673" s="1519"/>
      <c r="L673" s="2372"/>
    </row>
    <row r="674" spans="2:12" s="1329" customFormat="1" ht="15">
      <c r="B674" s="1474"/>
      <c r="D674" s="2372"/>
      <c r="E674" s="2372"/>
      <c r="F674" s="1519"/>
      <c r="G674" s="1519"/>
      <c r="H674" s="1519"/>
      <c r="I674" s="1519"/>
      <c r="J674" s="1519"/>
      <c r="K674" s="1519"/>
      <c r="L674" s="2372"/>
    </row>
    <row r="675" spans="2:12" s="1329" customFormat="1" ht="15">
      <c r="B675" s="1474"/>
      <c r="D675" s="2372"/>
      <c r="E675" s="2372"/>
      <c r="F675" s="1519"/>
      <c r="G675" s="1519"/>
      <c r="H675" s="1519"/>
      <c r="I675" s="1519"/>
      <c r="J675" s="1519"/>
      <c r="K675" s="1519"/>
      <c r="L675" s="2372"/>
    </row>
    <row r="676" spans="2:12" s="1329" customFormat="1" ht="15">
      <c r="B676" s="1474"/>
      <c r="D676" s="2372"/>
      <c r="E676" s="2372"/>
      <c r="F676" s="1519"/>
      <c r="G676" s="1519"/>
      <c r="H676" s="1519"/>
      <c r="I676" s="1519"/>
      <c r="J676" s="1519"/>
      <c r="K676" s="1519"/>
      <c r="L676" s="2372"/>
    </row>
    <row r="677" spans="2:12" s="1329" customFormat="1" ht="15">
      <c r="B677" s="1474"/>
      <c r="D677" s="2372"/>
      <c r="E677" s="2372"/>
      <c r="F677" s="1519"/>
      <c r="G677" s="1519"/>
      <c r="H677" s="1519"/>
      <c r="I677" s="1519"/>
      <c r="J677" s="1519"/>
      <c r="K677" s="1519"/>
      <c r="L677" s="2372"/>
    </row>
    <row r="678" spans="2:12" s="1329" customFormat="1" ht="15">
      <c r="B678" s="1474"/>
      <c r="D678" s="2372"/>
      <c r="E678" s="2372"/>
      <c r="F678" s="1519"/>
      <c r="G678" s="1519"/>
      <c r="H678" s="1519"/>
      <c r="I678" s="1519"/>
      <c r="J678" s="1519"/>
      <c r="K678" s="1519"/>
      <c r="L678" s="2372"/>
    </row>
    <row r="679" spans="2:12" s="1329" customFormat="1" ht="15">
      <c r="B679" s="1474"/>
      <c r="D679" s="2372"/>
      <c r="E679" s="2372"/>
      <c r="F679" s="1519"/>
      <c r="G679" s="1519"/>
      <c r="H679" s="1519"/>
      <c r="I679" s="1519"/>
      <c r="J679" s="1519"/>
      <c r="K679" s="1519"/>
      <c r="L679" s="2372"/>
    </row>
    <row r="680" spans="2:12" s="1329" customFormat="1" ht="15">
      <c r="B680" s="1474"/>
      <c r="D680" s="2372"/>
      <c r="E680" s="2372"/>
      <c r="F680" s="1519"/>
      <c r="G680" s="1519"/>
      <c r="H680" s="1519"/>
      <c r="I680" s="1519"/>
      <c r="J680" s="1519"/>
      <c r="K680" s="1519"/>
      <c r="L680" s="2372"/>
    </row>
    <row r="681" spans="2:12" s="1329" customFormat="1" ht="15">
      <c r="B681" s="1474"/>
      <c r="D681" s="2372"/>
      <c r="E681" s="2372"/>
      <c r="F681" s="1519"/>
      <c r="G681" s="1519"/>
      <c r="H681" s="1519"/>
      <c r="I681" s="1519"/>
      <c r="J681" s="1519"/>
      <c r="K681" s="1519"/>
      <c r="L681" s="2372"/>
    </row>
    <row r="682" spans="2:12" s="1329" customFormat="1" ht="15">
      <c r="B682" s="1474"/>
      <c r="D682" s="2372"/>
      <c r="E682" s="2372"/>
      <c r="F682" s="1519"/>
      <c r="G682" s="1519"/>
      <c r="H682" s="1519"/>
      <c r="I682" s="1519"/>
      <c r="J682" s="1519"/>
      <c r="K682" s="1519"/>
      <c r="L682" s="2372"/>
    </row>
    <row r="683" spans="2:12" s="1329" customFormat="1" ht="15">
      <c r="B683" s="1474"/>
      <c r="D683" s="2372"/>
      <c r="E683" s="2372"/>
      <c r="F683" s="1519"/>
      <c r="G683" s="1519"/>
      <c r="H683" s="1519"/>
      <c r="I683" s="1519"/>
      <c r="J683" s="1519"/>
      <c r="K683" s="1519"/>
      <c r="L683" s="2372"/>
    </row>
    <row r="684" spans="2:12" s="1329" customFormat="1" ht="15">
      <c r="B684" s="1474"/>
      <c r="D684" s="2372"/>
      <c r="E684" s="2372"/>
      <c r="F684" s="1519"/>
      <c r="G684" s="1519"/>
      <c r="H684" s="1519"/>
      <c r="I684" s="1519"/>
      <c r="J684" s="1519"/>
      <c r="K684" s="1519"/>
      <c r="L684" s="2372"/>
    </row>
    <row r="685" spans="2:12" s="1329" customFormat="1" ht="15">
      <c r="B685" s="1474"/>
      <c r="D685" s="2372"/>
      <c r="E685" s="2372"/>
      <c r="F685" s="1519"/>
      <c r="G685" s="1519"/>
      <c r="H685" s="1519"/>
      <c r="I685" s="1519"/>
      <c r="J685" s="1519"/>
      <c r="K685" s="1519"/>
      <c r="L685" s="2372"/>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10" zoomScale="80" zoomScaleNormal="80" zoomScaleSheetLayoutView="100" workbookViewId="0">
      <selection activeCell="I35" sqref="I3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8.25" style="8" hidden="1" customWidth="1"/>
    <col min="32" max="32" width="1.625" style="8" hidden="1" customWidth="1"/>
    <col min="33" max="33" width="8.625" style="271" customWidth="1"/>
    <col min="34" max="34" width="40.62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52</v>
      </c>
      <c r="C1" s="5"/>
      <c r="D1" s="5"/>
      <c r="E1" s="5"/>
      <c r="F1" s="5"/>
      <c r="G1" s="5"/>
      <c r="H1" s="7"/>
      <c r="N1" s="1912" t="str">
        <f>'Validation summary'!$B$2</f>
        <v>2024-25</v>
      </c>
      <c r="R1" s="294" t="str">
        <f>VLOOKUP($K$3,Validation!$B$5:$C$22,2,0)</f>
        <v>ANH</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149</v>
      </c>
      <c r="C3" s="289"/>
      <c r="D3" s="289"/>
      <c r="E3" s="289"/>
      <c r="F3" s="289"/>
      <c r="G3" s="289"/>
      <c r="H3" s="289"/>
      <c r="I3" s="289"/>
      <c r="J3" s="290"/>
      <c r="K3" s="301" t="str">
        <f>'Validation summary'!$B$3</f>
        <v>Anglian Water</v>
      </c>
      <c r="L3" s="291"/>
      <c r="M3" s="292" t="s">
        <v>150</v>
      </c>
      <c r="N3" s="292"/>
      <c r="O3" s="309"/>
      <c r="P3" s="309"/>
      <c r="Q3" s="309"/>
      <c r="R3" s="1332"/>
      <c r="S3" s="1332"/>
      <c r="T3" s="1332"/>
      <c r="U3" s="1333"/>
      <c r="V3" s="1332"/>
      <c r="W3" s="1332"/>
      <c r="X3" s="1332"/>
      <c r="Y3" s="1332"/>
      <c r="Z3" s="1332"/>
      <c r="AA3" s="1333"/>
      <c r="AB3" s="1332"/>
      <c r="AC3" s="1332"/>
      <c r="AD3" s="1332"/>
      <c r="AE3" s="1332"/>
      <c r="AF3" s="1333"/>
      <c r="AG3" s="1334"/>
      <c r="AH3" s="289" t="s">
        <v>151</v>
      </c>
      <c r="AI3" s="289"/>
      <c r="AJ3" s="289"/>
      <c r="AK3" s="289"/>
      <c r="AL3" s="289"/>
      <c r="AM3" s="289"/>
      <c r="AN3" s="289"/>
      <c r="AO3" s="289"/>
    </row>
    <row r="4" spans="2:41" s="9" customFormat="1" ht="16.5" customHeight="1">
      <c r="B4" s="1329"/>
      <c r="C4" s="25">
        <v>1</v>
      </c>
      <c r="D4" s="25">
        <v>2</v>
      </c>
      <c r="E4" s="25" t="s">
        <v>152</v>
      </c>
      <c r="F4" s="25">
        <v>4</v>
      </c>
      <c r="G4" s="25">
        <v>5</v>
      </c>
      <c r="H4" s="25">
        <v>6</v>
      </c>
      <c r="I4" s="25">
        <v>7</v>
      </c>
      <c r="J4" s="35"/>
      <c r="K4" s="13"/>
      <c r="L4" s="1332"/>
      <c r="M4" s="1332"/>
      <c r="N4" s="1332"/>
      <c r="O4" s="1334"/>
      <c r="P4" s="1334"/>
      <c r="Q4" s="1334"/>
      <c r="R4" s="1332"/>
      <c r="S4" s="1332"/>
      <c r="T4" s="1332"/>
      <c r="U4" s="1333"/>
      <c r="V4" s="1332"/>
      <c r="W4" s="1332"/>
      <c r="X4" s="1332"/>
      <c r="Y4" s="1332"/>
      <c r="Z4" s="1332"/>
      <c r="AA4" s="1333"/>
      <c r="AB4" s="1332"/>
      <c r="AC4" s="1332"/>
      <c r="AD4" s="1332"/>
      <c r="AE4" s="1332"/>
      <c r="AF4" s="1333"/>
      <c r="AG4" s="1334"/>
      <c r="AH4" s="1332"/>
      <c r="AI4" s="1332"/>
      <c r="AJ4" s="1332"/>
      <c r="AK4" s="1332"/>
      <c r="AL4" s="1332"/>
      <c r="AM4" s="1332"/>
      <c r="AN4" s="1332"/>
      <c r="AO4" s="1332"/>
    </row>
    <row r="5" spans="2:41" s="9" customFormat="1" ht="126" customHeight="1">
      <c r="B5" s="2377" t="s">
        <v>153</v>
      </c>
      <c r="C5" s="2375" t="s">
        <v>154</v>
      </c>
      <c r="D5" s="2375" t="s">
        <v>155</v>
      </c>
      <c r="E5" s="2375" t="s">
        <v>156</v>
      </c>
      <c r="F5" s="2379" t="s">
        <v>157</v>
      </c>
      <c r="G5" s="2375" t="s">
        <v>158</v>
      </c>
      <c r="H5" s="272" t="s">
        <v>159</v>
      </c>
      <c r="I5" s="272" t="s">
        <v>160</v>
      </c>
      <c r="J5" s="273"/>
      <c r="K5" s="2375" t="s">
        <v>161</v>
      </c>
      <c r="L5" s="15"/>
      <c r="M5" s="2375" t="s">
        <v>162</v>
      </c>
      <c r="N5" s="2375" t="s">
        <v>163</v>
      </c>
      <c r="O5" s="279"/>
      <c r="P5" s="279"/>
      <c r="Q5" s="279"/>
      <c r="R5" s="1332"/>
      <c r="S5" s="1332"/>
      <c r="T5" s="1332"/>
      <c r="U5" s="1333"/>
      <c r="V5" s="1332" t="s">
        <v>162</v>
      </c>
      <c r="W5" s="1332"/>
      <c r="X5" s="1332"/>
      <c r="Y5" s="1332"/>
      <c r="Z5" s="1332"/>
      <c r="AA5" s="1333"/>
      <c r="AB5" s="1332"/>
      <c r="AC5" s="1332"/>
      <c r="AD5" s="1332"/>
      <c r="AE5" s="1332"/>
      <c r="AF5" s="1333"/>
      <c r="AG5" s="1334"/>
      <c r="AH5" s="2377" t="s">
        <v>153</v>
      </c>
      <c r="AI5" s="2375" t="s">
        <v>154</v>
      </c>
      <c r="AJ5" s="2375" t="s">
        <v>155</v>
      </c>
      <c r="AK5" s="2375" t="s">
        <v>156</v>
      </c>
      <c r="AL5" s="2379" t="s">
        <v>157</v>
      </c>
      <c r="AM5" s="2375" t="s">
        <v>158</v>
      </c>
      <c r="AN5" s="272" t="s">
        <v>164</v>
      </c>
      <c r="AO5" s="272" t="s">
        <v>160</v>
      </c>
    </row>
    <row r="6" spans="2:41" s="9" customFormat="1" ht="15.75">
      <c r="B6" s="2378"/>
      <c r="C6" s="2376"/>
      <c r="D6" s="2376"/>
      <c r="E6" s="2376"/>
      <c r="F6" s="2380"/>
      <c r="G6" s="2376"/>
      <c r="H6" s="2354" t="s">
        <v>165</v>
      </c>
      <c r="I6" s="2354" t="s">
        <v>165</v>
      </c>
      <c r="J6" s="273"/>
      <c r="K6" s="2375"/>
      <c r="L6" s="15"/>
      <c r="M6" s="2375"/>
      <c r="N6" s="2375"/>
      <c r="O6" s="279"/>
      <c r="P6" s="279"/>
      <c r="Q6" s="279"/>
      <c r="R6" s="1332"/>
      <c r="S6" s="1332"/>
      <c r="T6" s="1332"/>
      <c r="U6" s="1333"/>
      <c r="V6" s="320" t="s">
        <v>166</v>
      </c>
      <c r="W6" s="1332"/>
      <c r="X6" s="1332"/>
      <c r="Y6" s="1332"/>
      <c r="Z6" s="1332"/>
      <c r="AA6" s="1333"/>
      <c r="AB6" s="320" t="s">
        <v>167</v>
      </c>
      <c r="AC6" s="1332"/>
      <c r="AD6" s="320" t="s">
        <v>168</v>
      </c>
      <c r="AE6" s="1332"/>
      <c r="AF6" s="1333"/>
      <c r="AG6" s="1334"/>
      <c r="AH6" s="2378"/>
      <c r="AI6" s="2376"/>
      <c r="AJ6" s="2376"/>
      <c r="AK6" s="2376"/>
      <c r="AL6" s="2380"/>
      <c r="AM6" s="2376"/>
      <c r="AN6" s="2354" t="s">
        <v>165</v>
      </c>
      <c r="AO6" s="2354" t="s">
        <v>165</v>
      </c>
    </row>
    <row r="7" spans="2:41" s="9" customFormat="1" ht="15.75">
      <c r="B7" s="1329"/>
      <c r="C7" s="1329"/>
      <c r="D7" s="1329"/>
      <c r="E7" s="1329"/>
      <c r="F7" s="1329"/>
      <c r="G7" s="1329"/>
      <c r="H7" s="1329"/>
      <c r="I7" s="1329"/>
      <c r="J7" s="35"/>
      <c r="K7" s="13"/>
      <c r="L7" s="1332"/>
      <c r="M7" s="1332"/>
      <c r="N7" s="1332"/>
      <c r="O7" s="1334"/>
      <c r="P7" s="1334"/>
      <c r="Q7" s="1334"/>
      <c r="R7" s="1332"/>
      <c r="S7" s="1332"/>
      <c r="T7" s="1332"/>
      <c r="U7" s="1333"/>
      <c r="V7" s="1332" t="s">
        <v>169</v>
      </c>
      <c r="W7" s="1332"/>
      <c r="X7" s="1332"/>
      <c r="Y7" s="1332"/>
      <c r="Z7" s="1332"/>
      <c r="AA7" s="1333"/>
      <c r="AB7" s="1332"/>
      <c r="AC7" s="1332"/>
      <c r="AD7" s="320" t="s">
        <v>170</v>
      </c>
      <c r="AE7" s="1332"/>
      <c r="AF7" s="1333"/>
      <c r="AG7" s="1334"/>
      <c r="AH7" s="1332"/>
      <c r="AI7" s="1332"/>
      <c r="AJ7" s="1332"/>
      <c r="AK7" s="1332"/>
      <c r="AL7" s="1332"/>
      <c r="AM7" s="1332"/>
      <c r="AN7" s="1332"/>
      <c r="AO7" s="1332"/>
    </row>
    <row r="8" spans="2:41" s="9" customFormat="1" ht="15.75">
      <c r="B8" s="303" t="s">
        <v>171</v>
      </c>
      <c r="C8" s="12"/>
      <c r="D8" s="1329"/>
      <c r="E8" s="1329"/>
      <c r="F8" s="1329"/>
      <c r="G8" s="1329"/>
      <c r="H8" s="1329"/>
      <c r="I8" s="1329"/>
      <c r="J8" s="35"/>
      <c r="K8" s="13"/>
      <c r="L8" s="1332"/>
      <c r="M8" s="1332"/>
      <c r="N8" s="1332"/>
      <c r="O8" s="1334"/>
      <c r="P8" s="1334"/>
      <c r="Q8" s="1334"/>
      <c r="R8" s="1332"/>
      <c r="S8" s="1332"/>
      <c r="T8" s="1332"/>
      <c r="U8" s="1333"/>
      <c r="V8" s="317">
        <v>3</v>
      </c>
      <c r="W8" s="317">
        <v>4</v>
      </c>
      <c r="X8" s="317">
        <v>5</v>
      </c>
      <c r="Y8" s="317">
        <v>6</v>
      </c>
      <c r="Z8" s="317">
        <v>7</v>
      </c>
      <c r="AA8" s="321"/>
      <c r="AB8" s="317">
        <v>4</v>
      </c>
      <c r="AC8" s="317">
        <v>5</v>
      </c>
      <c r="AD8" s="317">
        <v>6</v>
      </c>
      <c r="AE8" s="317">
        <v>6</v>
      </c>
      <c r="AF8" s="1333"/>
      <c r="AG8" s="1334"/>
      <c r="AH8" s="303" t="s">
        <v>171</v>
      </c>
      <c r="AI8" s="12"/>
      <c r="AJ8" s="1329"/>
      <c r="AK8" s="1329"/>
      <c r="AL8" s="1329"/>
      <c r="AM8" s="1329"/>
      <c r="AN8" s="1329"/>
      <c r="AO8" s="1329"/>
    </row>
    <row r="9" spans="2:41" s="9" customFormat="1" ht="28.35" customHeight="1">
      <c r="B9" s="282" t="s">
        <v>172</v>
      </c>
      <c r="C9" s="283" t="str">
        <f>IF($K$3="Select company","",VLOOKUP($R$1,C_WQC,2,0))</f>
        <v>PR19ANH_3</v>
      </c>
      <c r="D9" s="283" t="str">
        <f>IF($K$3="Select company","",INDEX(App1bdata,MATCH($C9,App1bIDnrs,0),20))</f>
        <v>number</v>
      </c>
      <c r="E9" s="283">
        <f>IF($K$3="Select company","",INDEX(App1bdata,MATCH($C9,App1bIDnrs,0),22))</f>
        <v>2</v>
      </c>
      <c r="F9" s="2293">
        <v>2.13</v>
      </c>
      <c r="G9" s="2260" t="s">
        <v>173</v>
      </c>
      <c r="H9" s="1790">
        <f>IF($C9="","",SUM(HLOOKUP($C9,'Model outputs - PC level'!$J$5:$BS$25,12,0),HLOOKUP($C9,'Model outputs - PC level'!$J$5:$BS$25,13,0),HLOOKUP($C9,'Model outputs - PC level'!$J$5:$BS$25,15,0),HLOOKUP($C9,'Model outputs - PC level'!$J$5:$BS$25,16,0),HLOOKUP($C9,'Model outputs - PC level'!$J$5:$BS$25,18,0),HLOOKUP($C9,'Model outputs - PC level'!$J$5:$BS$25,19,0)))</f>
        <v>-0.49643999999999994</v>
      </c>
      <c r="I9" s="2276">
        <v>-4.8609999999999998</v>
      </c>
      <c r="J9" s="35"/>
      <c r="K9" s="286" t="s">
        <v>174</v>
      </c>
      <c r="L9" s="1332"/>
      <c r="M9" s="319">
        <f>IF(SUM($V9:$Z9)=0,0,$V$6)</f>
        <v>0</v>
      </c>
      <c r="N9" s="331">
        <f>IF(SUM($AB9:$AB9)&lt;&gt;0,$AB$6,IF($AD9=1,$AD$6,IF($AE9=1,$AD$7,0)))</f>
        <v>0</v>
      </c>
      <c r="O9" s="323"/>
      <c r="P9" s="2012"/>
      <c r="Q9" s="355"/>
      <c r="R9" s="1332"/>
      <c r="S9" s="265"/>
      <c r="T9" s="1332"/>
      <c r="U9" s="1333"/>
      <c r="V9" s="318"/>
      <c r="W9" s="318">
        <f>IF($C9="",0,IF(ISBLANK($F9)=TRUE,1,0))</f>
        <v>0</v>
      </c>
      <c r="X9" s="318">
        <f t="shared" ref="X9:X16" si="0">IF($C9="",0,IF(ISBLANK($G9)=TRUE,1,0))</f>
        <v>0</v>
      </c>
      <c r="Y9" s="318"/>
      <c r="Z9" s="318">
        <f t="shared" ref="Z9:Z16" si="1">IF($C9="",0,IF(ISBLANK($I9)=TRUE,1,0))</f>
        <v>0</v>
      </c>
      <c r="AA9" s="1333"/>
      <c r="AB9" s="322">
        <f>IF($F9&lt;0,1,0)</f>
        <v>0</v>
      </c>
      <c r="AC9" s="322"/>
      <c r="AD9" s="318">
        <f>IF(ISERROR($H9)=TRUE,1,0)</f>
        <v>0</v>
      </c>
      <c r="AE9" s="322">
        <f>IF(OR(AND(G9="Yes",H9&gt;=0),AND(G9="No",H9&lt;=0),AND(G9="-",H9=0)),0,1)</f>
        <v>0</v>
      </c>
      <c r="AF9" s="1333"/>
      <c r="AG9" s="1334"/>
      <c r="AH9" s="282" t="str">
        <f>B9</f>
        <v>Water quality compliance (CRI)</v>
      </c>
      <c r="AI9" s="282" t="str">
        <f t="shared" ref="AI9:AK9" si="2">C9</f>
        <v>PR19ANH_3</v>
      </c>
      <c r="AJ9" s="282" t="str">
        <f t="shared" si="2"/>
        <v>number</v>
      </c>
      <c r="AK9" s="282">
        <f t="shared" si="2"/>
        <v>2</v>
      </c>
      <c r="AL9" s="1415" t="s">
        <v>175</v>
      </c>
      <c r="AM9" s="1416" t="s">
        <v>176</v>
      </c>
      <c r="AN9" s="1417" t="s">
        <v>177</v>
      </c>
      <c r="AO9" s="1418" t="s">
        <v>178</v>
      </c>
    </row>
    <row r="10" spans="2:41" s="9" customFormat="1" ht="28.35" customHeight="1">
      <c r="B10" s="282" t="s">
        <v>179</v>
      </c>
      <c r="C10" s="284" t="str">
        <f>IF($K$3="Select company","",VLOOKUP($R$1,C_WSI,2,0))</f>
        <v>PR19ANH_4</v>
      </c>
      <c r="D10" s="284" t="str">
        <f>IF($K$3="Select company","",INDEX(App1bdata,MATCH($C10,App1bIDnrs,0),20))</f>
        <v>hh:mm:ss</v>
      </c>
      <c r="E10" s="284">
        <f>IF($K$3="Select company","",INDEX(App1bdata,MATCH($C10,App1bIDnrs,0),22))</f>
        <v>0</v>
      </c>
      <c r="F10" s="2140">
        <f>'3F'!$H$25</f>
        <v>4.7596344359324451E-3</v>
      </c>
      <c r="G10" s="2260" t="s">
        <v>173</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-2.1245391315531585</v>
      </c>
      <c r="I10" s="2276">
        <v>-19.731999999999999</v>
      </c>
      <c r="J10" s="35"/>
      <c r="K10" s="286" t="s">
        <v>180</v>
      </c>
      <c r="L10" s="1332"/>
      <c r="M10" s="319">
        <f t="shared" ref="M10:M16" si="3">IF(SUM($V10:$Z10)=0,0,$V$6)</f>
        <v>0</v>
      </c>
      <c r="N10" s="331">
        <f>IF(OR($AB10=1,$AD10=1),$AD$6,IF($AE10=1,$AD$7,0))</f>
        <v>0</v>
      </c>
      <c r="O10" s="323"/>
      <c r="P10" s="1906"/>
      <c r="Q10" s="310"/>
      <c r="R10" s="1332"/>
      <c r="S10" s="266"/>
      <c r="T10" s="1332"/>
      <c r="U10" s="1333"/>
      <c r="V10" s="318"/>
      <c r="W10" s="318"/>
      <c r="X10" s="318">
        <f t="shared" si="0"/>
        <v>0</v>
      </c>
      <c r="Y10" s="318"/>
      <c r="Z10" s="318">
        <f t="shared" si="1"/>
        <v>0</v>
      </c>
      <c r="AA10" s="1333"/>
      <c r="AB10" s="322">
        <f>IF(ISERROR($F10)=TRUE,1,0)</f>
        <v>0</v>
      </c>
      <c r="AC10" s="1332"/>
      <c r="AD10" s="318">
        <f t="shared" ref="AD10:AD16" si="4">IF(ISERROR($H10)=TRUE,1,0)</f>
        <v>0</v>
      </c>
      <c r="AE10" s="322">
        <f>IF(OR(AND(G10="Yes",H10&gt;=0),AND(G10="No",H10&lt;=0),AND(G10="-",H10=0)),0,1)</f>
        <v>0</v>
      </c>
      <c r="AF10" s="1333"/>
      <c r="AG10" s="1334"/>
      <c r="AH10" s="282" t="str">
        <f t="shared" ref="AH10:AH16" si="5">B10</f>
        <v>Water supply interruptions</v>
      </c>
      <c r="AI10" s="282" t="str">
        <f t="shared" ref="AI10:AI16" si="6">C10</f>
        <v>PR19ANH_4</v>
      </c>
      <c r="AJ10" s="282" t="str">
        <f t="shared" ref="AJ10:AJ16" si="7">D10</f>
        <v>hh:mm:ss</v>
      </c>
      <c r="AK10" s="282">
        <f t="shared" ref="AK10:AK16" si="8">E10</f>
        <v>0</v>
      </c>
      <c r="AL10" s="2005" t="s">
        <v>181</v>
      </c>
      <c r="AM10" s="1416" t="s">
        <v>182</v>
      </c>
      <c r="AN10" s="1419" t="s">
        <v>183</v>
      </c>
      <c r="AO10" s="1418" t="s">
        <v>184</v>
      </c>
    </row>
    <row r="11" spans="2:41" s="9" customFormat="1" ht="28.35" customHeight="1">
      <c r="B11" s="282" t="str">
        <f>IF($R$1="NES","Leakage NW region",IF($R$1="SSC","Leakage South Staffs region","Leakage"))</f>
        <v>Leakage</v>
      </c>
      <c r="C11" s="284" t="str">
        <f>IF($K$3="Select company","",VLOOKUP($R$1,C_Leakage,2,0))</f>
        <v>PR19ANH_5</v>
      </c>
      <c r="D11" s="284" t="str">
        <f>IF($K$3="Select company","",INDEX(App1bdata,MATCH($C11,App1bIDnrs,0),20))</f>
        <v>%</v>
      </c>
      <c r="E11" s="284">
        <f>IF($K$3="Select company","",INDEX(App1bdata,MATCH($C11,App1bIDnrs,0),22))</f>
        <v>1</v>
      </c>
      <c r="F11" s="1789">
        <f>IF(OR($R$1="NES",$R$1="SSC"),'3F.1'!$N$18,'3F'!$N$18)</f>
        <v>3.9155074703760895</v>
      </c>
      <c r="G11" s="2260" t="s">
        <v>173</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-16.940000000000001</v>
      </c>
      <c r="I11" s="2276">
        <v>-28.277000000000001</v>
      </c>
      <c r="J11" s="35"/>
      <c r="K11" s="286" t="s">
        <v>185</v>
      </c>
      <c r="L11" s="1332"/>
      <c r="M11" s="319">
        <f t="shared" si="3"/>
        <v>0</v>
      </c>
      <c r="N11" s="331">
        <f>IF(OR($AB11=1,$AD11=1),$AD$6,IF($AE11=1,$AD$7,0))</f>
        <v>0</v>
      </c>
      <c r="O11" s="310"/>
      <c r="P11" s="310"/>
      <c r="Q11" s="310"/>
      <c r="R11" s="1332"/>
      <c r="S11" s="258"/>
      <c r="T11" s="1332"/>
      <c r="U11" s="1333"/>
      <c r="V11" s="318"/>
      <c r="W11" s="318"/>
      <c r="X11" s="318">
        <f t="shared" si="0"/>
        <v>0</v>
      </c>
      <c r="Y11" s="318"/>
      <c r="Z11" s="318">
        <f t="shared" si="1"/>
        <v>0</v>
      </c>
      <c r="AA11" s="1333"/>
      <c r="AB11" s="322">
        <f>IF(ISERROR($F11)=TRUE,1,0)</f>
        <v>0</v>
      </c>
      <c r="AC11" s="1332"/>
      <c r="AD11" s="318">
        <f t="shared" si="4"/>
        <v>0</v>
      </c>
      <c r="AE11" s="322">
        <f>IF(OR(AND(G11="Yes",H11&gt;=0),AND(G11="No",H11&lt;=0),AND(G11="-",H11=0)),0,1)</f>
        <v>0</v>
      </c>
      <c r="AF11" s="1333"/>
      <c r="AG11" s="1334"/>
      <c r="AH11" s="282" t="str">
        <f t="shared" si="5"/>
        <v>Leakage</v>
      </c>
      <c r="AI11" s="282" t="str">
        <f t="shared" si="6"/>
        <v>PR19ANH_5</v>
      </c>
      <c r="AJ11" s="282" t="str">
        <f t="shared" si="7"/>
        <v>%</v>
      </c>
      <c r="AK11" s="282">
        <f t="shared" si="8"/>
        <v>1</v>
      </c>
      <c r="AL11" s="2006" t="s">
        <v>186</v>
      </c>
      <c r="AM11" s="1416" t="s">
        <v>187</v>
      </c>
      <c r="AN11" s="1419" t="s">
        <v>188</v>
      </c>
      <c r="AO11" s="1418" t="s">
        <v>189</v>
      </c>
    </row>
    <row r="12" spans="2:41" s="9" customFormat="1" ht="28.35"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789" t="str">
        <f>IF(OR($R$1="NES",$R$1="SSC"),'3F.2'!$N$18,"")</f>
        <v/>
      </c>
      <c r="G12" s="2260"/>
      <c r="H12" s="1791"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76"/>
      <c r="J12" s="35"/>
      <c r="K12" s="286" t="s">
        <v>185</v>
      </c>
      <c r="L12" s="1332"/>
      <c r="M12" s="319">
        <f>IF($C12="",0,IF(SUM($V12:$Z12)=0,0,$V$6))</f>
        <v>0</v>
      </c>
      <c r="N12" s="331">
        <f>IF($C12="",0,IF(OR($AB12=1,$AD12=1),$AD$6,IF($AE12=1,$AD$7,0)))</f>
        <v>0</v>
      </c>
      <c r="O12" s="310"/>
      <c r="P12" s="310"/>
      <c r="Q12" s="310"/>
      <c r="R12" s="1332"/>
      <c r="S12" s="258"/>
      <c r="T12" s="1332"/>
      <c r="U12" s="1333"/>
      <c r="V12" s="318"/>
      <c r="W12" s="318"/>
      <c r="X12" s="318">
        <f t="shared" si="0"/>
        <v>0</v>
      </c>
      <c r="Y12" s="318"/>
      <c r="Z12" s="318">
        <f t="shared" si="1"/>
        <v>0</v>
      </c>
      <c r="AA12" s="1333"/>
      <c r="AB12" s="322">
        <f>IF($C12="",0,IF(ISERROR($F12)=TRUE,1,0))</f>
        <v>0</v>
      </c>
      <c r="AC12" s="1332"/>
      <c r="AD12" s="322">
        <f>IF($C12="",0,IF(ISERROR($H12)=TRUE,1,0))</f>
        <v>0</v>
      </c>
      <c r="AE12" s="322">
        <f>IF($C12="",0,IF(OR(AND(G12="Yes",H12&gt;=0),AND(G12="No",H12&lt;=0),AND(G12="-",H12=0)),0,1))</f>
        <v>0</v>
      </c>
      <c r="AF12" s="1333"/>
      <c r="AG12" s="1334"/>
      <c r="AH12" s="282" t="str">
        <f t="shared" si="5"/>
        <v>[For use by NES and SSC only]</v>
      </c>
      <c r="AI12" s="282" t="str">
        <f t="shared" si="6"/>
        <v/>
      </c>
      <c r="AJ12" s="282" t="str">
        <f t="shared" si="7"/>
        <v/>
      </c>
      <c r="AK12" s="282" t="str">
        <f t="shared" si="8"/>
        <v/>
      </c>
      <c r="AL12" s="2006" t="s">
        <v>190</v>
      </c>
      <c r="AM12" s="1416" t="s">
        <v>191</v>
      </c>
      <c r="AN12" s="1419" t="s">
        <v>192</v>
      </c>
      <c r="AO12" s="1418" t="s">
        <v>193</v>
      </c>
    </row>
    <row r="13" spans="2:41" s="9" customFormat="1" ht="28.35" customHeight="1">
      <c r="B13" s="1913" t="str">
        <f>IF($R$1="SSC","Per capita consumption South Staffs region","Per capita consumption")</f>
        <v>Per capita consumption</v>
      </c>
      <c r="C13" s="284" t="str">
        <f>IF($K$3="Select company","",VLOOKUP($R$1,C_PCC,2,0))</f>
        <v>PR19ANH_6</v>
      </c>
      <c r="D13" s="284" t="str">
        <f>IF($K$3="Select company","",INDEX(App1bdata,MATCH($C13,App1bIDnrs,0),20))</f>
        <v xml:space="preserve">% </v>
      </c>
      <c r="E13" s="284">
        <f>IF($K$3="Select company","",INDEX(App1bdata,MATCH($C13,App1bIDnrs,0),22))</f>
        <v>1</v>
      </c>
      <c r="F13" s="1789">
        <f>IF($R$1="SSC",'3F.1'!$N$19,'3F'!$N$19)</f>
        <v>4.666666666666675</v>
      </c>
      <c r="G13" s="2260" t="s">
        <v>173</v>
      </c>
      <c r="H13" s="1791">
        <f>IF($C13="","",SUM(HLOOKUP($C13,'Model outputs - PC level'!$J$5:$BS$25,12,0),HLOOKUP($C13,'Model outputs - PC level'!$J$5:$BS$25,13,0),HLOOKUP($C13,'Model outputs - PC level'!$J$5:$BS$25,15,0),HLOOKUP($C13,'Model outputs - PC level'!$J$5:$BS$25,16,0),HLOOKUP($C13,'Model outputs - PC level'!$J$5:$BS$25,18,0),HLOOKUP($C13,'Model outputs - PC level'!$J$5:$BS$25,19,0)))</f>
        <v>-0.48620000000000002</v>
      </c>
      <c r="I13" s="2276">
        <v>-8.8260000000000005</v>
      </c>
      <c r="J13" s="35"/>
      <c r="K13" s="286" t="s">
        <v>194</v>
      </c>
      <c r="L13" s="1332"/>
      <c r="M13" s="319">
        <f t="shared" si="3"/>
        <v>0</v>
      </c>
      <c r="N13" s="331">
        <f>IF(OR($AB13=1,$AD13=1),$AD$6,IF($AE13=1,$AD$7,0))</f>
        <v>0</v>
      </c>
      <c r="O13" s="310"/>
      <c r="P13" s="310"/>
      <c r="Q13" s="310"/>
      <c r="R13" s="1332"/>
      <c r="S13" s="258"/>
      <c r="T13" s="1332"/>
      <c r="U13" s="1333"/>
      <c r="V13" s="318"/>
      <c r="W13" s="318"/>
      <c r="X13" s="318">
        <f t="shared" si="0"/>
        <v>0</v>
      </c>
      <c r="Y13" s="318"/>
      <c r="Z13" s="318">
        <f t="shared" si="1"/>
        <v>0</v>
      </c>
      <c r="AA13" s="1333"/>
      <c r="AB13" s="322">
        <f>IF(ISERROR($F13)=TRUE,1,0)</f>
        <v>0</v>
      </c>
      <c r="AC13" s="1332"/>
      <c r="AD13" s="318">
        <f t="shared" si="4"/>
        <v>0</v>
      </c>
      <c r="AE13" s="322">
        <f>IF(OR(AND(G13="Yes",H13&gt;=0),AND(G13="No",H13&lt;=0),AND(G13="-",H13=0)),0,1)</f>
        <v>0</v>
      </c>
      <c r="AF13" s="1333"/>
      <c r="AG13" s="1334"/>
      <c r="AH13" s="282" t="str">
        <f t="shared" si="5"/>
        <v>Per capita consumption</v>
      </c>
      <c r="AI13" s="282" t="str">
        <f t="shared" si="6"/>
        <v>PR19ANH_6</v>
      </c>
      <c r="AJ13" s="282" t="str">
        <f t="shared" si="7"/>
        <v xml:space="preserve">% </v>
      </c>
      <c r="AK13" s="282">
        <f t="shared" si="8"/>
        <v>1</v>
      </c>
      <c r="AL13" s="2006" t="s">
        <v>195</v>
      </c>
      <c r="AM13" s="1416" t="s">
        <v>196</v>
      </c>
      <c r="AN13" s="1419" t="s">
        <v>197</v>
      </c>
      <c r="AO13" s="1418" t="s">
        <v>198</v>
      </c>
    </row>
    <row r="14" spans="2:41" s="9" customFormat="1" ht="28.35"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789" t="str">
        <f>IF($R$1="SSC",'3F.2'!$N$19,"")</f>
        <v/>
      </c>
      <c r="G14" s="2260"/>
      <c r="H14" s="1791"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76"/>
      <c r="J14" s="35"/>
      <c r="K14" s="286" t="s">
        <v>194</v>
      </c>
      <c r="L14" s="1332"/>
      <c r="M14" s="319">
        <f>IF($C14="",0,IF(SUM($V14:$Z14)=0,0,$V$6))</f>
        <v>0</v>
      </c>
      <c r="N14" s="331">
        <f>IF($C14="",0,IF(OR($AB14=1,$AD14=1),$AD$6,IF($AE14=1,$AD$7,0)))</f>
        <v>0</v>
      </c>
      <c r="O14" s="310"/>
      <c r="P14" s="310"/>
      <c r="Q14" s="310"/>
      <c r="R14" s="1332"/>
      <c r="S14" s="258"/>
      <c r="T14" s="1332"/>
      <c r="U14" s="1333"/>
      <c r="V14" s="318"/>
      <c r="W14" s="318"/>
      <c r="X14" s="318">
        <f t="shared" si="0"/>
        <v>0</v>
      </c>
      <c r="Y14" s="318"/>
      <c r="Z14" s="318">
        <f t="shared" si="1"/>
        <v>0</v>
      </c>
      <c r="AA14" s="1333"/>
      <c r="AB14" s="322">
        <f>IF($C14="",0,IF(ISERROR($F14)=TRUE,1,0))</f>
        <v>0</v>
      </c>
      <c r="AC14" s="1332"/>
      <c r="AD14" s="322">
        <f>IF($C14="",0,IF(ISERROR($H14)=TRUE,1,0))</f>
        <v>0</v>
      </c>
      <c r="AE14" s="322">
        <f>IF($C14="",0,IF(OR(AND(G14="Yes",H14&gt;=0),AND(G14="No",H14&lt;=0),AND(G14="-",H14=0)),0,1))</f>
        <v>0</v>
      </c>
      <c r="AF14" s="1333"/>
      <c r="AG14" s="1334"/>
      <c r="AH14" s="282" t="str">
        <f t="shared" si="5"/>
        <v>[For use by SSC only]</v>
      </c>
      <c r="AI14" s="282" t="str">
        <f t="shared" si="6"/>
        <v/>
      </c>
      <c r="AJ14" s="282" t="str">
        <f t="shared" si="7"/>
        <v/>
      </c>
      <c r="AK14" s="282" t="str">
        <f t="shared" si="8"/>
        <v/>
      </c>
      <c r="AL14" s="2006" t="s">
        <v>199</v>
      </c>
      <c r="AM14" s="1416" t="s">
        <v>200</v>
      </c>
      <c r="AN14" s="1419" t="s">
        <v>201</v>
      </c>
      <c r="AO14" s="1418" t="s">
        <v>202</v>
      </c>
    </row>
    <row r="15" spans="2:41" s="9" customFormat="1" ht="28.35" customHeight="1">
      <c r="B15" s="282" t="s">
        <v>203</v>
      </c>
      <c r="C15" s="284" t="str">
        <f>IF($K$3="Select company","",VLOOKUP($R$1,C_MRepair,2,0))</f>
        <v>PR19ANH_11</v>
      </c>
      <c r="D15" s="284" t="str">
        <f>IF($K$3="Select company","",INDEX(App1bdata,MATCH($C15,App1bIDnrs,0),20))</f>
        <v>number</v>
      </c>
      <c r="E15" s="284">
        <f>IF($K$3="Select company","",INDEX(App1bdata,MATCH($C15,App1bIDnrs,0),22))</f>
        <v>1</v>
      </c>
      <c r="F15" s="1789">
        <f>'3F'!$G$11</f>
        <v>133.36935635776922</v>
      </c>
      <c r="G15" s="2260" t="s">
        <v>173</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76">
        <v>-4.4550000000000001</v>
      </c>
      <c r="J15" s="35"/>
      <c r="K15" s="286" t="s">
        <v>204</v>
      </c>
      <c r="L15" s="1332"/>
      <c r="M15" s="319">
        <f t="shared" si="3"/>
        <v>0</v>
      </c>
      <c r="N15" s="331">
        <f>IF(OR($AB15=1,$AD15=1),$AD$6,IF($AE15=1,$AD$7,0))</f>
        <v>0</v>
      </c>
      <c r="O15" s="323"/>
      <c r="P15" s="310"/>
      <c r="Q15" s="310"/>
      <c r="R15" s="1332"/>
      <c r="S15" s="258"/>
      <c r="T15" s="1332"/>
      <c r="U15" s="1333"/>
      <c r="V15" s="318"/>
      <c r="W15" s="318"/>
      <c r="X15" s="318">
        <f t="shared" si="0"/>
        <v>0</v>
      </c>
      <c r="Y15" s="318"/>
      <c r="Z15" s="318">
        <f t="shared" si="1"/>
        <v>0</v>
      </c>
      <c r="AA15" s="1333"/>
      <c r="AB15" s="322">
        <f>IF(ISERROR($F15)=TRUE,1,0)</f>
        <v>0</v>
      </c>
      <c r="AC15" s="1332"/>
      <c r="AD15" s="318">
        <f t="shared" si="4"/>
        <v>0</v>
      </c>
      <c r="AE15" s="322">
        <f>IF(OR(AND(G15="Yes",H15&gt;=0),AND(G15="No",H15&lt;=0),AND(G15="-",H15=0)),0,1)</f>
        <v>0</v>
      </c>
      <c r="AF15" s="1333"/>
      <c r="AG15" s="1334"/>
      <c r="AH15" s="282" t="str">
        <f t="shared" si="5"/>
        <v>Mains repairs</v>
      </c>
      <c r="AI15" s="282" t="str">
        <f t="shared" si="6"/>
        <v>PR19ANH_11</v>
      </c>
      <c r="AJ15" s="282" t="str">
        <f t="shared" si="7"/>
        <v>number</v>
      </c>
      <c r="AK15" s="282">
        <f t="shared" si="8"/>
        <v>1</v>
      </c>
      <c r="AL15" s="2006" t="s">
        <v>205</v>
      </c>
      <c r="AM15" s="1416" t="s">
        <v>206</v>
      </c>
      <c r="AN15" s="1419" t="s">
        <v>207</v>
      </c>
      <c r="AO15" s="1418" t="s">
        <v>208</v>
      </c>
    </row>
    <row r="16" spans="2:41" s="9" customFormat="1" ht="28.35" customHeight="1">
      <c r="B16" s="282" t="s">
        <v>209</v>
      </c>
      <c r="C16" s="284" t="str">
        <f>IF($K$3="Select company","",VLOOKUP($R$1,C_UOutage,2,0))</f>
        <v>PR19ANH_12</v>
      </c>
      <c r="D16" s="284" t="str">
        <f>IF($K$3="Select company","",INDEX(App1bdata,MATCH($C16,App1bIDnrs,0),20))</f>
        <v>%</v>
      </c>
      <c r="E16" s="284">
        <f>IF($K$3="Select company","",INDEX(App1bdata,MATCH($C16,App1bIDnrs,0),22))</f>
        <v>2</v>
      </c>
      <c r="F16" s="2141">
        <f>'3F'!$E$40*100</f>
        <v>1.8790051410309851</v>
      </c>
      <c r="G16" s="2260" t="s">
        <v>210</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76">
        <v>0</v>
      </c>
      <c r="J16" s="35"/>
      <c r="K16" s="286" t="s">
        <v>211</v>
      </c>
      <c r="L16" s="1332"/>
      <c r="M16" s="319">
        <f t="shared" si="3"/>
        <v>0</v>
      </c>
      <c r="N16" s="331">
        <f>IF(OR($AB16=1,$AD16=1),$AD$6,IF($AE16=1,$AD$7,0))</f>
        <v>0</v>
      </c>
      <c r="O16" s="323"/>
      <c r="P16" s="310"/>
      <c r="Q16" s="310"/>
      <c r="R16" s="1332"/>
      <c r="S16" s="258"/>
      <c r="T16" s="1332"/>
      <c r="U16" s="1333"/>
      <c r="V16" s="318"/>
      <c r="W16" s="318"/>
      <c r="X16" s="318">
        <f t="shared" si="0"/>
        <v>0</v>
      </c>
      <c r="Y16" s="318"/>
      <c r="Z16" s="318">
        <f t="shared" si="1"/>
        <v>0</v>
      </c>
      <c r="AA16" s="1333"/>
      <c r="AB16" s="322">
        <f>IF(ISERROR($F16)=TRUE,1,0)</f>
        <v>0</v>
      </c>
      <c r="AC16" s="1332"/>
      <c r="AD16" s="318">
        <f t="shared" si="4"/>
        <v>0</v>
      </c>
      <c r="AE16" s="322">
        <f>IF(OR(AND(G16="Yes",H16&gt;=0),AND(G16="No",H16&lt;=0),AND(G16="-",H16=0)),0,1)</f>
        <v>0</v>
      </c>
      <c r="AF16" s="1333"/>
      <c r="AG16" s="1334"/>
      <c r="AH16" s="282" t="str">
        <f t="shared" si="5"/>
        <v>Unplanned outage</v>
      </c>
      <c r="AI16" s="282" t="str">
        <f t="shared" si="6"/>
        <v>PR19ANH_12</v>
      </c>
      <c r="AJ16" s="282" t="str">
        <f t="shared" si="7"/>
        <v>%</v>
      </c>
      <c r="AK16" s="282">
        <f t="shared" si="8"/>
        <v>2</v>
      </c>
      <c r="AL16" s="2007" t="s">
        <v>212</v>
      </c>
      <c r="AM16" s="1416" t="s">
        <v>213</v>
      </c>
      <c r="AN16" s="1419" t="s">
        <v>214</v>
      </c>
      <c r="AO16" s="1418" t="s">
        <v>215</v>
      </c>
    </row>
    <row r="17" spans="2:46" s="9" customFormat="1" ht="15">
      <c r="B17" s="1329"/>
      <c r="C17" s="1329"/>
      <c r="D17" s="1329"/>
      <c r="E17" s="1329"/>
      <c r="F17" s="1329"/>
      <c r="G17" s="1329"/>
      <c r="H17" s="1329"/>
      <c r="I17" s="1329"/>
      <c r="J17" s="1332"/>
      <c r="K17" s="1332"/>
      <c r="L17" s="1332"/>
      <c r="M17" s="1332"/>
      <c r="N17" s="1332"/>
      <c r="O17" s="1334"/>
      <c r="P17" s="1334"/>
      <c r="Q17" s="1334"/>
      <c r="R17" s="1332"/>
      <c r="S17" s="1332"/>
      <c r="T17" s="1332"/>
      <c r="U17" s="1333"/>
      <c r="V17" s="1332" t="s">
        <v>216</v>
      </c>
      <c r="W17" s="1332"/>
      <c r="X17" s="1332"/>
      <c r="Y17" s="1332"/>
      <c r="Z17" s="1332"/>
      <c r="AA17" s="1333"/>
      <c r="AB17" s="1332"/>
      <c r="AC17" s="1332"/>
      <c r="AD17" s="1332"/>
      <c r="AE17" s="1332"/>
      <c r="AF17" s="1333"/>
      <c r="AG17" s="1334"/>
      <c r="AH17" s="1329"/>
      <c r="AI17" s="1329"/>
      <c r="AJ17" s="1329"/>
      <c r="AK17" s="1329"/>
      <c r="AL17" s="1329"/>
      <c r="AM17" s="1329"/>
      <c r="AN17" s="1329"/>
      <c r="AO17" s="1329"/>
      <c r="AP17" s="1332"/>
      <c r="AQ17" s="1332"/>
      <c r="AR17" s="1332"/>
      <c r="AS17" s="1332"/>
      <c r="AT17" s="1332"/>
    </row>
    <row r="18" spans="2:46" s="9" customFormat="1" ht="16.5" customHeight="1">
      <c r="B18" s="303" t="s">
        <v>217</v>
      </c>
      <c r="C18" s="12"/>
      <c r="D18" s="1329"/>
      <c r="E18" s="1329"/>
      <c r="F18" s="1329"/>
      <c r="G18" s="1329"/>
      <c r="H18" s="1329"/>
      <c r="I18" s="1329"/>
      <c r="J18" s="1332"/>
      <c r="K18" s="1332"/>
      <c r="L18" s="1332"/>
      <c r="M18" s="1332"/>
      <c r="N18" s="1332"/>
      <c r="O18" s="1334"/>
      <c r="P18" s="1334"/>
      <c r="Q18" s="1334"/>
      <c r="R18" s="1332"/>
      <c r="S18" s="1332"/>
      <c r="T18" s="1332"/>
      <c r="U18" s="1333"/>
      <c r="V18" s="317">
        <v>3</v>
      </c>
      <c r="W18" s="317">
        <v>4</v>
      </c>
      <c r="X18" s="317">
        <v>5</v>
      </c>
      <c r="Y18" s="317">
        <v>6</v>
      </c>
      <c r="Z18" s="317">
        <v>7</v>
      </c>
      <c r="AA18" s="321"/>
      <c r="AB18" s="317">
        <v>4</v>
      </c>
      <c r="AC18" s="317">
        <v>5</v>
      </c>
      <c r="AD18" s="317">
        <v>6</v>
      </c>
      <c r="AE18" s="317">
        <v>6</v>
      </c>
      <c r="AF18" s="1333"/>
      <c r="AG18" s="1334"/>
      <c r="AH18" s="303" t="s">
        <v>217</v>
      </c>
      <c r="AI18" s="12"/>
      <c r="AJ18" s="1329"/>
      <c r="AK18" s="1329"/>
      <c r="AL18" s="1329"/>
      <c r="AM18" s="1329"/>
      <c r="AN18" s="1329"/>
      <c r="AO18" s="1329"/>
      <c r="AP18" s="1332"/>
      <c r="AQ18" s="1332"/>
      <c r="AR18" s="1332"/>
      <c r="AS18" s="1332"/>
      <c r="AT18" s="1332"/>
    </row>
    <row r="19" spans="2:46" s="16" customFormat="1" ht="28.5" customHeight="1">
      <c r="B19" s="285" t="str">
        <f t="shared" ref="B19:B38" si="9">IF($K$3="Select company","",IF($C19="","",INDEX(App1data,MATCH($C19,App1IDnrs,0),5)))</f>
        <v>Percentage of population supplied by a single supply system</v>
      </c>
      <c r="C19" s="287" t="str">
        <f>IF($K$3="Select company","",IF(HLOOKUP($R$1,BW_FIN_All,'PC lists'!$B33,0)="","",HLOOKUP($R$1,BW_FIN_All,'PC lists'!$B33,0)))</f>
        <v>PR19ANH_15</v>
      </c>
      <c r="D19" s="287" t="str">
        <f t="shared" ref="D19:D38" si="10">IF($C19="","",INDEX(App1data,MATCH($C19,App1IDnrs,0),20))</f>
        <v>%</v>
      </c>
      <c r="E19" s="287">
        <f t="shared" ref="E19:E38" si="11">IF($C19="","",INDEX(App1data,MATCH($C19,App1IDnrs,0),22))</f>
        <v>1</v>
      </c>
      <c r="F19" s="2294">
        <v>22.3</v>
      </c>
      <c r="G19" s="2260" t="s">
        <v>173</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77">
        <v>0.59899999999999998</v>
      </c>
      <c r="K19" s="286" t="s">
        <v>218</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Percentage of population supplied by a single supply system</v>
      </c>
      <c r="AI19" s="285" t="str">
        <f t="shared" ref="AI19:AK19" si="17">C19</f>
        <v>PR19ANH_15</v>
      </c>
      <c r="AJ19" s="285" t="str">
        <f t="shared" si="17"/>
        <v>%</v>
      </c>
      <c r="AK19" s="285">
        <f t="shared" si="17"/>
        <v>1</v>
      </c>
      <c r="AL19" s="1416" t="s">
        <v>219</v>
      </c>
      <c r="AM19" s="1416" t="s">
        <v>220</v>
      </c>
      <c r="AN19" s="1419" t="s">
        <v>221</v>
      </c>
      <c r="AO19" s="1421" t="s">
        <v>222</v>
      </c>
      <c r="AQ19" s="1332"/>
      <c r="AR19" s="1332"/>
      <c r="AS19" s="1332"/>
      <c r="AT19" s="1332"/>
    </row>
    <row r="20" spans="2:46" s="16" customFormat="1" ht="28.5" customHeight="1">
      <c r="B20" s="1913" t="str">
        <f t="shared" si="9"/>
        <v>Properties at risk of persistent low pressure</v>
      </c>
      <c r="C20" s="287" t="str">
        <f>IF($K$3="Select company","",IF(HLOOKUP($R$1,BW_FIN_All,'PC lists'!$B34,0)="","",HLOOKUP($R$1,BW_FIN_All,'PC lists'!$B34,0)))</f>
        <v>PR19ANH_16</v>
      </c>
      <c r="D20" s="287" t="str">
        <f t="shared" si="10"/>
        <v>nr</v>
      </c>
      <c r="E20" s="287">
        <f t="shared" si="11"/>
        <v>0</v>
      </c>
      <c r="F20" s="2294">
        <v>62</v>
      </c>
      <c r="G20" s="2260" t="s">
        <v>210</v>
      </c>
      <c r="H20" s="1791">
        <f>IF($C20="","",SUM(HLOOKUP($C20,'Model outputs - PC level'!$J$5:$BS$25,12,0),HLOOKUP($C20,'Model outputs - PC level'!$J$5:$BS$25,13,0),HLOOKUP($C20,'Model outputs - PC level'!$J$5:$BS$25,15,0),HLOOKUP($C20,'Model outputs - PC level'!$J$5:$BS$25,16,0),HLOOKUP($C20,'Model outputs - PC level'!$J$5:$BS$25,18,0),HLOOKUP($C20,'Model outputs - PC level'!$J$5:$BS$25,19,0)))</f>
        <v>0.27895999999999999</v>
      </c>
      <c r="I20" s="2276">
        <v>2.0350000000000001</v>
      </c>
      <c r="K20" s="286" t="s">
        <v>223</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Properties at risk of persistent low pressure</v>
      </c>
      <c r="AI20" s="285" t="str">
        <f t="shared" ref="AI20:AI38" si="21">C20</f>
        <v>PR19ANH_16</v>
      </c>
      <c r="AJ20" s="285" t="str">
        <f t="shared" ref="AJ20:AJ38" si="22">D20</f>
        <v>nr</v>
      </c>
      <c r="AK20" s="285">
        <f t="shared" ref="AK20:AK38" si="23">E20</f>
        <v>0</v>
      </c>
      <c r="AL20" s="1416" t="s">
        <v>224</v>
      </c>
      <c r="AM20" s="1416" t="s">
        <v>225</v>
      </c>
      <c r="AN20" s="1419" t="s">
        <v>226</v>
      </c>
      <c r="AO20" s="1418" t="s">
        <v>227</v>
      </c>
      <c r="AQ20" s="1332"/>
      <c r="AR20" s="1332"/>
      <c r="AS20" s="1332"/>
      <c r="AT20" s="1332"/>
    </row>
    <row r="21" spans="2:46" s="16" customFormat="1" ht="28.5" customHeight="1">
      <c r="B21" s="1913" t="str">
        <f t="shared" si="9"/>
        <v>Abstraction Incentive Mechanism</v>
      </c>
      <c r="C21" s="287" t="str">
        <f>IF($K$3="Select company","",IF(HLOOKUP($R$1,BW_FIN_All,'PC lists'!$B35,0)="","",HLOOKUP($R$1,BW_FIN_All,'PC lists'!$B35,0)))</f>
        <v>PR19ANH_20</v>
      </c>
      <c r="D21" s="287" t="str">
        <f t="shared" si="10"/>
        <v>nr</v>
      </c>
      <c r="E21" s="287">
        <f t="shared" si="11"/>
        <v>0</v>
      </c>
      <c r="F21" s="2294">
        <v>85</v>
      </c>
      <c r="G21" s="2260" t="s">
        <v>173</v>
      </c>
      <c r="H21" s="1791">
        <f>IF($C21="","",SUM(HLOOKUP($C21,'Model outputs - PC level'!$J$5:$BS$25,12,0),HLOOKUP($C21,'Model outputs - PC level'!$J$5:$BS$25,13,0),HLOOKUP($C21,'Model outputs - PC level'!$J$5:$BS$25,15,0),HLOOKUP($C21,'Model outputs - PC level'!$J$5:$BS$25,16,0),HLOOKUP($C21,'Model outputs - PC level'!$J$5:$BS$25,18,0),HLOOKUP($C21,'Model outputs - PC level'!$J$5:$BS$25,19,0)))</f>
        <v>-8.7999999999999995E-2</v>
      </c>
      <c r="I21" s="2276">
        <v>-0.19800000000000001</v>
      </c>
      <c r="K21" s="286" t="s">
        <v>228</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Abstraction Incentive Mechanism</v>
      </c>
      <c r="AI21" s="285" t="str">
        <f t="shared" si="21"/>
        <v>PR19ANH_20</v>
      </c>
      <c r="AJ21" s="285" t="str">
        <f t="shared" si="22"/>
        <v>nr</v>
      </c>
      <c r="AK21" s="285">
        <f t="shared" si="23"/>
        <v>0</v>
      </c>
      <c r="AL21" s="1422" t="s">
        <v>229</v>
      </c>
      <c r="AM21" s="1416" t="s">
        <v>230</v>
      </c>
      <c r="AN21" s="1419" t="s">
        <v>231</v>
      </c>
      <c r="AO21" s="1418" t="s">
        <v>232</v>
      </c>
      <c r="AQ21" s="1332"/>
      <c r="AR21" s="1332"/>
      <c r="AS21" s="1332"/>
      <c r="AT21" s="1332"/>
    </row>
    <row r="22" spans="2:46" s="16" customFormat="1" ht="28.5" customHeight="1">
      <c r="B22" s="1913" t="str">
        <f t="shared" si="9"/>
        <v>Managing void properties</v>
      </c>
      <c r="C22" s="287" t="str">
        <f>IF($K$3="Select company","",IF(HLOOKUP($R$1,BW_FIN_All,'PC lists'!$B36,0)="","",HLOOKUP($R$1,BW_FIN_All,'PC lists'!$B36,0)))</f>
        <v>PR19ANH_23</v>
      </c>
      <c r="D22" s="287" t="str">
        <f t="shared" si="10"/>
        <v>%</v>
      </c>
      <c r="E22" s="287">
        <f t="shared" si="11"/>
        <v>2</v>
      </c>
      <c r="F22" s="2294">
        <v>0.06</v>
      </c>
      <c r="G22" s="2260" t="s">
        <v>210</v>
      </c>
      <c r="H22" s="1791">
        <f>IF($C22="","",SUM(HLOOKUP($C22,'Model outputs - PC level'!$J$5:$BS$25,12,0),HLOOKUP($C22,'Model outputs - PC level'!$J$5:$BS$25,13,0),HLOOKUP($C22,'Model outputs - PC level'!$J$5:$BS$25,15,0),HLOOKUP($C22,'Model outputs - PC level'!$J$5:$BS$25,16,0),HLOOKUP($C22,'Model outputs - PC level'!$J$5:$BS$25,18,0),HLOOKUP($C22,'Model outputs - PC level'!$J$5:$BS$25,19,0)))</f>
        <v>0.89604000000000006</v>
      </c>
      <c r="I22" s="2276">
        <v>5.8010000000000002</v>
      </c>
      <c r="K22" s="286" t="s">
        <v>233</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Managing void properties</v>
      </c>
      <c r="AI22" s="285" t="str">
        <f t="shared" si="21"/>
        <v>PR19ANH_23</v>
      </c>
      <c r="AJ22" s="285" t="str">
        <f t="shared" si="22"/>
        <v>%</v>
      </c>
      <c r="AK22" s="285">
        <f t="shared" si="23"/>
        <v>2</v>
      </c>
      <c r="AL22" s="1416" t="s">
        <v>234</v>
      </c>
      <c r="AM22" s="1416" t="s">
        <v>235</v>
      </c>
      <c r="AN22" s="1419" t="s">
        <v>236</v>
      </c>
      <c r="AO22" s="1418" t="s">
        <v>237</v>
      </c>
      <c r="AQ22" s="1332"/>
      <c r="AR22" s="1332"/>
      <c r="AS22" s="1332"/>
      <c r="AT22" s="1332"/>
    </row>
    <row r="23" spans="2:46" s="16" customFormat="1" ht="28.5" customHeight="1">
      <c r="B23" s="1913" t="str">
        <f t="shared" si="9"/>
        <v>Water quality contacts</v>
      </c>
      <c r="C23" s="287" t="str">
        <f>IF($K$3="Select company","",IF(HLOOKUP($R$1,BW_FIN_All,'PC lists'!$B37,0)="","",HLOOKUP($R$1,BW_FIN_All,'PC lists'!$B37,0)))</f>
        <v>PR19ANH_34</v>
      </c>
      <c r="D23" s="287" t="str">
        <f t="shared" si="10"/>
        <v>nr</v>
      </c>
      <c r="E23" s="287">
        <f t="shared" si="11"/>
        <v>2</v>
      </c>
      <c r="F23" s="2294">
        <v>0.91</v>
      </c>
      <c r="G23" s="2260" t="s">
        <v>173</v>
      </c>
      <c r="H23" s="1791">
        <f>IF($C23="","",SUM(HLOOKUP($C23,'Model outputs - PC level'!$J$5:$BS$25,12,0),HLOOKUP($C23,'Model outputs - PC level'!$J$5:$BS$25,13,0),HLOOKUP($C23,'Model outputs - PC level'!$J$5:$BS$25,15,0),HLOOKUP($C23,'Model outputs - PC level'!$J$5:$BS$25,16,0),HLOOKUP($C23,'Model outputs - PC level'!$J$5:$BS$25,18,0),HLOOKUP($C23,'Model outputs - PC level'!$J$5:$BS$25,19,0)))</f>
        <v>-0.37464000000000008</v>
      </c>
      <c r="I23" s="2276">
        <v>-0.77700000000000002</v>
      </c>
      <c r="K23" s="286" t="s">
        <v>238</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Water quality contacts</v>
      </c>
      <c r="AI23" s="285" t="str">
        <f t="shared" si="21"/>
        <v>PR19ANH_34</v>
      </c>
      <c r="AJ23" s="285" t="str">
        <f t="shared" si="22"/>
        <v>nr</v>
      </c>
      <c r="AK23" s="285">
        <f t="shared" si="23"/>
        <v>2</v>
      </c>
      <c r="AL23" s="1416" t="s">
        <v>239</v>
      </c>
      <c r="AM23" s="1416" t="s">
        <v>240</v>
      </c>
      <c r="AN23" s="1419" t="s">
        <v>241</v>
      </c>
      <c r="AO23" s="1418" t="s">
        <v>242</v>
      </c>
      <c r="AQ23" s="1332"/>
      <c r="AR23" s="1332"/>
      <c r="AS23" s="1332"/>
      <c r="AT23" s="1332"/>
    </row>
    <row r="24" spans="2:46" s="16" customFormat="1" ht="28.5" customHeight="1">
      <c r="B24" s="1914" t="str">
        <f t="shared" si="9"/>
        <v>Smart metering delivery</v>
      </c>
      <c r="C24" s="1901" t="str">
        <f>IF($K$3="Select company","",IF(HLOOKUP($R$1,BW_FIN_All,'PC lists'!$B38,0)="","",HLOOKUP($R$1,BW_FIN_All,'PC lists'!$B38,0)))</f>
        <v>PR19ANH_38</v>
      </c>
      <c r="D24" s="1901" t="str">
        <f t="shared" si="10"/>
        <v>nr</v>
      </c>
      <c r="E24" s="1901">
        <f t="shared" si="11"/>
        <v>0</v>
      </c>
      <c r="F24" s="2260">
        <v>1096405</v>
      </c>
      <c r="G24" s="2260" t="s">
        <v>210</v>
      </c>
      <c r="H24" s="1791">
        <f>IF($C24="","",SUM(HLOOKUP($C24,'Model outputs - PC level'!$J$5:$BS$25,12,0),HLOOKUP($C24,'Model outputs - PC level'!$J$5:$BS$25,13,0),HLOOKUP($C24,'Model outputs - PC level'!$J$5:$BS$25,15,0),HLOOKUP($C24,'Model outputs - PC level'!$J$5:$BS$25,16,0),HLOOKUP($C24,'Model outputs - PC level'!$J$5:$BS$25,18,0),HLOOKUP($C24,'Model outputs - PC level'!$J$5:$BS$25,19,0)))</f>
        <v>0</v>
      </c>
      <c r="I24" s="2276">
        <v>0</v>
      </c>
      <c r="K24" s="286" t="s">
        <v>243</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Smart metering delivery</v>
      </c>
      <c r="AI24" s="285" t="str">
        <f t="shared" si="21"/>
        <v>PR19ANH_38</v>
      </c>
      <c r="AJ24" s="285" t="str">
        <f t="shared" si="22"/>
        <v>nr</v>
      </c>
      <c r="AK24" s="285">
        <f t="shared" si="23"/>
        <v>0</v>
      </c>
      <c r="AL24" s="1416" t="s">
        <v>244</v>
      </c>
      <c r="AM24" s="1416" t="s">
        <v>245</v>
      </c>
      <c r="AN24" s="1419" t="s">
        <v>246</v>
      </c>
      <c r="AO24" s="1418" t="s">
        <v>247</v>
      </c>
      <c r="AQ24" s="1332"/>
      <c r="AR24" s="1332"/>
      <c r="AS24" s="1332"/>
      <c r="AT24" s="1332"/>
    </row>
    <row r="25" spans="2:46" s="16" customFormat="1" ht="28.5" customHeight="1">
      <c r="B25" s="1914" t="str">
        <f t="shared" si="9"/>
        <v>Internal interconnection delivery</v>
      </c>
      <c r="C25" s="1901" t="str">
        <f>IF($K$3="Select company","",IF(HLOOKUP($R$1,BW_FIN_All,'PC lists'!$B39,0)="","",HLOOKUP($R$1,BW_FIN_All,'PC lists'!$B39,0)))</f>
        <v>PR19ANH_39</v>
      </c>
      <c r="D25" s="1901" t="str">
        <f t="shared" si="10"/>
        <v>nr</v>
      </c>
      <c r="E25" s="1901">
        <f t="shared" si="11"/>
        <v>1</v>
      </c>
      <c r="F25" s="2294">
        <v>11.5</v>
      </c>
      <c r="G25" s="2260" t="s">
        <v>248</v>
      </c>
      <c r="H25" s="1791">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76">
        <v>0</v>
      </c>
      <c r="K25" s="286" t="s">
        <v>249</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Internal interconnection delivery</v>
      </c>
      <c r="AI25" s="285" t="str">
        <f t="shared" si="21"/>
        <v>PR19ANH_39</v>
      </c>
      <c r="AJ25" s="285" t="str">
        <f t="shared" si="22"/>
        <v>nr</v>
      </c>
      <c r="AK25" s="285">
        <f t="shared" si="23"/>
        <v>1</v>
      </c>
      <c r="AL25" s="1416" t="s">
        <v>250</v>
      </c>
      <c r="AM25" s="1416" t="s">
        <v>251</v>
      </c>
      <c r="AN25" s="1419" t="s">
        <v>252</v>
      </c>
      <c r="AO25" s="1418" t="s">
        <v>253</v>
      </c>
      <c r="AQ25" s="1332"/>
      <c r="AR25" s="1332"/>
      <c r="AS25" s="1332"/>
      <c r="AT25" s="1332"/>
    </row>
    <row r="26" spans="2:46" s="16" customFormat="1" ht="28.5" customHeight="1">
      <c r="B26" s="1914" t="str">
        <f t="shared" si="9"/>
        <v>Cyber Security</v>
      </c>
      <c r="C26" s="1901" t="str">
        <f>IF($K$3="Select company","",IF(HLOOKUP($R$1,BW_FIN_All,'PC lists'!$B40,0)="","",HLOOKUP($R$1,BW_FIN_All,'PC lists'!$B40,0)))</f>
        <v>PR19ANH_41</v>
      </c>
      <c r="D26" s="1901" t="str">
        <f t="shared" si="10"/>
        <v xml:space="preserve">% </v>
      </c>
      <c r="E26" s="1901">
        <f t="shared" si="11"/>
        <v>0</v>
      </c>
      <c r="F26" s="2260">
        <v>100</v>
      </c>
      <c r="G26" s="2260" t="s">
        <v>210</v>
      </c>
      <c r="H26" s="1791">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76">
        <v>0</v>
      </c>
      <c r="K26" s="286" t="s">
        <v>254</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Cyber Security</v>
      </c>
      <c r="AI26" s="285" t="str">
        <f t="shared" si="21"/>
        <v>PR19ANH_41</v>
      </c>
      <c r="AJ26" s="285" t="str">
        <f t="shared" si="22"/>
        <v xml:space="preserve">% </v>
      </c>
      <c r="AK26" s="285">
        <f t="shared" si="23"/>
        <v>0</v>
      </c>
      <c r="AL26" s="1416" t="s">
        <v>255</v>
      </c>
      <c r="AM26" s="1416" t="s">
        <v>256</v>
      </c>
      <c r="AN26" s="1419" t="s">
        <v>257</v>
      </c>
      <c r="AO26" s="1418" t="s">
        <v>258</v>
      </c>
      <c r="AQ26" s="1332"/>
      <c r="AR26" s="1332"/>
      <c r="AS26" s="1332"/>
      <c r="AT26" s="1332"/>
    </row>
    <row r="27" spans="2:46" s="16" customFormat="1" ht="28.5" customHeight="1">
      <c r="B27" s="1914" t="str">
        <f t="shared" si="9"/>
        <v>Underperformance incentive for Elsham treatment works and transfer scheme</v>
      </c>
      <c r="C27" s="1901" t="str">
        <f>IF($K$3="Select company","",IF(HLOOKUP($R$1,BW_FIN_All,'PC lists'!$B41,0)="","",HLOOKUP($R$1,BW_FIN_All,'PC lists'!$B41,0)))</f>
        <v>PR19ANH_47</v>
      </c>
      <c r="D27" s="1901" t="str">
        <f t="shared" si="10"/>
        <v>text</v>
      </c>
      <c r="E27" s="1901">
        <f t="shared" si="11"/>
        <v>0</v>
      </c>
      <c r="F27" s="2261" t="s">
        <v>259</v>
      </c>
      <c r="G27" s="2260" t="s">
        <v>248</v>
      </c>
      <c r="H27" s="1791">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76">
        <v>0</v>
      </c>
      <c r="K27" s="286" t="s">
        <v>260</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Underperformance incentive for Elsham treatment works and transfer scheme</v>
      </c>
      <c r="AI27" s="285" t="str">
        <f t="shared" si="21"/>
        <v>PR19ANH_47</v>
      </c>
      <c r="AJ27" s="285" t="str">
        <f t="shared" si="22"/>
        <v>text</v>
      </c>
      <c r="AK27" s="285">
        <f t="shared" si="23"/>
        <v>0</v>
      </c>
      <c r="AL27" s="1422" t="s">
        <v>261</v>
      </c>
      <c r="AM27" s="1416" t="s">
        <v>262</v>
      </c>
      <c r="AN27" s="1419" t="s">
        <v>263</v>
      </c>
      <c r="AO27" s="1418" t="s">
        <v>264</v>
      </c>
      <c r="AQ27" s="1332"/>
      <c r="AR27" s="1332"/>
      <c r="AS27" s="1332"/>
      <c r="AT27" s="1332"/>
    </row>
    <row r="28" spans="2:46" s="16" customFormat="1" ht="28.5" customHeight="1">
      <c r="B28" s="1900" t="str">
        <f t="shared" si="9"/>
        <v>Outperformance payment for Elsham treatment works and transfer scheme</v>
      </c>
      <c r="C28" s="1901" t="str">
        <f>IF($K$3="Select company","",IF(HLOOKUP($R$1,BW_FIN_All,'PC lists'!$B42,0)="","",HLOOKUP($R$1,BW_FIN_All,'PC lists'!$B42,0)))</f>
        <v>PR19ANH_48</v>
      </c>
      <c r="D28" s="1901" t="str">
        <f t="shared" si="10"/>
        <v>text</v>
      </c>
      <c r="E28" s="1901">
        <f t="shared" si="11"/>
        <v>0</v>
      </c>
      <c r="F28" s="2260" t="s">
        <v>259</v>
      </c>
      <c r="G28" s="2260" t="s">
        <v>248</v>
      </c>
      <c r="H28" s="1791">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76">
        <v>0</v>
      </c>
      <c r="K28" s="286" t="s">
        <v>265</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Outperformance payment for Elsham treatment works and transfer scheme</v>
      </c>
      <c r="AI28" s="285" t="str">
        <f t="shared" si="21"/>
        <v>PR19ANH_48</v>
      </c>
      <c r="AJ28" s="285" t="str">
        <f t="shared" si="22"/>
        <v>text</v>
      </c>
      <c r="AK28" s="285">
        <f t="shared" si="23"/>
        <v>0</v>
      </c>
      <c r="AL28" s="1416" t="s">
        <v>266</v>
      </c>
      <c r="AM28" s="1416" t="s">
        <v>267</v>
      </c>
      <c r="AN28" s="1419" t="s">
        <v>268</v>
      </c>
      <c r="AO28" s="1418" t="s">
        <v>269</v>
      </c>
      <c r="AQ28" s="1332"/>
      <c r="AR28" s="1332"/>
      <c r="AS28" s="1332"/>
      <c r="AT28" s="1332"/>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60"/>
      <c r="G29" s="2260"/>
      <c r="H29" s="1791"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76"/>
      <c r="K29" s="286" t="s">
        <v>270</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16" t="s">
        <v>271</v>
      </c>
      <c r="AM29" s="1416" t="s">
        <v>272</v>
      </c>
      <c r="AN29" s="1419" t="s">
        <v>273</v>
      </c>
      <c r="AO29" s="1418" t="s">
        <v>274</v>
      </c>
      <c r="AQ29" s="1332"/>
      <c r="AR29" s="1332"/>
      <c r="AS29" s="1332"/>
      <c r="AT29" s="1332"/>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60"/>
      <c r="G30" s="2260"/>
      <c r="H30" s="1791"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76"/>
      <c r="K30" s="286" t="s">
        <v>275</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16" t="s">
        <v>276</v>
      </c>
      <c r="AM30" s="1416" t="s">
        <v>277</v>
      </c>
      <c r="AN30" s="1419" t="s">
        <v>278</v>
      </c>
      <c r="AO30" s="1418" t="s">
        <v>279</v>
      </c>
      <c r="AQ30" s="1332"/>
      <c r="AR30" s="1332"/>
      <c r="AS30" s="1332"/>
      <c r="AT30" s="1332"/>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61"/>
      <c r="G31" s="2260"/>
      <c r="H31" s="1791"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76"/>
      <c r="K31" s="286" t="s">
        <v>280</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22" t="s">
        <v>281</v>
      </c>
      <c r="AM31" s="1416" t="s">
        <v>282</v>
      </c>
      <c r="AN31" s="1419" t="s">
        <v>283</v>
      </c>
      <c r="AO31" s="1418" t="s">
        <v>284</v>
      </c>
      <c r="AQ31" s="1332"/>
      <c r="AR31" s="1332"/>
      <c r="AS31" s="1332"/>
      <c r="AT31" s="1332"/>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60"/>
      <c r="G32" s="2260"/>
      <c r="H32" s="1791"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76"/>
      <c r="K32" s="286" t="s">
        <v>285</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16" t="s">
        <v>286</v>
      </c>
      <c r="AM32" s="1416" t="s">
        <v>287</v>
      </c>
      <c r="AN32" s="1419" t="s">
        <v>288</v>
      </c>
      <c r="AO32" s="1418" t="s">
        <v>289</v>
      </c>
      <c r="AQ32" s="1332"/>
      <c r="AR32" s="1332"/>
      <c r="AS32" s="1332"/>
      <c r="AT32" s="1332"/>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60"/>
      <c r="G33" s="2260"/>
      <c r="H33" s="1791"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76"/>
      <c r="K33" s="286" t="s">
        <v>290</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16" t="s">
        <v>291</v>
      </c>
      <c r="AM33" s="1416" t="s">
        <v>292</v>
      </c>
      <c r="AN33" s="1419" t="s">
        <v>293</v>
      </c>
      <c r="AO33" s="1418" t="s">
        <v>294</v>
      </c>
      <c r="AQ33" s="1332"/>
      <c r="AR33" s="1332"/>
      <c r="AS33" s="1332"/>
      <c r="AT33" s="1332"/>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60"/>
      <c r="G34" s="2260"/>
      <c r="H34" s="1791"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76"/>
      <c r="K34" s="286" t="s">
        <v>295</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16" t="s">
        <v>296</v>
      </c>
      <c r="AM34" s="1416" t="s">
        <v>297</v>
      </c>
      <c r="AN34" s="1419" t="s">
        <v>298</v>
      </c>
      <c r="AO34" s="1418" t="s">
        <v>299</v>
      </c>
      <c r="AQ34" s="1332"/>
      <c r="AR34" s="1332"/>
      <c r="AS34" s="1332"/>
      <c r="AT34" s="1332"/>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60"/>
      <c r="G35" s="2260"/>
      <c r="H35" s="1791"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76"/>
      <c r="K35" s="286" t="s">
        <v>300</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16" t="s">
        <v>301</v>
      </c>
      <c r="AM35" s="1416" t="s">
        <v>302</v>
      </c>
      <c r="AN35" s="1419" t="s">
        <v>303</v>
      </c>
      <c r="AO35" s="1418" t="s">
        <v>304</v>
      </c>
      <c r="AQ35" s="1332"/>
      <c r="AR35" s="1332"/>
      <c r="AS35" s="1332"/>
      <c r="AT35" s="1332"/>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60"/>
      <c r="G36" s="2260"/>
      <c r="H36" s="1791"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76"/>
      <c r="K36" s="286" t="s">
        <v>305</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16" t="s">
        <v>306</v>
      </c>
      <c r="AM36" s="1416" t="s">
        <v>307</v>
      </c>
      <c r="AN36" s="1419" t="s">
        <v>308</v>
      </c>
      <c r="AO36" s="1418" t="s">
        <v>309</v>
      </c>
      <c r="AQ36" s="1332"/>
      <c r="AR36" s="1332"/>
      <c r="AS36" s="1332"/>
      <c r="AT36" s="1332"/>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60"/>
      <c r="G37" s="2260"/>
      <c r="H37" s="1791"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76"/>
      <c r="K37" s="286" t="s">
        <v>310</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16" t="s">
        <v>311</v>
      </c>
      <c r="AM37" s="1416" t="s">
        <v>312</v>
      </c>
      <c r="AN37" s="1419" t="s">
        <v>313</v>
      </c>
      <c r="AO37" s="1418" t="s">
        <v>314</v>
      </c>
      <c r="AQ37" s="1332"/>
      <c r="AR37" s="1332"/>
      <c r="AS37" s="1332"/>
      <c r="AT37" s="1332"/>
    </row>
    <row r="38" spans="1:46" s="9" customFormat="1" ht="28.5" customHeight="1">
      <c r="A38" s="1332"/>
      <c r="B38" s="282" t="str">
        <f t="shared" si="9"/>
        <v/>
      </c>
      <c r="C38" s="287" t="str">
        <f>IF($K$3="Select company","",IF(HLOOKUP($R$1,BW_FIN_All,'PC lists'!$B52,0)="","",HLOOKUP($R$1,BW_FIN_All,'PC lists'!$B52,0)))</f>
        <v/>
      </c>
      <c r="D38" s="287" t="str">
        <f t="shared" si="10"/>
        <v/>
      </c>
      <c r="E38" s="287" t="str">
        <f t="shared" si="11"/>
        <v/>
      </c>
      <c r="F38" s="2260"/>
      <c r="G38" s="2260"/>
      <c r="H38" s="1791"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76"/>
      <c r="J38" s="16"/>
      <c r="K38" s="286" t="s">
        <v>315</v>
      </c>
      <c r="L38" s="1332"/>
      <c r="M38" s="319">
        <f t="shared" si="12"/>
        <v>0</v>
      </c>
      <c r="N38" s="331">
        <f t="shared" si="18"/>
        <v>0</v>
      </c>
      <c r="O38" s="310"/>
      <c r="P38" s="310"/>
      <c r="Q38" s="310"/>
      <c r="R38" s="1332"/>
      <c r="S38" s="1332"/>
      <c r="T38" s="1332"/>
      <c r="U38" s="1333"/>
      <c r="V38" s="318"/>
      <c r="W38" s="318">
        <f t="shared" si="13"/>
        <v>0</v>
      </c>
      <c r="X38" s="318">
        <f t="shared" si="14"/>
        <v>0</v>
      </c>
      <c r="Y38" s="318"/>
      <c r="Z38" s="318">
        <f t="shared" si="15"/>
        <v>0</v>
      </c>
      <c r="AA38" s="1333"/>
      <c r="AB38" s="1332"/>
      <c r="AC38" s="1332"/>
      <c r="AD38" s="322">
        <f t="shared" si="16"/>
        <v>0</v>
      </c>
      <c r="AE38" s="322">
        <f t="shared" si="19"/>
        <v>0</v>
      </c>
      <c r="AF38" s="1333"/>
      <c r="AG38" s="1334"/>
      <c r="AH38" s="285" t="str">
        <f t="shared" si="20"/>
        <v/>
      </c>
      <c r="AI38" s="285" t="str">
        <f t="shared" si="21"/>
        <v/>
      </c>
      <c r="AJ38" s="285" t="str">
        <f t="shared" si="22"/>
        <v/>
      </c>
      <c r="AK38" s="285" t="str">
        <f t="shared" si="23"/>
        <v/>
      </c>
      <c r="AL38" s="1416" t="s">
        <v>316</v>
      </c>
      <c r="AM38" s="1416" t="s">
        <v>317</v>
      </c>
      <c r="AN38" s="1419" t="s">
        <v>318</v>
      </c>
      <c r="AO38" s="1418" t="s">
        <v>319</v>
      </c>
      <c r="AP38" s="1332"/>
      <c r="AQ38" s="1332"/>
      <c r="AR38" s="1332"/>
      <c r="AS38" s="1332"/>
      <c r="AT38" s="1332"/>
    </row>
    <row r="39" spans="1:46" s="9" customFormat="1" ht="15">
      <c r="A39" s="1332"/>
      <c r="B39" s="1332"/>
      <c r="C39" s="1332"/>
      <c r="D39" s="1332"/>
      <c r="E39" s="1332"/>
      <c r="F39" s="1332"/>
      <c r="G39" s="1332"/>
      <c r="H39" s="1332"/>
      <c r="I39" s="1332"/>
      <c r="J39" s="1332"/>
      <c r="K39" s="1332"/>
      <c r="L39" s="1332"/>
      <c r="M39" s="1332"/>
      <c r="N39" s="1332"/>
      <c r="O39" s="1334"/>
      <c r="P39" s="1334"/>
      <c r="Q39" s="1334"/>
      <c r="R39" s="1332"/>
      <c r="S39" s="1332"/>
      <c r="T39" s="1332"/>
      <c r="U39" s="1333"/>
      <c r="V39" s="1334"/>
      <c r="W39" s="1334"/>
      <c r="X39" s="1334"/>
      <c r="Y39" s="1334"/>
      <c r="Z39" s="1334"/>
      <c r="AA39" s="1333"/>
      <c r="AB39" s="1334"/>
      <c r="AC39" s="1334"/>
      <c r="AD39" s="1334"/>
      <c r="AE39" s="1334"/>
      <c r="AF39" s="1333"/>
      <c r="AG39" s="1334"/>
      <c r="AH39" s="1332"/>
      <c r="AI39" s="1332"/>
      <c r="AJ39" s="1332"/>
      <c r="AK39" s="1332"/>
      <c r="AL39" s="1332"/>
      <c r="AM39" s="1332"/>
      <c r="AN39" s="1332"/>
      <c r="AO39" s="1332"/>
      <c r="AP39" s="1332"/>
      <c r="AQ39" s="1332"/>
      <c r="AR39" s="1332"/>
      <c r="AS39" s="1332"/>
      <c r="AT39" s="1332"/>
    </row>
    <row r="40" spans="1:46" s="9" customFormat="1" ht="15.75">
      <c r="A40" s="1332"/>
      <c r="B40" s="282" t="s">
        <v>320</v>
      </c>
      <c r="C40" s="341"/>
      <c r="D40" s="287" t="s">
        <v>321</v>
      </c>
      <c r="E40" s="287">
        <v>0</v>
      </c>
      <c r="F40" s="338"/>
      <c r="G40" s="2278">
        <f>IFERROR((COUNTIF($G$9:$G$38,"Yes")/(COUNTA($G$9:$G$38) - COUNTIF($G$9:$G$38,"-")))*100,"")</f>
        <v>38.461538461538467</v>
      </c>
      <c r="H40" s="353"/>
      <c r="I40" s="340"/>
      <c r="J40" s="16"/>
      <c r="K40" s="286" t="s">
        <v>322</v>
      </c>
      <c r="L40" s="1332"/>
      <c r="M40" s="319"/>
      <c r="N40" s="319"/>
      <c r="O40" s="1334"/>
      <c r="P40" s="1334"/>
      <c r="Q40" s="1334"/>
      <c r="R40" s="1332"/>
      <c r="S40" s="1332"/>
      <c r="T40" s="1332"/>
      <c r="U40" s="1333"/>
      <c r="V40" s="1334"/>
      <c r="W40" s="1334"/>
      <c r="X40" s="1334"/>
      <c r="Y40" s="1334"/>
      <c r="Z40" s="1334"/>
      <c r="AA40" s="1333"/>
      <c r="AB40" s="1334"/>
      <c r="AC40" s="1334"/>
      <c r="AD40" s="1334"/>
      <c r="AE40" s="1334"/>
      <c r="AF40" s="1333"/>
      <c r="AG40" s="1334"/>
      <c r="AH40" s="2142" t="str">
        <f>B40</f>
        <v>Financial water performance commitments achieved</v>
      </c>
      <c r="AI40" s="341"/>
      <c r="AJ40" s="287" t="str">
        <f>D40</f>
        <v>%</v>
      </c>
      <c r="AK40" s="287"/>
      <c r="AL40" s="338"/>
      <c r="AM40" s="1423" t="s">
        <v>323</v>
      </c>
      <c r="AN40" s="353"/>
      <c r="AO40" s="340"/>
      <c r="AP40" s="1332"/>
      <c r="AQ40" s="1332"/>
      <c r="AR40" s="1332"/>
      <c r="AS40" s="1332"/>
      <c r="AT40" s="1332"/>
    </row>
    <row r="41" spans="1:46" s="9" customFormat="1" ht="28.5" customHeight="1">
      <c r="A41" s="1332"/>
      <c r="B41" s="282" t="s">
        <v>324</v>
      </c>
      <c r="C41" s="341"/>
      <c r="D41" s="287" t="s">
        <v>321</v>
      </c>
      <c r="E41" s="287">
        <v>0</v>
      </c>
      <c r="F41" s="338"/>
      <c r="G41" s="2279">
        <f>IFERROR(IF('Validation summary'!$F$3="WoC",((COUNTIF($G$9:$G$38,"Yes")+COUNTIF('3E'!$G$9:$G$38,"Yes"))/(COUNTA($G$9:$G$38)-COUNTIF($G$9:$G$38,"-")+COUNTA('3E'!$G$9:$G$38)-COUNTIF('3E'!$G$9:$G$38,"-"))*100),((COUNTIF($G$9:$G$38,"Yes")+COUNTIF('3B'!$G$9:$G$28,"Yes")+COUNTIF('3E'!$G$9:$G$38,"Yes"))/(COUNTA($G$9:$G$38)-COUNTIF($G$9:$G$38,"-")+COUNTA('3B'!$G$9:$G$28)-COUNTIF('3B'!$G$9:$G$28,"-")+COUNTA('3E'!$G$9:$G$38)-COUNTIF('3E'!$G$9:$G$38,"-")))*100),"")</f>
        <v>53.658536585365859</v>
      </c>
      <c r="H41" s="339"/>
      <c r="I41" s="340"/>
      <c r="J41" s="16"/>
      <c r="K41" s="286" t="s">
        <v>325</v>
      </c>
      <c r="L41" s="1332"/>
      <c r="M41" s="319"/>
      <c r="N41" s="319"/>
      <c r="O41" s="1334"/>
      <c r="P41" s="1334"/>
      <c r="Q41" s="1334"/>
      <c r="R41" s="1332"/>
      <c r="S41" s="1332"/>
      <c r="T41" s="1332"/>
      <c r="U41" s="1333"/>
      <c r="V41" s="1334"/>
      <c r="W41" s="1334"/>
      <c r="X41" s="1334"/>
      <c r="Y41" s="1334"/>
      <c r="Z41" s="1334"/>
      <c r="AA41" s="1333"/>
      <c r="AB41" s="1334"/>
      <c r="AC41" s="1334"/>
      <c r="AD41" s="1334"/>
      <c r="AE41" s="1334"/>
      <c r="AF41" s="1333"/>
      <c r="AG41" s="1334"/>
      <c r="AH41" s="282" t="str">
        <f>B41</f>
        <v>Overall performance commitments achieved (excluding C-MEX and D-MEX)</v>
      </c>
      <c r="AI41" s="341"/>
      <c r="AJ41" s="287" t="str">
        <f>D41</f>
        <v>%</v>
      </c>
      <c r="AK41" s="287"/>
      <c r="AL41" s="338"/>
      <c r="AM41" s="1424" t="s">
        <v>326</v>
      </c>
      <c r="AN41" s="339"/>
      <c r="AO41" s="340"/>
      <c r="AP41" s="1332"/>
      <c r="AQ41" s="1332"/>
      <c r="AR41" s="1332"/>
      <c r="AS41" s="1332"/>
      <c r="AT41" s="1332"/>
    </row>
    <row r="42" spans="1:46" s="9" customFormat="1" ht="15">
      <c r="A42" s="1332"/>
      <c r="B42" s="1332"/>
      <c r="C42" s="1332"/>
      <c r="D42" s="1332"/>
      <c r="E42" s="1332"/>
      <c r="F42" s="1332"/>
      <c r="G42" s="1332"/>
      <c r="H42" s="1332"/>
      <c r="I42" s="1332"/>
      <c r="J42" s="1332"/>
      <c r="K42" s="1332"/>
      <c r="L42" s="1332"/>
      <c r="M42" s="1332"/>
      <c r="N42" s="1332"/>
      <c r="O42" s="1334"/>
      <c r="P42" s="1334"/>
      <c r="Q42" s="1334"/>
      <c r="R42" s="1332"/>
      <c r="S42" s="1332"/>
      <c r="T42" s="1332"/>
      <c r="U42" s="1333"/>
      <c r="V42" s="1333"/>
      <c r="W42" s="1333"/>
      <c r="X42" s="1333"/>
      <c r="Y42" s="1333"/>
      <c r="Z42" s="1333"/>
      <c r="AA42" s="1333"/>
      <c r="AB42" s="1333"/>
      <c r="AC42" s="1333"/>
      <c r="AD42" s="1333"/>
      <c r="AE42" s="1333"/>
      <c r="AF42" s="1333"/>
      <c r="AG42" s="1334"/>
      <c r="AH42" s="1332"/>
      <c r="AI42" s="1332"/>
      <c r="AJ42" s="1332"/>
      <c r="AK42" s="1332"/>
      <c r="AL42" s="1332"/>
      <c r="AM42" s="1332"/>
      <c r="AN42" s="1332"/>
      <c r="AO42" s="1332"/>
      <c r="AP42" s="1332"/>
      <c r="AQ42" s="1332"/>
      <c r="AR42" s="1332"/>
      <c r="AS42" s="1332"/>
      <c r="AT42" s="1332"/>
    </row>
    <row r="43" spans="1:46" ht="15">
      <c r="B43" s="270" t="s">
        <v>327</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786" t="s">
        <v>328</v>
      </c>
      <c r="I45" s="361"/>
      <c r="O45" s="271"/>
      <c r="P45" s="271"/>
      <c r="Q45" s="271"/>
      <c r="U45" s="271"/>
      <c r="V45" s="271"/>
      <c r="W45" s="271"/>
      <c r="X45" s="271"/>
      <c r="Y45" s="271"/>
      <c r="Z45" s="271"/>
      <c r="AA45" s="271"/>
      <c r="AB45" s="271"/>
      <c r="AC45" s="271"/>
      <c r="AD45" s="271"/>
      <c r="AE45" s="271"/>
      <c r="AF45" s="271"/>
    </row>
    <row r="46" spans="1:46" ht="15" thickBot="1">
      <c r="A46" s="271"/>
      <c r="B46" s="363"/>
      <c r="I46" s="361"/>
      <c r="O46" s="271"/>
      <c r="P46" s="271"/>
      <c r="Q46" s="271"/>
      <c r="U46" s="271"/>
      <c r="V46" s="271"/>
      <c r="W46" s="271"/>
      <c r="X46" s="271"/>
      <c r="Y46" s="271"/>
      <c r="Z46" s="271"/>
      <c r="AA46" s="271"/>
      <c r="AB46" s="271"/>
      <c r="AC46" s="271"/>
      <c r="AD46" s="271"/>
      <c r="AE46" s="271"/>
      <c r="AF46" s="271"/>
    </row>
    <row r="47" spans="1:46" ht="15" thickBot="1">
      <c r="A47" s="271"/>
      <c r="B47" s="2154" t="s">
        <v>329</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787" t="s">
        <v>330</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788" t="s">
        <v>331</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5">
      <c r="B53" s="288" t="s">
        <v>332</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5" priority="95">
      <formula>B12="[For use by NES and SSC only]"</formula>
    </cfRule>
  </conditionalFormatting>
  <conditionalFormatting sqref="B14">
    <cfRule type="expression" dxfId="334" priority="94">
      <formula>B14="[For use by SSC only]"</formula>
    </cfRule>
  </conditionalFormatting>
  <conditionalFormatting sqref="E9:E16 E19:E38 E40:E41">
    <cfRule type="cellIs" dxfId="333" priority="46" operator="equal">
      <formula>0</formula>
    </cfRule>
  </conditionalFormatting>
  <conditionalFormatting sqref="F19:F38 G40:G41">
    <cfRule type="expression" dxfId="332" priority="97">
      <formula>INDIRECT("E" &amp; ROW()) = 5</formula>
    </cfRule>
    <cfRule type="expression" dxfId="331" priority="98">
      <formula>INDIRECT("E" &amp; ROW()) = 4</formula>
    </cfRule>
    <cfRule type="expression" dxfId="330" priority="99">
      <formula>INDIRECT("E" &amp; ROW()) = 3</formula>
    </cfRule>
    <cfRule type="expression" dxfId="329" priority="100">
      <formula>INDIRECT("E" &amp; ROW()) = 2</formula>
    </cfRule>
    <cfRule type="expression" dxfId="328" priority="101">
      <formula>INDIRECT("E" &amp; ROW()) = 1</formula>
    </cfRule>
    <cfRule type="expression" dxfId="327" priority="102">
      <formula>INDIRECT("E" &amp; ROW()) = 0</formula>
    </cfRule>
  </conditionalFormatting>
  <conditionalFormatting sqref="M9:N16">
    <cfRule type="cellIs" dxfId="326" priority="11" operator="equal">
      <formula>0</formula>
    </cfRule>
  </conditionalFormatting>
  <conditionalFormatting sqref="M19:N38">
    <cfRule type="cellIs" dxfId="325" priority="10" operator="equal">
      <formula>0</formula>
    </cfRule>
  </conditionalFormatting>
  <conditionalFormatting sqref="M40:N41">
    <cfRule type="cellIs" dxfId="324" priority="47" operator="equal">
      <formula>0</formula>
    </cfRule>
  </conditionalFormatting>
  <conditionalFormatting sqref="AL19:AL38 AL40:AL41">
    <cfRule type="expression" dxfId="323" priority="4">
      <formula>INDIRECT("E" &amp; ROW()) = 5</formula>
    </cfRule>
    <cfRule type="expression" dxfId="322" priority="5">
      <formula>INDIRECT("E" &amp; ROW()) = 4</formula>
    </cfRule>
    <cfRule type="expression" dxfId="321" priority="6">
      <formula>INDIRECT("E" &amp; ROW()) = 3</formula>
    </cfRule>
    <cfRule type="expression" dxfId="320" priority="7">
      <formula>INDIRECT("E" &amp; ROW()) = 2</formula>
    </cfRule>
    <cfRule type="expression" dxfId="319" priority="8">
      <formula>INDIRECT("E" &amp; ROW()) = 1</formula>
    </cfRule>
    <cfRule type="expression" dxfId="318"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4" zoomScale="80" zoomScaleNormal="80" zoomScaleSheetLayoutView="100" workbookViewId="0">
      <selection activeCell="F9" sqref="F9:I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6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54</v>
      </c>
      <c r="C1" s="5"/>
      <c r="D1" s="5"/>
      <c r="E1" s="5"/>
      <c r="F1" s="5"/>
      <c r="G1" s="5"/>
      <c r="H1" s="7"/>
      <c r="N1" s="1912"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333</v>
      </c>
      <c r="C3" s="289"/>
      <c r="D3" s="289"/>
      <c r="E3" s="289"/>
      <c r="F3" s="289"/>
      <c r="G3" s="289"/>
      <c r="H3" s="289"/>
      <c r="I3" s="289"/>
      <c r="J3" s="290"/>
      <c r="K3" s="301" t="str">
        <f>'Validation summary'!$B$3</f>
        <v>Anglian Water</v>
      </c>
      <c r="L3" s="291"/>
      <c r="M3" s="292" t="s">
        <v>150</v>
      </c>
      <c r="N3" s="292"/>
      <c r="O3" s="1332"/>
      <c r="P3" s="1332"/>
      <c r="Q3" s="1332"/>
      <c r="R3" s="1332"/>
      <c r="S3" s="1332"/>
      <c r="T3" s="1332"/>
      <c r="U3" s="1333"/>
      <c r="V3" s="1332"/>
      <c r="W3" s="1332"/>
      <c r="X3" s="1332"/>
      <c r="Y3" s="1332"/>
      <c r="Z3" s="1332"/>
      <c r="AA3" s="1333"/>
      <c r="AB3" s="1332"/>
      <c r="AC3" s="1332"/>
      <c r="AD3" s="1332"/>
      <c r="AE3" s="1332"/>
      <c r="AF3" s="1333"/>
      <c r="AG3" s="1332"/>
      <c r="AH3" s="292" t="s">
        <v>151</v>
      </c>
      <c r="AI3" s="1332"/>
      <c r="AJ3" s="1332"/>
      <c r="AK3" s="1332"/>
      <c r="AL3" s="1332"/>
      <c r="AM3" s="1332"/>
      <c r="AN3" s="1332"/>
      <c r="AO3" s="1332"/>
    </row>
    <row r="4" spans="2:41" s="9" customFormat="1" ht="16.5" customHeight="1">
      <c r="B4" s="1329"/>
      <c r="C4" s="25">
        <v>1</v>
      </c>
      <c r="D4" s="25">
        <v>2</v>
      </c>
      <c r="E4" s="25" t="s">
        <v>152</v>
      </c>
      <c r="F4" s="25">
        <v>4</v>
      </c>
      <c r="G4" s="25">
        <v>5</v>
      </c>
      <c r="H4" s="25">
        <v>6</v>
      </c>
      <c r="I4" s="25">
        <v>7</v>
      </c>
      <c r="J4" s="35"/>
      <c r="K4" s="13"/>
      <c r="L4" s="1332"/>
      <c r="M4" s="1332"/>
      <c r="N4" s="1332"/>
      <c r="O4" s="1332"/>
      <c r="P4" s="1332"/>
      <c r="Q4" s="1332"/>
      <c r="R4" s="1332"/>
      <c r="S4" s="1332"/>
      <c r="T4" s="1332"/>
      <c r="U4" s="1333"/>
      <c r="V4" s="1332"/>
      <c r="W4" s="1332"/>
      <c r="X4" s="1332"/>
      <c r="Y4" s="1332"/>
      <c r="Z4" s="1332"/>
      <c r="AA4" s="1333"/>
      <c r="AB4" s="1332"/>
      <c r="AC4" s="1332"/>
      <c r="AD4" s="1332"/>
      <c r="AE4" s="1332"/>
      <c r="AF4" s="1333"/>
      <c r="AG4" s="1332"/>
      <c r="AH4" s="1332"/>
      <c r="AI4" s="1332"/>
      <c r="AJ4" s="1332"/>
      <c r="AK4" s="1332"/>
      <c r="AL4" s="1332"/>
      <c r="AM4" s="1332"/>
      <c r="AN4" s="1332"/>
      <c r="AO4" s="1332"/>
    </row>
    <row r="5" spans="2:41" s="9" customFormat="1" ht="126" customHeight="1">
      <c r="B5" s="2382" t="s">
        <v>153</v>
      </c>
      <c r="C5" s="2381" t="s">
        <v>154</v>
      </c>
      <c r="D5" s="2381" t="s">
        <v>155</v>
      </c>
      <c r="E5" s="2381" t="s">
        <v>156</v>
      </c>
      <c r="F5" s="2384" t="s">
        <v>157</v>
      </c>
      <c r="G5" s="2381" t="s">
        <v>158</v>
      </c>
      <c r="H5" s="293" t="s">
        <v>159</v>
      </c>
      <c r="I5" s="293" t="s">
        <v>160</v>
      </c>
      <c r="J5" s="274"/>
      <c r="K5" s="2381" t="s">
        <v>161</v>
      </c>
      <c r="L5" s="15"/>
      <c r="M5" s="2375" t="s">
        <v>162</v>
      </c>
      <c r="N5" s="2375" t="s">
        <v>163</v>
      </c>
      <c r="O5" s="1332"/>
      <c r="P5" s="1332"/>
      <c r="Q5" s="1332"/>
      <c r="R5" s="1332"/>
      <c r="S5" s="1332"/>
      <c r="T5" s="1332"/>
      <c r="U5" s="1333"/>
      <c r="V5" s="1332" t="s">
        <v>162</v>
      </c>
      <c r="W5" s="1332"/>
      <c r="X5" s="1332"/>
      <c r="Y5" s="1332"/>
      <c r="Z5" s="1332"/>
      <c r="AA5" s="1333"/>
      <c r="AB5" s="1332" t="s">
        <v>163</v>
      </c>
      <c r="AC5" s="1332"/>
      <c r="AD5" s="1332"/>
      <c r="AE5" s="1332"/>
      <c r="AF5" s="1333"/>
      <c r="AG5" s="1332"/>
      <c r="AH5" s="1425" t="s">
        <v>153</v>
      </c>
      <c r="AI5" s="1425" t="s">
        <v>154</v>
      </c>
      <c r="AJ5" s="1426" t="s">
        <v>334</v>
      </c>
      <c r="AK5" s="2354" t="s">
        <v>335</v>
      </c>
      <c r="AL5" s="2355" t="s">
        <v>336</v>
      </c>
      <c r="AM5" s="1425" t="s">
        <v>158</v>
      </c>
      <c r="AN5" s="293" t="s">
        <v>164</v>
      </c>
      <c r="AO5" s="293" t="s">
        <v>160</v>
      </c>
    </row>
    <row r="6" spans="2:41" s="9" customFormat="1" ht="16.350000000000001" customHeight="1">
      <c r="B6" s="2382"/>
      <c r="C6" s="2381"/>
      <c r="D6" s="2381"/>
      <c r="E6" s="2383"/>
      <c r="F6" s="2385"/>
      <c r="G6" s="2381"/>
      <c r="H6" s="2355" t="s">
        <v>165</v>
      </c>
      <c r="I6" s="2355" t="s">
        <v>165</v>
      </c>
      <c r="J6" s="274"/>
      <c r="K6" s="2381"/>
      <c r="L6" s="15"/>
      <c r="M6" s="2375"/>
      <c r="N6" s="2375"/>
      <c r="O6" s="1332"/>
      <c r="P6" s="1332"/>
      <c r="Q6" s="1332"/>
      <c r="R6" s="1332"/>
      <c r="S6" s="1332"/>
      <c r="T6" s="1332"/>
      <c r="U6" s="1333"/>
      <c r="V6" s="320" t="s">
        <v>166</v>
      </c>
      <c r="W6" s="1332"/>
      <c r="X6" s="1332"/>
      <c r="Y6" s="1332"/>
      <c r="Z6" s="1332"/>
      <c r="AA6" s="1333"/>
      <c r="AB6" s="320" t="s">
        <v>167</v>
      </c>
      <c r="AC6" s="1332"/>
      <c r="AD6" s="320" t="s">
        <v>337</v>
      </c>
      <c r="AE6" s="1332"/>
      <c r="AF6" s="1333"/>
      <c r="AG6" s="1332"/>
      <c r="AH6" s="1425"/>
      <c r="AI6" s="1425"/>
      <c r="AJ6" s="1425"/>
      <c r="AK6" s="1427"/>
      <c r="AL6" s="2355"/>
      <c r="AM6" s="1425" t="s">
        <v>338</v>
      </c>
      <c r="AN6" s="2355" t="s">
        <v>165</v>
      </c>
      <c r="AO6" s="2355" t="s">
        <v>165</v>
      </c>
    </row>
    <row r="7" spans="2:41" s="9" customFormat="1" ht="16.5" customHeight="1">
      <c r="B7" s="1329"/>
      <c r="C7" s="1329"/>
      <c r="D7" s="1329"/>
      <c r="E7" s="1329"/>
      <c r="F7" s="1329"/>
      <c r="G7" s="1329"/>
      <c r="H7" s="1329"/>
      <c r="I7" s="1329"/>
      <c r="J7" s="35"/>
      <c r="K7" s="13"/>
      <c r="L7" s="1332"/>
      <c r="M7" s="1332"/>
      <c r="N7" s="1332"/>
      <c r="O7" s="1332"/>
      <c r="P7" s="1332"/>
      <c r="Q7" s="1332"/>
      <c r="R7" s="1332"/>
      <c r="S7" s="1332"/>
      <c r="T7" s="1332"/>
      <c r="U7" s="1333"/>
      <c r="V7" s="1332" t="s">
        <v>169</v>
      </c>
      <c r="W7" s="1332"/>
      <c r="X7" s="1332"/>
      <c r="Y7" s="1332"/>
      <c r="Z7" s="1332"/>
      <c r="AA7" s="1333"/>
      <c r="AB7" s="320" t="s">
        <v>339</v>
      </c>
      <c r="AC7" s="1332"/>
      <c r="AD7" s="320" t="s">
        <v>170</v>
      </c>
      <c r="AE7" s="1332"/>
      <c r="AF7" s="1333"/>
      <c r="AG7" s="1332"/>
      <c r="AH7" s="1329"/>
      <c r="AI7" s="1329"/>
      <c r="AJ7" s="1329"/>
      <c r="AK7" s="1329"/>
      <c r="AL7" s="1329"/>
      <c r="AM7" s="1329"/>
      <c r="AN7" s="1329"/>
      <c r="AO7" s="1329"/>
    </row>
    <row r="8" spans="2:41" s="9" customFormat="1" ht="25.5">
      <c r="B8" s="303" t="s">
        <v>340</v>
      </c>
      <c r="C8" s="12"/>
      <c r="D8" s="1329"/>
      <c r="E8" s="1329"/>
      <c r="F8" s="1329"/>
      <c r="G8" s="1329"/>
      <c r="H8" s="1329"/>
      <c r="I8" s="1329"/>
      <c r="J8" s="35"/>
      <c r="K8" s="13"/>
      <c r="L8" s="1332"/>
      <c r="M8" s="1332"/>
      <c r="N8" s="1332"/>
      <c r="O8" s="1332"/>
      <c r="P8" s="1332"/>
      <c r="Q8" s="1332"/>
      <c r="R8" s="1332"/>
      <c r="S8" s="1332"/>
      <c r="T8" s="1332"/>
      <c r="U8" s="1333"/>
      <c r="V8" s="317">
        <v>3</v>
      </c>
      <c r="W8" s="317">
        <v>4</v>
      </c>
      <c r="X8" s="317">
        <v>5</v>
      </c>
      <c r="Y8" s="317">
        <v>6</v>
      </c>
      <c r="Z8" s="317">
        <v>7</v>
      </c>
      <c r="AA8" s="321"/>
      <c r="AB8" s="317">
        <v>4</v>
      </c>
      <c r="AC8" s="317">
        <v>5</v>
      </c>
      <c r="AD8" s="317">
        <v>6</v>
      </c>
      <c r="AE8" s="317">
        <v>6</v>
      </c>
      <c r="AF8" s="1333"/>
      <c r="AG8" s="1332"/>
      <c r="AH8" s="303" t="s">
        <v>340</v>
      </c>
      <c r="AI8" s="12"/>
      <c r="AJ8" s="1329"/>
      <c r="AK8" s="1329"/>
      <c r="AL8" s="1329"/>
      <c r="AM8" s="1329"/>
      <c r="AN8" s="1329"/>
      <c r="AO8" s="1329"/>
    </row>
    <row r="9" spans="2:41" s="9" customFormat="1" ht="38.25">
      <c r="B9" s="282" t="str">
        <f>IF('Validation summary'!$F$3="Woc","","Internal sewer flooding")</f>
        <v>Internal sewer flooding</v>
      </c>
      <c r="C9" s="287" t="str">
        <f>IF(OR($K$3="Select company",'Validation summary'!$F$3="WoC"),"",VLOOKUP('3A'!$R$1,C_ISF,2,0))</f>
        <v>PR19ANH_7</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792">
        <f>IF('Validation summary'!$F$3="WoC","",'3G'!$H$11)</f>
        <v>1.4103806036901358</v>
      </c>
      <c r="G9" s="2260" t="s">
        <v>173</v>
      </c>
      <c r="H9" s="1791">
        <f>IF($C9="","",SUM(HLOOKUP($C9,'Model outputs - PC level'!$J$5:$BS$25,12,0),HLOOKUP($C9,'Model outputs - PC level'!$J$5:$BS$25,13,0),HLOOKUP($C9,'Model outputs - PC level'!$J$5:$BS$25,15,0),HLOOKUP($C9,'Model outputs - PC level'!$J$5:$BS$25,16,0),HLOOKUP($C9,'Model outputs - PC level'!$J$5:$BS$25,18,0),HLOOKUP($C9,'Model outputs - PC level'!$J$5:$BS$25,19,0)))</f>
        <v>-0.76607999999999832</v>
      </c>
      <c r="I9" s="2145">
        <v>-8.5250000000000004</v>
      </c>
      <c r="J9" s="35"/>
      <c r="K9" s="286" t="s">
        <v>341</v>
      </c>
      <c r="L9" s="1332"/>
      <c r="M9" s="319">
        <f>IF(SUM($V9:$Z9)=0,0,$V$6)</f>
        <v>0</v>
      </c>
      <c r="N9" s="331">
        <f>IF(OR($AB9=1,$AD9=1),$AD$6,IF($AE9=1,$AD$7,0))</f>
        <v>0</v>
      </c>
      <c r="O9" s="1332"/>
      <c r="P9" s="2011"/>
      <c r="Q9" s="1332"/>
      <c r="R9" s="1332"/>
      <c r="S9" s="1332"/>
      <c r="T9" s="1332"/>
      <c r="U9" s="1333"/>
      <c r="V9" s="318"/>
      <c r="W9" s="318"/>
      <c r="X9" s="318">
        <f>IF($C9="",0,IF(ISBLANK($G9)=TRUE,1,0))</f>
        <v>0</v>
      </c>
      <c r="Y9" s="318"/>
      <c r="Z9" s="318">
        <f>IF($C9="",0,IF(ISBLANK($I9)=TRUE,1,0))</f>
        <v>0</v>
      </c>
      <c r="AA9" s="1333"/>
      <c r="AB9" s="322">
        <f>IF(ISERROR($F9)=TRUE,1,0)</f>
        <v>0</v>
      </c>
      <c r="AC9" s="322"/>
      <c r="AD9" s="318">
        <f>IF(ISERROR($H9)=TRUE,1,0)</f>
        <v>0</v>
      </c>
      <c r="AE9" s="322">
        <f>IF($C15="",0,IF(OR(AND(G9="Yes",H9&gt;=0),AND(G9="No",H9&lt;=0),AND(G9="-",H9=0)),0,1))</f>
        <v>0</v>
      </c>
      <c r="AF9" s="1333"/>
      <c r="AG9" s="1332"/>
      <c r="AH9" s="282" t="str">
        <f>B9</f>
        <v>Internal sewer flooding</v>
      </c>
      <c r="AI9" s="282" t="str">
        <f t="shared" ref="AI9:AK12" si="0">C9</f>
        <v>PR19ANH_7</v>
      </c>
      <c r="AJ9" s="282" t="str">
        <f t="shared" si="0"/>
        <v>Number of internal sewer flooding incidents per 10,000 sewer connection</v>
      </c>
      <c r="AK9" s="282">
        <f t="shared" si="0"/>
        <v>2</v>
      </c>
      <c r="AL9" s="1479" t="s">
        <v>342</v>
      </c>
      <c r="AM9" s="1429" t="s">
        <v>343</v>
      </c>
      <c r="AN9" s="1429" t="s">
        <v>344</v>
      </c>
      <c r="AO9" s="1430" t="s">
        <v>345</v>
      </c>
    </row>
    <row r="10" spans="2:41" s="9" customFormat="1" ht="25.5">
      <c r="B10" s="282" t="str">
        <f>IF('Validation summary'!$F$3="Woc","","Pollution incidents")</f>
        <v>Pollution incidents</v>
      </c>
      <c r="C10" s="287" t="str">
        <f>IF(OR($K$3="Select company",'Validation summary'!$F$3="WoC"),"",VLOOKUP('3A'!$R$1,C_PI,2,0))</f>
        <v>PR19ANH_8</v>
      </c>
      <c r="D10" s="287" t="str">
        <f>IF('Validation summary'!$F$3="Woc","","Pollution incidents per 10,000 km of sewer length")</f>
        <v>Pollution incidents per 10,000 km of sewer length</v>
      </c>
      <c r="E10" s="287">
        <f>IF(OR($K$3="Select company",'Validation summary'!$F$3="WoC"),"",INDEX(App1bdata,MATCH($C10,App1bIDnrs,0),22))</f>
        <v>2</v>
      </c>
      <c r="F10" s="1792">
        <f>IF('Validation summary'!$F$3="WoC","",'3G'!$H$12)</f>
        <v>57.171265224956507</v>
      </c>
      <c r="G10" s="2260" t="s">
        <v>173</v>
      </c>
      <c r="H10" s="1791">
        <f>IF($C10="","",SUM(HLOOKUP($C10,'Model outputs - PC level'!$J$5:$BS$25,12,0),HLOOKUP($C10,'Model outputs - PC level'!$J$5:$BS$25,13,0),HLOOKUP($C10,'Model outputs - PC level'!$J$5:$BS$25,15,0),HLOOKUP($C10,'Model outputs - PC level'!$J$5:$BS$25,16,0),HLOOKUP($C10,'Model outputs - PC level'!$J$5:$BS$25,18,0),HLOOKUP($C10,'Model outputs - PC level'!$J$5:$BS$25,19,0)))</f>
        <v>-9.8345000000000002</v>
      </c>
      <c r="I10" s="2145">
        <v>-28.199000000000002</v>
      </c>
      <c r="J10" s="35"/>
      <c r="K10" s="286" t="s">
        <v>346</v>
      </c>
      <c r="L10" s="1332"/>
      <c r="M10" s="319">
        <f>IF(SUM($V10:$Z10)=0,0,$V$6)</f>
        <v>0</v>
      </c>
      <c r="N10" s="331">
        <f>IF(OR($AB10=1,$AD10=1),$AD$6,IF($AE10=1,$AD$7,0))</f>
        <v>0</v>
      </c>
      <c r="O10" s="1332"/>
      <c r="P10" s="1332"/>
      <c r="Q10" s="1332"/>
      <c r="R10" s="1332"/>
      <c r="S10" s="1332"/>
      <c r="T10" s="1332"/>
      <c r="U10" s="1333"/>
      <c r="V10" s="318"/>
      <c r="W10" s="318"/>
      <c r="X10" s="318">
        <f>IF($C10="",0,IF(ISBLANK($G10)=TRUE,1,0))</f>
        <v>0</v>
      </c>
      <c r="Y10" s="318"/>
      <c r="Z10" s="318">
        <f>IF($C10="",0,IF(ISBLANK($I10)=TRUE,1,0))</f>
        <v>0</v>
      </c>
      <c r="AA10" s="1333"/>
      <c r="AB10" s="322">
        <f t="shared" ref="AB10:AB11" si="1">IF(ISERROR($F10)=TRUE,1,0)</f>
        <v>0</v>
      </c>
      <c r="AC10" s="322"/>
      <c r="AD10" s="318">
        <f t="shared" ref="AD10:AD12" si="2">IF(ISERROR($H10)=TRUE,1,0)</f>
        <v>0</v>
      </c>
      <c r="AE10" s="322">
        <f>IF($C16="",0,IF(OR(AND(G10="Yes",H10&gt;=0),AND(G10="No",H10&lt;=0),AND(G10="-",H10=0)),0,1))</f>
        <v>0</v>
      </c>
      <c r="AF10" s="1333"/>
      <c r="AG10" s="1332"/>
      <c r="AH10" s="282" t="str">
        <f t="shared" ref="AH10:AH12" si="3">B10</f>
        <v>Pollution incidents</v>
      </c>
      <c r="AI10" s="282" t="str">
        <f t="shared" si="0"/>
        <v>PR19ANH_8</v>
      </c>
      <c r="AJ10" s="282" t="str">
        <f t="shared" si="0"/>
        <v>Pollution incidents per 10,000 km of sewer length</v>
      </c>
      <c r="AK10" s="282">
        <f t="shared" si="0"/>
        <v>2</v>
      </c>
      <c r="AL10" s="1479" t="s">
        <v>347</v>
      </c>
      <c r="AM10" s="1429" t="s">
        <v>348</v>
      </c>
      <c r="AN10" s="1429" t="s">
        <v>349</v>
      </c>
      <c r="AO10" s="1430" t="s">
        <v>350</v>
      </c>
    </row>
    <row r="11" spans="2:41" s="9" customFormat="1" ht="25.5">
      <c r="B11" s="282" t="str">
        <f>IF('Validation summary'!$F$3="Woc","","Sewer collapses")</f>
        <v>Sewer collapses</v>
      </c>
      <c r="C11" s="287" t="str">
        <f>IF(OR($K$3="Select company",'Validation summary'!$F$3="WoC"),"",VLOOKUP('3A'!$R$1,C_SC,2,0))</f>
        <v>PR19ANH_13</v>
      </c>
      <c r="D11" s="287" t="str">
        <f>IF('Validation summary'!$F$3="Woc","","Number of sewer collapses per 1,000 km of all sewers")</f>
        <v>Number of sewer collapses per 1,000 km of all sewers</v>
      </c>
      <c r="E11" s="287">
        <f>IF(OR($K$3="Select company",'Validation summary'!$F$3="WoC"),"",INDEX(App1bdata,MATCH($C11,App1bIDnrs,0),22))</f>
        <v>2</v>
      </c>
      <c r="F11" s="1792">
        <f>IF('Validation summary'!$F$3="WoC","",'3G'!$H$13)</f>
        <v>4.5327442893806094</v>
      </c>
      <c r="G11" s="2260" t="s">
        <v>210</v>
      </c>
      <c r="H11" s="1791">
        <f>IF($C11="","",SUM(HLOOKUP($C11,'Model outputs - PC level'!$J$5:$BS$25,12,0),HLOOKUP($C11,'Model outputs - PC level'!$J$5:$BS$25,13,0),HLOOKUP($C11,'Model outputs - PC level'!$J$5:$BS$25,15,0),HLOOKUP($C11,'Model outputs - PC level'!$J$5:$BS$25,16,0),HLOOKUP($C11,'Model outputs - PC level'!$J$5:$BS$25,18,0),HLOOKUP($C11,'Model outputs - PC level'!$J$5:$BS$25,19,0)))</f>
        <v>0</v>
      </c>
      <c r="I11" s="2145">
        <v>-1.1259999999999999</v>
      </c>
      <c r="J11" s="35"/>
      <c r="K11" s="286" t="s">
        <v>351</v>
      </c>
      <c r="L11" s="1332"/>
      <c r="M11" s="319">
        <f>IF(SUM($V11:$Z11)=0,0,$V$6)</f>
        <v>0</v>
      </c>
      <c r="N11" s="331">
        <f>IF(OR($AB11=1,$AD11=1),$AD$6,IF($AE11=1,$AD$7,0))</f>
        <v>0</v>
      </c>
      <c r="O11" s="1332"/>
      <c r="P11" s="1332"/>
      <c r="Q11" s="1332"/>
      <c r="R11" s="1332"/>
      <c r="S11" s="1332"/>
      <c r="T11" s="1332"/>
      <c r="U11" s="1333"/>
      <c r="V11" s="318"/>
      <c r="W11" s="318"/>
      <c r="X11" s="318">
        <f>IF($C11="",0,IF(ISBLANK($G11)=TRUE,1,0))</f>
        <v>0</v>
      </c>
      <c r="Y11" s="318"/>
      <c r="Z11" s="318">
        <f>IF($C11="",0,IF(ISBLANK($I11)=TRUE,1,0))</f>
        <v>0</v>
      </c>
      <c r="AA11" s="1333"/>
      <c r="AB11" s="322">
        <f t="shared" si="1"/>
        <v>0</v>
      </c>
      <c r="AC11" s="322"/>
      <c r="AD11" s="318">
        <f t="shared" si="2"/>
        <v>0</v>
      </c>
      <c r="AE11" s="322">
        <f>IF($C17="",0,IF(OR(AND(G11="Yes",H11&gt;=0),AND(G11="No",H11&lt;=0),AND(G11="-",H11=0)),0,1))</f>
        <v>0</v>
      </c>
      <c r="AF11" s="1333"/>
      <c r="AG11" s="1332"/>
      <c r="AH11" s="282" t="str">
        <f t="shared" si="3"/>
        <v>Sewer collapses</v>
      </c>
      <c r="AI11" s="282" t="str">
        <f t="shared" si="0"/>
        <v>PR19ANH_13</v>
      </c>
      <c r="AJ11" s="282" t="str">
        <f t="shared" si="0"/>
        <v>Number of sewer collapses per 1,000 km of all sewers</v>
      </c>
      <c r="AK11" s="282">
        <f t="shared" si="0"/>
        <v>2</v>
      </c>
      <c r="AL11" s="1479" t="s">
        <v>352</v>
      </c>
      <c r="AM11" s="1429" t="s">
        <v>353</v>
      </c>
      <c r="AN11" s="1429" t="s">
        <v>354</v>
      </c>
      <c r="AO11" s="1430" t="s">
        <v>355</v>
      </c>
    </row>
    <row r="12" spans="2:41" s="9" customFormat="1" ht="28.5" customHeight="1">
      <c r="B12" s="282" t="str">
        <f>IF('Validation summary'!$F$3="Woc","","Treatment works compliance")</f>
        <v>Treatment works compliance</v>
      </c>
      <c r="C12" s="287" t="str">
        <f>IF(OR($K$3="Select company",'Validation summary'!$F$3="WoC"),"",VLOOKUP('3A'!$R$1,C_TWC,2,0))</f>
        <v>PR19ANH_14</v>
      </c>
      <c r="D12" s="287" t="str">
        <f>IF('Validation summary'!$F$3="Woc","","%")</f>
        <v>%</v>
      </c>
      <c r="E12" s="287">
        <f>IF(OR($K$3="Select company",'Validation summary'!$F$3="WoC"),"",INDEX(App1bdata,MATCH($C12,App1bIDnrs,0),22))</f>
        <v>2</v>
      </c>
      <c r="F12" s="2293">
        <v>99.28</v>
      </c>
      <c r="G12" s="2260" t="s">
        <v>210</v>
      </c>
      <c r="H12" s="1791">
        <f>IF($C12="","",SUM(HLOOKUP($C12,'Model outputs - PC level'!$J$5:$BS$25,12,0),HLOOKUP($C12,'Model outputs - PC level'!$J$5:$BS$25,13,0),HLOOKUP($C12,'Model outputs - PC level'!$J$5:$BS$25,15,0),HLOOKUP($C12,'Model outputs - PC level'!$J$5:$BS$25,16,0),HLOOKUP($C12,'Model outputs - PC level'!$J$5:$BS$25,18,0),HLOOKUP($C12,'Model outputs - PC level'!$J$5:$BS$25,19,0)))</f>
        <v>0</v>
      </c>
      <c r="I12" s="2145">
        <v>-2.3860000000000001</v>
      </c>
      <c r="J12" s="35"/>
      <c r="K12" s="286" t="s">
        <v>356</v>
      </c>
      <c r="L12" s="1332"/>
      <c r="M12" s="319">
        <f>IF(SUM($V12:$Z12)=0,0,$V$6)</f>
        <v>0</v>
      </c>
      <c r="N12" s="331">
        <f>IF(SUM($AB12:$AB12)&lt;&gt;0,$AB$7,IF($AD12=1,$AD$6,IF($AE12=1,$AD$7,0)))</f>
        <v>0</v>
      </c>
      <c r="O12" s="1332"/>
      <c r="P12" s="1332"/>
      <c r="Q12" s="1332"/>
      <c r="R12" s="1332"/>
      <c r="S12" s="1332"/>
      <c r="T12" s="1332"/>
      <c r="U12" s="1333"/>
      <c r="V12" s="318"/>
      <c r="W12" s="318">
        <f>IF($C12="",0,IF(ISBLANK($F12)=TRUE,1,0))</f>
        <v>0</v>
      </c>
      <c r="X12" s="318">
        <f>IF($C12="",0,IF(ISBLANK($G12)=TRUE,1,0))</f>
        <v>0</v>
      </c>
      <c r="Y12" s="318"/>
      <c r="Z12" s="318">
        <f>IF($C12="",0,IF(ISBLANK($I12)=TRUE,1,0))</f>
        <v>0</v>
      </c>
      <c r="AA12" s="1333"/>
      <c r="AB12" s="322">
        <f>IF(OR($F12&lt;0,$F12&gt;100),1,0)</f>
        <v>0</v>
      </c>
      <c r="AC12" s="322"/>
      <c r="AD12" s="318">
        <f t="shared" si="2"/>
        <v>0</v>
      </c>
      <c r="AE12" s="322">
        <f>IF($C18="",0,IF(OR(AND(G12="Yes",H12&gt;=0),AND(G12="No",H12&lt;=0),AND(G12="-",H12=0)),0,1))</f>
        <v>0</v>
      </c>
      <c r="AF12" s="1333"/>
      <c r="AG12" s="1332"/>
      <c r="AH12" s="282" t="str">
        <f t="shared" si="3"/>
        <v>Treatment works compliance</v>
      </c>
      <c r="AI12" s="282" t="str">
        <f t="shared" si="0"/>
        <v>PR19ANH_14</v>
      </c>
      <c r="AJ12" s="282" t="str">
        <f t="shared" si="0"/>
        <v>%</v>
      </c>
      <c r="AK12" s="282">
        <f t="shared" si="0"/>
        <v>2</v>
      </c>
      <c r="AL12" s="2004" t="s">
        <v>357</v>
      </c>
      <c r="AM12" s="1429" t="s">
        <v>358</v>
      </c>
      <c r="AN12" s="1429" t="s">
        <v>359</v>
      </c>
      <c r="AO12" s="1430" t="s">
        <v>360</v>
      </c>
    </row>
    <row r="13" spans="2:41" s="9" customFormat="1" ht="15.75">
      <c r="B13" s="1329"/>
      <c r="C13" s="1329"/>
      <c r="D13" s="1329"/>
      <c r="E13" s="1329"/>
      <c r="F13" s="1329"/>
      <c r="G13" s="1329"/>
      <c r="H13" s="1329"/>
      <c r="I13" s="1329"/>
      <c r="J13" s="35"/>
      <c r="K13" s="1332"/>
      <c r="L13" s="1332"/>
      <c r="M13" s="1332"/>
      <c r="N13" s="1332"/>
      <c r="O13" s="1332"/>
      <c r="P13" s="1332"/>
      <c r="Q13" s="1332"/>
      <c r="R13" s="1332"/>
      <c r="S13" s="1332"/>
      <c r="T13" s="1332"/>
      <c r="U13" s="1333"/>
      <c r="V13" s="1332" t="s">
        <v>216</v>
      </c>
      <c r="W13" s="318"/>
      <c r="X13" s="318"/>
      <c r="Y13" s="318"/>
      <c r="Z13" s="318"/>
      <c r="AA13" s="1333"/>
      <c r="AB13" s="1332"/>
      <c r="AC13" s="1332"/>
      <c r="AD13" s="322"/>
      <c r="AE13" s="1332"/>
      <c r="AF13" s="1333"/>
      <c r="AG13" s="1332"/>
      <c r="AH13" s="1329"/>
      <c r="AI13" s="1329"/>
      <c r="AJ13" s="1329"/>
      <c r="AK13" s="1329"/>
      <c r="AL13" s="1329"/>
      <c r="AM13" s="1329"/>
      <c r="AN13" s="1329"/>
      <c r="AO13" s="1329"/>
    </row>
    <row r="14" spans="2:41" s="9" customFormat="1" ht="16.5" customHeight="1">
      <c r="B14" s="303" t="s">
        <v>361</v>
      </c>
      <c r="C14" s="12"/>
      <c r="D14" s="1329"/>
      <c r="E14" s="1329"/>
      <c r="F14" s="1329"/>
      <c r="G14" s="1329"/>
      <c r="H14" s="1329"/>
      <c r="I14" s="1329"/>
      <c r="J14" s="1332"/>
      <c r="K14" s="1332"/>
      <c r="L14" s="1332"/>
      <c r="M14" s="1332"/>
      <c r="N14" s="1332"/>
      <c r="O14" s="1332"/>
      <c r="P14" s="1332"/>
      <c r="Q14" s="1332"/>
      <c r="R14" s="1332"/>
      <c r="S14" s="1332"/>
      <c r="T14" s="1332"/>
      <c r="U14" s="1333"/>
      <c r="V14" s="317">
        <v>3</v>
      </c>
      <c r="W14" s="317">
        <v>4</v>
      </c>
      <c r="X14" s="317">
        <v>5</v>
      </c>
      <c r="Y14" s="317">
        <v>6</v>
      </c>
      <c r="Z14" s="317">
        <v>7</v>
      </c>
      <c r="AA14" s="321"/>
      <c r="AB14" s="317">
        <v>4</v>
      </c>
      <c r="AC14" s="317">
        <v>5</v>
      </c>
      <c r="AD14" s="317">
        <v>6</v>
      </c>
      <c r="AE14" s="317">
        <v>6</v>
      </c>
      <c r="AF14" s="1333"/>
      <c r="AG14" s="1332"/>
      <c r="AH14" s="303" t="s">
        <v>361</v>
      </c>
      <c r="AI14" s="12"/>
      <c r="AJ14" s="1329"/>
      <c r="AK14" s="1329"/>
      <c r="AL14" s="1329"/>
      <c r="AM14" s="1329"/>
      <c r="AN14" s="1329"/>
      <c r="AO14" s="1329"/>
    </row>
    <row r="15" spans="2:41" s="9" customFormat="1" ht="28.5" customHeight="1">
      <c r="B15" s="282" t="str">
        <f>IF(OR($K$3="Select company",'Validation summary'!$F$3="WoC"),"",IF($C15="","",INDEX(App1data,MATCH($C15,App1IDnrs,0),5)))</f>
        <v>External Sewer Flooding</v>
      </c>
      <c r="C15" s="287" t="str">
        <f>IF(OR($K$3="Select company",'Validation summary'!$F$3="WoC"),"",IF(HLOOKUP('3A'!$R$1,BWW_FIN_All,'PC lists'!$B59,0)="","",HLOOKUP('3A'!$R$1,BWW_FIN_All,'PC lists'!$B59,0)))</f>
        <v>PR19ANH_17</v>
      </c>
      <c r="D15" s="287" t="str">
        <f t="shared" ref="D15:D28" si="4">IF($C15="","",INDEX(App1data,MATCH($C15,App1IDnrs,0),20))</f>
        <v>nr</v>
      </c>
      <c r="E15" s="287">
        <f t="shared" ref="E15:E28" si="5">IF($C15="","",INDEX(App1data,MATCH($C15,App1IDnrs,0),22))</f>
        <v>0</v>
      </c>
      <c r="F15" s="2294">
        <v>5232</v>
      </c>
      <c r="G15" s="2260" t="s">
        <v>173</v>
      </c>
      <c r="H15" s="1791">
        <f>IF($C15="","",SUM(HLOOKUP($C15,'Model outputs - PC level'!$J$5:$BS$25,12,0),HLOOKUP($C15,'Model outputs - PC level'!$J$5:$BS$25,13,0),HLOOKUP($C15,'Model outputs - PC level'!$J$5:$BS$25,15,0),HLOOKUP($C15,'Model outputs - PC level'!$J$5:$BS$25,16,0),HLOOKUP($C15,'Model outputs - PC level'!$J$5:$BS$25,18,0),HLOOKUP($C15,'Model outputs - PC level'!$J$5:$BS$25,19,0)))</f>
        <v>-5.1836570000000002</v>
      </c>
      <c r="I15" s="2145">
        <v>-14.811999999999999</v>
      </c>
      <c r="J15" s="1332"/>
      <c r="K15" s="286" t="s">
        <v>362</v>
      </c>
      <c r="L15" s="1332"/>
      <c r="M15" s="319">
        <f t="shared" ref="M15:M28" si="6">IF(SUM($V15:$Z15)=0,0,$V$6)</f>
        <v>0</v>
      </c>
      <c r="N15" s="319">
        <f>IF($AD15=1,$AD$6,IF($AE15=1,$AD$7,0))</f>
        <v>0</v>
      </c>
      <c r="O15" s="1332"/>
      <c r="P15" s="1332"/>
      <c r="Q15" s="1332"/>
      <c r="R15" s="1332"/>
      <c r="S15" s="1332"/>
      <c r="T15" s="1332"/>
      <c r="U15" s="1333"/>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33"/>
      <c r="AG15" s="1332"/>
      <c r="AH15" s="282" t="str">
        <f t="shared" ref="AH15:AK28" si="11">B15</f>
        <v>External Sewer Flooding</v>
      </c>
      <c r="AI15" s="282" t="str">
        <f t="shared" si="11"/>
        <v>PR19ANH_17</v>
      </c>
      <c r="AJ15" s="282" t="str">
        <f t="shared" si="11"/>
        <v>nr</v>
      </c>
      <c r="AK15" s="282">
        <f t="shared" si="11"/>
        <v>0</v>
      </c>
      <c r="AL15" s="1429" t="s">
        <v>363</v>
      </c>
      <c r="AM15" s="1429" t="s">
        <v>364</v>
      </c>
      <c r="AN15" s="1429" t="s">
        <v>365</v>
      </c>
      <c r="AO15" s="1430" t="s">
        <v>366</v>
      </c>
    </row>
    <row r="16" spans="2:41" s="9" customFormat="1" ht="28.5" customHeight="1">
      <c r="B16" s="1900" t="str">
        <f>IF(OR($K$3="Select company",'Validation summary'!$F$3="WoC"),"",IF($C16="","",INDEX(App1data,MATCH($C16,App1IDnrs,0),5)))</f>
        <v>Bathing Waters Attaining Excellent Status</v>
      </c>
      <c r="C16" s="1901" t="str">
        <f>IF(OR($K$3="Select company",'Validation summary'!$F$3="WoC"),"",IF(HLOOKUP('3A'!$R$1,BWW_FIN_All,'PC lists'!$B60,0)="","",HLOOKUP('3A'!$R$1,BWW_FIN_All,'PC lists'!$B60,0)))</f>
        <v>PR19ANH_19</v>
      </c>
      <c r="D16" s="1901" t="str">
        <f t="shared" si="4"/>
        <v>nr</v>
      </c>
      <c r="E16" s="1901">
        <f t="shared" si="5"/>
        <v>0</v>
      </c>
      <c r="F16" s="2294">
        <v>31</v>
      </c>
      <c r="G16" s="2260" t="s">
        <v>173</v>
      </c>
      <c r="H16" s="1791">
        <f>IF($C16="","",SUM(HLOOKUP($C16,'Model outputs - PC level'!$J$5:$BS$25,12,0),HLOOKUP($C16,'Model outputs - PC level'!$J$5:$BS$25,13,0),HLOOKUP($C16,'Model outputs - PC level'!$J$5:$BS$25,15,0),HLOOKUP($C16,'Model outputs - PC level'!$J$5:$BS$25,16,0),HLOOKUP($C16,'Model outputs - PC level'!$J$5:$BS$25,18,0),HLOOKUP($C16,'Model outputs - PC level'!$J$5:$BS$25,19,0)))</f>
        <v>-1.1240000000000001</v>
      </c>
      <c r="I16" s="2145">
        <v>-1.1240000000000001</v>
      </c>
      <c r="J16" s="1332"/>
      <c r="K16" s="286" t="s">
        <v>367</v>
      </c>
      <c r="L16" s="1332"/>
      <c r="M16" s="319">
        <f t="shared" si="6"/>
        <v>0</v>
      </c>
      <c r="N16" s="319">
        <f t="shared" ref="N16:N28" si="12">IF($AD16=1,$AD$6,IF($AE16=1,$AD$7,0))</f>
        <v>0</v>
      </c>
      <c r="O16" s="1332"/>
      <c r="P16" s="1332"/>
      <c r="Q16" s="1332"/>
      <c r="R16" s="1332"/>
      <c r="S16" s="1332"/>
      <c r="T16" s="1332"/>
      <c r="U16" s="1333"/>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33"/>
      <c r="AG16" s="1332"/>
      <c r="AH16" s="282" t="str">
        <f t="shared" si="11"/>
        <v>Bathing Waters Attaining Excellent Status</v>
      </c>
      <c r="AI16" s="282" t="str">
        <f t="shared" si="11"/>
        <v>PR19ANH_19</v>
      </c>
      <c r="AJ16" s="282" t="str">
        <f t="shared" si="11"/>
        <v>nr</v>
      </c>
      <c r="AK16" s="282">
        <f t="shared" si="11"/>
        <v>0</v>
      </c>
      <c r="AL16" s="1429" t="s">
        <v>368</v>
      </c>
      <c r="AM16" s="1429" t="s">
        <v>369</v>
      </c>
      <c r="AN16" s="1429" t="s">
        <v>370</v>
      </c>
      <c r="AO16" s="1430" t="s">
        <v>371</v>
      </c>
    </row>
    <row r="17" spans="2:41" s="9" customFormat="1" ht="28.5" customHeight="1">
      <c r="B17" s="1900" t="str">
        <f>IF(OR($K$3="Select company",'Validation summary'!$F$3="WoC"),"",IF($C17="","",INDEX(App1data,MATCH($C17,App1IDnrs,0),5)))</f>
        <v>Water Industry National Environment Programme</v>
      </c>
      <c r="C17" s="1901" t="str">
        <f>IF(OR($K$3="Select company",'Validation summary'!$F$3="WoC"),"",IF(HLOOKUP('3A'!$R$1,BWW_FIN_All,'PC lists'!$B61,0)="","",HLOOKUP('3A'!$R$1,BWW_FIN_All,'PC lists'!$B61,0)))</f>
        <v>PR19ANH_32</v>
      </c>
      <c r="D17" s="1901" t="str">
        <f t="shared" si="4"/>
        <v>nr</v>
      </c>
      <c r="E17" s="1901">
        <f t="shared" si="5"/>
        <v>0</v>
      </c>
      <c r="F17" s="2294">
        <v>1698</v>
      </c>
      <c r="G17" s="2260" t="s">
        <v>173</v>
      </c>
      <c r="H17" s="1791">
        <f>IF($C17="","",SUM(HLOOKUP($C17,'Model outputs - PC level'!$J$5:$BS$25,12,0),HLOOKUP($C17,'Model outputs - PC level'!$J$5:$BS$25,13,0),HLOOKUP($C17,'Model outputs - PC level'!$J$5:$BS$25,15,0),HLOOKUP($C17,'Model outputs - PC level'!$J$5:$BS$25,16,0),HLOOKUP($C17,'Model outputs - PC level'!$J$5:$BS$25,18,0),HLOOKUP($C17,'Model outputs - PC level'!$J$5:$BS$25,19,0)))</f>
        <v>0</v>
      </c>
      <c r="I17" s="2145">
        <v>5.67</v>
      </c>
      <c r="J17" s="1332"/>
      <c r="K17" s="286" t="s">
        <v>372</v>
      </c>
      <c r="L17" s="1332"/>
      <c r="M17" s="319">
        <f t="shared" si="6"/>
        <v>0</v>
      </c>
      <c r="N17" s="319">
        <f t="shared" si="12"/>
        <v>0</v>
      </c>
      <c r="O17" s="1332"/>
      <c r="P17" s="1332"/>
      <c r="Q17" s="1332"/>
      <c r="R17" s="1332"/>
      <c r="S17" s="1332"/>
      <c r="T17" s="1332"/>
      <c r="U17" s="1333"/>
      <c r="V17" s="318"/>
      <c r="W17" s="318">
        <f t="shared" si="7"/>
        <v>0</v>
      </c>
      <c r="X17" s="318">
        <f t="shared" si="8"/>
        <v>0</v>
      </c>
      <c r="Y17" s="318"/>
      <c r="Z17" s="318">
        <f t="shared" si="9"/>
        <v>0</v>
      </c>
      <c r="AA17" s="313"/>
      <c r="AB17" s="16"/>
      <c r="AC17" s="16"/>
      <c r="AD17" s="322">
        <f t="shared" si="10"/>
        <v>0</v>
      </c>
      <c r="AE17" s="322">
        <f t="shared" si="13"/>
        <v>0</v>
      </c>
      <c r="AF17" s="1333"/>
      <c r="AG17" s="1332"/>
      <c r="AH17" s="282" t="str">
        <f t="shared" si="11"/>
        <v>Water Industry National Environment Programme</v>
      </c>
      <c r="AI17" s="282" t="str">
        <f t="shared" si="11"/>
        <v>PR19ANH_32</v>
      </c>
      <c r="AJ17" s="282" t="str">
        <f t="shared" si="11"/>
        <v>nr</v>
      </c>
      <c r="AK17" s="282">
        <f t="shared" si="11"/>
        <v>0</v>
      </c>
      <c r="AL17" s="1429" t="s">
        <v>373</v>
      </c>
      <c r="AM17" s="1429" t="s">
        <v>374</v>
      </c>
      <c r="AN17" s="1429" t="s">
        <v>375</v>
      </c>
      <c r="AO17" s="1430" t="s">
        <v>376</v>
      </c>
    </row>
    <row r="18" spans="2:41" s="9" customFormat="1" ht="28.5" customHeight="1">
      <c r="B18" s="1900" t="str">
        <f>IF(OR($K$3="Select company",'Validation summary'!$F$3="WoC"),"",IF($C18="","",INDEX(App1data,MATCH($C18,App1IDnrs,0),5)))</f>
        <v>Partnership working on pluvial and fluvial flood risk</v>
      </c>
      <c r="C18" s="1901" t="str">
        <f>IF(OR($K$3="Select company",'Validation summary'!$F$3="WoC"),"",IF(HLOOKUP('3A'!$R$1,BWW_FIN_All,'PC lists'!$B62,0)="","",HLOOKUP('3A'!$R$1,BWW_FIN_All,'PC lists'!$B62,0)))</f>
        <v>PR19ANH_42</v>
      </c>
      <c r="D18" s="1901" t="str">
        <f t="shared" si="4"/>
        <v>number</v>
      </c>
      <c r="E18" s="1901">
        <f t="shared" si="5"/>
        <v>0</v>
      </c>
      <c r="F18" s="2294">
        <v>98</v>
      </c>
      <c r="G18" s="2260" t="s">
        <v>210</v>
      </c>
      <c r="H18" s="1791">
        <f>IF($C18="","",SUM(HLOOKUP($C18,'Model outputs - PC level'!$J$5:$BS$25,12,0),HLOOKUP($C18,'Model outputs - PC level'!$J$5:$BS$25,13,0),HLOOKUP($C18,'Model outputs - PC level'!$J$5:$BS$25,15,0),HLOOKUP($C18,'Model outputs - PC level'!$J$5:$BS$25,16,0),HLOOKUP($C18,'Model outputs - PC level'!$J$5:$BS$25,18,0),HLOOKUP($C18,'Model outputs - PC level'!$J$5:$BS$25,19,0)))</f>
        <v>0</v>
      </c>
      <c r="I18" s="2145">
        <v>0</v>
      </c>
      <c r="J18" s="1332"/>
      <c r="K18" s="286" t="s">
        <v>377</v>
      </c>
      <c r="L18" s="1332"/>
      <c r="M18" s="319">
        <f t="shared" si="6"/>
        <v>0</v>
      </c>
      <c r="N18" s="319">
        <f t="shared" si="12"/>
        <v>0</v>
      </c>
      <c r="O18" s="1332"/>
      <c r="P18" s="1332"/>
      <c r="Q18" s="1332"/>
      <c r="R18" s="1332"/>
      <c r="S18" s="1332"/>
      <c r="T18" s="1332"/>
      <c r="U18" s="1333"/>
      <c r="V18" s="318"/>
      <c r="W18" s="318">
        <f t="shared" si="7"/>
        <v>0</v>
      </c>
      <c r="X18" s="318">
        <f t="shared" si="8"/>
        <v>0</v>
      </c>
      <c r="Y18" s="318"/>
      <c r="Z18" s="318">
        <f t="shared" si="9"/>
        <v>0</v>
      </c>
      <c r="AA18" s="313"/>
      <c r="AB18" s="16"/>
      <c r="AC18" s="16"/>
      <c r="AD18" s="322">
        <f t="shared" si="10"/>
        <v>0</v>
      </c>
      <c r="AE18" s="322">
        <f t="shared" si="13"/>
        <v>0</v>
      </c>
      <c r="AF18" s="1333"/>
      <c r="AG18" s="1332"/>
      <c r="AH18" s="282" t="str">
        <f t="shared" si="11"/>
        <v>Partnership working on pluvial and fluvial flood risk</v>
      </c>
      <c r="AI18" s="282" t="str">
        <f t="shared" si="11"/>
        <v>PR19ANH_42</v>
      </c>
      <c r="AJ18" s="282" t="str">
        <f t="shared" si="11"/>
        <v>number</v>
      </c>
      <c r="AK18" s="282">
        <f t="shared" si="11"/>
        <v>0</v>
      </c>
      <c r="AL18" s="1429" t="s">
        <v>378</v>
      </c>
      <c r="AM18" s="1429" t="s">
        <v>379</v>
      </c>
      <c r="AN18" s="1429" t="s">
        <v>380</v>
      </c>
      <c r="AO18" s="1430" t="s">
        <v>381</v>
      </c>
    </row>
    <row r="19" spans="2:41" s="9" customFormat="1" ht="28.5" customHeight="1">
      <c r="B19" s="1900" t="str">
        <f>IF(OR($K$3="Select company",'Validation summary'!$F$3="WoC"),"",IF($C19="","",INDEX(App1data,MATCH($C19,App1IDnrs,0),5)))</f>
        <v>Additional sludge treatment capacity at Whitlingham</v>
      </c>
      <c r="C19" s="284" t="str">
        <f>IF(OR($K$3="Select company",'Validation summary'!$F$3="WoC"),"",IF(HLOOKUP('3A'!$R$1,BWW_FIN_All,'PC lists'!$B63,0)="","",HLOOKUP('3A'!$R$1,BWW_FIN_All,'PC lists'!$B63,0)))</f>
        <v>PR19CMA_ANH-01</v>
      </c>
      <c r="D19" s="1901" t="str">
        <f t="shared" si="4"/>
        <v>%</v>
      </c>
      <c r="E19" s="1901">
        <f t="shared" si="5"/>
        <v>1</v>
      </c>
      <c r="F19" s="2294">
        <v>100</v>
      </c>
      <c r="G19" s="2260" t="s">
        <v>210</v>
      </c>
      <c r="H19" s="1791">
        <f>IF($C19="","",SUM(HLOOKUP($C19,'Model outputs - PC level'!$J$5:$BS$25,12,0),HLOOKUP($C19,'Model outputs - PC level'!$J$5:$BS$25,13,0),HLOOKUP($C19,'Model outputs - PC level'!$J$5:$BS$25,15,0),HLOOKUP($C19,'Model outputs - PC level'!$J$5:$BS$25,16,0),HLOOKUP($C19,'Model outputs - PC level'!$J$5:$BS$25,18,0),HLOOKUP($C19,'Model outputs - PC level'!$J$5:$BS$25,19,0)))</f>
        <v>0</v>
      </c>
      <c r="I19" s="2145">
        <v>0</v>
      </c>
      <c r="J19" s="1332"/>
      <c r="K19" s="286" t="s">
        <v>382</v>
      </c>
      <c r="L19" s="1332"/>
      <c r="M19" s="319">
        <f t="shared" si="6"/>
        <v>0</v>
      </c>
      <c r="N19" s="319">
        <f t="shared" si="12"/>
        <v>0</v>
      </c>
      <c r="O19" s="1332"/>
      <c r="P19" s="1332"/>
      <c r="Q19" s="1332"/>
      <c r="R19" s="1332"/>
      <c r="S19" s="1332"/>
      <c r="T19" s="1332"/>
      <c r="U19" s="313"/>
      <c r="V19" s="318"/>
      <c r="W19" s="318">
        <f t="shared" si="7"/>
        <v>0</v>
      </c>
      <c r="X19" s="318">
        <f t="shared" si="8"/>
        <v>0</v>
      </c>
      <c r="Y19" s="318"/>
      <c r="Z19" s="318">
        <f t="shared" si="9"/>
        <v>0</v>
      </c>
      <c r="AA19" s="313"/>
      <c r="AB19" s="16"/>
      <c r="AC19" s="16"/>
      <c r="AD19" s="322">
        <f t="shared" si="10"/>
        <v>0</v>
      </c>
      <c r="AE19" s="322">
        <f t="shared" si="13"/>
        <v>0</v>
      </c>
      <c r="AF19" s="313"/>
      <c r="AG19" s="1332"/>
      <c r="AH19" s="282" t="str">
        <f t="shared" si="11"/>
        <v>Additional sludge treatment capacity at Whitlingham</v>
      </c>
      <c r="AI19" s="282" t="str">
        <f t="shared" si="11"/>
        <v>PR19CMA_ANH-01</v>
      </c>
      <c r="AJ19" s="282" t="str">
        <f t="shared" si="11"/>
        <v>%</v>
      </c>
      <c r="AK19" s="282">
        <f t="shared" si="11"/>
        <v>1</v>
      </c>
      <c r="AL19" s="1429" t="s">
        <v>383</v>
      </c>
      <c r="AM19" s="1429" t="s">
        <v>384</v>
      </c>
      <c r="AN19" s="1429" t="s">
        <v>385</v>
      </c>
      <c r="AO19" s="1430" t="s">
        <v>386</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60"/>
      <c r="G20" s="2260"/>
      <c r="H20" s="1791"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45"/>
      <c r="J20" s="1332"/>
      <c r="K20" s="286" t="s">
        <v>387</v>
      </c>
      <c r="L20" s="1332"/>
      <c r="M20" s="319">
        <f t="shared" si="6"/>
        <v>0</v>
      </c>
      <c r="N20" s="319">
        <f t="shared" si="12"/>
        <v>0</v>
      </c>
      <c r="O20" s="1332"/>
      <c r="P20" s="1332"/>
      <c r="Q20" s="1332"/>
      <c r="R20" s="1332"/>
      <c r="S20" s="1332"/>
      <c r="T20" s="1332"/>
      <c r="U20" s="313"/>
      <c r="V20" s="318"/>
      <c r="W20" s="318">
        <f t="shared" si="7"/>
        <v>0</v>
      </c>
      <c r="X20" s="318">
        <f t="shared" si="8"/>
        <v>0</v>
      </c>
      <c r="Y20" s="318"/>
      <c r="Z20" s="318">
        <f t="shared" si="9"/>
        <v>0</v>
      </c>
      <c r="AA20" s="313"/>
      <c r="AB20" s="16"/>
      <c r="AC20" s="16"/>
      <c r="AD20" s="322">
        <f t="shared" si="10"/>
        <v>0</v>
      </c>
      <c r="AE20" s="322">
        <f t="shared" si="13"/>
        <v>0</v>
      </c>
      <c r="AF20" s="313"/>
      <c r="AG20" s="1332"/>
      <c r="AH20" s="282" t="str">
        <f t="shared" si="11"/>
        <v/>
      </c>
      <c r="AI20" s="282" t="str">
        <f t="shared" si="11"/>
        <v/>
      </c>
      <c r="AJ20" s="282" t="str">
        <f t="shared" si="11"/>
        <v/>
      </c>
      <c r="AK20" s="282" t="str">
        <f t="shared" si="11"/>
        <v/>
      </c>
      <c r="AL20" s="1429" t="s">
        <v>388</v>
      </c>
      <c r="AM20" s="1429" t="s">
        <v>389</v>
      </c>
      <c r="AN20" s="1429" t="s">
        <v>390</v>
      </c>
      <c r="AO20" s="1430" t="s">
        <v>391</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60"/>
      <c r="G21" s="2260"/>
      <c r="H21" s="1791"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45"/>
      <c r="J21" s="1332"/>
      <c r="K21" s="286" t="s">
        <v>392</v>
      </c>
      <c r="L21" s="1332"/>
      <c r="M21" s="319">
        <f t="shared" si="6"/>
        <v>0</v>
      </c>
      <c r="N21" s="319">
        <f t="shared" si="12"/>
        <v>0</v>
      </c>
      <c r="O21" s="1332"/>
      <c r="P21" s="1332"/>
      <c r="Q21" s="1332"/>
      <c r="R21" s="1332"/>
      <c r="S21" s="1332"/>
      <c r="T21" s="1332"/>
      <c r="U21" s="313"/>
      <c r="V21" s="318"/>
      <c r="W21" s="318">
        <f t="shared" si="7"/>
        <v>0</v>
      </c>
      <c r="X21" s="318">
        <f t="shared" si="8"/>
        <v>0</v>
      </c>
      <c r="Y21" s="318"/>
      <c r="Z21" s="318">
        <f t="shared" si="9"/>
        <v>0</v>
      </c>
      <c r="AA21" s="313"/>
      <c r="AB21" s="16"/>
      <c r="AC21" s="16"/>
      <c r="AD21" s="322">
        <f t="shared" si="10"/>
        <v>0</v>
      </c>
      <c r="AE21" s="322">
        <f t="shared" si="13"/>
        <v>0</v>
      </c>
      <c r="AF21" s="313"/>
      <c r="AG21" s="1332"/>
      <c r="AH21" s="282" t="str">
        <f t="shared" si="11"/>
        <v/>
      </c>
      <c r="AI21" s="282" t="str">
        <f t="shared" si="11"/>
        <v/>
      </c>
      <c r="AJ21" s="282" t="str">
        <f t="shared" si="11"/>
        <v/>
      </c>
      <c r="AK21" s="282" t="str">
        <f t="shared" si="11"/>
        <v/>
      </c>
      <c r="AL21" s="1429" t="s">
        <v>393</v>
      </c>
      <c r="AM21" s="1429" t="s">
        <v>394</v>
      </c>
      <c r="AN21" s="1429" t="s">
        <v>395</v>
      </c>
      <c r="AO21" s="1430" t="s">
        <v>396</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61"/>
      <c r="G22" s="2260"/>
      <c r="H22" s="1791"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45"/>
      <c r="J22" s="1332"/>
      <c r="K22" s="286" t="s">
        <v>397</v>
      </c>
      <c r="L22" s="1332"/>
      <c r="M22" s="319">
        <f t="shared" si="6"/>
        <v>0</v>
      </c>
      <c r="N22" s="319">
        <f t="shared" si="12"/>
        <v>0</v>
      </c>
      <c r="O22" s="1332"/>
      <c r="P22" s="1332"/>
      <c r="Q22" s="1332"/>
      <c r="R22" s="1332"/>
      <c r="S22" s="1332"/>
      <c r="T22" s="1332"/>
      <c r="U22" s="313"/>
      <c r="V22" s="318"/>
      <c r="W22" s="318">
        <f t="shared" si="7"/>
        <v>0</v>
      </c>
      <c r="X22" s="318">
        <f t="shared" si="8"/>
        <v>0</v>
      </c>
      <c r="Y22" s="318"/>
      <c r="Z22" s="318">
        <f t="shared" si="9"/>
        <v>0</v>
      </c>
      <c r="AA22" s="313"/>
      <c r="AB22" s="16"/>
      <c r="AC22" s="16"/>
      <c r="AD22" s="322">
        <f t="shared" si="10"/>
        <v>0</v>
      </c>
      <c r="AE22" s="322">
        <f t="shared" si="13"/>
        <v>0</v>
      </c>
      <c r="AF22" s="313"/>
      <c r="AG22" s="1332"/>
      <c r="AH22" s="282" t="str">
        <f t="shared" si="11"/>
        <v/>
      </c>
      <c r="AI22" s="282" t="str">
        <f t="shared" si="11"/>
        <v/>
      </c>
      <c r="AJ22" s="282" t="str">
        <f t="shared" si="11"/>
        <v/>
      </c>
      <c r="AK22" s="282" t="str">
        <f t="shared" si="11"/>
        <v/>
      </c>
      <c r="AL22" s="1429" t="s">
        <v>398</v>
      </c>
      <c r="AM22" s="1429" t="s">
        <v>399</v>
      </c>
      <c r="AN22" s="1429" t="s">
        <v>400</v>
      </c>
      <c r="AO22" s="1430" t="s">
        <v>401</v>
      </c>
    </row>
    <row r="23" spans="2:41" s="9" customFormat="1" ht="28.5" customHeight="1">
      <c r="B23" s="1913"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60"/>
      <c r="G23" s="2260"/>
      <c r="H23" s="1791"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45"/>
      <c r="J23" s="1332"/>
      <c r="K23" s="286" t="s">
        <v>402</v>
      </c>
      <c r="L23" s="1332"/>
      <c r="M23" s="319">
        <f t="shared" si="6"/>
        <v>0</v>
      </c>
      <c r="N23" s="319">
        <f t="shared" si="12"/>
        <v>0</v>
      </c>
      <c r="O23" s="1332"/>
      <c r="P23" s="1332"/>
      <c r="Q23" s="1332"/>
      <c r="R23" s="1332"/>
      <c r="S23" s="1332"/>
      <c r="T23" s="1332"/>
      <c r="U23" s="313"/>
      <c r="V23" s="318"/>
      <c r="W23" s="318">
        <f t="shared" si="7"/>
        <v>0</v>
      </c>
      <c r="X23" s="318">
        <f t="shared" si="8"/>
        <v>0</v>
      </c>
      <c r="Y23" s="318"/>
      <c r="Z23" s="318">
        <f t="shared" si="9"/>
        <v>0</v>
      </c>
      <c r="AA23" s="313"/>
      <c r="AB23" s="16"/>
      <c r="AC23" s="16"/>
      <c r="AD23" s="322">
        <f t="shared" si="10"/>
        <v>0</v>
      </c>
      <c r="AE23" s="322">
        <f t="shared" si="13"/>
        <v>0</v>
      </c>
      <c r="AF23" s="313"/>
      <c r="AG23" s="1332"/>
      <c r="AH23" s="282" t="str">
        <f t="shared" si="11"/>
        <v/>
      </c>
      <c r="AI23" s="282" t="str">
        <f t="shared" si="11"/>
        <v/>
      </c>
      <c r="AJ23" s="282" t="str">
        <f t="shared" si="11"/>
        <v/>
      </c>
      <c r="AK23" s="282" t="str">
        <f t="shared" si="11"/>
        <v/>
      </c>
      <c r="AL23" s="1429" t="s">
        <v>403</v>
      </c>
      <c r="AM23" s="1429" t="s">
        <v>404</v>
      </c>
      <c r="AN23" s="1429" t="s">
        <v>405</v>
      </c>
      <c r="AO23" s="1430" t="s">
        <v>406</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60"/>
      <c r="G24" s="2260"/>
      <c r="H24" s="1791"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45"/>
      <c r="J24" s="1332"/>
      <c r="K24" s="286" t="s">
        <v>407</v>
      </c>
      <c r="L24" s="1332"/>
      <c r="M24" s="319">
        <f t="shared" si="6"/>
        <v>0</v>
      </c>
      <c r="N24" s="319">
        <f t="shared" si="12"/>
        <v>0</v>
      </c>
      <c r="O24" s="1332"/>
      <c r="P24" s="1332"/>
      <c r="Q24" s="1332"/>
      <c r="R24" s="1332"/>
      <c r="S24" s="1332"/>
      <c r="T24" s="1332"/>
      <c r="U24" s="313"/>
      <c r="V24" s="318"/>
      <c r="W24" s="318">
        <f t="shared" si="7"/>
        <v>0</v>
      </c>
      <c r="X24" s="318">
        <f t="shared" si="8"/>
        <v>0</v>
      </c>
      <c r="Y24" s="318"/>
      <c r="Z24" s="318">
        <f t="shared" si="9"/>
        <v>0</v>
      </c>
      <c r="AA24" s="313"/>
      <c r="AB24" s="16"/>
      <c r="AC24" s="16"/>
      <c r="AD24" s="322">
        <f t="shared" si="10"/>
        <v>0</v>
      </c>
      <c r="AE24" s="322">
        <f t="shared" si="13"/>
        <v>0</v>
      </c>
      <c r="AF24" s="313"/>
      <c r="AG24" s="1332"/>
      <c r="AH24" s="282" t="str">
        <f t="shared" si="11"/>
        <v/>
      </c>
      <c r="AI24" s="282" t="str">
        <f t="shared" si="11"/>
        <v/>
      </c>
      <c r="AJ24" s="282" t="str">
        <f t="shared" si="11"/>
        <v/>
      </c>
      <c r="AK24" s="282" t="str">
        <f t="shared" si="11"/>
        <v/>
      </c>
      <c r="AL24" s="1429" t="s">
        <v>408</v>
      </c>
      <c r="AM24" s="1429" t="s">
        <v>409</v>
      </c>
      <c r="AN24" s="1429" t="s">
        <v>410</v>
      </c>
      <c r="AO24" s="1430" t="s">
        <v>411</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60"/>
      <c r="G25" s="2260"/>
      <c r="H25" s="1791"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45"/>
      <c r="J25" s="1332"/>
      <c r="K25" s="286" t="s">
        <v>412</v>
      </c>
      <c r="L25" s="1332"/>
      <c r="M25" s="319">
        <f t="shared" si="6"/>
        <v>0</v>
      </c>
      <c r="N25" s="319">
        <f t="shared" si="12"/>
        <v>0</v>
      </c>
      <c r="O25" s="1332"/>
      <c r="P25" s="1332"/>
      <c r="Q25" s="1332"/>
      <c r="R25" s="1332"/>
      <c r="S25" s="1332"/>
      <c r="T25" s="1332"/>
      <c r="U25" s="313"/>
      <c r="V25" s="318"/>
      <c r="W25" s="318">
        <f t="shared" si="7"/>
        <v>0</v>
      </c>
      <c r="X25" s="318">
        <f t="shared" si="8"/>
        <v>0</v>
      </c>
      <c r="Y25" s="318"/>
      <c r="Z25" s="318">
        <f t="shared" si="9"/>
        <v>0</v>
      </c>
      <c r="AA25" s="313"/>
      <c r="AB25" s="16"/>
      <c r="AC25" s="16"/>
      <c r="AD25" s="322">
        <f t="shared" si="10"/>
        <v>0</v>
      </c>
      <c r="AE25" s="322">
        <f t="shared" si="13"/>
        <v>0</v>
      </c>
      <c r="AF25" s="313"/>
      <c r="AG25" s="1332"/>
      <c r="AH25" s="282" t="str">
        <f t="shared" si="11"/>
        <v/>
      </c>
      <c r="AI25" s="282" t="str">
        <f t="shared" si="11"/>
        <v/>
      </c>
      <c r="AJ25" s="282" t="str">
        <f t="shared" si="11"/>
        <v/>
      </c>
      <c r="AK25" s="282" t="str">
        <f t="shared" si="11"/>
        <v/>
      </c>
      <c r="AL25" s="1429" t="s">
        <v>413</v>
      </c>
      <c r="AM25" s="1429" t="s">
        <v>414</v>
      </c>
      <c r="AN25" s="1429" t="s">
        <v>415</v>
      </c>
      <c r="AO25" s="1430" t="s">
        <v>416</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60"/>
      <c r="G26" s="2260"/>
      <c r="H26" s="1791"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45"/>
      <c r="J26" s="1332"/>
      <c r="K26" s="286" t="s">
        <v>417</v>
      </c>
      <c r="L26" s="1332"/>
      <c r="M26" s="319">
        <f t="shared" si="6"/>
        <v>0</v>
      </c>
      <c r="N26" s="319">
        <f t="shared" si="12"/>
        <v>0</v>
      </c>
      <c r="O26" s="1332"/>
      <c r="P26" s="1332"/>
      <c r="Q26" s="1332"/>
      <c r="R26" s="1332"/>
      <c r="S26" s="1332"/>
      <c r="T26" s="1332"/>
      <c r="U26" s="313"/>
      <c r="V26" s="318"/>
      <c r="W26" s="318">
        <f t="shared" si="7"/>
        <v>0</v>
      </c>
      <c r="X26" s="318">
        <f t="shared" si="8"/>
        <v>0</v>
      </c>
      <c r="Y26" s="318"/>
      <c r="Z26" s="318">
        <f t="shared" si="9"/>
        <v>0</v>
      </c>
      <c r="AA26" s="313"/>
      <c r="AB26" s="16"/>
      <c r="AC26" s="16"/>
      <c r="AD26" s="322">
        <f t="shared" si="10"/>
        <v>0</v>
      </c>
      <c r="AE26" s="322">
        <f t="shared" si="13"/>
        <v>0</v>
      </c>
      <c r="AF26" s="313"/>
      <c r="AG26" s="1332"/>
      <c r="AH26" s="282" t="str">
        <f t="shared" si="11"/>
        <v/>
      </c>
      <c r="AI26" s="282" t="str">
        <f t="shared" si="11"/>
        <v/>
      </c>
      <c r="AJ26" s="282" t="str">
        <f t="shared" si="11"/>
        <v/>
      </c>
      <c r="AK26" s="282" t="str">
        <f t="shared" si="11"/>
        <v/>
      </c>
      <c r="AL26" s="1429" t="s">
        <v>418</v>
      </c>
      <c r="AM26" s="1429" t="s">
        <v>419</v>
      </c>
      <c r="AN26" s="1429" t="s">
        <v>420</v>
      </c>
      <c r="AO26" s="1430" t="s">
        <v>421</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60"/>
      <c r="G27" s="2260"/>
      <c r="H27" s="1791"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45"/>
      <c r="J27" s="1332"/>
      <c r="K27" s="286" t="s">
        <v>422</v>
      </c>
      <c r="L27" s="1332"/>
      <c r="M27" s="319">
        <f t="shared" si="6"/>
        <v>0</v>
      </c>
      <c r="N27" s="319">
        <f t="shared" si="12"/>
        <v>0</v>
      </c>
      <c r="O27" s="1332"/>
      <c r="P27" s="1332"/>
      <c r="Q27" s="1332"/>
      <c r="R27" s="1332"/>
      <c r="S27" s="1332"/>
      <c r="T27" s="1332"/>
      <c r="U27" s="313"/>
      <c r="V27" s="318"/>
      <c r="W27" s="318">
        <f t="shared" si="7"/>
        <v>0</v>
      </c>
      <c r="X27" s="318">
        <f t="shared" si="8"/>
        <v>0</v>
      </c>
      <c r="Y27" s="318"/>
      <c r="Z27" s="318">
        <f t="shared" si="9"/>
        <v>0</v>
      </c>
      <c r="AA27" s="313"/>
      <c r="AB27" s="16"/>
      <c r="AC27" s="16"/>
      <c r="AD27" s="322">
        <f t="shared" si="10"/>
        <v>0</v>
      </c>
      <c r="AE27" s="322">
        <f t="shared" si="13"/>
        <v>0</v>
      </c>
      <c r="AF27" s="313"/>
      <c r="AG27" s="1332"/>
      <c r="AH27" s="282" t="str">
        <f t="shared" si="11"/>
        <v/>
      </c>
      <c r="AI27" s="282" t="str">
        <f t="shared" si="11"/>
        <v/>
      </c>
      <c r="AJ27" s="282" t="str">
        <f t="shared" si="11"/>
        <v/>
      </c>
      <c r="AK27" s="282" t="str">
        <f t="shared" si="11"/>
        <v/>
      </c>
      <c r="AL27" s="1429" t="s">
        <v>423</v>
      </c>
      <c r="AM27" s="1429" t="s">
        <v>424</v>
      </c>
      <c r="AN27" s="1429" t="s">
        <v>425</v>
      </c>
      <c r="AO27" s="1430" t="s">
        <v>426</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60"/>
      <c r="G28" s="2260"/>
      <c r="H28" s="1791"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45"/>
      <c r="J28" s="1332"/>
      <c r="K28" s="286" t="s">
        <v>427</v>
      </c>
      <c r="L28" s="1332"/>
      <c r="M28" s="319">
        <f t="shared" si="6"/>
        <v>0</v>
      </c>
      <c r="N28" s="319">
        <f t="shared" si="12"/>
        <v>0</v>
      </c>
      <c r="O28" s="1332"/>
      <c r="P28" s="1332"/>
      <c r="Q28" s="1332"/>
      <c r="R28" s="1332"/>
      <c r="S28" s="1332"/>
      <c r="T28" s="1332"/>
      <c r="U28" s="313"/>
      <c r="V28" s="318"/>
      <c r="W28" s="318">
        <f t="shared" si="7"/>
        <v>0</v>
      </c>
      <c r="X28" s="318">
        <f t="shared" si="8"/>
        <v>0</v>
      </c>
      <c r="Y28" s="318"/>
      <c r="Z28" s="318">
        <f t="shared" si="9"/>
        <v>0</v>
      </c>
      <c r="AA28" s="313"/>
      <c r="AB28" s="16"/>
      <c r="AC28" s="16"/>
      <c r="AD28" s="322">
        <f t="shared" si="10"/>
        <v>0</v>
      </c>
      <c r="AE28" s="322">
        <f t="shared" si="13"/>
        <v>0</v>
      </c>
      <c r="AF28" s="313"/>
      <c r="AG28" s="1332"/>
      <c r="AH28" s="282" t="str">
        <f t="shared" si="11"/>
        <v/>
      </c>
      <c r="AI28" s="282" t="str">
        <f t="shared" si="11"/>
        <v/>
      </c>
      <c r="AJ28" s="282" t="str">
        <f t="shared" si="11"/>
        <v/>
      </c>
      <c r="AK28" s="282" t="str">
        <f t="shared" si="11"/>
        <v/>
      </c>
      <c r="AL28" s="1429" t="s">
        <v>428</v>
      </c>
      <c r="AM28" s="1429" t="s">
        <v>429</v>
      </c>
      <c r="AN28" s="1429" t="s">
        <v>430</v>
      </c>
      <c r="AO28" s="1430" t="s">
        <v>431</v>
      </c>
    </row>
    <row r="29" spans="2:41" s="9" customFormat="1" ht="15.75">
      <c r="B29" s="1332"/>
      <c r="C29" s="1332"/>
      <c r="D29" s="1332"/>
      <c r="E29" s="1332"/>
      <c r="F29" s="1332"/>
      <c r="G29" s="1332"/>
      <c r="H29" s="1332"/>
      <c r="I29" s="1332"/>
      <c r="J29" s="1332"/>
      <c r="K29" s="1332"/>
      <c r="L29" s="1332"/>
      <c r="M29" s="1332"/>
      <c r="N29" s="1332"/>
      <c r="O29" s="1332"/>
      <c r="P29" s="1332"/>
      <c r="Q29" s="1332"/>
      <c r="R29" s="1332"/>
      <c r="S29" s="1332"/>
      <c r="T29" s="1332"/>
      <c r="U29" s="1333"/>
      <c r="V29" s="318"/>
      <c r="W29" s="318"/>
      <c r="X29" s="318"/>
      <c r="Y29" s="318"/>
      <c r="Z29" s="318"/>
      <c r="AA29" s="313"/>
      <c r="AB29" s="16"/>
      <c r="AC29" s="16"/>
      <c r="AD29" s="322"/>
      <c r="AE29" s="16"/>
      <c r="AF29" s="1333"/>
      <c r="AG29" s="1332"/>
      <c r="AH29" s="1332"/>
      <c r="AI29" s="1332"/>
      <c r="AJ29" s="1332"/>
      <c r="AK29" s="1332"/>
      <c r="AL29" s="1332"/>
      <c r="AM29" s="1332"/>
      <c r="AN29" s="1332"/>
      <c r="AO29" s="1332"/>
    </row>
    <row r="30" spans="2:41" s="9" customFormat="1" ht="28.5" customHeight="1">
      <c r="B30" s="282" t="s">
        <v>432</v>
      </c>
      <c r="C30" s="341"/>
      <c r="D30" s="287" t="s">
        <v>321</v>
      </c>
      <c r="E30" s="287">
        <v>0</v>
      </c>
      <c r="F30" s="354"/>
      <c r="G30" s="2278">
        <f>IFERROR(IF('Validation summary'!F3="Woc","",(COUNTIF($G$9:$G$28,"Yes")/(COUNTA($G$9:$G$28) - COUNTIF($G$9:$G$28,"-")))*100),"")</f>
        <v>44.444444444444443</v>
      </c>
      <c r="H30" s="339"/>
      <c r="I30" s="340"/>
      <c r="J30" s="16"/>
      <c r="K30" s="286" t="s">
        <v>433</v>
      </c>
      <c r="L30" s="1332"/>
      <c r="M30" s="319"/>
      <c r="N30" s="319"/>
      <c r="O30" s="1332"/>
      <c r="P30" s="1332"/>
      <c r="Q30" s="1332"/>
      <c r="R30" s="1332"/>
      <c r="S30" s="1332"/>
      <c r="T30" s="1332"/>
      <c r="U30" s="1333"/>
      <c r="V30" s="318"/>
      <c r="W30" s="318"/>
      <c r="X30" s="318"/>
      <c r="Y30" s="318"/>
      <c r="Z30" s="318"/>
      <c r="AA30" s="313"/>
      <c r="AB30" s="16"/>
      <c r="AC30" s="16"/>
      <c r="AD30" s="322"/>
      <c r="AE30" s="16"/>
      <c r="AF30" s="1333"/>
      <c r="AG30" s="1332"/>
      <c r="AH30" s="282" t="s">
        <v>432</v>
      </c>
      <c r="AI30" s="341"/>
      <c r="AJ30" s="287" t="s">
        <v>321</v>
      </c>
      <c r="AK30" s="287">
        <v>0</v>
      </c>
      <c r="AL30" s="1332"/>
      <c r="AM30" s="1431" t="s">
        <v>434</v>
      </c>
      <c r="AN30" s="339"/>
      <c r="AO30" s="340"/>
    </row>
    <row r="31" spans="2:41" s="9" customFormat="1" ht="15">
      <c r="B31" s="1332"/>
      <c r="C31" s="1332"/>
      <c r="D31" s="1332"/>
      <c r="E31" s="1332"/>
      <c r="F31" s="1332"/>
      <c r="G31" s="1332"/>
      <c r="H31" s="1332"/>
      <c r="I31" s="1332"/>
      <c r="J31" s="1332"/>
      <c r="K31" s="1332"/>
      <c r="L31" s="1332"/>
      <c r="M31" s="1332"/>
      <c r="N31" s="1332"/>
      <c r="O31" s="1332"/>
      <c r="P31" s="1332"/>
      <c r="Q31" s="1332"/>
      <c r="R31" s="1332"/>
      <c r="S31" s="1332"/>
      <c r="T31" s="1332"/>
      <c r="U31" s="1333"/>
      <c r="V31" s="1333"/>
      <c r="W31" s="1333"/>
      <c r="X31" s="1333"/>
      <c r="Y31" s="1333"/>
      <c r="Z31" s="1333"/>
      <c r="AA31" s="1333"/>
      <c r="AB31" s="1333"/>
      <c r="AC31" s="1333"/>
      <c r="AD31" s="1333"/>
      <c r="AE31" s="1333"/>
      <c r="AF31" s="1333"/>
      <c r="AG31" s="1332"/>
      <c r="AH31" s="1332"/>
      <c r="AI31" s="1332"/>
      <c r="AJ31" s="1332"/>
      <c r="AK31" s="1332"/>
      <c r="AL31" s="1332"/>
      <c r="AM31" s="1332"/>
      <c r="AN31" s="1332"/>
      <c r="AO31" s="1332"/>
    </row>
    <row r="32" spans="2:41" s="9" customFormat="1" ht="15.75">
      <c r="B32" s="270" t="s">
        <v>327</v>
      </c>
      <c r="C32" s="1332"/>
      <c r="D32" s="1332"/>
      <c r="E32" s="1332"/>
      <c r="F32" s="1332"/>
      <c r="G32" s="1332"/>
      <c r="H32" s="1332"/>
      <c r="I32" s="1332"/>
      <c r="J32" s="1332"/>
      <c r="K32" s="1332"/>
      <c r="L32" s="1332"/>
      <c r="M32" s="1332"/>
      <c r="N32" s="1332"/>
      <c r="O32" s="1332"/>
      <c r="P32" s="1332"/>
      <c r="Q32" s="1332"/>
      <c r="R32" s="1332"/>
      <c r="S32" s="1332"/>
      <c r="T32" s="1332"/>
      <c r="U32" s="315"/>
      <c r="V32" s="327"/>
      <c r="W32" s="327"/>
      <c r="X32" s="327"/>
      <c r="Y32" s="327"/>
      <c r="Z32" s="327"/>
      <c r="AA32" s="315"/>
      <c r="AB32" s="315"/>
      <c r="AC32" s="315"/>
      <c r="AD32" s="328"/>
      <c r="AE32" s="315"/>
      <c r="AF32" s="315"/>
      <c r="AG32" s="1332"/>
      <c r="AH32" s="1332"/>
      <c r="AI32" s="1332"/>
      <c r="AJ32" s="1332"/>
      <c r="AK32" s="1332"/>
      <c r="AL32" s="1332"/>
      <c r="AM32" s="1332"/>
      <c r="AN32" s="1332"/>
      <c r="AO32" s="1332"/>
    </row>
    <row r="33" spans="2:32" ht="15.75">
      <c r="U33" s="315"/>
      <c r="V33" s="327"/>
      <c r="W33" s="327"/>
      <c r="X33" s="327"/>
      <c r="Y33" s="327"/>
      <c r="Z33" s="327"/>
      <c r="AA33" s="315"/>
      <c r="AB33" s="315"/>
      <c r="AC33" s="315"/>
      <c r="AD33" s="328"/>
      <c r="AE33" s="315"/>
      <c r="AF33" s="315"/>
    </row>
    <row r="34" spans="2:32" ht="15.75">
      <c r="B34" s="1786" t="s">
        <v>328</v>
      </c>
      <c r="U34" s="315"/>
      <c r="V34" s="327"/>
      <c r="W34" s="327"/>
      <c r="X34" s="327"/>
      <c r="Y34" s="327"/>
      <c r="Z34" s="327"/>
      <c r="AA34" s="315"/>
      <c r="AB34" s="315"/>
      <c r="AC34" s="315"/>
      <c r="AD34" s="328"/>
      <c r="AE34" s="315"/>
      <c r="AF34" s="315"/>
    </row>
    <row r="35" spans="2:32" ht="16.5" thickBot="1">
      <c r="B35" s="363"/>
      <c r="U35" s="315"/>
      <c r="V35" s="327"/>
      <c r="W35" s="327"/>
      <c r="X35" s="327"/>
      <c r="Y35" s="327"/>
      <c r="Z35" s="327"/>
      <c r="AA35" s="315"/>
      <c r="AB35" s="315"/>
      <c r="AC35" s="315"/>
      <c r="AD35" s="328"/>
      <c r="AE35" s="315"/>
      <c r="AF35" s="315"/>
    </row>
    <row r="36" spans="2:32" ht="16.5" thickBot="1">
      <c r="B36" s="2154" t="s">
        <v>329</v>
      </c>
      <c r="U36" s="315"/>
      <c r="V36" s="327"/>
      <c r="W36" s="327"/>
      <c r="X36" s="327"/>
      <c r="Y36" s="327"/>
      <c r="Z36" s="327"/>
      <c r="AA36" s="315"/>
      <c r="AB36" s="315"/>
      <c r="AC36" s="315"/>
      <c r="AD36" s="328"/>
      <c r="AE36" s="315"/>
      <c r="AF36" s="315"/>
    </row>
    <row r="37" spans="2:32" ht="15.75">
      <c r="U37" s="315"/>
      <c r="V37" s="327"/>
      <c r="W37" s="327"/>
      <c r="X37" s="327"/>
      <c r="Y37" s="327"/>
      <c r="Z37" s="327"/>
      <c r="AA37" s="315"/>
      <c r="AB37" s="315"/>
      <c r="AC37" s="315"/>
      <c r="AD37" s="328"/>
      <c r="AE37" s="315"/>
      <c r="AF37" s="315"/>
    </row>
    <row r="38" spans="2:32" ht="15.75">
      <c r="B38" s="1787" t="s">
        <v>330</v>
      </c>
      <c r="U38" s="315"/>
      <c r="V38" s="327"/>
      <c r="W38" s="327"/>
      <c r="X38" s="327"/>
      <c r="Y38" s="327"/>
      <c r="Z38" s="327"/>
      <c r="AA38" s="315"/>
      <c r="AB38" s="315"/>
      <c r="AC38" s="315"/>
      <c r="AD38" s="328"/>
      <c r="AE38" s="315"/>
      <c r="AF38" s="315"/>
    </row>
    <row r="39" spans="2:32" ht="15.75">
      <c r="U39" s="315"/>
      <c r="V39" s="327"/>
      <c r="W39" s="327"/>
      <c r="X39" s="327"/>
      <c r="Y39" s="327"/>
      <c r="Z39" s="327"/>
      <c r="AA39" s="315"/>
      <c r="AB39" s="315"/>
      <c r="AC39" s="315"/>
      <c r="AD39" s="328"/>
      <c r="AE39" s="315"/>
      <c r="AF39" s="315"/>
    </row>
    <row r="40" spans="2:32" ht="15.75">
      <c r="B40" s="1788" t="s">
        <v>331</v>
      </c>
      <c r="U40" s="315"/>
      <c r="V40" s="327"/>
      <c r="W40" s="327"/>
      <c r="X40" s="327"/>
      <c r="Y40" s="327"/>
      <c r="Z40" s="327"/>
      <c r="AA40" s="315"/>
      <c r="AB40" s="315"/>
      <c r="AC40" s="315"/>
      <c r="AD40" s="328"/>
      <c r="AE40" s="315"/>
      <c r="AF40" s="315"/>
    </row>
    <row r="41" spans="2:32" ht="15.75">
      <c r="U41" s="315"/>
      <c r="V41" s="327"/>
      <c r="W41" s="327"/>
      <c r="X41" s="327"/>
      <c r="Y41" s="327"/>
      <c r="Z41" s="327"/>
      <c r="AA41" s="315"/>
      <c r="AB41" s="315"/>
      <c r="AC41" s="315"/>
      <c r="AD41" s="328"/>
      <c r="AE41" s="315"/>
      <c r="AF41" s="315"/>
    </row>
    <row r="42" spans="2:32" ht="15">
      <c r="B42" s="288" t="str">
        <f>'3A'!$B$53</f>
        <v>Please refer to RAG 4.13 - Guideline for the table definitions in the annual performance report</v>
      </c>
      <c r="C42" s="271"/>
      <c r="D42" s="271"/>
      <c r="E42" s="271"/>
      <c r="F42" s="271"/>
      <c r="G42" s="271"/>
      <c r="H42" s="271"/>
      <c r="I42" s="271"/>
      <c r="J42" s="271"/>
      <c r="K42" s="271"/>
      <c r="U42" s="1334"/>
      <c r="V42" s="327"/>
      <c r="W42" s="327"/>
      <c r="X42" s="327"/>
      <c r="Y42" s="327"/>
      <c r="Z42" s="327"/>
      <c r="AA42" s="1334"/>
      <c r="AB42" s="1334"/>
      <c r="AC42" s="1334"/>
      <c r="AD42" s="328"/>
      <c r="AE42" s="1334"/>
      <c r="AF42" s="1334"/>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mergeCells count="9">
    <mergeCell ref="N5:N6"/>
    <mergeCell ref="M5:M6"/>
    <mergeCell ref="K5:K6"/>
    <mergeCell ref="B5:B6"/>
    <mergeCell ref="C5:C6"/>
    <mergeCell ref="D5:D6"/>
    <mergeCell ref="G5:G6"/>
    <mergeCell ref="E5:E6"/>
    <mergeCell ref="F5:F6"/>
  </mergeCells>
  <conditionalFormatting sqref="E9:E12 E15:E28 E30">
    <cfRule type="cellIs" dxfId="317" priority="21" operator="equal">
      <formula>0</formula>
    </cfRule>
  </conditionalFormatting>
  <conditionalFormatting sqref="F15:F28 G30">
    <cfRule type="expression" dxfId="316" priority="52">
      <formula>INDIRECT("E" &amp; ROW()) = 5</formula>
    </cfRule>
    <cfRule type="expression" dxfId="315" priority="53">
      <formula>INDIRECT("E" &amp; ROW()) = 4</formula>
    </cfRule>
    <cfRule type="expression" dxfId="314" priority="54">
      <formula>INDIRECT("E" &amp; ROW()) = 3</formula>
    </cfRule>
    <cfRule type="expression" dxfId="313" priority="55">
      <formula>INDIRECT("E" &amp; ROW()) = 2</formula>
    </cfRule>
    <cfRule type="expression" dxfId="312" priority="56">
      <formula>INDIRECT("E" &amp; ROW()) = 1</formula>
    </cfRule>
    <cfRule type="expression" dxfId="311"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topLeftCell="A3" zoomScale="80" zoomScaleNormal="80" zoomScaleSheetLayoutView="100" workbookViewId="0">
      <selection activeCell="D6" sqref="D6:D12"/>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8.6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56</v>
      </c>
      <c r="C1" s="1996"/>
      <c r="D1" s="6"/>
      <c r="E1" s="6"/>
      <c r="J1" s="1912"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57</v>
      </c>
      <c r="C3" s="289"/>
      <c r="D3" s="289"/>
      <c r="E3" s="295"/>
      <c r="F3" s="301" t="str">
        <f>'Validation summary'!$B$3</f>
        <v>Anglian Water</v>
      </c>
      <c r="G3" s="1335"/>
      <c r="H3" s="292"/>
      <c r="I3" s="292" t="s">
        <v>150</v>
      </c>
      <c r="J3" s="292"/>
      <c r="O3" s="1333"/>
      <c r="P3" s="1332" t="s">
        <v>162</v>
      </c>
      <c r="Q3" s="1332"/>
      <c r="R3" s="1332"/>
      <c r="S3" s="1332"/>
      <c r="T3" s="1332"/>
      <c r="U3" s="1333"/>
      <c r="V3" s="1332" t="s">
        <v>163</v>
      </c>
      <c r="W3" s="1332"/>
      <c r="X3" s="1332"/>
      <c r="Y3" s="1332"/>
      <c r="Z3" s="1332"/>
      <c r="AA3" s="1333"/>
      <c r="AC3" s="292" t="s">
        <v>151</v>
      </c>
    </row>
    <row r="4" spans="2:31" s="18" customFormat="1" ht="16.5" customHeight="1">
      <c r="B4" s="1332"/>
      <c r="C4" s="1332"/>
      <c r="D4" s="1332"/>
      <c r="E4" s="1332"/>
      <c r="F4" s="1332"/>
      <c r="G4" s="1332"/>
      <c r="I4" s="19"/>
      <c r="O4" s="1333"/>
      <c r="P4" s="320" t="s">
        <v>435</v>
      </c>
      <c r="Q4" s="1332"/>
      <c r="R4" s="1332"/>
      <c r="S4" s="1332"/>
      <c r="T4" s="1332"/>
      <c r="U4" s="1333"/>
      <c r="V4" s="320" t="s">
        <v>167</v>
      </c>
      <c r="W4" s="1332"/>
      <c r="X4" s="320"/>
      <c r="Y4" s="320"/>
      <c r="Z4" s="1332"/>
      <c r="AA4" s="1333"/>
    </row>
    <row r="5" spans="2:31" s="18" customFormat="1" ht="27.75" customHeight="1">
      <c r="B5" s="2355" t="s">
        <v>436</v>
      </c>
      <c r="C5" s="2355" t="s">
        <v>155</v>
      </c>
      <c r="D5" s="2355" t="s">
        <v>437</v>
      </c>
      <c r="E5" s="275"/>
      <c r="F5" s="2355" t="s">
        <v>161</v>
      </c>
      <c r="I5" s="324" t="s">
        <v>162</v>
      </c>
      <c r="J5" s="324" t="s">
        <v>163</v>
      </c>
      <c r="O5" s="1333"/>
      <c r="P5" s="317">
        <v>3</v>
      </c>
      <c r="Q5" s="317"/>
      <c r="R5" s="317"/>
      <c r="S5" s="317"/>
      <c r="T5" s="317"/>
      <c r="U5" s="321"/>
      <c r="V5" s="317">
        <v>3</v>
      </c>
      <c r="W5" s="317"/>
      <c r="X5" s="317"/>
      <c r="Y5" s="317"/>
      <c r="Z5" s="317"/>
      <c r="AA5" s="1333"/>
      <c r="AC5" s="2355" t="s">
        <v>436</v>
      </c>
      <c r="AD5" s="2355" t="s">
        <v>155</v>
      </c>
      <c r="AE5" s="2355" t="s">
        <v>437</v>
      </c>
    </row>
    <row r="6" spans="2:31" s="18" customFormat="1" ht="28.5" customHeight="1">
      <c r="B6" s="282" t="s">
        <v>438</v>
      </c>
      <c r="C6" s="287" t="s">
        <v>439</v>
      </c>
      <c r="D6" s="2280">
        <v>78.77</v>
      </c>
      <c r="E6" s="1332"/>
      <c r="F6" s="286" t="s">
        <v>440</v>
      </c>
      <c r="I6" s="319">
        <f>IF($P6=0,0,$P$4)</f>
        <v>0</v>
      </c>
      <c r="J6" s="319">
        <f>IF($V6=0,0,$V$4)</f>
        <v>0</v>
      </c>
      <c r="O6" s="1333"/>
      <c r="P6" s="318">
        <f>IF(ISBLANK($D6)=TRUE,1,0)</f>
        <v>0</v>
      </c>
      <c r="Q6" s="318"/>
      <c r="R6" s="318"/>
      <c r="S6" s="318"/>
      <c r="T6" s="318"/>
      <c r="U6" s="1333"/>
      <c r="V6" s="322">
        <f>IF($D6&lt;0,1,0)</f>
        <v>0</v>
      </c>
      <c r="W6" s="322"/>
      <c r="X6" s="322"/>
      <c r="Y6" s="318"/>
      <c r="Z6" s="322"/>
      <c r="AA6" s="1333"/>
      <c r="AC6" s="282" t="str">
        <f>B6</f>
        <v>Annual customer satisfaction score for the customer service survey</v>
      </c>
      <c r="AD6" s="282" t="str">
        <f>C6</f>
        <v>Number</v>
      </c>
      <c r="AE6" s="1415" t="s">
        <v>441</v>
      </c>
    </row>
    <row r="7" spans="2:31" s="18" customFormat="1" ht="28.5" customHeight="1">
      <c r="B7" s="282" t="s">
        <v>442</v>
      </c>
      <c r="C7" s="287" t="s">
        <v>439</v>
      </c>
      <c r="D7" s="2280">
        <v>75.98</v>
      </c>
      <c r="E7" s="1332"/>
      <c r="F7" s="286" t="s">
        <v>443</v>
      </c>
      <c r="I7" s="319">
        <f>IF($P7=0,0,$P$4)</f>
        <v>0</v>
      </c>
      <c r="J7" s="319">
        <f t="shared" ref="J7:J11" si="0">IF($V7=0,0,$V$4)</f>
        <v>0</v>
      </c>
      <c r="O7" s="1333"/>
      <c r="P7" s="318">
        <f t="shared" ref="P7:P13" si="1">IF(ISBLANK($D7)=TRUE,1,0)</f>
        <v>0</v>
      </c>
      <c r="Q7" s="1332"/>
      <c r="R7" s="1332"/>
      <c r="S7" s="1332"/>
      <c r="T7" s="1332"/>
      <c r="U7" s="1333"/>
      <c r="V7" s="322">
        <f t="shared" ref="V7:V11" si="2">IF($D7&lt;0,1,0)</f>
        <v>0</v>
      </c>
      <c r="W7" s="1332"/>
      <c r="X7" s="1332"/>
      <c r="Y7" s="1332"/>
      <c r="Z7" s="1332"/>
      <c r="AA7" s="1333"/>
      <c r="AC7" s="282" t="str">
        <f t="shared" ref="AC7:AD13" si="3">B7</f>
        <v>Annual customer satisfaction score for the customer experience survey</v>
      </c>
      <c r="AD7" s="282" t="str">
        <f t="shared" si="3"/>
        <v>Number</v>
      </c>
      <c r="AE7" s="1415" t="s">
        <v>444</v>
      </c>
    </row>
    <row r="8" spans="2:31" s="18" customFormat="1" ht="28.5" customHeight="1">
      <c r="B8" s="282" t="s">
        <v>445</v>
      </c>
      <c r="C8" s="287" t="s">
        <v>439</v>
      </c>
      <c r="D8" s="2143">
        <f>(D6*50%)+(D7*50%)</f>
        <v>77.375</v>
      </c>
      <c r="E8" s="1332"/>
      <c r="F8" s="286" t="s">
        <v>446</v>
      </c>
      <c r="I8" s="319"/>
      <c r="J8" s="319"/>
      <c r="O8" s="1333"/>
      <c r="P8" s="318"/>
      <c r="Q8" s="317"/>
      <c r="R8" s="317"/>
      <c r="S8" s="317"/>
      <c r="T8" s="317"/>
      <c r="U8" s="321"/>
      <c r="V8" s="322"/>
      <c r="W8" s="317"/>
      <c r="X8" s="317"/>
      <c r="Y8" s="317"/>
      <c r="Z8" s="317"/>
      <c r="AA8" s="1333"/>
      <c r="AC8" s="282" t="str">
        <f t="shared" si="3"/>
        <v>Annual C-MeX score</v>
      </c>
      <c r="AD8" s="282" t="str">
        <f t="shared" si="3"/>
        <v>Number</v>
      </c>
      <c r="AE8" s="1428" t="s">
        <v>447</v>
      </c>
    </row>
    <row r="9" spans="2:31" s="18" customFormat="1" ht="28.5" customHeight="1">
      <c r="B9" s="282" t="s">
        <v>448</v>
      </c>
      <c r="C9" s="287" t="s">
        <v>439</v>
      </c>
      <c r="D9" s="2280">
        <v>13.5</v>
      </c>
      <c r="E9" s="1332"/>
      <c r="F9" s="286" t="s">
        <v>449</v>
      </c>
      <c r="I9" s="319">
        <f>IF($P9=0,0,$P$4)</f>
        <v>0</v>
      </c>
      <c r="J9" s="319">
        <f t="shared" si="0"/>
        <v>0</v>
      </c>
      <c r="O9" s="1333"/>
      <c r="P9" s="318">
        <f t="shared" si="1"/>
        <v>0</v>
      </c>
      <c r="Q9" s="318"/>
      <c r="R9" s="318"/>
      <c r="S9" s="318"/>
      <c r="T9" s="318"/>
      <c r="U9" s="1333"/>
      <c r="V9" s="322"/>
      <c r="W9" s="322"/>
      <c r="X9" s="322"/>
      <c r="Y9" s="318"/>
      <c r="Z9" s="322"/>
      <c r="AA9" s="1333"/>
      <c r="AC9" s="282" t="str">
        <f t="shared" si="3"/>
        <v>Annual net promoter score</v>
      </c>
      <c r="AD9" s="282" t="str">
        <f t="shared" si="3"/>
        <v>Number</v>
      </c>
      <c r="AE9" s="1415" t="s">
        <v>450</v>
      </c>
    </row>
    <row r="10" spans="2:31" s="18" customFormat="1" ht="28.5" customHeight="1">
      <c r="B10" s="282" t="s">
        <v>451</v>
      </c>
      <c r="C10" s="287" t="s">
        <v>439</v>
      </c>
      <c r="D10" s="2281">
        <v>11837</v>
      </c>
      <c r="E10" s="1332"/>
      <c r="F10" s="286" t="s">
        <v>452</v>
      </c>
      <c r="I10" s="319">
        <f>IF($P10=0,0,$P$4)</f>
        <v>0</v>
      </c>
      <c r="J10" s="319">
        <f t="shared" si="0"/>
        <v>0</v>
      </c>
      <c r="O10" s="1333"/>
      <c r="P10" s="318">
        <f t="shared" si="1"/>
        <v>0</v>
      </c>
      <c r="Q10" s="318"/>
      <c r="R10" s="318"/>
      <c r="S10" s="318"/>
      <c r="T10" s="318"/>
      <c r="U10" s="1333"/>
      <c r="V10" s="322">
        <f t="shared" si="2"/>
        <v>0</v>
      </c>
      <c r="W10" s="322"/>
      <c r="X10" s="322"/>
      <c r="Y10" s="318"/>
      <c r="Z10" s="1332"/>
      <c r="AA10" s="1333"/>
      <c r="AC10" s="282" t="str">
        <f t="shared" si="3"/>
        <v>Total household complaints</v>
      </c>
      <c r="AD10" s="282" t="str">
        <f t="shared" si="3"/>
        <v>Number</v>
      </c>
      <c r="AE10" s="1415" t="s">
        <v>453</v>
      </c>
    </row>
    <row r="11" spans="2:31" s="18" customFormat="1" ht="28.5" customHeight="1">
      <c r="B11" s="282" t="s">
        <v>454</v>
      </c>
      <c r="C11" s="287" t="s">
        <v>439</v>
      </c>
      <c r="D11" s="2282">
        <v>3112980</v>
      </c>
      <c r="E11" s="1332"/>
      <c r="F11" s="286" t="s">
        <v>455</v>
      </c>
      <c r="I11" s="319">
        <f>IF($P11=0,0,$P$4)</f>
        <v>0</v>
      </c>
      <c r="J11" s="319">
        <f t="shared" si="0"/>
        <v>0</v>
      </c>
      <c r="O11" s="1333"/>
      <c r="P11" s="318">
        <f t="shared" si="1"/>
        <v>0</v>
      </c>
      <c r="Q11" s="318"/>
      <c r="R11" s="318"/>
      <c r="S11" s="318"/>
      <c r="T11" s="318"/>
      <c r="U11" s="1333"/>
      <c r="V11" s="322">
        <f t="shared" si="2"/>
        <v>0</v>
      </c>
      <c r="W11" s="322"/>
      <c r="X11" s="322"/>
      <c r="Y11" s="318"/>
      <c r="Z11" s="1332"/>
      <c r="AA11" s="1333"/>
      <c r="AC11" s="282" t="str">
        <f t="shared" si="3"/>
        <v>Total connected household properties</v>
      </c>
      <c r="AD11" s="282" t="str">
        <f t="shared" si="3"/>
        <v>Number</v>
      </c>
      <c r="AE11" s="1415" t="s">
        <v>456</v>
      </c>
    </row>
    <row r="12" spans="2:31" s="18" customFormat="1" ht="28.5" customHeight="1">
      <c r="B12" s="282" t="s">
        <v>457</v>
      </c>
      <c r="C12" s="287" t="s">
        <v>439</v>
      </c>
      <c r="D12" s="2144">
        <f>D10*(10000/D11)</f>
        <v>38.024658044703145</v>
      </c>
      <c r="E12" s="1332"/>
      <c r="F12" s="286" t="s">
        <v>458</v>
      </c>
      <c r="I12" s="319"/>
      <c r="J12" s="319"/>
      <c r="O12" s="1333"/>
      <c r="P12" s="318"/>
      <c r="Q12" s="318"/>
      <c r="R12" s="318"/>
      <c r="S12" s="318"/>
      <c r="T12" s="318"/>
      <c r="U12" s="1333"/>
      <c r="V12" s="322"/>
      <c r="W12" s="322"/>
      <c r="X12" s="322"/>
      <c r="Y12" s="318"/>
      <c r="Z12" s="1332"/>
      <c r="AA12" s="1333"/>
      <c r="AC12" s="282" t="str">
        <f t="shared" si="3"/>
        <v>Total household complaints per 10,000 connections</v>
      </c>
      <c r="AD12" s="282" t="str">
        <f t="shared" si="3"/>
        <v>Number</v>
      </c>
      <c r="AE12" s="1419" t="s">
        <v>459</v>
      </c>
    </row>
    <row r="13" spans="2:31" s="18" customFormat="1" ht="28.5" customHeight="1">
      <c r="B13" s="282" t="s">
        <v>460</v>
      </c>
      <c r="C13" s="296" t="s">
        <v>461</v>
      </c>
      <c r="D13" s="2145" t="b">
        <v>1</v>
      </c>
      <c r="E13" s="1332"/>
      <c r="F13" s="286" t="s">
        <v>462</v>
      </c>
      <c r="I13" s="319">
        <f>IF($P13=0,0,$P$4)</f>
        <v>0</v>
      </c>
      <c r="J13" s="319"/>
      <c r="O13" s="1336"/>
      <c r="P13" s="318">
        <f t="shared" si="1"/>
        <v>0</v>
      </c>
      <c r="Q13" s="318"/>
      <c r="R13" s="318"/>
      <c r="S13" s="318"/>
      <c r="T13" s="318"/>
      <c r="U13" s="1333"/>
      <c r="V13" s="322"/>
      <c r="W13" s="322"/>
      <c r="X13" s="322"/>
      <c r="Y13" s="318"/>
      <c r="Z13" s="1332"/>
      <c r="AA13" s="1333"/>
      <c r="AC13" s="282" t="str">
        <f t="shared" si="3"/>
        <v>Confirmation of communication channels offered</v>
      </c>
      <c r="AD13" s="282" t="str">
        <f t="shared" si="3"/>
        <v>TRUE or FALSE</v>
      </c>
      <c r="AE13" s="1430" t="s">
        <v>463</v>
      </c>
    </row>
    <row r="14" spans="2:31" s="18" customFormat="1" ht="15" customHeight="1">
      <c r="H14" s="20"/>
      <c r="O14" s="329"/>
      <c r="P14" s="329"/>
      <c r="Q14" s="329"/>
      <c r="R14" s="329"/>
      <c r="S14" s="329"/>
      <c r="T14" s="329"/>
      <c r="U14" s="329"/>
      <c r="V14" s="329"/>
      <c r="W14" s="329"/>
      <c r="X14" s="329"/>
      <c r="Y14" s="329"/>
      <c r="Z14" s="329"/>
      <c r="AA14" s="329"/>
    </row>
    <row r="15" spans="2:31" s="18" customFormat="1" ht="15.75">
      <c r="B15" s="270" t="s">
        <v>327</v>
      </c>
      <c r="C15" s="1332"/>
      <c r="D15" s="1332"/>
      <c r="E15" s="1332"/>
      <c r="F15" s="1332"/>
      <c r="G15" s="1332"/>
      <c r="H15" s="1332"/>
      <c r="I15" s="1332"/>
      <c r="J15" s="1332"/>
      <c r="K15" s="1332"/>
      <c r="L15" s="1332"/>
    </row>
    <row r="16" spans="2:31">
      <c r="B16" s="8"/>
      <c r="C16" s="8"/>
      <c r="D16" s="8"/>
      <c r="E16" s="8"/>
      <c r="F16" s="8"/>
      <c r="G16" s="8"/>
      <c r="H16" s="8"/>
      <c r="I16" s="8"/>
      <c r="J16" s="8"/>
      <c r="K16" s="8"/>
      <c r="L16" s="8"/>
    </row>
    <row r="17" spans="2:12">
      <c r="B17" s="1786" t="s">
        <v>328</v>
      </c>
      <c r="C17" s="8"/>
      <c r="D17" s="8"/>
      <c r="E17" s="8"/>
      <c r="F17" s="8"/>
      <c r="G17" s="8"/>
      <c r="H17" s="8"/>
      <c r="I17" s="8"/>
      <c r="J17" s="8"/>
      <c r="K17" s="8"/>
      <c r="L17" s="8"/>
    </row>
    <row r="18" spans="2:12" ht="15.75" thickBot="1">
      <c r="B18" s="363"/>
      <c r="C18" s="8"/>
      <c r="D18" s="8"/>
      <c r="E18" s="8"/>
      <c r="F18" s="8"/>
      <c r="G18" s="8"/>
      <c r="H18" s="8"/>
      <c r="I18" s="8"/>
      <c r="J18" s="8"/>
      <c r="K18" s="8"/>
      <c r="L18" s="8"/>
    </row>
    <row r="19" spans="2:12" ht="15.75" thickBot="1">
      <c r="B19" s="2154" t="s">
        <v>329</v>
      </c>
      <c r="C19" s="8"/>
      <c r="D19" s="8"/>
      <c r="E19" s="8"/>
      <c r="F19" s="8"/>
      <c r="G19" s="8"/>
      <c r="H19" s="8"/>
      <c r="I19" s="8"/>
      <c r="J19" s="8"/>
      <c r="K19" s="8"/>
      <c r="L19" s="8"/>
    </row>
    <row r="20" spans="2:12">
      <c r="B20" s="8"/>
      <c r="C20" s="8"/>
      <c r="D20" s="8"/>
      <c r="E20" s="8"/>
      <c r="F20" s="8"/>
      <c r="G20" s="8"/>
      <c r="H20" s="8"/>
      <c r="I20" s="8"/>
      <c r="J20" s="8"/>
      <c r="K20" s="8"/>
      <c r="L20" s="8"/>
    </row>
    <row r="21" spans="2:12">
      <c r="B21" s="1787" t="s">
        <v>330</v>
      </c>
      <c r="C21" s="8"/>
      <c r="D21" s="8"/>
      <c r="E21" s="8"/>
      <c r="F21" s="8"/>
      <c r="G21" s="8"/>
      <c r="H21" s="8"/>
      <c r="I21" s="8"/>
      <c r="J21" s="8"/>
      <c r="K21" s="8"/>
      <c r="L21" s="8"/>
    </row>
    <row r="22" spans="2:12">
      <c r="B22" s="8"/>
      <c r="C22" s="8"/>
      <c r="D22" s="8"/>
      <c r="E22" s="8"/>
      <c r="F22" s="8"/>
      <c r="G22" s="8"/>
      <c r="H22" s="8"/>
      <c r="I22" s="8"/>
      <c r="J22" s="8"/>
      <c r="K22" s="8"/>
      <c r="L22" s="8"/>
    </row>
    <row r="23" spans="2:12">
      <c r="B23" s="1788" t="s">
        <v>331</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conditionalFormatting sqref="I6:J13">
    <cfRule type="cellIs" dxfId="298"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tabSelected="1" topLeftCell="A4" zoomScale="80" zoomScaleNormal="80" zoomScaleSheetLayoutView="100" workbookViewId="0">
      <selection activeCell="D9" sqref="D9"/>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62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58</v>
      </c>
      <c r="C1" s="1996"/>
      <c r="D1" s="6"/>
      <c r="E1" s="6"/>
      <c r="F1" s="6"/>
      <c r="J1" s="1912"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59</v>
      </c>
      <c r="C3" s="289"/>
      <c r="D3" s="289"/>
      <c r="E3" s="289"/>
      <c r="F3" s="297"/>
      <c r="G3" s="301" t="str">
        <f>'Validation summary'!$B$3</f>
        <v>Anglian Water</v>
      </c>
      <c r="H3" s="1335"/>
      <c r="I3" s="292" t="s">
        <v>150</v>
      </c>
      <c r="J3" s="292"/>
      <c r="N3" s="1333"/>
      <c r="O3" s="1332" t="s">
        <v>162</v>
      </c>
      <c r="P3" s="1332"/>
      <c r="Q3" s="1332"/>
      <c r="R3" s="1332"/>
      <c r="S3" s="1332"/>
      <c r="T3" s="1333"/>
      <c r="U3" s="1332" t="s">
        <v>163</v>
      </c>
      <c r="V3" s="1332"/>
      <c r="W3" s="1332"/>
      <c r="X3" s="1332"/>
      <c r="Y3" s="1332"/>
      <c r="Z3" s="1333"/>
      <c r="AB3" s="292" t="s">
        <v>151</v>
      </c>
    </row>
    <row r="4" spans="2:30" s="18" customFormat="1" ht="16.5" customHeight="1">
      <c r="B4" s="1332"/>
      <c r="C4" s="1332"/>
      <c r="D4" s="1332"/>
      <c r="E4" s="1332"/>
      <c r="F4" s="1332"/>
      <c r="G4" s="1332"/>
      <c r="H4" s="1332"/>
      <c r="I4" s="19"/>
      <c r="J4" s="19"/>
      <c r="N4" s="1333"/>
      <c r="O4" s="320" t="s">
        <v>435</v>
      </c>
      <c r="P4" s="1332"/>
      <c r="Q4" s="1332"/>
      <c r="R4" s="1332"/>
      <c r="S4" s="1332"/>
      <c r="T4" s="1333"/>
      <c r="U4" s="320" t="s">
        <v>167</v>
      </c>
      <c r="V4" s="1332"/>
      <c r="W4" s="320"/>
      <c r="X4" s="320"/>
      <c r="Y4" s="1332"/>
      <c r="Z4" s="1333"/>
    </row>
    <row r="5" spans="2:30" s="18" customFormat="1" ht="30.75" customHeight="1">
      <c r="B5" s="2355" t="s">
        <v>436</v>
      </c>
      <c r="C5" s="2355" t="s">
        <v>155</v>
      </c>
      <c r="D5" s="2355" t="s">
        <v>437</v>
      </c>
      <c r="E5" s="275"/>
      <c r="F5" s="275"/>
      <c r="G5" s="2355" t="s">
        <v>161</v>
      </c>
      <c r="I5" s="324" t="s">
        <v>162</v>
      </c>
      <c r="J5" s="324" t="s">
        <v>163</v>
      </c>
      <c r="N5" s="1333"/>
      <c r="O5" s="317">
        <v>1</v>
      </c>
      <c r="P5" s="317">
        <v>2</v>
      </c>
      <c r="Q5" s="317">
        <v>3</v>
      </c>
      <c r="R5" s="317">
        <v>4</v>
      </c>
      <c r="S5" s="317">
        <v>5</v>
      </c>
      <c r="T5" s="321"/>
      <c r="U5" s="317">
        <v>1</v>
      </c>
      <c r="V5" s="317">
        <v>2</v>
      </c>
      <c r="W5" s="317">
        <v>3</v>
      </c>
      <c r="X5" s="317">
        <v>4</v>
      </c>
      <c r="Y5" s="317">
        <v>5</v>
      </c>
      <c r="Z5" s="1333"/>
      <c r="AB5" s="2355" t="s">
        <v>436</v>
      </c>
      <c r="AC5" s="2355" t="s">
        <v>155</v>
      </c>
      <c r="AD5" s="2357" t="s">
        <v>437</v>
      </c>
    </row>
    <row r="6" spans="2:30" s="18" customFormat="1" ht="21" customHeight="1">
      <c r="B6" s="282" t="s">
        <v>464</v>
      </c>
      <c r="C6" s="287" t="s">
        <v>439</v>
      </c>
      <c r="D6" s="2280">
        <v>79.37</v>
      </c>
      <c r="F6" s="1332"/>
      <c r="G6" s="286" t="s">
        <v>465</v>
      </c>
      <c r="I6" s="319">
        <f>IF($Q6=0,0,$O$4)</f>
        <v>0</v>
      </c>
      <c r="J6" s="319">
        <f>IF($W6=0,0,$U$4)</f>
        <v>0</v>
      </c>
      <c r="N6" s="1333"/>
      <c r="Q6" s="318">
        <f>IF(ISBLANK($D6)=TRUE,1,0)</f>
        <v>0</v>
      </c>
      <c r="R6" s="318"/>
      <c r="S6" s="318"/>
      <c r="T6" s="1333"/>
      <c r="V6" s="322"/>
      <c r="W6" s="322">
        <f>IF($D6&lt;0,1,0)</f>
        <v>0</v>
      </c>
      <c r="X6" s="318"/>
      <c r="Y6" s="322"/>
      <c r="Z6" s="1333"/>
      <c r="AB6" s="282" t="str">
        <f t="shared" ref="AB6:AC10" si="0">B6</f>
        <v>Qualitative component annual results</v>
      </c>
      <c r="AC6" s="1432" t="str">
        <f t="shared" si="0"/>
        <v>Number</v>
      </c>
      <c r="AD6" s="1433" t="s">
        <v>466</v>
      </c>
    </row>
    <row r="7" spans="2:30" s="18" customFormat="1" ht="21" customHeight="1">
      <c r="B7" s="282" t="s">
        <v>467</v>
      </c>
      <c r="C7" s="287" t="s">
        <v>439</v>
      </c>
      <c r="D7" s="2373">
        <f>$E$66*100</f>
        <v>99.998412455008292</v>
      </c>
      <c r="F7" s="1332"/>
      <c r="G7" s="286" t="s">
        <v>468</v>
      </c>
      <c r="I7" s="330"/>
      <c r="J7" s="330"/>
      <c r="N7" s="1333"/>
      <c r="Q7" s="318"/>
      <c r="R7" s="1332"/>
      <c r="S7" s="1332"/>
      <c r="T7" s="1333"/>
      <c r="U7" s="322"/>
      <c r="V7" s="1332"/>
      <c r="W7" s="1332"/>
      <c r="X7" s="1332"/>
      <c r="Y7" s="1332"/>
      <c r="Z7" s="1333"/>
      <c r="AB7" s="282" t="str">
        <f t="shared" si="0"/>
        <v>Quantitative component annual results</v>
      </c>
      <c r="AC7" s="1432" t="str">
        <f t="shared" si="0"/>
        <v>Number</v>
      </c>
      <c r="AD7" s="1434" t="s">
        <v>469</v>
      </c>
    </row>
    <row r="8" spans="2:30" s="18" customFormat="1" ht="21" customHeight="1" thickBot="1">
      <c r="B8" s="282" t="s">
        <v>470</v>
      </c>
      <c r="C8" s="287" t="s">
        <v>439</v>
      </c>
      <c r="D8" s="2146">
        <f>(D6*50%)+(D7*50%)</f>
        <v>89.684206227504149</v>
      </c>
      <c r="F8" s="1332"/>
      <c r="G8" s="286" t="s">
        <v>471</v>
      </c>
      <c r="I8" s="310"/>
      <c r="J8" s="310"/>
      <c r="N8" s="1333"/>
      <c r="Q8" s="318"/>
      <c r="R8" s="317"/>
      <c r="S8" s="317"/>
      <c r="T8" s="321"/>
      <c r="U8" s="322"/>
      <c r="V8" s="317"/>
      <c r="W8" s="317"/>
      <c r="X8" s="317"/>
      <c r="Y8" s="317"/>
      <c r="Z8" s="1333"/>
      <c r="AB8" s="282" t="str">
        <f t="shared" si="0"/>
        <v>D-MeX score</v>
      </c>
      <c r="AC8" s="1432" t="str">
        <f t="shared" si="0"/>
        <v>Number</v>
      </c>
      <c r="AD8" s="1435" t="s">
        <v>472</v>
      </c>
    </row>
    <row r="9" spans="2:30" s="18" customFormat="1" ht="21" customHeight="1">
      <c r="B9" s="282" t="s">
        <v>473</v>
      </c>
      <c r="C9" s="364" t="s">
        <v>165</v>
      </c>
      <c r="D9" s="2155">
        <v>34.963999999999999</v>
      </c>
      <c r="F9" s="1332"/>
      <c r="G9" s="286" t="s">
        <v>474</v>
      </c>
      <c r="I9" s="319">
        <f>IF($Q9=0,0,$O$4)</f>
        <v>0</v>
      </c>
      <c r="J9" s="319"/>
      <c r="L9" s="250"/>
      <c r="N9" s="1333"/>
      <c r="Q9" s="318">
        <f>IF(ISBLANK($D9)=TRUE,1,0)</f>
        <v>0</v>
      </c>
      <c r="R9" s="318"/>
      <c r="S9" s="318"/>
      <c r="T9" s="1333"/>
      <c r="U9" s="322"/>
      <c r="V9" s="322"/>
      <c r="W9" s="322"/>
      <c r="X9" s="318"/>
      <c r="Y9" s="322"/>
      <c r="Z9" s="1333"/>
      <c r="AB9" s="282" t="str">
        <f t="shared" si="0"/>
        <v>Developer services revenue (water)</v>
      </c>
      <c r="AC9" s="1432" t="str">
        <f t="shared" si="0"/>
        <v>£m</v>
      </c>
      <c r="AD9" s="1436" t="s">
        <v>475</v>
      </c>
    </row>
    <row r="10" spans="2:30" s="18" customFormat="1" ht="21" customHeight="1">
      <c r="B10" s="282" t="s">
        <v>476</v>
      </c>
      <c r="C10" s="364" t="s">
        <v>165</v>
      </c>
      <c r="D10" s="2155">
        <v>20.181000000000001</v>
      </c>
      <c r="F10" s="1332"/>
      <c r="G10" s="286" t="s">
        <v>477</v>
      </c>
      <c r="I10" s="319">
        <f>IF($Q10=0,0,$O$4)</f>
        <v>0</v>
      </c>
      <c r="J10" s="319"/>
      <c r="N10" s="1333"/>
      <c r="Q10" s="318">
        <f>IF(ISBLANK($D10)=TRUE,1,0)</f>
        <v>0</v>
      </c>
      <c r="R10" s="318"/>
      <c r="S10" s="318"/>
      <c r="T10" s="1333"/>
      <c r="U10" s="322"/>
      <c r="V10" s="322"/>
      <c r="W10" s="322"/>
      <c r="X10" s="318"/>
      <c r="Y10" s="1332"/>
      <c r="Z10" s="1333"/>
      <c r="AB10" s="282" t="str">
        <f t="shared" si="0"/>
        <v>Developer services revenue (wastewater)</v>
      </c>
      <c r="AC10" s="1432" t="str">
        <f t="shared" si="0"/>
        <v>£m</v>
      </c>
      <c r="AD10" s="1436" t="s">
        <v>478</v>
      </c>
    </row>
    <row r="11" spans="2:30" s="18" customFormat="1" ht="16.5" customHeight="1">
      <c r="N11" s="1333"/>
      <c r="O11" s="318"/>
      <c r="P11" s="318"/>
      <c r="Q11" s="318"/>
      <c r="R11" s="318"/>
      <c r="S11" s="318"/>
      <c r="T11" s="1333"/>
      <c r="U11" s="322"/>
      <c r="V11" s="322"/>
      <c r="W11" s="322"/>
      <c r="X11" s="318"/>
      <c r="Y11" s="1332"/>
      <c r="Z11" s="1333"/>
    </row>
    <row r="12" spans="2:30" s="18" customFormat="1" ht="15.75">
      <c r="B12" s="304" t="s">
        <v>479</v>
      </c>
      <c r="N12" s="1333"/>
      <c r="O12" s="317">
        <v>1</v>
      </c>
      <c r="P12" s="317">
        <v>2</v>
      </c>
      <c r="Q12" s="317">
        <v>3</v>
      </c>
      <c r="R12" s="317">
        <v>4</v>
      </c>
      <c r="S12" s="317">
        <v>5</v>
      </c>
      <c r="T12" s="321"/>
      <c r="U12" s="317"/>
      <c r="V12" s="317"/>
      <c r="W12" s="317">
        <v>3</v>
      </c>
      <c r="X12" s="317">
        <v>3</v>
      </c>
      <c r="Y12" s="317"/>
      <c r="Z12" s="1333"/>
    </row>
    <row r="13" spans="2:30" s="18" customFormat="1" ht="38.25">
      <c r="B13" s="2355" t="s">
        <v>480</v>
      </c>
      <c r="C13" s="2355" t="s">
        <v>155</v>
      </c>
      <c r="D13" s="2355" t="s">
        <v>481</v>
      </c>
      <c r="E13" s="2355" t="s">
        <v>482</v>
      </c>
      <c r="F13" s="275"/>
      <c r="G13" s="2355" t="s">
        <v>161</v>
      </c>
      <c r="I13" s="308"/>
      <c r="J13" s="308"/>
      <c r="N13" s="1333"/>
      <c r="O13" s="320" t="s">
        <v>483</v>
      </c>
      <c r="P13" s="318"/>
      <c r="Q13" s="320"/>
      <c r="R13" s="318"/>
      <c r="S13" s="318"/>
      <c r="T13" s="1333"/>
      <c r="U13" s="320"/>
      <c r="V13" s="322"/>
      <c r="W13" s="320" t="s">
        <v>167</v>
      </c>
      <c r="X13" s="318"/>
      <c r="Y13" s="1332"/>
      <c r="Z13" s="1333"/>
    </row>
    <row r="14" spans="2:30" s="18" customFormat="1" ht="21" customHeight="1">
      <c r="B14" s="2147" t="s">
        <v>484</v>
      </c>
      <c r="C14" s="296" t="s">
        <v>321</v>
      </c>
      <c r="D14" s="2148">
        <v>1</v>
      </c>
      <c r="G14" s="286" t="s">
        <v>485</v>
      </c>
      <c r="I14" s="319">
        <f>IF($O14=0,0,$O$13)</f>
        <v>0</v>
      </c>
      <c r="J14" s="319">
        <f>IF($X14=1,$W$13,0)</f>
        <v>0</v>
      </c>
      <c r="N14" s="1333"/>
      <c r="O14" s="318">
        <f>IF(AND(ISBLANK($B14)=TRUE,OR(ISTEXT($D14)=TRUE,ISNUMBER($D14)=TRUE)),1,0)</f>
        <v>0</v>
      </c>
      <c r="P14" s="318"/>
      <c r="Q14" s="318"/>
      <c r="R14" s="318"/>
      <c r="S14" s="318"/>
      <c r="T14" s="1333"/>
      <c r="V14" s="322"/>
      <c r="W14" s="328"/>
      <c r="X14" s="322">
        <f>IF($D14&lt;0,1,0)</f>
        <v>0</v>
      </c>
      <c r="Y14" s="1332"/>
      <c r="Z14" s="1333"/>
      <c r="AB14" s="1478"/>
      <c r="AC14" s="1478"/>
      <c r="AD14" s="1478"/>
    </row>
    <row r="15" spans="2:30" s="18" customFormat="1" ht="21" customHeight="1">
      <c r="B15" s="2147" t="s">
        <v>486</v>
      </c>
      <c r="C15" s="296" t="s">
        <v>321</v>
      </c>
      <c r="D15" s="2148">
        <v>1</v>
      </c>
      <c r="G15" s="286" t="s">
        <v>487</v>
      </c>
      <c r="I15" s="319">
        <f t="shared" ref="I15:I63" si="1">IF($O15=0,0,$O$13)</f>
        <v>0</v>
      </c>
      <c r="J15" s="319">
        <f t="shared" ref="J15:J63" si="2">IF($X15=1,$W$13,0)</f>
        <v>0</v>
      </c>
      <c r="N15" s="1333"/>
      <c r="O15" s="318">
        <f t="shared" ref="O15:O63" si="3">IF(AND(ISBLANK($B15)=TRUE,OR(ISTEXT($D15)=TRUE,ISNUMBER($D15)=TRUE)),1,0)</f>
        <v>0</v>
      </c>
      <c r="P15" s="318"/>
      <c r="Q15" s="318"/>
      <c r="R15" s="318"/>
      <c r="S15" s="318"/>
      <c r="T15" s="1333"/>
      <c r="V15" s="322"/>
      <c r="W15" s="328"/>
      <c r="X15" s="322">
        <f t="shared" ref="X15:X63" si="4">IF($D15&lt;0,1,0)</f>
        <v>0</v>
      </c>
      <c r="Y15" s="1332"/>
      <c r="Z15" s="1333"/>
    </row>
    <row r="16" spans="2:30" s="18" customFormat="1" ht="21" customHeight="1">
      <c r="B16" s="2147" t="s">
        <v>488</v>
      </c>
      <c r="C16" s="296" t="s">
        <v>321</v>
      </c>
      <c r="D16" s="2148">
        <v>1</v>
      </c>
      <c r="G16" s="286" t="s">
        <v>489</v>
      </c>
      <c r="I16" s="319">
        <f t="shared" si="1"/>
        <v>0</v>
      </c>
      <c r="J16" s="319">
        <f t="shared" si="2"/>
        <v>0</v>
      </c>
      <c r="N16" s="1333"/>
      <c r="O16" s="318">
        <f t="shared" si="3"/>
        <v>0</v>
      </c>
      <c r="P16" s="318"/>
      <c r="Q16" s="318"/>
      <c r="R16" s="318"/>
      <c r="S16" s="318"/>
      <c r="T16" s="1333"/>
      <c r="V16" s="322"/>
      <c r="W16" s="328"/>
      <c r="X16" s="322">
        <f t="shared" si="4"/>
        <v>0</v>
      </c>
      <c r="Y16" s="1332"/>
      <c r="Z16" s="1333"/>
    </row>
    <row r="17" spans="2:26" s="18" customFormat="1" ht="21" customHeight="1">
      <c r="B17" s="2147" t="s">
        <v>490</v>
      </c>
      <c r="C17" s="296" t="s">
        <v>321</v>
      </c>
      <c r="D17" s="2148">
        <v>1</v>
      </c>
      <c r="G17" s="286" t="s">
        <v>491</v>
      </c>
      <c r="I17" s="319">
        <f t="shared" si="1"/>
        <v>0</v>
      </c>
      <c r="J17" s="319">
        <f t="shared" si="2"/>
        <v>0</v>
      </c>
      <c r="N17" s="1333"/>
      <c r="O17" s="318">
        <f t="shared" si="3"/>
        <v>0</v>
      </c>
      <c r="P17" s="318"/>
      <c r="Q17" s="318"/>
      <c r="R17" s="318"/>
      <c r="S17" s="318"/>
      <c r="T17" s="1333"/>
      <c r="V17" s="322"/>
      <c r="W17" s="328"/>
      <c r="X17" s="322">
        <f t="shared" si="4"/>
        <v>0</v>
      </c>
      <c r="Y17" s="1332"/>
      <c r="Z17" s="1333"/>
    </row>
    <row r="18" spans="2:26" s="18" customFormat="1" ht="21" customHeight="1">
      <c r="B18" s="2147" t="s">
        <v>492</v>
      </c>
      <c r="C18" s="296" t="s">
        <v>321</v>
      </c>
      <c r="D18" s="2148">
        <v>1</v>
      </c>
      <c r="G18" s="286" t="s">
        <v>493</v>
      </c>
      <c r="I18" s="319">
        <f t="shared" si="1"/>
        <v>0</v>
      </c>
      <c r="J18" s="319">
        <f t="shared" si="2"/>
        <v>0</v>
      </c>
      <c r="N18" s="1333"/>
      <c r="O18" s="318">
        <f t="shared" si="3"/>
        <v>0</v>
      </c>
      <c r="P18" s="318"/>
      <c r="Q18" s="318"/>
      <c r="R18" s="318"/>
      <c r="S18" s="318"/>
      <c r="T18" s="1333"/>
      <c r="V18" s="322"/>
      <c r="W18" s="328"/>
      <c r="X18" s="322">
        <f t="shared" si="4"/>
        <v>0</v>
      </c>
      <c r="Y18" s="1332"/>
      <c r="Z18" s="1333"/>
    </row>
    <row r="19" spans="2:26" s="18" customFormat="1" ht="21" customHeight="1">
      <c r="B19" s="2147" t="s">
        <v>494</v>
      </c>
      <c r="C19" s="296" t="s">
        <v>321</v>
      </c>
      <c r="D19" s="2148">
        <v>1</v>
      </c>
      <c r="G19" s="286" t="s">
        <v>495</v>
      </c>
      <c r="I19" s="319">
        <f t="shared" si="1"/>
        <v>0</v>
      </c>
      <c r="J19" s="319">
        <f t="shared" si="2"/>
        <v>0</v>
      </c>
      <c r="N19" s="1333"/>
      <c r="O19" s="318">
        <f t="shared" si="3"/>
        <v>0</v>
      </c>
      <c r="P19" s="318"/>
      <c r="Q19" s="318"/>
      <c r="R19" s="318"/>
      <c r="S19" s="318"/>
      <c r="T19" s="1333"/>
      <c r="V19" s="322"/>
      <c r="W19" s="328"/>
      <c r="X19" s="322">
        <f t="shared" si="4"/>
        <v>0</v>
      </c>
      <c r="Y19" s="1332"/>
      <c r="Z19" s="1333"/>
    </row>
    <row r="20" spans="2:26" s="18" customFormat="1" ht="21" customHeight="1">
      <c r="B20" s="2147" t="s">
        <v>496</v>
      </c>
      <c r="C20" s="296" t="s">
        <v>321</v>
      </c>
      <c r="D20" s="2148">
        <v>1</v>
      </c>
      <c r="G20" s="286" t="s">
        <v>497</v>
      </c>
      <c r="I20" s="319">
        <f t="shared" si="1"/>
        <v>0</v>
      </c>
      <c r="J20" s="319">
        <f t="shared" si="2"/>
        <v>0</v>
      </c>
      <c r="N20" s="1333"/>
      <c r="O20" s="318">
        <f t="shared" si="3"/>
        <v>0</v>
      </c>
      <c r="P20" s="318"/>
      <c r="Q20" s="318"/>
      <c r="R20" s="318"/>
      <c r="S20" s="318"/>
      <c r="T20" s="1333"/>
      <c r="V20" s="322"/>
      <c r="W20" s="328"/>
      <c r="X20" s="322">
        <f t="shared" si="4"/>
        <v>0</v>
      </c>
      <c r="Y20" s="1332"/>
      <c r="Z20" s="1333"/>
    </row>
    <row r="21" spans="2:26" s="18" customFormat="1" ht="21" customHeight="1">
      <c r="B21" s="2147" t="s">
        <v>498</v>
      </c>
      <c r="C21" s="296" t="s">
        <v>321</v>
      </c>
      <c r="D21" s="2148">
        <v>1</v>
      </c>
      <c r="G21" s="286" t="s">
        <v>499</v>
      </c>
      <c r="I21" s="319">
        <f t="shared" si="1"/>
        <v>0</v>
      </c>
      <c r="J21" s="319">
        <f t="shared" si="2"/>
        <v>0</v>
      </c>
      <c r="N21" s="1333"/>
      <c r="O21" s="318">
        <f t="shared" si="3"/>
        <v>0</v>
      </c>
      <c r="P21" s="318"/>
      <c r="Q21" s="318"/>
      <c r="R21" s="318"/>
      <c r="S21" s="318"/>
      <c r="T21" s="1333"/>
      <c r="V21" s="322"/>
      <c r="W21" s="328"/>
      <c r="X21" s="322">
        <f t="shared" si="4"/>
        <v>0</v>
      </c>
      <c r="Y21" s="1332"/>
      <c r="Z21" s="1333"/>
    </row>
    <row r="22" spans="2:26" s="18" customFormat="1" ht="21" customHeight="1">
      <c r="B22" s="2147" t="s">
        <v>500</v>
      </c>
      <c r="C22" s="296" t="s">
        <v>321</v>
      </c>
      <c r="D22" s="2148">
        <v>1</v>
      </c>
      <c r="G22" s="286" t="s">
        <v>501</v>
      </c>
      <c r="I22" s="319">
        <f t="shared" si="1"/>
        <v>0</v>
      </c>
      <c r="J22" s="319">
        <f t="shared" si="2"/>
        <v>0</v>
      </c>
      <c r="N22" s="1333"/>
      <c r="O22" s="318">
        <f t="shared" si="3"/>
        <v>0</v>
      </c>
      <c r="P22" s="318"/>
      <c r="Q22" s="318"/>
      <c r="R22" s="318"/>
      <c r="S22" s="318"/>
      <c r="T22" s="1333"/>
      <c r="V22" s="322"/>
      <c r="W22" s="328"/>
      <c r="X22" s="322">
        <f t="shared" si="4"/>
        <v>0</v>
      </c>
      <c r="Y22" s="1332"/>
      <c r="Z22" s="1333"/>
    </row>
    <row r="23" spans="2:26" s="18" customFormat="1" ht="21" customHeight="1">
      <c r="B23" s="2147" t="s">
        <v>502</v>
      </c>
      <c r="C23" s="296" t="s">
        <v>321</v>
      </c>
      <c r="D23" s="2148">
        <v>1</v>
      </c>
      <c r="G23" s="286" t="s">
        <v>503</v>
      </c>
      <c r="I23" s="319">
        <f t="shared" si="1"/>
        <v>0</v>
      </c>
      <c r="J23" s="319">
        <f t="shared" si="2"/>
        <v>0</v>
      </c>
      <c r="N23" s="1333"/>
      <c r="O23" s="318">
        <f t="shared" si="3"/>
        <v>0</v>
      </c>
      <c r="P23" s="318"/>
      <c r="Q23" s="318"/>
      <c r="R23" s="318"/>
      <c r="S23" s="318"/>
      <c r="T23" s="1333"/>
      <c r="V23" s="322"/>
      <c r="W23" s="328"/>
      <c r="X23" s="322">
        <f t="shared" si="4"/>
        <v>0</v>
      </c>
      <c r="Y23" s="1332"/>
      <c r="Z23" s="1333"/>
    </row>
    <row r="24" spans="2:26" s="18" customFormat="1" ht="21" customHeight="1">
      <c r="B24" s="2147" t="s">
        <v>504</v>
      </c>
      <c r="C24" s="296" t="s">
        <v>321</v>
      </c>
      <c r="D24" s="2148">
        <v>1</v>
      </c>
      <c r="G24" s="286" t="s">
        <v>505</v>
      </c>
      <c r="I24" s="319">
        <f t="shared" si="1"/>
        <v>0</v>
      </c>
      <c r="J24" s="319">
        <f t="shared" si="2"/>
        <v>0</v>
      </c>
      <c r="N24" s="1333"/>
      <c r="O24" s="318">
        <f t="shared" si="3"/>
        <v>0</v>
      </c>
      <c r="P24" s="318"/>
      <c r="Q24" s="318"/>
      <c r="R24" s="318"/>
      <c r="S24" s="318"/>
      <c r="T24" s="1333"/>
      <c r="V24" s="322"/>
      <c r="W24" s="328"/>
      <c r="X24" s="322">
        <f t="shared" si="4"/>
        <v>0</v>
      </c>
      <c r="Y24" s="1332"/>
      <c r="Z24" s="1333"/>
    </row>
    <row r="25" spans="2:26" s="18" customFormat="1" ht="21" customHeight="1">
      <c r="B25" s="2147" t="s">
        <v>506</v>
      </c>
      <c r="C25" s="296" t="s">
        <v>321</v>
      </c>
      <c r="D25" s="2148">
        <v>1</v>
      </c>
      <c r="G25" s="286" t="s">
        <v>507</v>
      </c>
      <c r="I25" s="319">
        <f t="shared" si="1"/>
        <v>0</v>
      </c>
      <c r="J25" s="319">
        <f t="shared" si="2"/>
        <v>0</v>
      </c>
      <c r="N25" s="1333"/>
      <c r="O25" s="318">
        <f t="shared" si="3"/>
        <v>0</v>
      </c>
      <c r="P25" s="318"/>
      <c r="Q25" s="318"/>
      <c r="R25" s="318"/>
      <c r="S25" s="318"/>
      <c r="T25" s="1333"/>
      <c r="V25" s="322"/>
      <c r="W25" s="328"/>
      <c r="X25" s="322">
        <f t="shared" si="4"/>
        <v>0</v>
      </c>
      <c r="Y25" s="1332"/>
      <c r="Z25" s="1333"/>
    </row>
    <row r="26" spans="2:26" s="18" customFormat="1" ht="21" customHeight="1">
      <c r="B26" s="2147" t="s">
        <v>508</v>
      </c>
      <c r="C26" s="296" t="s">
        <v>321</v>
      </c>
      <c r="D26" s="2148">
        <v>1</v>
      </c>
      <c r="G26" s="286" t="s">
        <v>509</v>
      </c>
      <c r="I26" s="319">
        <f t="shared" si="1"/>
        <v>0</v>
      </c>
      <c r="J26" s="319">
        <f t="shared" si="2"/>
        <v>0</v>
      </c>
      <c r="N26" s="1333"/>
      <c r="O26" s="318">
        <f t="shared" si="3"/>
        <v>0</v>
      </c>
      <c r="P26" s="318"/>
      <c r="Q26" s="318"/>
      <c r="R26" s="318"/>
      <c r="S26" s="318"/>
      <c r="T26" s="1333"/>
      <c r="V26" s="322"/>
      <c r="W26" s="328"/>
      <c r="X26" s="322">
        <f t="shared" si="4"/>
        <v>0</v>
      </c>
      <c r="Y26" s="1332"/>
      <c r="Z26" s="1333"/>
    </row>
    <row r="27" spans="2:26" s="18" customFormat="1" ht="21" customHeight="1">
      <c r="B27" s="2147" t="s">
        <v>510</v>
      </c>
      <c r="C27" s="296" t="s">
        <v>321</v>
      </c>
      <c r="D27" s="2148">
        <v>1</v>
      </c>
      <c r="G27" s="286" t="s">
        <v>511</v>
      </c>
      <c r="I27" s="319">
        <f t="shared" si="1"/>
        <v>0</v>
      </c>
      <c r="J27" s="319">
        <f t="shared" si="2"/>
        <v>0</v>
      </c>
      <c r="N27" s="1333"/>
      <c r="O27" s="318">
        <f t="shared" si="3"/>
        <v>0</v>
      </c>
      <c r="P27" s="318"/>
      <c r="Q27" s="318"/>
      <c r="R27" s="318"/>
      <c r="S27" s="318"/>
      <c r="T27" s="1333"/>
      <c r="V27" s="322"/>
      <c r="W27" s="328"/>
      <c r="X27" s="322">
        <f t="shared" si="4"/>
        <v>0</v>
      </c>
      <c r="Y27" s="1332"/>
      <c r="Z27" s="1333"/>
    </row>
    <row r="28" spans="2:26" s="18" customFormat="1" ht="21" customHeight="1">
      <c r="B28" s="2147" t="s">
        <v>512</v>
      </c>
      <c r="C28" s="296" t="s">
        <v>321</v>
      </c>
      <c r="D28" s="2148">
        <v>1</v>
      </c>
      <c r="G28" s="286" t="s">
        <v>513</v>
      </c>
      <c r="I28" s="319">
        <f t="shared" si="1"/>
        <v>0</v>
      </c>
      <c r="J28" s="319">
        <f t="shared" si="2"/>
        <v>0</v>
      </c>
      <c r="N28" s="1333"/>
      <c r="O28" s="318">
        <f t="shared" si="3"/>
        <v>0</v>
      </c>
      <c r="P28" s="318"/>
      <c r="Q28" s="318"/>
      <c r="R28" s="318"/>
      <c r="S28" s="318"/>
      <c r="T28" s="1333"/>
      <c r="V28" s="322"/>
      <c r="W28" s="328"/>
      <c r="X28" s="322">
        <f t="shared" si="4"/>
        <v>0</v>
      </c>
      <c r="Y28" s="1332"/>
      <c r="Z28" s="1333"/>
    </row>
    <row r="29" spans="2:26" s="18" customFormat="1" ht="21" customHeight="1">
      <c r="B29" s="2147" t="s">
        <v>514</v>
      </c>
      <c r="C29" s="296" t="s">
        <v>321</v>
      </c>
      <c r="D29" s="2148">
        <v>0.99990006995103431</v>
      </c>
      <c r="G29" s="286" t="s">
        <v>515</v>
      </c>
      <c r="I29" s="319">
        <f t="shared" si="1"/>
        <v>0</v>
      </c>
      <c r="J29" s="319">
        <f t="shared" si="2"/>
        <v>0</v>
      </c>
      <c r="N29" s="1333"/>
      <c r="O29" s="318">
        <f t="shared" si="3"/>
        <v>0</v>
      </c>
      <c r="P29" s="318"/>
      <c r="Q29" s="318"/>
      <c r="R29" s="318"/>
      <c r="S29" s="318"/>
      <c r="T29" s="1333"/>
      <c r="V29" s="322"/>
      <c r="W29" s="328"/>
      <c r="X29" s="322">
        <f t="shared" si="4"/>
        <v>0</v>
      </c>
      <c r="Y29" s="1332"/>
      <c r="Z29" s="1333"/>
    </row>
    <row r="30" spans="2:26" s="18" customFormat="1" ht="21" customHeight="1">
      <c r="B30" s="2147" t="s">
        <v>516</v>
      </c>
      <c r="C30" s="296" t="s">
        <v>321</v>
      </c>
      <c r="D30" s="2148">
        <v>0.99970304380103936</v>
      </c>
      <c r="G30" s="286" t="s">
        <v>517</v>
      </c>
      <c r="I30" s="319">
        <f t="shared" si="1"/>
        <v>0</v>
      </c>
      <c r="J30" s="319">
        <f t="shared" si="2"/>
        <v>0</v>
      </c>
      <c r="N30" s="1333"/>
      <c r="O30" s="318">
        <f t="shared" si="3"/>
        <v>0</v>
      </c>
      <c r="P30" s="318"/>
      <c r="Q30" s="318"/>
      <c r="R30" s="318"/>
      <c r="S30" s="318"/>
      <c r="T30" s="1333"/>
      <c r="V30" s="322"/>
      <c r="W30" s="328"/>
      <c r="X30" s="322">
        <f t="shared" si="4"/>
        <v>0</v>
      </c>
      <c r="Y30" s="1332"/>
      <c r="Z30" s="1333"/>
    </row>
    <row r="31" spans="2:26" s="18" customFormat="1" ht="21" customHeight="1">
      <c r="B31" s="2147" t="s">
        <v>518</v>
      </c>
      <c r="C31" s="296" t="s">
        <v>321</v>
      </c>
      <c r="D31" s="2148">
        <v>1</v>
      </c>
      <c r="G31" s="286" t="s">
        <v>519</v>
      </c>
      <c r="I31" s="319">
        <f t="shared" si="1"/>
        <v>0</v>
      </c>
      <c r="J31" s="319">
        <f t="shared" si="2"/>
        <v>0</v>
      </c>
      <c r="N31" s="1333"/>
      <c r="O31" s="318">
        <f t="shared" si="3"/>
        <v>0</v>
      </c>
      <c r="P31" s="318"/>
      <c r="Q31" s="318"/>
      <c r="R31" s="318"/>
      <c r="S31" s="318"/>
      <c r="T31" s="1333"/>
      <c r="V31" s="322"/>
      <c r="W31" s="328"/>
      <c r="X31" s="322">
        <f t="shared" si="4"/>
        <v>0</v>
      </c>
      <c r="Y31" s="1332"/>
      <c r="Z31" s="1333"/>
    </row>
    <row r="32" spans="2:26" s="18" customFormat="1" ht="21" customHeight="1">
      <c r="B32" s="2147" t="s">
        <v>520</v>
      </c>
      <c r="C32" s="296" t="s">
        <v>321</v>
      </c>
      <c r="D32" s="2148">
        <v>1</v>
      </c>
      <c r="G32" s="286" t="s">
        <v>521</v>
      </c>
      <c r="I32" s="319">
        <f t="shared" si="1"/>
        <v>0</v>
      </c>
      <c r="J32" s="319">
        <f t="shared" si="2"/>
        <v>0</v>
      </c>
      <c r="N32" s="1333"/>
      <c r="O32" s="318">
        <f t="shared" si="3"/>
        <v>0</v>
      </c>
      <c r="P32" s="318"/>
      <c r="Q32" s="318"/>
      <c r="R32" s="318"/>
      <c r="S32" s="318"/>
      <c r="T32" s="1333"/>
      <c r="V32" s="322"/>
      <c r="W32" s="328"/>
      <c r="X32" s="322">
        <f t="shared" si="4"/>
        <v>0</v>
      </c>
      <c r="Y32" s="1332"/>
      <c r="Z32" s="1333"/>
    </row>
    <row r="33" spans="2:26" s="18" customFormat="1" ht="21" customHeight="1">
      <c r="B33" s="2147" t="s">
        <v>522</v>
      </c>
      <c r="C33" s="296" t="s">
        <v>321</v>
      </c>
      <c r="D33" s="2148">
        <v>1</v>
      </c>
      <c r="G33" s="286" t="s">
        <v>523</v>
      </c>
      <c r="I33" s="319">
        <f t="shared" si="1"/>
        <v>0</v>
      </c>
      <c r="J33" s="319">
        <f t="shared" si="2"/>
        <v>0</v>
      </c>
      <c r="N33" s="1333"/>
      <c r="O33" s="318">
        <f t="shared" si="3"/>
        <v>0</v>
      </c>
      <c r="P33" s="318"/>
      <c r="Q33" s="318"/>
      <c r="R33" s="318"/>
      <c r="S33" s="318"/>
      <c r="T33" s="1333"/>
      <c r="V33" s="322"/>
      <c r="W33" s="328"/>
      <c r="X33" s="322">
        <f t="shared" si="4"/>
        <v>0</v>
      </c>
      <c r="Y33" s="1332"/>
      <c r="Z33" s="1333"/>
    </row>
    <row r="34" spans="2:26" s="18" customFormat="1" ht="21" customHeight="1">
      <c r="B34" s="2147" t="s">
        <v>524</v>
      </c>
      <c r="C34" s="296" t="s">
        <v>321</v>
      </c>
      <c r="D34" s="2148">
        <v>1</v>
      </c>
      <c r="G34" s="286" t="s">
        <v>525</v>
      </c>
      <c r="I34" s="319">
        <f t="shared" si="1"/>
        <v>0</v>
      </c>
      <c r="J34" s="319">
        <f t="shared" si="2"/>
        <v>0</v>
      </c>
      <c r="N34" s="1333"/>
      <c r="O34" s="318">
        <f t="shared" si="3"/>
        <v>0</v>
      </c>
      <c r="P34" s="318"/>
      <c r="Q34" s="318"/>
      <c r="R34" s="318"/>
      <c r="S34" s="318"/>
      <c r="T34" s="1333"/>
      <c r="V34" s="322"/>
      <c r="W34" s="328"/>
      <c r="X34" s="322">
        <f t="shared" si="4"/>
        <v>0</v>
      </c>
      <c r="Y34" s="1332"/>
      <c r="Z34" s="1333"/>
    </row>
    <row r="35" spans="2:26" s="18" customFormat="1" ht="21" customHeight="1">
      <c r="B35" s="2147" t="s">
        <v>526</v>
      </c>
      <c r="C35" s="296" t="s">
        <v>321</v>
      </c>
      <c r="D35" s="2148">
        <v>1</v>
      </c>
      <c r="G35" s="286" t="s">
        <v>527</v>
      </c>
      <c r="I35" s="319">
        <f t="shared" si="1"/>
        <v>0</v>
      </c>
      <c r="J35" s="319">
        <f t="shared" si="2"/>
        <v>0</v>
      </c>
      <c r="N35" s="1333"/>
      <c r="O35" s="318">
        <f t="shared" si="3"/>
        <v>0</v>
      </c>
      <c r="P35" s="318"/>
      <c r="Q35" s="318"/>
      <c r="R35" s="318"/>
      <c r="S35" s="318"/>
      <c r="T35" s="1333"/>
      <c r="V35" s="322"/>
      <c r="W35" s="328"/>
      <c r="X35" s="322">
        <f t="shared" si="4"/>
        <v>0</v>
      </c>
      <c r="Y35" s="1332"/>
      <c r="Z35" s="1333"/>
    </row>
    <row r="36" spans="2:26" s="18" customFormat="1" ht="21" customHeight="1">
      <c r="B36" s="2147" t="s">
        <v>528</v>
      </c>
      <c r="C36" s="296" t="s">
        <v>321</v>
      </c>
      <c r="D36" s="2148">
        <v>1</v>
      </c>
      <c r="G36" s="286" t="s">
        <v>529</v>
      </c>
      <c r="I36" s="319">
        <f t="shared" si="1"/>
        <v>0</v>
      </c>
      <c r="J36" s="319">
        <f t="shared" si="2"/>
        <v>0</v>
      </c>
      <c r="N36" s="1333"/>
      <c r="O36" s="318">
        <f t="shared" si="3"/>
        <v>0</v>
      </c>
      <c r="P36" s="318"/>
      <c r="Q36" s="318"/>
      <c r="R36" s="318"/>
      <c r="S36" s="318"/>
      <c r="T36" s="1333"/>
      <c r="V36" s="322"/>
      <c r="W36" s="328"/>
      <c r="X36" s="322">
        <f t="shared" si="4"/>
        <v>0</v>
      </c>
      <c r="Y36" s="1332"/>
      <c r="Z36" s="1333"/>
    </row>
    <row r="37" spans="2:26" s="18" customFormat="1" ht="21" customHeight="1">
      <c r="B37" s="2147" t="s">
        <v>530</v>
      </c>
      <c r="C37" s="296" t="s">
        <v>321</v>
      </c>
      <c r="D37" s="2148">
        <v>1</v>
      </c>
      <c r="G37" s="286" t="s">
        <v>531</v>
      </c>
      <c r="I37" s="319">
        <f t="shared" si="1"/>
        <v>0</v>
      </c>
      <c r="J37" s="319">
        <f t="shared" si="2"/>
        <v>0</v>
      </c>
      <c r="N37" s="1333"/>
      <c r="O37" s="318">
        <f t="shared" si="3"/>
        <v>0</v>
      </c>
      <c r="P37" s="318"/>
      <c r="Q37" s="318"/>
      <c r="R37" s="318"/>
      <c r="S37" s="318"/>
      <c r="T37" s="1333"/>
      <c r="V37" s="322"/>
      <c r="W37" s="328"/>
      <c r="X37" s="322">
        <f t="shared" si="4"/>
        <v>0</v>
      </c>
      <c r="Y37" s="1332"/>
      <c r="Z37" s="1333"/>
    </row>
    <row r="38" spans="2:26" s="18" customFormat="1" ht="21" customHeight="1">
      <c r="B38" s="2147" t="s">
        <v>532</v>
      </c>
      <c r="C38" s="296" t="s">
        <v>321</v>
      </c>
      <c r="D38" s="2148">
        <v>1</v>
      </c>
      <c r="G38" s="286" t="s">
        <v>533</v>
      </c>
      <c r="I38" s="319">
        <f t="shared" si="1"/>
        <v>0</v>
      </c>
      <c r="J38" s="319">
        <f t="shared" si="2"/>
        <v>0</v>
      </c>
      <c r="N38" s="1333"/>
      <c r="O38" s="318">
        <f t="shared" si="3"/>
        <v>0</v>
      </c>
      <c r="P38" s="318"/>
      <c r="Q38" s="318"/>
      <c r="R38" s="318"/>
      <c r="S38" s="318"/>
      <c r="T38" s="1333"/>
      <c r="V38" s="322"/>
      <c r="W38" s="328"/>
      <c r="X38" s="322">
        <f t="shared" si="4"/>
        <v>0</v>
      </c>
      <c r="Y38" s="1332"/>
      <c r="Z38" s="1333"/>
    </row>
    <row r="39" spans="2:26" s="18" customFormat="1" ht="21" customHeight="1">
      <c r="B39" s="2147"/>
      <c r="C39" s="296" t="s">
        <v>321</v>
      </c>
      <c r="D39" s="2148"/>
      <c r="G39" s="286" t="s">
        <v>534</v>
      </c>
      <c r="I39" s="319">
        <f t="shared" si="1"/>
        <v>0</v>
      </c>
      <c r="J39" s="319">
        <f t="shared" si="2"/>
        <v>0</v>
      </c>
      <c r="N39" s="1333"/>
      <c r="O39" s="318">
        <f t="shared" si="3"/>
        <v>0</v>
      </c>
      <c r="P39" s="318"/>
      <c r="Q39" s="318"/>
      <c r="R39" s="318"/>
      <c r="S39" s="318"/>
      <c r="T39" s="1333"/>
      <c r="V39" s="322"/>
      <c r="W39" s="328"/>
      <c r="X39" s="322">
        <f t="shared" si="4"/>
        <v>0</v>
      </c>
      <c r="Y39" s="1332"/>
      <c r="Z39" s="1333"/>
    </row>
    <row r="40" spans="2:26" s="18" customFormat="1" ht="21" customHeight="1">
      <c r="B40" s="2147"/>
      <c r="C40" s="296" t="s">
        <v>321</v>
      </c>
      <c r="D40" s="2148"/>
      <c r="G40" s="286" t="s">
        <v>535</v>
      </c>
      <c r="I40" s="319">
        <f t="shared" si="1"/>
        <v>0</v>
      </c>
      <c r="J40" s="319">
        <f t="shared" si="2"/>
        <v>0</v>
      </c>
      <c r="N40" s="1333"/>
      <c r="O40" s="318">
        <f t="shared" si="3"/>
        <v>0</v>
      </c>
      <c r="P40" s="318"/>
      <c r="Q40" s="318"/>
      <c r="R40" s="318"/>
      <c r="S40" s="318"/>
      <c r="T40" s="1333"/>
      <c r="V40" s="322"/>
      <c r="W40" s="328"/>
      <c r="X40" s="322">
        <f t="shared" si="4"/>
        <v>0</v>
      </c>
      <c r="Y40" s="1332"/>
      <c r="Z40" s="1333"/>
    </row>
    <row r="41" spans="2:26" s="18" customFormat="1" ht="21" customHeight="1">
      <c r="B41" s="2147"/>
      <c r="C41" s="296" t="s">
        <v>321</v>
      </c>
      <c r="D41" s="2148"/>
      <c r="G41" s="286" t="s">
        <v>536</v>
      </c>
      <c r="I41" s="319">
        <f t="shared" si="1"/>
        <v>0</v>
      </c>
      <c r="J41" s="319">
        <f t="shared" si="2"/>
        <v>0</v>
      </c>
      <c r="N41" s="1333"/>
      <c r="O41" s="318">
        <f t="shared" si="3"/>
        <v>0</v>
      </c>
      <c r="P41" s="318"/>
      <c r="Q41" s="318"/>
      <c r="R41" s="318"/>
      <c r="S41" s="318"/>
      <c r="T41" s="1333"/>
      <c r="V41" s="322"/>
      <c r="W41" s="328"/>
      <c r="X41" s="322">
        <f t="shared" si="4"/>
        <v>0</v>
      </c>
      <c r="Y41" s="1332"/>
      <c r="Z41" s="1333"/>
    </row>
    <row r="42" spans="2:26" s="18" customFormat="1" ht="21" customHeight="1">
      <c r="B42" s="2147"/>
      <c r="C42" s="296" t="s">
        <v>321</v>
      </c>
      <c r="D42" s="2148"/>
      <c r="G42" s="286" t="s">
        <v>537</v>
      </c>
      <c r="I42" s="319">
        <f t="shared" si="1"/>
        <v>0</v>
      </c>
      <c r="J42" s="319">
        <f t="shared" si="2"/>
        <v>0</v>
      </c>
      <c r="N42" s="1333"/>
      <c r="O42" s="318">
        <f t="shared" si="3"/>
        <v>0</v>
      </c>
      <c r="P42" s="318"/>
      <c r="Q42" s="318"/>
      <c r="R42" s="318"/>
      <c r="S42" s="318"/>
      <c r="T42" s="1333"/>
      <c r="V42" s="322"/>
      <c r="W42" s="328"/>
      <c r="X42" s="322">
        <f t="shared" si="4"/>
        <v>0</v>
      </c>
      <c r="Y42" s="1332"/>
      <c r="Z42" s="1333"/>
    </row>
    <row r="43" spans="2:26" s="18" customFormat="1" ht="21" customHeight="1">
      <c r="B43" s="2147"/>
      <c r="C43" s="296" t="s">
        <v>321</v>
      </c>
      <c r="D43" s="2148"/>
      <c r="G43" s="286" t="s">
        <v>538</v>
      </c>
      <c r="I43" s="319">
        <f t="shared" si="1"/>
        <v>0</v>
      </c>
      <c r="J43" s="319">
        <f t="shared" si="2"/>
        <v>0</v>
      </c>
      <c r="N43" s="1333"/>
      <c r="O43" s="318">
        <f t="shared" si="3"/>
        <v>0</v>
      </c>
      <c r="P43" s="318"/>
      <c r="Q43" s="318"/>
      <c r="R43" s="318"/>
      <c r="S43" s="318"/>
      <c r="T43" s="1333"/>
      <c r="V43" s="322"/>
      <c r="W43" s="328"/>
      <c r="X43" s="322">
        <f t="shared" si="4"/>
        <v>0</v>
      </c>
      <c r="Y43" s="1332"/>
      <c r="Z43" s="1333"/>
    </row>
    <row r="44" spans="2:26" s="18" customFormat="1" ht="21" customHeight="1">
      <c r="B44" s="2147"/>
      <c r="C44" s="296" t="s">
        <v>321</v>
      </c>
      <c r="D44" s="2148"/>
      <c r="G44" s="286" t="s">
        <v>539</v>
      </c>
      <c r="I44" s="319">
        <f t="shared" si="1"/>
        <v>0</v>
      </c>
      <c r="J44" s="319">
        <f t="shared" si="2"/>
        <v>0</v>
      </c>
      <c r="N44" s="1333"/>
      <c r="O44" s="318">
        <f t="shared" si="3"/>
        <v>0</v>
      </c>
      <c r="P44" s="318"/>
      <c r="Q44" s="318"/>
      <c r="R44" s="318"/>
      <c r="S44" s="318"/>
      <c r="T44" s="1333"/>
      <c r="V44" s="322"/>
      <c r="W44" s="328"/>
      <c r="X44" s="322">
        <f t="shared" si="4"/>
        <v>0</v>
      </c>
      <c r="Y44" s="1332"/>
      <c r="Z44" s="1333"/>
    </row>
    <row r="45" spans="2:26" s="18" customFormat="1" ht="21" customHeight="1">
      <c r="B45" s="2147"/>
      <c r="C45" s="296" t="s">
        <v>321</v>
      </c>
      <c r="D45" s="2148"/>
      <c r="G45" s="286" t="s">
        <v>540</v>
      </c>
      <c r="I45" s="319">
        <f t="shared" si="1"/>
        <v>0</v>
      </c>
      <c r="J45" s="319">
        <f t="shared" si="2"/>
        <v>0</v>
      </c>
      <c r="N45" s="1333"/>
      <c r="O45" s="318">
        <f t="shared" si="3"/>
        <v>0</v>
      </c>
      <c r="P45" s="318"/>
      <c r="Q45" s="318"/>
      <c r="R45" s="318"/>
      <c r="S45" s="318"/>
      <c r="T45" s="1333"/>
      <c r="V45" s="322"/>
      <c r="W45" s="328"/>
      <c r="X45" s="322">
        <f t="shared" si="4"/>
        <v>0</v>
      </c>
      <c r="Y45" s="1332"/>
      <c r="Z45" s="1333"/>
    </row>
    <row r="46" spans="2:26" s="18" customFormat="1" ht="21" customHeight="1">
      <c r="B46" s="2147"/>
      <c r="C46" s="296" t="s">
        <v>321</v>
      </c>
      <c r="D46" s="2148"/>
      <c r="G46" s="286" t="s">
        <v>541</v>
      </c>
      <c r="I46" s="319">
        <f t="shared" si="1"/>
        <v>0</v>
      </c>
      <c r="J46" s="319">
        <f t="shared" si="2"/>
        <v>0</v>
      </c>
      <c r="N46" s="1333"/>
      <c r="O46" s="318">
        <f t="shared" si="3"/>
        <v>0</v>
      </c>
      <c r="P46" s="318"/>
      <c r="Q46" s="318"/>
      <c r="R46" s="318"/>
      <c r="S46" s="318"/>
      <c r="T46" s="1333"/>
      <c r="V46" s="322"/>
      <c r="W46" s="328"/>
      <c r="X46" s="322">
        <f t="shared" si="4"/>
        <v>0</v>
      </c>
      <c r="Y46" s="1332"/>
      <c r="Z46" s="1333"/>
    </row>
    <row r="47" spans="2:26" s="18" customFormat="1" ht="21" customHeight="1">
      <c r="B47" s="2147"/>
      <c r="C47" s="296" t="s">
        <v>321</v>
      </c>
      <c r="D47" s="2148"/>
      <c r="G47" s="286" t="s">
        <v>542</v>
      </c>
      <c r="I47" s="319">
        <f t="shared" si="1"/>
        <v>0</v>
      </c>
      <c r="J47" s="319">
        <f t="shared" si="2"/>
        <v>0</v>
      </c>
      <c r="N47" s="1333"/>
      <c r="O47" s="318">
        <f t="shared" si="3"/>
        <v>0</v>
      </c>
      <c r="P47" s="318"/>
      <c r="Q47" s="318"/>
      <c r="R47" s="318"/>
      <c r="S47" s="318"/>
      <c r="T47" s="1333"/>
      <c r="V47" s="322"/>
      <c r="W47" s="328"/>
      <c r="X47" s="322">
        <f t="shared" si="4"/>
        <v>0</v>
      </c>
      <c r="Y47" s="1332"/>
      <c r="Z47" s="1333"/>
    </row>
    <row r="48" spans="2:26" s="18" customFormat="1" ht="21" customHeight="1">
      <c r="B48" s="2147"/>
      <c r="C48" s="296" t="s">
        <v>321</v>
      </c>
      <c r="D48" s="2148"/>
      <c r="G48" s="286" t="s">
        <v>543</v>
      </c>
      <c r="I48" s="319">
        <f t="shared" si="1"/>
        <v>0</v>
      </c>
      <c r="J48" s="319">
        <f t="shared" si="2"/>
        <v>0</v>
      </c>
      <c r="N48" s="1333"/>
      <c r="O48" s="318">
        <f t="shared" si="3"/>
        <v>0</v>
      </c>
      <c r="P48" s="318"/>
      <c r="Q48" s="318"/>
      <c r="R48" s="318"/>
      <c r="S48" s="318"/>
      <c r="T48" s="1333"/>
      <c r="V48" s="322"/>
      <c r="W48" s="328"/>
      <c r="X48" s="322">
        <f t="shared" si="4"/>
        <v>0</v>
      </c>
      <c r="Y48" s="1332"/>
      <c r="Z48" s="1333"/>
    </row>
    <row r="49" spans="2:26" s="18" customFormat="1" ht="21" customHeight="1">
      <c r="B49" s="2147"/>
      <c r="C49" s="296" t="s">
        <v>321</v>
      </c>
      <c r="D49" s="2148"/>
      <c r="G49" s="286" t="s">
        <v>544</v>
      </c>
      <c r="I49" s="319">
        <f t="shared" si="1"/>
        <v>0</v>
      </c>
      <c r="J49" s="319">
        <f t="shared" si="2"/>
        <v>0</v>
      </c>
      <c r="N49" s="1333"/>
      <c r="O49" s="318">
        <f t="shared" si="3"/>
        <v>0</v>
      </c>
      <c r="P49" s="318"/>
      <c r="Q49" s="318"/>
      <c r="R49" s="318"/>
      <c r="S49" s="318"/>
      <c r="T49" s="1333"/>
      <c r="V49" s="322"/>
      <c r="W49" s="328"/>
      <c r="X49" s="322">
        <f t="shared" si="4"/>
        <v>0</v>
      </c>
      <c r="Y49" s="1332"/>
      <c r="Z49" s="1333"/>
    </row>
    <row r="50" spans="2:26" s="18" customFormat="1" ht="21" customHeight="1">
      <c r="B50" s="2147"/>
      <c r="C50" s="296" t="s">
        <v>321</v>
      </c>
      <c r="D50" s="2148"/>
      <c r="G50" s="286" t="s">
        <v>545</v>
      </c>
      <c r="I50" s="319">
        <f t="shared" si="1"/>
        <v>0</v>
      </c>
      <c r="J50" s="319">
        <f t="shared" si="2"/>
        <v>0</v>
      </c>
      <c r="N50" s="1333"/>
      <c r="O50" s="318">
        <f t="shared" si="3"/>
        <v>0</v>
      </c>
      <c r="P50" s="318"/>
      <c r="Q50" s="318"/>
      <c r="R50" s="318"/>
      <c r="S50" s="318"/>
      <c r="T50" s="1333"/>
      <c r="V50" s="322"/>
      <c r="W50" s="328"/>
      <c r="X50" s="322">
        <f t="shared" si="4"/>
        <v>0</v>
      </c>
      <c r="Y50" s="1332"/>
      <c r="Z50" s="1333"/>
    </row>
    <row r="51" spans="2:26" s="18" customFormat="1" ht="21" customHeight="1">
      <c r="B51" s="2147"/>
      <c r="C51" s="296" t="s">
        <v>321</v>
      </c>
      <c r="D51" s="2148"/>
      <c r="G51" s="286" t="s">
        <v>546</v>
      </c>
      <c r="I51" s="319">
        <f t="shared" si="1"/>
        <v>0</v>
      </c>
      <c r="J51" s="319">
        <f t="shared" si="2"/>
        <v>0</v>
      </c>
      <c r="N51" s="1333"/>
      <c r="O51" s="318">
        <f t="shared" si="3"/>
        <v>0</v>
      </c>
      <c r="P51" s="318"/>
      <c r="Q51" s="318"/>
      <c r="R51" s="318"/>
      <c r="S51" s="318"/>
      <c r="T51" s="1333"/>
      <c r="V51" s="322"/>
      <c r="W51" s="328"/>
      <c r="X51" s="322">
        <f t="shared" si="4"/>
        <v>0</v>
      </c>
      <c r="Y51" s="1332"/>
      <c r="Z51" s="1333"/>
    </row>
    <row r="52" spans="2:26" s="18" customFormat="1" ht="21" customHeight="1">
      <c r="B52" s="2147"/>
      <c r="C52" s="296" t="s">
        <v>321</v>
      </c>
      <c r="D52" s="2148"/>
      <c r="G52" s="286" t="s">
        <v>547</v>
      </c>
      <c r="I52" s="319">
        <f t="shared" si="1"/>
        <v>0</v>
      </c>
      <c r="J52" s="319">
        <f t="shared" si="2"/>
        <v>0</v>
      </c>
      <c r="N52" s="1333"/>
      <c r="O52" s="318">
        <f t="shared" si="3"/>
        <v>0</v>
      </c>
      <c r="P52" s="318"/>
      <c r="Q52" s="318"/>
      <c r="R52" s="318"/>
      <c r="S52" s="318"/>
      <c r="T52" s="1333"/>
      <c r="V52" s="322"/>
      <c r="W52" s="328"/>
      <c r="X52" s="322">
        <f t="shared" si="4"/>
        <v>0</v>
      </c>
      <c r="Y52" s="1332"/>
      <c r="Z52" s="1333"/>
    </row>
    <row r="53" spans="2:26" s="18" customFormat="1" ht="21" customHeight="1">
      <c r="B53" s="2147"/>
      <c r="C53" s="296" t="s">
        <v>321</v>
      </c>
      <c r="D53" s="2148"/>
      <c r="G53" s="286" t="s">
        <v>548</v>
      </c>
      <c r="I53" s="319">
        <f t="shared" si="1"/>
        <v>0</v>
      </c>
      <c r="J53" s="319">
        <f t="shared" si="2"/>
        <v>0</v>
      </c>
      <c r="N53" s="1333"/>
      <c r="O53" s="318">
        <f t="shared" si="3"/>
        <v>0</v>
      </c>
      <c r="P53" s="318"/>
      <c r="Q53" s="318"/>
      <c r="R53" s="318"/>
      <c r="S53" s="318"/>
      <c r="T53" s="1333"/>
      <c r="V53" s="322"/>
      <c r="W53" s="328"/>
      <c r="X53" s="322">
        <f t="shared" si="4"/>
        <v>0</v>
      </c>
      <c r="Y53" s="1332"/>
      <c r="Z53" s="1333"/>
    </row>
    <row r="54" spans="2:26" s="18" customFormat="1" ht="21" customHeight="1">
      <c r="B54" s="2147"/>
      <c r="C54" s="296" t="s">
        <v>321</v>
      </c>
      <c r="D54" s="2148"/>
      <c r="G54" s="286" t="s">
        <v>549</v>
      </c>
      <c r="I54" s="319">
        <f t="shared" si="1"/>
        <v>0</v>
      </c>
      <c r="J54" s="319">
        <f t="shared" si="2"/>
        <v>0</v>
      </c>
      <c r="N54" s="1333"/>
      <c r="O54" s="318">
        <f t="shared" si="3"/>
        <v>0</v>
      </c>
      <c r="P54" s="318"/>
      <c r="Q54" s="318"/>
      <c r="R54" s="318"/>
      <c r="S54" s="318"/>
      <c r="T54" s="1333"/>
      <c r="V54" s="322"/>
      <c r="W54" s="328"/>
      <c r="X54" s="322">
        <f t="shared" si="4"/>
        <v>0</v>
      </c>
      <c r="Y54" s="1332"/>
      <c r="Z54" s="1333"/>
    </row>
    <row r="55" spans="2:26" s="18" customFormat="1" ht="21" customHeight="1">
      <c r="B55" s="2147"/>
      <c r="C55" s="296" t="s">
        <v>321</v>
      </c>
      <c r="D55" s="2148"/>
      <c r="G55" s="286" t="s">
        <v>550</v>
      </c>
      <c r="I55" s="319">
        <f t="shared" si="1"/>
        <v>0</v>
      </c>
      <c r="J55" s="319">
        <f t="shared" si="2"/>
        <v>0</v>
      </c>
      <c r="N55" s="1333"/>
      <c r="O55" s="318">
        <f t="shared" si="3"/>
        <v>0</v>
      </c>
      <c r="P55" s="318"/>
      <c r="Q55" s="318"/>
      <c r="R55" s="318"/>
      <c r="S55" s="318"/>
      <c r="T55" s="1333"/>
      <c r="V55" s="322"/>
      <c r="W55" s="328"/>
      <c r="X55" s="322">
        <f t="shared" si="4"/>
        <v>0</v>
      </c>
      <c r="Y55" s="1332"/>
      <c r="Z55" s="1333"/>
    </row>
    <row r="56" spans="2:26" s="18" customFormat="1" ht="21" customHeight="1">
      <c r="B56" s="2147"/>
      <c r="C56" s="296" t="s">
        <v>321</v>
      </c>
      <c r="D56" s="2148"/>
      <c r="G56" s="286" t="s">
        <v>551</v>
      </c>
      <c r="I56" s="319">
        <f t="shared" si="1"/>
        <v>0</v>
      </c>
      <c r="J56" s="319">
        <f t="shared" si="2"/>
        <v>0</v>
      </c>
      <c r="N56" s="1333"/>
      <c r="O56" s="318">
        <f t="shared" si="3"/>
        <v>0</v>
      </c>
      <c r="P56" s="318"/>
      <c r="Q56" s="318"/>
      <c r="R56" s="318"/>
      <c r="S56" s="318"/>
      <c r="T56" s="1333"/>
      <c r="V56" s="322"/>
      <c r="W56" s="328"/>
      <c r="X56" s="322">
        <f t="shared" si="4"/>
        <v>0</v>
      </c>
      <c r="Y56" s="1332"/>
      <c r="Z56" s="1333"/>
    </row>
    <row r="57" spans="2:26" s="18" customFormat="1" ht="21" customHeight="1">
      <c r="B57" s="2147"/>
      <c r="C57" s="296" t="s">
        <v>321</v>
      </c>
      <c r="D57" s="2148"/>
      <c r="G57" s="286" t="s">
        <v>552</v>
      </c>
      <c r="I57" s="319">
        <f t="shared" si="1"/>
        <v>0</v>
      </c>
      <c r="J57" s="319">
        <f t="shared" si="2"/>
        <v>0</v>
      </c>
      <c r="N57" s="1333"/>
      <c r="O57" s="318">
        <f t="shared" si="3"/>
        <v>0</v>
      </c>
      <c r="P57" s="318"/>
      <c r="Q57" s="318"/>
      <c r="R57" s="318"/>
      <c r="S57" s="318"/>
      <c r="T57" s="1333"/>
      <c r="V57" s="322"/>
      <c r="W57" s="328"/>
      <c r="X57" s="322">
        <f t="shared" si="4"/>
        <v>0</v>
      </c>
      <c r="Y57" s="1332"/>
      <c r="Z57" s="1333"/>
    </row>
    <row r="58" spans="2:26" s="18" customFormat="1" ht="21" customHeight="1">
      <c r="B58" s="2147"/>
      <c r="C58" s="296" t="s">
        <v>321</v>
      </c>
      <c r="D58" s="2148"/>
      <c r="G58" s="286" t="s">
        <v>553</v>
      </c>
      <c r="I58" s="319">
        <f t="shared" si="1"/>
        <v>0</v>
      </c>
      <c r="J58" s="319">
        <f t="shared" si="2"/>
        <v>0</v>
      </c>
      <c r="N58" s="1333"/>
      <c r="O58" s="318">
        <f t="shared" si="3"/>
        <v>0</v>
      </c>
      <c r="P58" s="318"/>
      <c r="Q58" s="318"/>
      <c r="R58" s="318"/>
      <c r="S58" s="318"/>
      <c r="T58" s="1333"/>
      <c r="V58" s="322"/>
      <c r="W58" s="328"/>
      <c r="X58" s="322">
        <f t="shared" si="4"/>
        <v>0</v>
      </c>
      <c r="Y58" s="1332"/>
      <c r="Z58" s="1333"/>
    </row>
    <row r="59" spans="2:26" s="18" customFormat="1" ht="21" customHeight="1">
      <c r="B59" s="2147"/>
      <c r="C59" s="296" t="s">
        <v>321</v>
      </c>
      <c r="D59" s="2148"/>
      <c r="G59" s="286" t="s">
        <v>554</v>
      </c>
      <c r="I59" s="319">
        <f t="shared" si="1"/>
        <v>0</v>
      </c>
      <c r="J59" s="319">
        <f t="shared" si="2"/>
        <v>0</v>
      </c>
      <c r="N59" s="1333"/>
      <c r="O59" s="318">
        <f t="shared" si="3"/>
        <v>0</v>
      </c>
      <c r="P59" s="318"/>
      <c r="Q59" s="318"/>
      <c r="R59" s="318"/>
      <c r="S59" s="318"/>
      <c r="T59" s="1333"/>
      <c r="V59" s="322"/>
      <c r="W59" s="328"/>
      <c r="X59" s="322">
        <f t="shared" si="4"/>
        <v>0</v>
      </c>
      <c r="Y59" s="1332"/>
      <c r="Z59" s="1333"/>
    </row>
    <row r="60" spans="2:26" s="18" customFormat="1" ht="21" customHeight="1">
      <c r="B60" s="2147"/>
      <c r="C60" s="296" t="s">
        <v>321</v>
      </c>
      <c r="D60" s="2148"/>
      <c r="G60" s="286" t="s">
        <v>555</v>
      </c>
      <c r="I60" s="319">
        <f t="shared" si="1"/>
        <v>0</v>
      </c>
      <c r="J60" s="319">
        <f t="shared" si="2"/>
        <v>0</v>
      </c>
      <c r="N60" s="1333"/>
      <c r="O60" s="318">
        <f t="shared" si="3"/>
        <v>0</v>
      </c>
      <c r="P60" s="318"/>
      <c r="Q60" s="318"/>
      <c r="R60" s="318"/>
      <c r="S60" s="318"/>
      <c r="T60" s="1333"/>
      <c r="V60" s="322"/>
      <c r="W60" s="328"/>
      <c r="X60" s="322">
        <f t="shared" si="4"/>
        <v>0</v>
      </c>
      <c r="Y60" s="1332"/>
      <c r="Z60" s="1333"/>
    </row>
    <row r="61" spans="2:26" s="18" customFormat="1" ht="21" customHeight="1">
      <c r="B61" s="2147"/>
      <c r="C61" s="296" t="s">
        <v>321</v>
      </c>
      <c r="D61" s="2148"/>
      <c r="G61" s="286" t="s">
        <v>556</v>
      </c>
      <c r="I61" s="319">
        <f t="shared" si="1"/>
        <v>0</v>
      </c>
      <c r="J61" s="319">
        <f t="shared" si="2"/>
        <v>0</v>
      </c>
      <c r="N61" s="1333"/>
      <c r="O61" s="318">
        <f t="shared" si="3"/>
        <v>0</v>
      </c>
      <c r="P61" s="318"/>
      <c r="Q61" s="318"/>
      <c r="R61" s="318"/>
      <c r="S61" s="318"/>
      <c r="T61" s="1333"/>
      <c r="V61" s="322"/>
      <c r="W61" s="328"/>
      <c r="X61" s="322">
        <f t="shared" si="4"/>
        <v>0</v>
      </c>
      <c r="Y61" s="1332"/>
      <c r="Z61" s="1333"/>
    </row>
    <row r="62" spans="2:26" s="18" customFormat="1" ht="21" customHeight="1">
      <c r="B62" s="2147"/>
      <c r="C62" s="296" t="s">
        <v>321</v>
      </c>
      <c r="D62" s="2148"/>
      <c r="G62" s="286" t="s">
        <v>557</v>
      </c>
      <c r="I62" s="319">
        <f t="shared" si="1"/>
        <v>0</v>
      </c>
      <c r="J62" s="319">
        <f t="shared" si="2"/>
        <v>0</v>
      </c>
      <c r="N62" s="1333"/>
      <c r="O62" s="318">
        <f t="shared" si="3"/>
        <v>0</v>
      </c>
      <c r="P62" s="318"/>
      <c r="Q62" s="318"/>
      <c r="R62" s="318"/>
      <c r="S62" s="318"/>
      <c r="T62" s="1333"/>
      <c r="V62" s="322"/>
      <c r="W62" s="328"/>
      <c r="X62" s="322">
        <f t="shared" si="4"/>
        <v>0</v>
      </c>
      <c r="Y62" s="1332"/>
      <c r="Z62" s="1333"/>
    </row>
    <row r="63" spans="2:26" s="18" customFormat="1" ht="21" customHeight="1">
      <c r="B63" s="2147"/>
      <c r="C63" s="296" t="s">
        <v>321</v>
      </c>
      <c r="D63" s="2148"/>
      <c r="G63" s="286" t="s">
        <v>558</v>
      </c>
      <c r="I63" s="319">
        <f t="shared" si="1"/>
        <v>0</v>
      </c>
      <c r="J63" s="319">
        <f t="shared" si="2"/>
        <v>0</v>
      </c>
      <c r="N63" s="1333"/>
      <c r="O63" s="318">
        <f t="shared" si="3"/>
        <v>0</v>
      </c>
      <c r="P63" s="318"/>
      <c r="Q63" s="318"/>
      <c r="R63" s="318"/>
      <c r="S63" s="318"/>
      <c r="T63" s="1333"/>
      <c r="V63" s="322"/>
      <c r="W63" s="328"/>
      <c r="X63" s="322">
        <f t="shared" si="4"/>
        <v>0</v>
      </c>
      <c r="Y63" s="1332"/>
      <c r="Z63" s="1333"/>
    </row>
    <row r="64" spans="2:26" s="18" customFormat="1" ht="15.75">
      <c r="N64" s="1333"/>
      <c r="O64" s="318"/>
      <c r="P64" s="318"/>
      <c r="Q64" s="318"/>
      <c r="R64" s="318"/>
      <c r="S64" s="318"/>
      <c r="T64" s="1333"/>
      <c r="U64" s="322"/>
      <c r="V64" s="322"/>
      <c r="W64" s="322"/>
      <c r="X64" s="318"/>
      <c r="Y64" s="1332"/>
      <c r="Z64" s="1333"/>
    </row>
    <row r="65" spans="2:32" s="18" customFormat="1" ht="21" customHeight="1">
      <c r="B65" s="298" t="s">
        <v>559</v>
      </c>
      <c r="C65" s="296" t="s">
        <v>321</v>
      </c>
      <c r="D65" s="2149">
        <f>AVERAGE(D14:D63)</f>
        <v>0.9999841245500829</v>
      </c>
      <c r="G65" s="286" t="s">
        <v>560</v>
      </c>
      <c r="I65" s="319"/>
      <c r="J65" s="319"/>
      <c r="N65" s="1333"/>
      <c r="O65" s="318"/>
      <c r="P65" s="318"/>
      <c r="Q65" s="318"/>
      <c r="R65" s="318"/>
      <c r="S65" s="318"/>
      <c r="T65" s="1333"/>
      <c r="U65" s="322"/>
      <c r="V65" s="322"/>
      <c r="W65" s="322"/>
      <c r="X65" s="318"/>
      <c r="Y65" s="1332"/>
      <c r="Z65" s="1333"/>
      <c r="AB65" s="298" t="str">
        <f>B65</f>
        <v>D-MeX quantitative score (for the reporting period)</v>
      </c>
      <c r="AC65" s="298" t="str">
        <f>C65</f>
        <v>%</v>
      </c>
    </row>
    <row r="66" spans="2:32" s="18" customFormat="1" ht="21" customHeight="1">
      <c r="B66" s="298" t="s">
        <v>561</v>
      </c>
      <c r="C66" s="296" t="s">
        <v>439</v>
      </c>
      <c r="E66" s="1793">
        <f>D65</f>
        <v>0.9999841245500829</v>
      </c>
      <c r="G66" s="286" t="s">
        <v>562</v>
      </c>
      <c r="I66" s="319"/>
      <c r="J66" s="319"/>
      <c r="N66" s="1333"/>
      <c r="O66" s="318"/>
      <c r="P66" s="318"/>
      <c r="Q66" s="318"/>
      <c r="R66" s="318"/>
      <c r="S66" s="318"/>
      <c r="T66" s="1333"/>
      <c r="U66" s="322"/>
      <c r="V66" s="322"/>
      <c r="W66" s="322"/>
      <c r="X66" s="318"/>
      <c r="Y66" s="1332"/>
      <c r="Z66" s="1333"/>
      <c r="AB66" s="298" t="str">
        <f>B66</f>
        <v>D-MeX quantitative score (annual)</v>
      </c>
      <c r="AC66" s="298" t="str">
        <f>C66</f>
        <v>Number</v>
      </c>
      <c r="AF66" s="1437" t="s">
        <v>563</v>
      </c>
    </row>
    <row r="67" spans="2:32" s="18" customFormat="1" ht="15.75">
      <c r="I67" s="20"/>
      <c r="J67" s="20"/>
      <c r="N67" s="329"/>
      <c r="O67" s="329"/>
      <c r="P67" s="329"/>
      <c r="Q67" s="329"/>
      <c r="R67" s="329"/>
      <c r="S67" s="329"/>
      <c r="T67" s="329"/>
      <c r="U67" s="329"/>
      <c r="V67" s="329"/>
      <c r="W67" s="329"/>
      <c r="X67" s="329"/>
      <c r="Y67" s="329"/>
      <c r="Z67" s="329"/>
    </row>
    <row r="68" spans="2:32">
      <c r="B68" s="270" t="s">
        <v>327</v>
      </c>
      <c r="C68" s="1332"/>
      <c r="D68" s="1332"/>
      <c r="E68" s="1332"/>
      <c r="F68" s="1332"/>
      <c r="G68" s="1332"/>
    </row>
    <row r="69" spans="2:32">
      <c r="B69" s="8"/>
      <c r="C69" s="8"/>
      <c r="D69" s="8"/>
      <c r="E69" s="8"/>
      <c r="F69" s="8"/>
      <c r="G69" s="8"/>
    </row>
    <row r="70" spans="2:32">
      <c r="B70" s="1786" t="s">
        <v>328</v>
      </c>
      <c r="C70" s="8"/>
      <c r="D70" s="8"/>
      <c r="E70" s="8"/>
      <c r="F70" s="8"/>
      <c r="G70" s="8"/>
    </row>
    <row r="71" spans="2:32" ht="15.75" thickBot="1">
      <c r="B71" s="363"/>
      <c r="C71" s="8"/>
      <c r="D71" s="8"/>
      <c r="E71" s="8"/>
      <c r="F71" s="8"/>
      <c r="G71" s="8"/>
    </row>
    <row r="72" spans="2:32" ht="15.75" thickBot="1">
      <c r="B72" s="2154" t="s">
        <v>329</v>
      </c>
      <c r="C72" s="8"/>
      <c r="D72" s="8"/>
      <c r="E72" s="8"/>
      <c r="F72" s="8"/>
      <c r="G72" s="8"/>
    </row>
    <row r="73" spans="2:32">
      <c r="B73" s="8"/>
      <c r="C73" s="8"/>
      <c r="D73" s="8"/>
      <c r="E73" s="8"/>
      <c r="F73" s="8"/>
      <c r="G73" s="8"/>
    </row>
    <row r="74" spans="2:32">
      <c r="B74" s="1787" t="s">
        <v>330</v>
      </c>
      <c r="C74" s="8"/>
      <c r="D74" s="8"/>
      <c r="E74" s="8"/>
      <c r="F74" s="8"/>
      <c r="G74" s="8"/>
    </row>
    <row r="75" spans="2:32">
      <c r="B75" s="8"/>
      <c r="C75" s="8"/>
      <c r="D75" s="8"/>
      <c r="E75" s="8"/>
      <c r="F75" s="8"/>
      <c r="G75" s="8"/>
    </row>
    <row r="76" spans="2:32">
      <c r="B76" s="1788" t="s">
        <v>331</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conditionalFormatting sqref="I6:J6">
    <cfRule type="cellIs" dxfId="297" priority="5" operator="equal">
      <formula>0</formula>
    </cfRule>
  </conditionalFormatting>
  <conditionalFormatting sqref="I9:J10">
    <cfRule type="cellIs" dxfId="296" priority="4" operator="equal">
      <formula>0</formula>
    </cfRule>
  </conditionalFormatting>
  <conditionalFormatting sqref="I14:J63">
    <cfRule type="cellIs" dxfId="295" priority="3" operator="equal">
      <formula>0</formula>
    </cfRule>
  </conditionalFormatting>
  <conditionalFormatting sqref="I65:J66">
    <cfRule type="cellIs" dxfId="294"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62F27BDD2EBF488DD3C9D40F0C46F2" ma:contentTypeVersion="24" ma:contentTypeDescription="Create a new document." ma:contentTypeScope="" ma:versionID="f1aacacbee2138b571a458a0ce79bde4">
  <xsd:schema xmlns:xsd="http://www.w3.org/2001/XMLSchema" xmlns:xs="http://www.w3.org/2001/XMLSchema" xmlns:p="http://schemas.microsoft.com/office/2006/metadata/properties" xmlns:ns1="http://schemas.microsoft.com/sharepoint/v3" xmlns:ns2="3733b389-fb98-4c9b-89cb-02d8bd2eea1e" xmlns:ns3="1f15dc76-04cb-405f-b923-97d5daa8bd78" xmlns:ns4="75e05205-f2e1-4168-9176-3cea1311c638" targetNamespace="http://schemas.microsoft.com/office/2006/metadata/properties" ma:root="true" ma:fieldsID="697d39073bda83ec292360bf78c42d8b" ns1:_="" ns2:_="" ns3:_="" ns4:_="">
    <xsd:import namespace="http://schemas.microsoft.com/sharepoint/v3"/>
    <xsd:import namespace="3733b389-fb98-4c9b-89cb-02d8bd2eea1e"/>
    <xsd:import namespace="1f15dc76-04cb-405f-b923-97d5daa8bd78"/>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AuditGroup" minOccurs="0"/>
                <xsd:element ref="ns1:_ip_UnifiedCompliancePolicyProperties" minOccurs="0"/>
                <xsd:element ref="ns1:_ip_UnifiedCompliancePolicyUIAction" minOccurs="0"/>
                <xsd:element ref="ns2:Approver_x002f_HeadofBU_x002f_Director" minOccurs="0"/>
                <xsd:element ref="ns2:YearofReview" minOccurs="0"/>
                <xsd:element ref="ns2:MediaServiceLocation" minOccurs="0"/>
                <xsd:element ref="ns2:InternalReviewer" minOccurs="0"/>
                <xsd:element ref="ns2:MediaServiceObjectDetectorVersions" minOccurs="0"/>
                <xsd:element ref="ns2:lcf76f155ced4ddcb4097134ff3c332f" minOccurs="0"/>
                <xsd:element ref="ns4:TaxCatchAll"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733b389-fb98-4c9b-89cb-02d8bd2eea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AuditGroup" ma:index="19" nillable="true" ma:displayName="Audit Group" ma:format="Dropdown" ma:internalName="AuditGroup">
      <xsd:simpleType>
        <xsd:restriction base="dms:Text">
          <xsd:maxLength value="255"/>
        </xsd:restriction>
      </xsd:simpleType>
    </xsd:element>
    <xsd:element name="Approver_x002f_HeadofBU_x002f_Director" ma:index="22" nillable="true" ma:displayName="Role Responsible for Sign-off" ma:format="Dropdown" ma:internalName="Approver_x002f_HeadofBU_x002f_Director">
      <xsd:simpleType>
        <xsd:restriction base="dms:Text">
          <xsd:maxLength value="255"/>
        </xsd:restriction>
      </xsd:simpleType>
    </xsd:element>
    <xsd:element name="YearofReview" ma:index="23" nillable="true" ma:displayName="Year of Review" ma:format="Dropdown" ma:internalName="YearofReview">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element name="InternalReviewer" ma:index="25" nillable="true" ma:displayName="Internal Reviewer" ma:description="This is the person from the central APR team who carries out the internal review" ma:format="Dropdown" ma:internalName="InternalReviewer">
      <xsd:simpleType>
        <xsd:restriction base="dms:Text">
          <xsd:maxLength value="255"/>
        </xsd:restrictio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LengthInSeconds" ma:index="3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f15dc76-04cb-405f-b923-97d5daa8bd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9" nillable="true" ma:displayName="Taxonomy Catch All Column" ma:hidden="true" ma:list="{5ce9583f-28a5-4156-b3e0-8ce3cf1bcfbc}" ma:internalName="TaxCatchAll" ma:showField="CatchAllData" ma:web="1f15dc76-04cb-405f-b923-97d5daa8bd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733b389-fb98-4c9b-89cb-02d8bd2eea1e">
      <Terms xmlns="http://schemas.microsoft.com/office/infopath/2007/PartnerControls"/>
    </lcf76f155ced4ddcb4097134ff3c332f>
    <TaxCatchAll xmlns="75e05205-f2e1-4168-9176-3cea1311c638" xsi:nil="true"/>
    <_ip_UnifiedCompliancePolicyUIAction xmlns="http://schemas.microsoft.com/sharepoint/v3" xsi:nil="true"/>
    <AuditGroup xmlns="3733b389-fb98-4c9b-89cb-02d8bd2eea1e" xsi:nil="true"/>
    <YearofReview xmlns="3733b389-fb98-4c9b-89cb-02d8bd2eea1e" xsi:nil="true"/>
    <_ip_UnifiedCompliancePolicyProperties xmlns="http://schemas.microsoft.com/sharepoint/v3" xsi:nil="true"/>
    <Approver_x002f_HeadofBU_x002f_Director xmlns="3733b389-fb98-4c9b-89cb-02d8bd2eea1e" xsi:nil="true"/>
    <InternalReviewer xmlns="3733b389-fb98-4c9b-89cb-02d8bd2eea1e" xsi:nil="true"/>
  </documentManagement>
</p:properties>
</file>

<file path=customXml/itemProps1.xml><?xml version="1.0" encoding="utf-8"?>
<ds:datastoreItem xmlns:ds="http://schemas.openxmlformats.org/officeDocument/2006/customXml" ds:itemID="{304C3CF4-594C-43DB-91A2-C1EF69835D72}"/>
</file>

<file path=customXml/itemProps2.xml><?xml version="1.0" encoding="utf-8"?>
<ds:datastoreItem xmlns:ds="http://schemas.openxmlformats.org/officeDocument/2006/customXml" ds:itemID="{0C5487D5-5BB1-45D7-B719-BDA546AA0D0E}"/>
</file>

<file path=customXml/itemProps3.xml><?xml version="1.0" encoding="utf-8"?>
<ds:datastoreItem xmlns:ds="http://schemas.openxmlformats.org/officeDocument/2006/customXml" ds:itemID="{C8903B7C-EBC5-4A4A-9179-95A1D752A83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2025-03-20T10:31:19Z</dcterms:created>
  <dcterms:modified xsi:type="dcterms:W3CDTF">2025-07-15T16:18:55Z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Document_x0020_Type">
    <vt:lpwstr/>
  </property>
  <property fmtid="{D5CDD505-2E9C-101B-9397-08002B2CF9AE}" pid="5" name="xd_ProgID">
    <vt:lpwstr/>
  </property>
  <property fmtid="{D5CDD505-2E9C-101B-9397-08002B2CF9AE}" pid="6" name="MediaServiceImageTags">
    <vt:lpwstr/>
  </property>
  <property fmtid="{D5CDD505-2E9C-101B-9397-08002B2CF9AE}" pid="7" name="ContentTypeId">
    <vt:lpwstr>0x0101008462F27BDD2EBF488DD3C9D40F0C46F2</vt:lpwstr>
  </property>
  <property fmtid="{D5CDD505-2E9C-101B-9397-08002B2CF9AE}" pid="8" name="ComplianceAssetId">
    <vt:lpwstr/>
  </property>
  <property fmtid="{D5CDD505-2E9C-101B-9397-08002B2CF9AE}" pid="9" name="TemplateUrl">
    <vt:lpwstr/>
  </property>
  <property fmtid="{D5CDD505-2E9C-101B-9397-08002B2CF9AE}" pid="10" name="Water Companies">
    <vt:lpwstr/>
  </property>
  <property fmtid="{D5CDD505-2E9C-101B-9397-08002B2CF9AE}" pid="11" name="_ExtendedDescription">
    <vt:lpwstr/>
  </property>
  <property fmtid="{D5CDD505-2E9C-101B-9397-08002B2CF9AE}" pid="12" name="TriggerFlowInfo">
    <vt:lpwstr/>
  </property>
  <property fmtid="{D5CDD505-2E9C-101B-9397-08002B2CF9AE}" pid="13" name="Document Type">
    <vt:lpwstr/>
  </property>
  <property fmtid="{D5CDD505-2E9C-101B-9397-08002B2CF9AE}" pid="14" name="xd_Signature">
    <vt:bool>false</vt:bool>
  </property>
  <property fmtid="{D5CDD505-2E9C-101B-9397-08002B2CF9AE}" pid="15" name="Water_x0020_Companies">
    <vt:lpwstr/>
  </property>
</Properties>
</file>